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xin zhao\PycharmProjects\CrawlerTutorial\src\"/>
    </mc:Choice>
  </mc:AlternateContent>
  <bookViews>
    <workbookView xWindow="0" yWindow="0" windowWidth="20490" windowHeight="7680"/>
  </bookViews>
  <sheets>
    <sheet name="Sheet" sheetId="1" r:id="rId1"/>
  </sheets>
  <calcPr calcId="162913"/>
  <fileRecoveryPr repairLoad="1"/>
</workbook>
</file>

<file path=xl/calcChain.xml><?xml version="1.0" encoding="utf-8"?>
<calcChain xmlns="http://schemas.openxmlformats.org/spreadsheetml/2006/main">
  <c r="B12157" i="1" l="1"/>
  <c r="B12156" i="1"/>
  <c r="B12155" i="1"/>
  <c r="B12154" i="1"/>
  <c r="B12152" i="1"/>
  <c r="B12151" i="1"/>
  <c r="B12150" i="1"/>
  <c r="B12149" i="1"/>
  <c r="B12148" i="1"/>
  <c r="B12147" i="1"/>
  <c r="B12146" i="1"/>
  <c r="B12145" i="1"/>
  <c r="B12144" i="1"/>
  <c r="B12142" i="1"/>
  <c r="B12141" i="1"/>
  <c r="B12140" i="1"/>
  <c r="B12139" i="1"/>
  <c r="B12138" i="1"/>
  <c r="B12137" i="1"/>
  <c r="B12135" i="1"/>
  <c r="B12134" i="1"/>
  <c r="B12132" i="1"/>
  <c r="B12131" i="1"/>
  <c r="B12130" i="1"/>
  <c r="B12128" i="1"/>
  <c r="B12127" i="1"/>
  <c r="B12125" i="1"/>
  <c r="B12124" i="1"/>
  <c r="B12123" i="1"/>
  <c r="B12121" i="1"/>
  <c r="B12120" i="1"/>
  <c r="B12119" i="1"/>
  <c r="B12116" i="1"/>
  <c r="B12115" i="1"/>
  <c r="B12114" i="1"/>
  <c r="B12113" i="1"/>
  <c r="B12112" i="1"/>
  <c r="B12111" i="1"/>
  <c r="B12110" i="1"/>
  <c r="B12109" i="1"/>
  <c r="B12108" i="1"/>
  <c r="B12107" i="1"/>
  <c r="B12106" i="1"/>
  <c r="B12105" i="1"/>
  <c r="B12104" i="1"/>
  <c r="B12103" i="1"/>
  <c r="B12102" i="1"/>
  <c r="B12101" i="1"/>
  <c r="B12100" i="1"/>
  <c r="B12099" i="1"/>
  <c r="B12098" i="1"/>
  <c r="B12097" i="1"/>
  <c r="B12096" i="1"/>
  <c r="B12095" i="1"/>
  <c r="B12094" i="1"/>
  <c r="B12093" i="1"/>
  <c r="B12091" i="1"/>
  <c r="B12090" i="1"/>
  <c r="B12089" i="1"/>
  <c r="B12088" i="1"/>
  <c r="B12087" i="1"/>
  <c r="B12085" i="1"/>
  <c r="B12084" i="1"/>
  <c r="B12083" i="1"/>
  <c r="B12082" i="1"/>
  <c r="B12080" i="1"/>
  <c r="B12079" i="1"/>
  <c r="B12078" i="1"/>
  <c r="B12076" i="1"/>
  <c r="B12074" i="1"/>
  <c r="B12073" i="1"/>
  <c r="B12071" i="1"/>
  <c r="B12070" i="1"/>
  <c r="B12069" i="1"/>
  <c r="B12068" i="1"/>
  <c r="B12067" i="1"/>
  <c r="B12065" i="1"/>
  <c r="B12064" i="1"/>
  <c r="B12063" i="1"/>
  <c r="B12061" i="1"/>
  <c r="B12060" i="1"/>
  <c r="B12058" i="1"/>
  <c r="B12057" i="1"/>
  <c r="B12056" i="1"/>
  <c r="B12055" i="1"/>
  <c r="B12053" i="1"/>
  <c r="B12052" i="1"/>
  <c r="B12051" i="1"/>
  <c r="B12049" i="1"/>
  <c r="B12048" i="1"/>
  <c r="B12047" i="1"/>
  <c r="B12046" i="1"/>
  <c r="B12044" i="1"/>
  <c r="B12043" i="1"/>
  <c r="B12042" i="1"/>
  <c r="B12040" i="1"/>
  <c r="B12039" i="1"/>
  <c r="B12038" i="1"/>
  <c r="B12037" i="1"/>
  <c r="B12036" i="1"/>
  <c r="B12035" i="1"/>
  <c r="B12034" i="1"/>
  <c r="B12033" i="1"/>
  <c r="B12032" i="1"/>
  <c r="B12031" i="1"/>
  <c r="B12030" i="1"/>
  <c r="B12028" i="1"/>
  <c r="B12027" i="1"/>
  <c r="B12025" i="1"/>
  <c r="B12024" i="1"/>
  <c r="B12023" i="1"/>
  <c r="B12021" i="1"/>
  <c r="B12020" i="1"/>
  <c r="B12019" i="1"/>
  <c r="B12018" i="1"/>
  <c r="B12017" i="1"/>
  <c r="B12016" i="1"/>
  <c r="B12014" i="1"/>
  <c r="B12013" i="1"/>
  <c r="B12012" i="1"/>
  <c r="B12011" i="1"/>
  <c r="B12010" i="1"/>
  <c r="B12009" i="1"/>
  <c r="B12008" i="1"/>
  <c r="B12006" i="1"/>
  <c r="B12005" i="1"/>
  <c r="B12004" i="1"/>
  <c r="B12003" i="1"/>
  <c r="B12002" i="1"/>
  <c r="B12001" i="1"/>
  <c r="B12000" i="1"/>
  <c r="B11999" i="1"/>
  <c r="B11998" i="1"/>
  <c r="B11996" i="1"/>
  <c r="B11995" i="1"/>
  <c r="B11994" i="1"/>
  <c r="B11993" i="1"/>
  <c r="B11992" i="1"/>
  <c r="B11991" i="1"/>
  <c r="B11990" i="1"/>
  <c r="B11989" i="1"/>
  <c r="B11988" i="1"/>
  <c r="B11987" i="1"/>
  <c r="B11986" i="1"/>
  <c r="B11985" i="1"/>
  <c r="B11984" i="1"/>
  <c r="B11983" i="1"/>
  <c r="B11982" i="1"/>
  <c r="B11981" i="1"/>
  <c r="B11980" i="1"/>
  <c r="B11979" i="1"/>
  <c r="B11978" i="1"/>
  <c r="B11977" i="1"/>
  <c r="B11976" i="1"/>
  <c r="B11975" i="1"/>
  <c r="B11974" i="1"/>
  <c r="B11972" i="1"/>
  <c r="B11971" i="1"/>
  <c r="B11970" i="1"/>
  <c r="B11969" i="1"/>
  <c r="B11968" i="1"/>
  <c r="B11967" i="1"/>
  <c r="B11966" i="1"/>
  <c r="B11965" i="1"/>
  <c r="B11964" i="1"/>
  <c r="B11962" i="1"/>
  <c r="B11961" i="1"/>
  <c r="B11960" i="1"/>
  <c r="B11958" i="1"/>
  <c r="B11957" i="1"/>
  <c r="B11956" i="1"/>
  <c r="B11955" i="1"/>
  <c r="B11954" i="1"/>
  <c r="B11953" i="1"/>
  <c r="B11952" i="1"/>
  <c r="B11951" i="1"/>
  <c r="B11950" i="1"/>
  <c r="B11949" i="1"/>
  <c r="B11948" i="1"/>
  <c r="B11947" i="1"/>
  <c r="B11946" i="1"/>
  <c r="B11945" i="1"/>
  <c r="B11944" i="1"/>
  <c r="B11943" i="1"/>
  <c r="B11942" i="1"/>
  <c r="B11941" i="1"/>
  <c r="B11940" i="1"/>
  <c r="B11939" i="1"/>
  <c r="B11938" i="1"/>
  <c r="B11937" i="1"/>
  <c r="B11936" i="1"/>
  <c r="B11935" i="1"/>
  <c r="B11933" i="1"/>
  <c r="B11932" i="1"/>
  <c r="B11931" i="1"/>
  <c r="B11930" i="1"/>
  <c r="B11929" i="1"/>
  <c r="B11928" i="1"/>
  <c r="B11927" i="1"/>
  <c r="B11926" i="1"/>
  <c r="B11925" i="1"/>
  <c r="B11924" i="1"/>
  <c r="B11923" i="1"/>
  <c r="B11922" i="1"/>
  <c r="B11921" i="1"/>
  <c r="B11919" i="1"/>
  <c r="B11918" i="1"/>
  <c r="B11917" i="1"/>
  <c r="B11915" i="1"/>
  <c r="B11914" i="1"/>
  <c r="B11913" i="1"/>
  <c r="B11912" i="1"/>
  <c r="B11911" i="1"/>
  <c r="B11910" i="1"/>
  <c r="B11909" i="1"/>
  <c r="B11908" i="1"/>
  <c r="B11907" i="1"/>
  <c r="B11906" i="1"/>
  <c r="B11905" i="1"/>
  <c r="B11904" i="1"/>
  <c r="B11903" i="1"/>
  <c r="B11902" i="1"/>
  <c r="B11901" i="1"/>
  <c r="B11900" i="1"/>
  <c r="B11899" i="1"/>
  <c r="B11898" i="1"/>
  <c r="B11897" i="1"/>
  <c r="B11896" i="1"/>
  <c r="B11895" i="1"/>
  <c r="B11894" i="1"/>
  <c r="B11893" i="1"/>
  <c r="B11892" i="1"/>
  <c r="B11890" i="1"/>
  <c r="B11889" i="1"/>
  <c r="B11888" i="1"/>
  <c r="B11887" i="1"/>
  <c r="B11886" i="1"/>
  <c r="B11885" i="1"/>
  <c r="B11884" i="1"/>
  <c r="B11882" i="1"/>
  <c r="B11881" i="1"/>
  <c r="B11880" i="1"/>
  <c r="B11879" i="1"/>
  <c r="B11877" i="1"/>
  <c r="B11875" i="1"/>
  <c r="B11873" i="1"/>
  <c r="B11872" i="1"/>
  <c r="B11871" i="1"/>
  <c r="B11869" i="1"/>
  <c r="B11868" i="1"/>
  <c r="B11867" i="1"/>
  <c r="B11866" i="1"/>
  <c r="B11865" i="1"/>
  <c r="B11864" i="1"/>
  <c r="B11863" i="1"/>
  <c r="B11862" i="1"/>
  <c r="B11860" i="1"/>
  <c r="B11859" i="1"/>
  <c r="B11856" i="1"/>
  <c r="B11855" i="1"/>
  <c r="B11854" i="1"/>
  <c r="B11853" i="1"/>
  <c r="B11852" i="1"/>
  <c r="B11851" i="1"/>
  <c r="B11850" i="1"/>
  <c r="B11849" i="1"/>
  <c r="B11848" i="1"/>
  <c r="B11846" i="1"/>
  <c r="B11845" i="1"/>
  <c r="B11843" i="1"/>
  <c r="B11842" i="1"/>
  <c r="B11841" i="1"/>
  <c r="B11840" i="1"/>
  <c r="B11839" i="1"/>
  <c r="B11838" i="1"/>
  <c r="B11837" i="1"/>
  <c r="B11836" i="1"/>
  <c r="B11835" i="1"/>
  <c r="B11834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11819" i="1"/>
  <c r="B11818" i="1"/>
  <c r="B11817" i="1"/>
  <c r="B11815" i="1"/>
  <c r="B11814" i="1"/>
  <c r="B11813" i="1"/>
  <c r="B11812" i="1"/>
  <c r="B11811" i="1"/>
  <c r="B11810" i="1"/>
  <c r="B11809" i="1"/>
  <c r="B11808" i="1"/>
  <c r="B11807" i="1"/>
  <c r="B11806" i="1"/>
  <c r="B11805" i="1"/>
  <c r="B11804" i="1"/>
  <c r="B11803" i="1"/>
  <c r="B11802" i="1"/>
  <c r="B11801" i="1"/>
  <c r="B11800" i="1"/>
  <c r="B11799" i="1"/>
  <c r="B11798" i="1"/>
  <c r="B11796" i="1"/>
  <c r="B11795" i="1"/>
  <c r="B11794" i="1"/>
  <c r="B11793" i="1"/>
  <c r="B11789" i="1"/>
  <c r="B11788" i="1"/>
  <c r="B11786" i="1"/>
  <c r="B11784" i="1"/>
  <c r="B11783" i="1"/>
  <c r="B11782" i="1"/>
  <c r="B11781" i="1"/>
  <c r="B11780" i="1"/>
  <c r="B11778" i="1"/>
  <c r="B11777" i="1"/>
  <c r="B11776" i="1"/>
  <c r="B11775" i="1"/>
  <c r="B11773" i="1"/>
  <c r="B11772" i="1"/>
  <c r="B11771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11755" i="1"/>
  <c r="B11754" i="1"/>
  <c r="B11750" i="1"/>
  <c r="B11749" i="1"/>
  <c r="B11747" i="1"/>
  <c r="B11746" i="1"/>
  <c r="B11745" i="1"/>
  <c r="B11743" i="1"/>
  <c r="B11742" i="1"/>
  <c r="B11741" i="1"/>
  <c r="B11739" i="1"/>
  <c r="B11738" i="1"/>
  <c r="B11736" i="1"/>
  <c r="B11735" i="1"/>
  <c r="B11734" i="1"/>
  <c r="B11732" i="1"/>
  <c r="B11731" i="1"/>
  <c r="B11730" i="1"/>
  <c r="B11729" i="1"/>
  <c r="B11728" i="1"/>
  <c r="B11727" i="1"/>
  <c r="B11726" i="1"/>
  <c r="B11725" i="1"/>
  <c r="B11724" i="1"/>
  <c r="B11723" i="1"/>
  <c r="B11722" i="1"/>
  <c r="B11721" i="1"/>
  <c r="B11720" i="1"/>
  <c r="B11719" i="1"/>
  <c r="B11718" i="1"/>
  <c r="B11717" i="1"/>
  <c r="B11716" i="1"/>
  <c r="B11715" i="1"/>
  <c r="B11714" i="1"/>
  <c r="B11713" i="1"/>
  <c r="B11712" i="1"/>
  <c r="B11710" i="1"/>
  <c r="B11709" i="1"/>
  <c r="B11708" i="1"/>
  <c r="B11707" i="1"/>
  <c r="B11705" i="1"/>
  <c r="B11703" i="1"/>
  <c r="B11702" i="1"/>
  <c r="B11701" i="1"/>
  <c r="B11699" i="1"/>
  <c r="B11698" i="1"/>
  <c r="B11697" i="1"/>
  <c r="B11696" i="1"/>
  <c r="B11695" i="1"/>
  <c r="B11693" i="1"/>
  <c r="B11692" i="1"/>
  <c r="B11691" i="1"/>
  <c r="B11690" i="1"/>
  <c r="B11689" i="1"/>
  <c r="B11688" i="1"/>
  <c r="B11687" i="1"/>
  <c r="B11686" i="1"/>
  <c r="B11685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11670" i="1"/>
  <c r="B11669" i="1"/>
  <c r="B11668" i="1"/>
  <c r="B11667" i="1"/>
  <c r="B11666" i="1"/>
  <c r="B11665" i="1"/>
  <c r="B11664" i="1"/>
  <c r="B11663" i="1"/>
  <c r="B11662" i="1"/>
  <c r="B11661" i="1"/>
  <c r="B11660" i="1"/>
  <c r="B11658" i="1"/>
  <c r="B11657" i="1"/>
  <c r="B11656" i="1"/>
  <c r="B11655" i="1"/>
  <c r="B11654" i="1"/>
  <c r="B11652" i="1"/>
  <c r="B11651" i="1"/>
  <c r="B11650" i="1"/>
  <c r="B11649" i="1"/>
  <c r="B11648" i="1"/>
  <c r="B11647" i="1"/>
  <c r="B11646" i="1"/>
  <c r="B11645" i="1"/>
  <c r="B11644" i="1"/>
  <c r="B11643" i="1"/>
  <c r="B11642" i="1"/>
  <c r="B11641" i="1"/>
  <c r="B11640" i="1"/>
  <c r="B11639" i="1"/>
  <c r="B11638" i="1"/>
  <c r="B11637" i="1"/>
  <c r="B11636" i="1"/>
  <c r="B11635" i="1"/>
  <c r="B11634" i="1"/>
  <c r="B11633" i="1"/>
  <c r="B11632" i="1"/>
  <c r="B11629" i="1"/>
  <c r="B11628" i="1"/>
  <c r="B11626" i="1"/>
  <c r="B11625" i="1"/>
  <c r="B11624" i="1"/>
  <c r="B11622" i="1"/>
  <c r="B11621" i="1"/>
  <c r="B11620" i="1"/>
  <c r="B11619" i="1"/>
  <c r="B11618" i="1"/>
  <c r="B11617" i="1"/>
  <c r="B11616" i="1"/>
  <c r="B11615" i="1"/>
  <c r="B11614" i="1"/>
  <c r="B11613" i="1"/>
  <c r="B11612" i="1"/>
  <c r="B11611" i="1"/>
  <c r="B11610" i="1"/>
  <c r="B11609" i="1"/>
  <c r="B11608" i="1"/>
  <c r="B11607" i="1"/>
  <c r="B11606" i="1"/>
  <c r="B11605" i="1"/>
  <c r="B11604" i="1"/>
  <c r="B11603" i="1"/>
  <c r="B11602" i="1"/>
  <c r="B11601" i="1"/>
  <c r="B11600" i="1"/>
  <c r="B11599" i="1"/>
  <c r="B11597" i="1"/>
  <c r="B11596" i="1"/>
  <c r="B11595" i="1"/>
  <c r="B11593" i="1"/>
  <c r="B11592" i="1"/>
  <c r="B11591" i="1"/>
  <c r="B11590" i="1"/>
  <c r="B11589" i="1"/>
  <c r="B11588" i="1"/>
  <c r="B11587" i="1"/>
  <c r="B11586" i="1"/>
  <c r="B11585" i="1"/>
  <c r="B11584" i="1"/>
  <c r="B11583" i="1"/>
  <c r="B11582" i="1"/>
  <c r="B11581" i="1"/>
  <c r="B11580" i="1"/>
  <c r="B11579" i="1"/>
  <c r="B11578" i="1"/>
  <c r="B11577" i="1"/>
  <c r="B11576" i="1"/>
  <c r="B11575" i="1"/>
  <c r="B11574" i="1"/>
  <c r="B11573" i="1"/>
  <c r="B11572" i="1"/>
  <c r="B11571" i="1"/>
  <c r="B11570" i="1"/>
  <c r="B11568" i="1"/>
  <c r="B11567" i="1"/>
  <c r="B11566" i="1"/>
  <c r="B11565" i="1"/>
  <c r="B11564" i="1"/>
  <c r="B11563" i="1"/>
  <c r="B11562" i="1"/>
  <c r="B11561" i="1"/>
  <c r="B11560" i="1"/>
  <c r="B11559" i="1"/>
  <c r="B11558" i="1"/>
  <c r="B11557" i="1"/>
  <c r="B11556" i="1"/>
  <c r="B11554" i="1"/>
  <c r="B11553" i="1"/>
  <c r="B11552" i="1"/>
  <c r="B11551" i="1"/>
  <c r="B11550" i="1"/>
  <c r="B11549" i="1"/>
  <c r="B11548" i="1"/>
  <c r="B11547" i="1"/>
  <c r="B11546" i="1"/>
  <c r="B11545" i="1"/>
  <c r="B11544" i="1"/>
  <c r="B11543" i="1"/>
  <c r="B11542" i="1"/>
  <c r="B11541" i="1"/>
  <c r="B11540" i="1"/>
  <c r="B11539" i="1"/>
  <c r="B11537" i="1"/>
  <c r="B11536" i="1"/>
  <c r="B11535" i="1"/>
  <c r="B11534" i="1"/>
  <c r="B11533" i="1"/>
  <c r="B11532" i="1"/>
  <c r="B11531" i="1"/>
  <c r="B11530" i="1"/>
  <c r="B11529" i="1"/>
  <c r="B11528" i="1"/>
  <c r="B11527" i="1"/>
  <c r="B11526" i="1"/>
  <c r="B11525" i="1"/>
  <c r="B11524" i="1"/>
  <c r="B11523" i="1"/>
  <c r="B11522" i="1"/>
  <c r="B11521" i="1"/>
  <c r="B11520" i="1"/>
  <c r="B11519" i="1"/>
  <c r="B11518" i="1"/>
  <c r="B11516" i="1"/>
  <c r="B11514" i="1"/>
  <c r="B11513" i="1"/>
  <c r="B11512" i="1"/>
  <c r="B11511" i="1"/>
  <c r="B11510" i="1"/>
  <c r="B11509" i="1"/>
  <c r="B11507" i="1"/>
  <c r="B11506" i="1"/>
  <c r="B11505" i="1"/>
  <c r="B11504" i="1"/>
  <c r="B11502" i="1"/>
  <c r="B11501" i="1"/>
  <c r="B11500" i="1"/>
  <c r="B11499" i="1"/>
  <c r="B11497" i="1"/>
  <c r="B11496" i="1"/>
  <c r="B11495" i="1"/>
  <c r="B11494" i="1"/>
  <c r="B11493" i="1"/>
  <c r="B11492" i="1"/>
  <c r="B11491" i="1"/>
  <c r="B11490" i="1"/>
  <c r="B11489" i="1"/>
  <c r="B11488" i="1"/>
  <c r="B11487" i="1"/>
  <c r="B11486" i="1"/>
  <c r="B11485" i="1"/>
  <c r="B11484" i="1"/>
  <c r="B11483" i="1"/>
  <c r="B11482" i="1"/>
  <c r="B11481" i="1"/>
  <c r="B11480" i="1"/>
  <c r="B11479" i="1"/>
  <c r="B11478" i="1"/>
  <c r="B11477" i="1"/>
  <c r="B11476" i="1"/>
  <c r="B11475" i="1"/>
  <c r="B11474" i="1"/>
  <c r="B11472" i="1"/>
  <c r="B11471" i="1"/>
  <c r="B11470" i="1"/>
  <c r="B11469" i="1"/>
  <c r="B11468" i="1"/>
  <c r="B11467" i="1"/>
  <c r="B11466" i="1"/>
  <c r="B11465" i="1"/>
  <c r="B11463" i="1"/>
  <c r="B11462" i="1"/>
  <c r="B11461" i="1"/>
  <c r="B11460" i="1"/>
  <c r="B11459" i="1"/>
  <c r="B11458" i="1"/>
  <c r="B11457" i="1"/>
  <c r="B11456" i="1"/>
  <c r="B11455" i="1"/>
  <c r="B11454" i="1"/>
  <c r="B11453" i="1"/>
  <c r="B11452" i="1"/>
  <c r="B11451" i="1"/>
  <c r="B11449" i="1"/>
  <c r="B11448" i="1"/>
  <c r="B11446" i="1"/>
  <c r="B11445" i="1"/>
  <c r="B11444" i="1"/>
  <c r="B11442" i="1"/>
  <c r="B11440" i="1"/>
  <c r="B11439" i="1"/>
  <c r="B11438" i="1"/>
  <c r="B11436" i="1"/>
  <c r="B11434" i="1"/>
  <c r="B11433" i="1"/>
  <c r="B11431" i="1"/>
  <c r="B11430" i="1"/>
  <c r="B11429" i="1"/>
  <c r="B11428" i="1"/>
  <c r="B11427" i="1"/>
  <c r="B11426" i="1"/>
  <c r="B11424" i="1"/>
  <c r="B11423" i="1"/>
  <c r="B11422" i="1"/>
  <c r="B11421" i="1"/>
  <c r="B11420" i="1"/>
  <c r="B11419" i="1"/>
  <c r="B11418" i="1"/>
  <c r="B11416" i="1"/>
  <c r="B11415" i="1"/>
  <c r="B11414" i="1"/>
  <c r="B11413" i="1"/>
  <c r="B11412" i="1"/>
  <c r="B11411" i="1"/>
  <c r="B11410" i="1"/>
  <c r="B11409" i="1"/>
  <c r="B11408" i="1"/>
  <c r="B11407" i="1"/>
  <c r="B11406" i="1"/>
  <c r="B11405" i="1"/>
  <c r="B11404" i="1"/>
  <c r="B11403" i="1"/>
  <c r="B11402" i="1"/>
  <c r="B11401" i="1"/>
  <c r="B11400" i="1"/>
  <c r="B11399" i="1"/>
  <c r="B11398" i="1"/>
  <c r="B11397" i="1"/>
  <c r="B11396" i="1"/>
  <c r="B11395" i="1"/>
  <c r="B11394" i="1"/>
  <c r="B11393" i="1"/>
  <c r="B11391" i="1"/>
  <c r="B11390" i="1"/>
  <c r="B11389" i="1"/>
  <c r="B11388" i="1"/>
  <c r="B11387" i="1"/>
  <c r="B11386" i="1"/>
  <c r="B11385" i="1"/>
  <c r="B11384" i="1"/>
  <c r="B11383" i="1"/>
  <c r="B11382" i="1"/>
  <c r="B11380" i="1"/>
  <c r="B11378" i="1"/>
  <c r="B11377" i="1"/>
  <c r="B11376" i="1"/>
  <c r="B11375" i="1"/>
  <c r="B11374" i="1"/>
  <c r="B11371" i="1"/>
  <c r="B11370" i="1"/>
  <c r="B11367" i="1"/>
  <c r="B11366" i="1"/>
  <c r="B11365" i="1"/>
  <c r="B11364" i="1"/>
  <c r="B11363" i="1"/>
  <c r="B11362" i="1"/>
  <c r="B11361" i="1"/>
  <c r="B11360" i="1"/>
  <c r="B11359" i="1"/>
  <c r="B11358" i="1"/>
  <c r="B11357" i="1"/>
  <c r="B11356" i="1"/>
  <c r="B11355" i="1"/>
  <c r="B11354" i="1"/>
  <c r="B11353" i="1"/>
  <c r="B11351" i="1"/>
  <c r="B11350" i="1"/>
  <c r="B11348" i="1"/>
  <c r="B11347" i="1"/>
  <c r="B11345" i="1"/>
  <c r="B11344" i="1"/>
  <c r="B11343" i="1"/>
  <c r="B11342" i="1"/>
  <c r="B11341" i="1"/>
  <c r="B11339" i="1"/>
  <c r="B11338" i="1"/>
  <c r="B11337" i="1"/>
  <c r="B11335" i="1"/>
  <c r="B11334" i="1"/>
  <c r="B11332" i="1"/>
  <c r="B11331" i="1"/>
  <c r="B11330" i="1"/>
  <c r="B11329" i="1"/>
  <c r="B11328" i="1"/>
  <c r="B11327" i="1"/>
  <c r="B11326" i="1"/>
  <c r="B11325" i="1"/>
  <c r="B11324" i="1"/>
  <c r="B11323" i="1"/>
  <c r="B11322" i="1"/>
  <c r="B11321" i="1"/>
  <c r="B11320" i="1"/>
  <c r="B11319" i="1"/>
  <c r="B11318" i="1"/>
  <c r="B11317" i="1"/>
  <c r="B11316" i="1"/>
  <c r="B11315" i="1"/>
  <c r="B11314" i="1"/>
  <c r="B11313" i="1"/>
  <c r="B11312" i="1"/>
  <c r="B11311" i="1"/>
  <c r="B11310" i="1"/>
  <c r="B11309" i="1"/>
  <c r="B11307" i="1"/>
  <c r="B11306" i="1"/>
  <c r="B11305" i="1"/>
  <c r="B11304" i="1"/>
  <c r="B11303" i="1"/>
  <c r="B11301" i="1"/>
  <c r="B11300" i="1"/>
  <c r="B11298" i="1"/>
  <c r="B11297" i="1"/>
  <c r="B11296" i="1"/>
  <c r="B11295" i="1"/>
  <c r="B11294" i="1"/>
  <c r="B11293" i="1"/>
  <c r="B11292" i="1"/>
  <c r="B11291" i="1"/>
  <c r="B11290" i="1"/>
  <c r="B11288" i="1"/>
  <c r="B11287" i="1"/>
  <c r="B11286" i="1"/>
  <c r="B11285" i="1"/>
  <c r="B11284" i="1"/>
  <c r="B11283" i="1"/>
  <c r="B11282" i="1"/>
  <c r="B11281" i="1"/>
  <c r="B11279" i="1"/>
  <c r="B11278" i="1"/>
  <c r="B11277" i="1"/>
  <c r="B11276" i="1"/>
  <c r="B11275" i="1"/>
  <c r="B11274" i="1"/>
  <c r="B11273" i="1"/>
  <c r="B11272" i="1"/>
  <c r="B11271" i="1"/>
  <c r="B11270" i="1"/>
  <c r="B11269" i="1"/>
  <c r="B11268" i="1"/>
  <c r="B11267" i="1"/>
  <c r="B11265" i="1"/>
  <c r="B11264" i="1"/>
  <c r="B11263" i="1"/>
  <c r="B11262" i="1"/>
  <c r="B11261" i="1"/>
  <c r="B11260" i="1"/>
  <c r="B11259" i="1"/>
  <c r="B11258" i="1"/>
  <c r="B11256" i="1"/>
  <c r="B11255" i="1"/>
  <c r="B11253" i="1"/>
  <c r="B11252" i="1"/>
  <c r="B11251" i="1"/>
  <c r="B11249" i="1"/>
  <c r="B11248" i="1"/>
  <c r="B11246" i="1"/>
  <c r="B11245" i="1"/>
  <c r="B11244" i="1"/>
  <c r="B11243" i="1"/>
  <c r="B11242" i="1"/>
  <c r="B11241" i="1"/>
  <c r="B11240" i="1"/>
  <c r="B11239" i="1"/>
  <c r="B11238" i="1"/>
  <c r="B11236" i="1"/>
  <c r="B11235" i="1"/>
  <c r="B11234" i="1"/>
  <c r="B11232" i="1"/>
  <c r="B11231" i="1"/>
  <c r="B11230" i="1"/>
  <c r="B11229" i="1"/>
  <c r="B11228" i="1"/>
  <c r="B11227" i="1"/>
  <c r="B11226" i="1"/>
  <c r="B11225" i="1"/>
  <c r="B11223" i="1"/>
  <c r="B11222" i="1"/>
  <c r="B11221" i="1"/>
  <c r="B11220" i="1"/>
  <c r="B11219" i="1"/>
  <c r="B11218" i="1"/>
  <c r="B11217" i="1"/>
  <c r="B11216" i="1"/>
  <c r="B11215" i="1"/>
  <c r="B11214" i="1"/>
  <c r="B11213" i="1"/>
  <c r="B11212" i="1"/>
  <c r="B11211" i="1"/>
  <c r="B11210" i="1"/>
  <c r="B11209" i="1"/>
  <c r="B11208" i="1"/>
  <c r="B11207" i="1"/>
  <c r="B11206" i="1"/>
  <c r="B11205" i="1"/>
  <c r="B11204" i="1"/>
  <c r="B11203" i="1"/>
  <c r="B11202" i="1"/>
  <c r="B11200" i="1"/>
  <c r="B11199" i="1"/>
  <c r="B11198" i="1"/>
  <c r="B11197" i="1"/>
  <c r="B11196" i="1"/>
  <c r="B11195" i="1"/>
  <c r="B11194" i="1"/>
  <c r="B11192" i="1"/>
  <c r="B11190" i="1"/>
  <c r="B11189" i="1"/>
  <c r="B11188" i="1"/>
  <c r="B11187" i="1"/>
  <c r="B11186" i="1"/>
  <c r="B11185" i="1"/>
  <c r="B11184" i="1"/>
  <c r="B11183" i="1"/>
  <c r="B11182" i="1"/>
  <c r="B11181" i="1"/>
  <c r="B11180" i="1"/>
  <c r="B11178" i="1"/>
  <c r="B11177" i="1"/>
  <c r="B11176" i="1"/>
  <c r="B11175" i="1"/>
  <c r="B11174" i="1"/>
  <c r="B11173" i="1"/>
  <c r="B11172" i="1"/>
  <c r="B11171" i="1"/>
  <c r="B11170" i="1"/>
  <c r="B11169" i="1"/>
  <c r="B11168" i="1"/>
  <c r="B11167" i="1"/>
  <c r="B11166" i="1"/>
  <c r="B11165" i="1"/>
  <c r="B11164" i="1"/>
  <c r="B11163" i="1"/>
  <c r="B11162" i="1"/>
  <c r="B11161" i="1"/>
  <c r="B11160" i="1"/>
  <c r="B11159" i="1"/>
  <c r="B11158" i="1"/>
  <c r="B11157" i="1"/>
  <c r="B11156" i="1"/>
  <c r="B11155" i="1"/>
  <c r="B11153" i="1"/>
  <c r="B11152" i="1"/>
  <c r="B11151" i="1"/>
  <c r="B11149" i="1"/>
  <c r="B11148" i="1"/>
  <c r="B11147" i="1"/>
  <c r="B11146" i="1"/>
  <c r="B11145" i="1"/>
  <c r="B11144" i="1"/>
  <c r="B11143" i="1"/>
  <c r="B11142" i="1"/>
  <c r="B11141" i="1"/>
  <c r="B11140" i="1"/>
  <c r="B11139" i="1"/>
  <c r="B11138" i="1"/>
  <c r="B11137" i="1"/>
  <c r="B11136" i="1"/>
  <c r="B11135" i="1"/>
  <c r="B11134" i="1"/>
  <c r="B11133" i="1"/>
  <c r="B11132" i="1"/>
  <c r="B11131" i="1"/>
  <c r="B11130" i="1"/>
  <c r="B11129" i="1"/>
  <c r="B11128" i="1"/>
  <c r="B11126" i="1"/>
  <c r="B11125" i="1"/>
  <c r="B11124" i="1"/>
  <c r="B11123" i="1"/>
  <c r="B11122" i="1"/>
  <c r="B11121" i="1"/>
  <c r="B11120" i="1"/>
  <c r="B11119" i="1"/>
  <c r="B11118" i="1"/>
  <c r="B11117" i="1"/>
  <c r="B11116" i="1"/>
  <c r="B11115" i="1"/>
  <c r="B11114" i="1"/>
  <c r="B11113" i="1"/>
  <c r="B11111" i="1"/>
  <c r="B11110" i="1"/>
  <c r="B11109" i="1"/>
  <c r="B11107" i="1"/>
  <c r="B11106" i="1"/>
  <c r="B11105" i="1"/>
  <c r="B11104" i="1"/>
  <c r="B11103" i="1"/>
  <c r="B11102" i="1"/>
  <c r="B11101" i="1"/>
  <c r="B11100" i="1"/>
  <c r="B11099" i="1"/>
  <c r="B11098" i="1"/>
  <c r="B11097" i="1"/>
  <c r="B11096" i="1"/>
  <c r="B11095" i="1"/>
  <c r="B11094" i="1"/>
  <c r="B11093" i="1"/>
  <c r="B11092" i="1"/>
  <c r="B11091" i="1"/>
  <c r="B11090" i="1"/>
  <c r="B11088" i="1"/>
  <c r="B11087" i="1"/>
  <c r="B11086" i="1"/>
  <c r="B11085" i="1"/>
  <c r="B11084" i="1"/>
  <c r="B11083" i="1"/>
  <c r="B11082" i="1"/>
  <c r="B11081" i="1"/>
  <c r="B11080" i="1"/>
  <c r="B11079" i="1"/>
  <c r="B11078" i="1"/>
  <c r="B11077" i="1"/>
  <c r="B11076" i="1"/>
  <c r="B11075" i="1"/>
  <c r="B11074" i="1"/>
  <c r="B11073" i="1"/>
  <c r="B11072" i="1"/>
  <c r="B11071" i="1"/>
  <c r="B11070" i="1"/>
  <c r="B11069" i="1"/>
  <c r="B11068" i="1"/>
  <c r="B11067" i="1"/>
  <c r="B11066" i="1"/>
  <c r="B11064" i="1"/>
  <c r="B11063" i="1"/>
  <c r="B11062" i="1"/>
  <c r="B11061" i="1"/>
  <c r="B11060" i="1"/>
  <c r="B11059" i="1"/>
  <c r="B11058" i="1"/>
  <c r="B11057" i="1"/>
  <c r="B11056" i="1"/>
  <c r="B11055" i="1"/>
  <c r="B11054" i="1"/>
  <c r="B11053" i="1"/>
  <c r="B11051" i="1"/>
  <c r="B11050" i="1"/>
  <c r="B11048" i="1"/>
  <c r="B11047" i="1"/>
  <c r="B11046" i="1"/>
  <c r="B11045" i="1"/>
  <c r="B11044" i="1"/>
  <c r="B11043" i="1"/>
  <c r="B11042" i="1"/>
  <c r="B11041" i="1"/>
  <c r="B11040" i="1"/>
  <c r="B11039" i="1"/>
  <c r="B11038" i="1"/>
  <c r="B11037" i="1"/>
  <c r="B11036" i="1"/>
  <c r="B11035" i="1"/>
  <c r="B11034" i="1"/>
  <c r="B11033" i="1"/>
  <c r="B11032" i="1"/>
  <c r="B11031" i="1"/>
  <c r="B11030" i="1"/>
  <c r="B11029" i="1"/>
  <c r="B11028" i="1"/>
  <c r="B11027" i="1"/>
  <c r="B11026" i="1"/>
  <c r="B11025" i="1"/>
  <c r="B11023" i="1"/>
  <c r="B11022" i="1"/>
  <c r="B11021" i="1"/>
  <c r="B11020" i="1"/>
  <c r="B11019" i="1"/>
  <c r="B11018" i="1"/>
  <c r="B11017" i="1"/>
  <c r="B11016" i="1"/>
  <c r="B11015" i="1"/>
  <c r="B11014" i="1"/>
  <c r="B11013" i="1"/>
  <c r="B11012" i="1"/>
  <c r="B11011" i="1"/>
  <c r="B11010" i="1"/>
  <c r="B11009" i="1"/>
  <c r="B11008" i="1"/>
  <c r="B11007" i="1"/>
  <c r="B11005" i="1"/>
  <c r="B11004" i="1"/>
  <c r="B11003" i="1"/>
  <c r="B11002" i="1"/>
  <c r="B11001" i="1"/>
  <c r="B11000" i="1"/>
  <c r="B10999" i="1"/>
  <c r="B10998" i="1"/>
  <c r="B10997" i="1"/>
  <c r="B10996" i="1"/>
  <c r="B10995" i="1"/>
  <c r="B10994" i="1"/>
  <c r="B10993" i="1"/>
  <c r="B10992" i="1"/>
  <c r="B10991" i="1"/>
  <c r="B10990" i="1"/>
  <c r="B10989" i="1"/>
  <c r="B10988" i="1"/>
  <c r="B10987" i="1"/>
  <c r="B10986" i="1"/>
  <c r="B10985" i="1"/>
  <c r="B10984" i="1"/>
  <c r="B10983" i="1"/>
  <c r="B10982" i="1"/>
  <c r="B10980" i="1"/>
  <c r="B10979" i="1"/>
  <c r="B10978" i="1"/>
  <c r="B10977" i="1"/>
  <c r="B10976" i="1"/>
  <c r="B10975" i="1"/>
  <c r="B10974" i="1"/>
  <c r="B10973" i="1"/>
  <c r="B10971" i="1"/>
  <c r="B10970" i="1"/>
  <c r="B10969" i="1"/>
  <c r="B10968" i="1"/>
  <c r="B10967" i="1"/>
  <c r="B10966" i="1"/>
  <c r="B10965" i="1"/>
  <c r="B10964" i="1"/>
  <c r="B10963" i="1"/>
  <c r="B10962" i="1"/>
  <c r="B10961" i="1"/>
  <c r="B10960" i="1"/>
  <c r="B10959" i="1"/>
  <c r="B10958" i="1"/>
  <c r="B10957" i="1"/>
  <c r="B10956" i="1"/>
  <c r="B10955" i="1"/>
  <c r="B10954" i="1"/>
  <c r="B10953" i="1"/>
  <c r="B10952" i="1"/>
  <c r="B10951" i="1"/>
  <c r="B10950" i="1"/>
  <c r="B10949" i="1"/>
  <c r="B10948" i="1"/>
  <c r="B10946" i="1"/>
  <c r="B10945" i="1"/>
  <c r="B10944" i="1"/>
  <c r="B10943" i="1"/>
  <c r="B10942" i="1"/>
  <c r="B10941" i="1"/>
  <c r="B10940" i="1"/>
  <c r="B10939" i="1"/>
  <c r="B10938" i="1"/>
  <c r="B10937" i="1"/>
  <c r="B10936" i="1"/>
  <c r="B10933" i="1"/>
  <c r="B10932" i="1"/>
  <c r="B10931" i="1"/>
  <c r="B10930" i="1"/>
  <c r="B10929" i="1"/>
  <c r="B10928" i="1"/>
  <c r="B10927" i="1"/>
  <c r="B10926" i="1"/>
  <c r="B10925" i="1"/>
  <c r="B10924" i="1"/>
  <c r="B10923" i="1"/>
  <c r="B10922" i="1"/>
  <c r="B10921" i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8" i="1"/>
  <c r="B10907" i="1"/>
  <c r="B10906" i="1"/>
  <c r="B10905" i="1"/>
  <c r="B10904" i="1"/>
  <c r="B10902" i="1"/>
  <c r="B10901" i="1"/>
  <c r="B10900" i="1"/>
  <c r="B10899" i="1"/>
  <c r="B10898" i="1"/>
  <c r="B10896" i="1"/>
  <c r="B10895" i="1"/>
  <c r="B10894" i="1"/>
  <c r="B10893" i="1"/>
  <c r="B10892" i="1"/>
  <c r="B10891" i="1"/>
  <c r="B10890" i="1"/>
  <c r="B10889" i="1"/>
  <c r="B10888" i="1"/>
  <c r="B10886" i="1"/>
  <c r="B10885" i="1"/>
  <c r="B10884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69" i="1"/>
  <c r="B10868" i="1"/>
  <c r="B10867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7" i="1"/>
  <c r="B10806" i="1"/>
  <c r="B10805" i="1"/>
  <c r="B10803" i="1"/>
  <c r="B10802" i="1"/>
  <c r="B10800" i="1"/>
  <c r="B10798" i="1"/>
  <c r="B10797" i="1"/>
  <c r="B10796" i="1"/>
  <c r="B10795" i="1"/>
  <c r="B10794" i="1"/>
  <c r="B10793" i="1"/>
  <c r="B10791" i="1"/>
  <c r="B10789" i="1"/>
  <c r="B10788" i="1"/>
  <c r="B10787" i="1"/>
  <c r="B10786" i="1"/>
  <c r="B10785" i="1"/>
  <c r="B10784" i="1"/>
  <c r="B10783" i="1"/>
  <c r="B10782" i="1"/>
  <c r="B10780" i="1"/>
  <c r="B10779" i="1"/>
  <c r="B10778" i="1"/>
  <c r="B10776" i="1"/>
  <c r="B10775" i="1"/>
  <c r="B10774" i="1"/>
  <c r="B10773" i="1"/>
  <c r="B10772" i="1"/>
  <c r="B10771" i="1"/>
  <c r="B10770" i="1"/>
  <c r="B10769" i="1"/>
  <c r="B10768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0" i="1"/>
  <c r="B10729" i="1"/>
  <c r="B10728" i="1"/>
  <c r="B10727" i="1"/>
  <c r="B10726" i="1"/>
  <c r="B10724" i="1"/>
  <c r="B10723" i="1"/>
  <c r="B10722" i="1"/>
  <c r="B10720" i="1"/>
  <c r="B10719" i="1"/>
  <c r="B10718" i="1"/>
  <c r="B10716" i="1"/>
  <c r="B10715" i="1"/>
  <c r="B10714" i="1"/>
  <c r="B10713" i="1"/>
  <c r="B10712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8" i="1"/>
  <c r="B10687" i="1"/>
  <c r="B10686" i="1"/>
  <c r="B10685" i="1"/>
  <c r="B10684" i="1"/>
  <c r="B10683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1" i="1"/>
  <c r="B10629" i="1"/>
  <c r="B10628" i="1"/>
  <c r="B10626" i="1"/>
  <c r="B10625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2" i="1"/>
  <c r="B10551" i="1"/>
  <c r="B10550" i="1"/>
  <c r="B10549" i="1"/>
  <c r="B10547" i="1"/>
  <c r="B10546" i="1"/>
  <c r="B10544" i="1"/>
  <c r="B10543" i="1"/>
  <c r="B10542" i="1"/>
  <c r="B10540" i="1"/>
  <c r="B10539" i="1"/>
  <c r="B10538" i="1"/>
  <c r="B10537" i="1"/>
  <c r="B10536" i="1"/>
  <c r="B10535" i="1"/>
  <c r="B10533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7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6" i="1"/>
  <c r="B10344" i="1"/>
  <c r="B10343" i="1"/>
  <c r="B10342" i="1"/>
  <c r="B10340" i="1"/>
  <c r="B10339" i="1"/>
  <c r="B10338" i="1"/>
  <c r="B10337" i="1"/>
  <c r="B10336" i="1"/>
  <c r="B10335" i="1"/>
  <c r="B10334" i="1"/>
  <c r="B10333" i="1"/>
  <c r="B10332" i="1"/>
  <c r="B10330" i="1"/>
  <c r="B10329" i="1"/>
  <c r="B10328" i="1"/>
  <c r="B10327" i="1"/>
  <c r="B10326" i="1"/>
  <c r="B10325" i="1"/>
  <c r="B10324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09" i="1"/>
  <c r="B10308" i="1"/>
  <c r="B10307" i="1"/>
  <c r="B10306" i="1"/>
  <c r="B10305" i="1"/>
  <c r="B10304" i="1"/>
  <c r="B10302" i="1"/>
  <c r="B10301" i="1"/>
  <c r="B10300" i="1"/>
  <c r="B10299" i="1"/>
  <c r="B10298" i="1"/>
  <c r="B10297" i="1"/>
  <c r="B10295" i="1"/>
  <c r="B10294" i="1"/>
  <c r="B10292" i="1"/>
  <c r="B10291" i="1"/>
  <c r="B10289" i="1"/>
  <c r="B10288" i="1"/>
  <c r="B10287" i="1"/>
  <c r="B10286" i="1"/>
  <c r="B10285" i="1"/>
  <c r="B10283" i="1"/>
  <c r="B10282" i="1"/>
  <c r="B10280" i="1"/>
  <c r="B10279" i="1"/>
  <c r="B10278" i="1"/>
  <c r="B10277" i="1"/>
  <c r="B10275" i="1"/>
  <c r="B10274" i="1"/>
  <c r="B10273" i="1"/>
  <c r="B10272" i="1"/>
  <c r="B10271" i="1"/>
  <c r="B10270" i="1"/>
  <c r="B10268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7" i="1"/>
  <c r="B10246" i="1"/>
  <c r="B10245" i="1"/>
  <c r="B10244" i="1"/>
  <c r="B10243" i="1"/>
  <c r="B10241" i="1"/>
  <c r="B10240" i="1"/>
  <c r="B10239" i="1"/>
  <c r="B10238" i="1"/>
  <c r="B10236" i="1"/>
  <c r="B10235" i="1"/>
  <c r="B10234" i="1"/>
  <c r="B10233" i="1"/>
  <c r="B10231" i="1"/>
  <c r="B10229" i="1"/>
  <c r="B10228" i="1"/>
  <c r="B10227" i="1"/>
  <c r="B10226" i="1"/>
  <c r="B10225" i="1"/>
  <c r="B10223" i="1"/>
  <c r="B10221" i="1"/>
  <c r="B10220" i="1"/>
  <c r="B10218" i="1"/>
  <c r="B10217" i="1"/>
  <c r="B10216" i="1"/>
  <c r="B10215" i="1"/>
  <c r="B10214" i="1"/>
  <c r="B10212" i="1"/>
  <c r="B10211" i="1"/>
  <c r="B10210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5" i="1"/>
  <c r="B10194" i="1"/>
  <c r="B10193" i="1"/>
  <c r="B10192" i="1"/>
  <c r="B10191" i="1"/>
  <c r="B10189" i="1"/>
  <c r="B10188" i="1"/>
  <c r="B10187" i="1"/>
  <c r="B10186" i="1"/>
  <c r="B10184" i="1"/>
  <c r="B10182" i="1"/>
  <c r="B10180" i="1"/>
  <c r="B10179" i="1"/>
  <c r="B10177" i="1"/>
  <c r="B10176" i="1"/>
  <c r="B10175" i="1"/>
  <c r="B10174" i="1"/>
  <c r="B10173" i="1"/>
  <c r="B10172" i="1"/>
  <c r="B10171" i="1"/>
  <c r="B10170" i="1"/>
  <c r="B10169" i="1"/>
  <c r="B10167" i="1"/>
  <c r="B10166" i="1"/>
  <c r="B10164" i="1"/>
  <c r="B10163" i="1"/>
  <c r="B10162" i="1"/>
  <c r="B10160" i="1"/>
  <c r="B10159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7" i="1"/>
  <c r="B10126" i="1"/>
  <c r="B10125" i="1"/>
  <c r="B10123" i="1"/>
  <c r="B10122" i="1"/>
  <c r="B10121" i="1"/>
  <c r="B10120" i="1"/>
  <c r="B10119" i="1"/>
  <c r="B10118" i="1"/>
  <c r="B10117" i="1"/>
  <c r="B10115" i="1"/>
  <c r="B10114" i="1"/>
  <c r="B10113" i="1"/>
  <c r="B10112" i="1"/>
  <c r="B10111" i="1"/>
  <c r="B10109" i="1"/>
  <c r="B10108" i="1"/>
  <c r="B10106" i="1"/>
  <c r="B10105" i="1"/>
  <c r="B10104" i="1"/>
  <c r="B10103" i="1"/>
  <c r="B10102" i="1"/>
  <c r="B10100" i="1"/>
  <c r="B10099" i="1"/>
  <c r="B10098" i="1"/>
  <c r="B10097" i="1"/>
  <c r="B10096" i="1"/>
  <c r="B10095" i="1"/>
  <c r="B10094" i="1"/>
  <c r="B10093" i="1"/>
  <c r="B10092" i="1"/>
  <c r="B10091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1" i="1"/>
  <c r="B10050" i="1"/>
  <c r="B10049" i="1"/>
  <c r="B10047" i="1"/>
  <c r="B10046" i="1"/>
  <c r="B10045" i="1"/>
  <c r="B10044" i="1"/>
  <c r="B10043" i="1"/>
  <c r="B10041" i="1"/>
  <c r="B10040" i="1"/>
  <c r="B10039" i="1"/>
  <c r="B10038" i="1"/>
  <c r="B10037" i="1"/>
  <c r="B10036" i="1"/>
  <c r="B10035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0" i="1"/>
  <c r="B10019" i="1"/>
  <c r="B10018" i="1"/>
  <c r="B10017" i="1"/>
  <c r="B10016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9999" i="1"/>
  <c r="B9998" i="1"/>
  <c r="B9997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0" i="1"/>
  <c r="B9969" i="1"/>
  <c r="B9968" i="1"/>
  <c r="B9966" i="1"/>
  <c r="B9965" i="1"/>
  <c r="B9964" i="1"/>
  <c r="B9963" i="1"/>
  <c r="B9962" i="1"/>
  <c r="B9961" i="1"/>
  <c r="B9959" i="1"/>
  <c r="B9958" i="1"/>
  <c r="B9957" i="1"/>
  <c r="B9956" i="1"/>
  <c r="B9955" i="1"/>
  <c r="B9954" i="1"/>
  <c r="B9953" i="1"/>
  <c r="B9952" i="1"/>
  <c r="B9950" i="1"/>
  <c r="B9949" i="1"/>
  <c r="B9948" i="1"/>
  <c r="B9946" i="1"/>
  <c r="B9945" i="1"/>
  <c r="B9944" i="1"/>
  <c r="B9943" i="1"/>
  <c r="B9942" i="1"/>
  <c r="B9941" i="1"/>
  <c r="B9940" i="1"/>
  <c r="B9939" i="1"/>
  <c r="B9937" i="1"/>
  <c r="B9936" i="1"/>
  <c r="B9935" i="1"/>
  <c r="B9934" i="1"/>
  <c r="B9933" i="1"/>
  <c r="B9932" i="1"/>
  <c r="B9931" i="1"/>
  <c r="B9930" i="1"/>
  <c r="B9929" i="1"/>
  <c r="B9927" i="1"/>
  <c r="B9926" i="1"/>
  <c r="B9925" i="1"/>
  <c r="B9924" i="1"/>
  <c r="B9923" i="1"/>
  <c r="B9922" i="1"/>
  <c r="B9921" i="1"/>
  <c r="B9920" i="1"/>
  <c r="B9918" i="1"/>
  <c r="B9917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899" i="1"/>
  <c r="B9898" i="1"/>
  <c r="B9897" i="1"/>
  <c r="B9896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0" i="1"/>
  <c r="B9739" i="1"/>
  <c r="B9738" i="1"/>
  <c r="B9737" i="1"/>
  <c r="B9736" i="1"/>
  <c r="B9735" i="1"/>
  <c r="B9734" i="1"/>
  <c r="B9733" i="1"/>
  <c r="B9732" i="1"/>
  <c r="B9731" i="1"/>
  <c r="B9730" i="1"/>
  <c r="B9728" i="1"/>
  <c r="B9727" i="1"/>
  <c r="B9726" i="1"/>
  <c r="B9725" i="1"/>
  <c r="B9724" i="1"/>
  <c r="B9723" i="1"/>
  <c r="B9722" i="1"/>
  <c r="B9721" i="1"/>
  <c r="B9720" i="1"/>
  <c r="B9719" i="1"/>
  <c r="B9717" i="1"/>
  <c r="B9716" i="1"/>
  <c r="B9715" i="1"/>
  <c r="B9714" i="1"/>
  <c r="B9713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6" i="1"/>
  <c r="B9685" i="1"/>
  <c r="B9684" i="1"/>
  <c r="B9683" i="1"/>
  <c r="B9681" i="1"/>
  <c r="B9680" i="1"/>
  <c r="B9679" i="1"/>
  <c r="B9678" i="1"/>
  <c r="B9677" i="1"/>
  <c r="B9676" i="1"/>
  <c r="B9674" i="1"/>
  <c r="B9673" i="1"/>
  <c r="B9672" i="1"/>
  <c r="B9671" i="1"/>
  <c r="B9670" i="1"/>
  <c r="B9669" i="1"/>
  <c r="B9668" i="1"/>
  <c r="B9667" i="1"/>
  <c r="B9665" i="1"/>
  <c r="B9664" i="1"/>
  <c r="B9663" i="1"/>
  <c r="B9662" i="1"/>
  <c r="B9661" i="1"/>
  <c r="B9660" i="1"/>
  <c r="B9659" i="1"/>
  <c r="B9658" i="1"/>
  <c r="B9657" i="1"/>
  <c r="B9656" i="1"/>
  <c r="B9654" i="1"/>
  <c r="B9653" i="1"/>
  <c r="B9652" i="1"/>
  <c r="B9651" i="1"/>
  <c r="B9650" i="1"/>
  <c r="B9649" i="1"/>
  <c r="B9648" i="1"/>
  <c r="B9647" i="1"/>
  <c r="B9645" i="1"/>
  <c r="B9644" i="1"/>
  <c r="B9643" i="1"/>
  <c r="B9642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2" i="1"/>
  <c r="B9591" i="1"/>
  <c r="B9590" i="1"/>
  <c r="B9589" i="1"/>
  <c r="B9588" i="1"/>
  <c r="B9586" i="1"/>
  <c r="B9585" i="1"/>
  <c r="B9583" i="1"/>
  <c r="B9582" i="1"/>
  <c r="B9581" i="1"/>
  <c r="B9580" i="1"/>
  <c r="B9579" i="1"/>
  <c r="B9578" i="1"/>
  <c r="B9576" i="1"/>
  <c r="B9575" i="1"/>
  <c r="B9574" i="1"/>
  <c r="B9573" i="1"/>
  <c r="B9571" i="1"/>
  <c r="B9570" i="1"/>
  <c r="B9569" i="1"/>
  <c r="B9568" i="1"/>
  <c r="B9567" i="1"/>
  <c r="B9566" i="1"/>
  <c r="B9565" i="1"/>
  <c r="B9563" i="1"/>
  <c r="B9562" i="1"/>
  <c r="B9560" i="1"/>
  <c r="B9559" i="1"/>
  <c r="B9558" i="1"/>
  <c r="B9557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2" i="1"/>
  <c r="B9520" i="1"/>
  <c r="B9519" i="1"/>
  <c r="B9518" i="1"/>
  <c r="B9516" i="1"/>
  <c r="B9514" i="1"/>
  <c r="B9513" i="1"/>
  <c r="B9512" i="1"/>
  <c r="B9511" i="1"/>
  <c r="B9510" i="1"/>
  <c r="B9509" i="1"/>
  <c r="B9508" i="1"/>
  <c r="B9507" i="1"/>
  <c r="B9506" i="1"/>
  <c r="B9504" i="1"/>
  <c r="B9503" i="1"/>
  <c r="B9502" i="1"/>
  <c r="B9501" i="1"/>
  <c r="B9499" i="1"/>
  <c r="B9498" i="1"/>
  <c r="B9497" i="1"/>
  <c r="B9496" i="1"/>
  <c r="B9494" i="1"/>
  <c r="B9493" i="1"/>
  <c r="B9492" i="1"/>
  <c r="B9491" i="1"/>
  <c r="B9490" i="1"/>
  <c r="B9489" i="1"/>
  <c r="B9488" i="1"/>
  <c r="B9486" i="1"/>
  <c r="B9485" i="1"/>
  <c r="B9484" i="1"/>
  <c r="B9482" i="1"/>
  <c r="B9481" i="1"/>
  <c r="B9480" i="1"/>
  <c r="B9479" i="1"/>
  <c r="B9478" i="1"/>
  <c r="B9477" i="1"/>
  <c r="B9476" i="1"/>
  <c r="B9475" i="1"/>
  <c r="B9474" i="1"/>
  <c r="B9473" i="1"/>
  <c r="B9471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19" i="1"/>
  <c r="B9418" i="1"/>
  <c r="B9417" i="1"/>
  <c r="B9416" i="1"/>
  <c r="B9415" i="1"/>
  <c r="B9414" i="1"/>
  <c r="B9413" i="1"/>
  <c r="B9412" i="1"/>
  <c r="B9411" i="1"/>
  <c r="B9410" i="1"/>
  <c r="B9409" i="1"/>
  <c r="B9407" i="1"/>
  <c r="B9406" i="1"/>
  <c r="B9405" i="1"/>
  <c r="B9404" i="1"/>
  <c r="B9403" i="1"/>
  <c r="B9402" i="1"/>
  <c r="B9401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1" i="1"/>
  <c r="B9380" i="1"/>
  <c r="B9379" i="1"/>
  <c r="B9378" i="1"/>
  <c r="B9377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3" i="1"/>
  <c r="B9352" i="1"/>
  <c r="B9351" i="1"/>
  <c r="B9350" i="1"/>
  <c r="B9349" i="1"/>
  <c r="B9348" i="1"/>
  <c r="B9347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0" i="1"/>
  <c r="B9319" i="1"/>
  <c r="B9318" i="1"/>
  <c r="B9317" i="1"/>
  <c r="B9316" i="1"/>
  <c r="B9315" i="1"/>
  <c r="B9314" i="1"/>
  <c r="B9313" i="1"/>
  <c r="B9311" i="1"/>
  <c r="B9310" i="1"/>
  <c r="B9309" i="1"/>
  <c r="B9308" i="1"/>
  <c r="B9307" i="1"/>
  <c r="B9306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6" i="1"/>
  <c r="B9274" i="1"/>
  <c r="B9273" i="1"/>
  <c r="B9271" i="1"/>
  <c r="B9270" i="1"/>
  <c r="B9269" i="1"/>
  <c r="B9267" i="1"/>
  <c r="B9266" i="1"/>
  <c r="B9265" i="1"/>
  <c r="B9264" i="1"/>
  <c r="B9263" i="1"/>
  <c r="B9262" i="1"/>
  <c r="B9260" i="1"/>
  <c r="B9259" i="1"/>
  <c r="B9257" i="1"/>
  <c r="B9256" i="1"/>
  <c r="B9255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0" i="1"/>
  <c r="B9239" i="1"/>
  <c r="B9238" i="1"/>
  <c r="B9237" i="1"/>
  <c r="B9236" i="1"/>
  <c r="B9235" i="1"/>
  <c r="B9234" i="1"/>
  <c r="B9232" i="1"/>
  <c r="B9231" i="1"/>
  <c r="B9230" i="1"/>
  <c r="B9229" i="1"/>
  <c r="B9228" i="1"/>
  <c r="B9227" i="1"/>
  <c r="B9226" i="1"/>
  <c r="B9225" i="1"/>
  <c r="B9224" i="1"/>
  <c r="B9222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59" i="1"/>
  <c r="B9158" i="1"/>
  <c r="B9157" i="1"/>
  <c r="B9156" i="1"/>
  <c r="B9155" i="1"/>
  <c r="B9154" i="1"/>
  <c r="B9152" i="1"/>
  <c r="B9151" i="1"/>
  <c r="B9150" i="1"/>
  <c r="B9149" i="1"/>
  <c r="B9148" i="1"/>
  <c r="B9147" i="1"/>
  <c r="B9146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19" i="1"/>
  <c r="B9118" i="1"/>
  <c r="B9117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59" i="1"/>
  <c r="B9058" i="1"/>
  <c r="B9057" i="1"/>
  <c r="B9056" i="1"/>
  <c r="B9055" i="1"/>
  <c r="B9054" i="1"/>
  <c r="B9052" i="1"/>
  <c r="B9051" i="1"/>
  <c r="B9050" i="1"/>
  <c r="B9049" i="1"/>
  <c r="B9048" i="1"/>
  <c r="B9046" i="1"/>
  <c r="B9045" i="1"/>
  <c r="B9044" i="1"/>
  <c r="B9043" i="1"/>
  <c r="B9042" i="1"/>
  <c r="B9040" i="1"/>
  <c r="B9039" i="1"/>
  <c r="B9038" i="1"/>
  <c r="B9037" i="1"/>
  <c r="B9036" i="1"/>
  <c r="B9035" i="1"/>
  <c r="B9034" i="1"/>
  <c r="B9033" i="1"/>
  <c r="B9032" i="1"/>
  <c r="B9031" i="1"/>
  <c r="B9030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5" i="1"/>
  <c r="B9014" i="1"/>
  <c r="B9013" i="1"/>
  <c r="B9012" i="1"/>
  <c r="B9011" i="1"/>
  <c r="B9010" i="1"/>
  <c r="B9009" i="1"/>
  <c r="B9008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1" i="1"/>
  <c r="B8980" i="1"/>
  <c r="B8979" i="1"/>
  <c r="B8978" i="1"/>
  <c r="B8977" i="1"/>
  <c r="B8976" i="1"/>
  <c r="B8975" i="1"/>
  <c r="B8974" i="1"/>
  <c r="B8973" i="1"/>
  <c r="B8972" i="1"/>
  <c r="B8971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4" i="1"/>
  <c r="B8943" i="1"/>
  <c r="B8941" i="1"/>
  <c r="B8940" i="1"/>
  <c r="B8939" i="1"/>
  <c r="B8938" i="1"/>
  <c r="B8937" i="1"/>
  <c r="B8936" i="1"/>
  <c r="B8935" i="1"/>
  <c r="B8934" i="1"/>
  <c r="B8933" i="1"/>
  <c r="B8932" i="1"/>
  <c r="B8931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2" i="1"/>
  <c r="B8891" i="1"/>
  <c r="B8890" i="1"/>
  <c r="B8889" i="1"/>
  <c r="B8888" i="1"/>
  <c r="B8887" i="1"/>
  <c r="B8886" i="1"/>
  <c r="B8885" i="1"/>
  <c r="B8884" i="1"/>
  <c r="B8883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8" i="1"/>
  <c r="B8847" i="1"/>
  <c r="B8846" i="1"/>
  <c r="B8845" i="1"/>
  <c r="B8844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5" i="1"/>
  <c r="B8734" i="1"/>
  <c r="B8732" i="1"/>
  <c r="B8730" i="1"/>
  <c r="B8729" i="1"/>
  <c r="B8728" i="1"/>
  <c r="B8727" i="1"/>
  <c r="B8726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0" i="1"/>
  <c r="B8689" i="1"/>
  <c r="B8688" i="1"/>
  <c r="B8687" i="1"/>
  <c r="B8686" i="1"/>
  <c r="B8685" i="1"/>
  <c r="B8684" i="1"/>
  <c r="B8683" i="1"/>
  <c r="B8682" i="1"/>
  <c r="B8681" i="1"/>
  <c r="B8679" i="1"/>
  <c r="B8678" i="1"/>
  <c r="B8677" i="1"/>
  <c r="B8676" i="1"/>
  <c r="B8675" i="1"/>
  <c r="B8674" i="1"/>
  <c r="B8673" i="1"/>
  <c r="B8672" i="1"/>
  <c r="B8670" i="1"/>
  <c r="B8669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0" i="1"/>
  <c r="B8649" i="1"/>
  <c r="B8648" i="1"/>
  <c r="B8647" i="1"/>
  <c r="B8646" i="1"/>
  <c r="B8645" i="1"/>
  <c r="B8644" i="1"/>
  <c r="B8643" i="1"/>
  <c r="B8642" i="1"/>
  <c r="B8641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6" i="1"/>
  <c r="B8625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2" i="1"/>
  <c r="B8601" i="1"/>
  <c r="B8600" i="1"/>
  <c r="B8599" i="1"/>
  <c r="B8598" i="1"/>
  <c r="B8597" i="1"/>
  <c r="B8596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8" i="1"/>
  <c r="B8577" i="1"/>
  <c r="B8576" i="1"/>
  <c r="B8575" i="1"/>
  <c r="B8574" i="1"/>
  <c r="B8573" i="1"/>
  <c r="B8572" i="1"/>
  <c r="B8571" i="1"/>
  <c r="B8570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0" i="1"/>
  <c r="B8519" i="1"/>
  <c r="B8518" i="1"/>
  <c r="B8517" i="1"/>
  <c r="B8515" i="1"/>
  <c r="B8514" i="1"/>
  <c r="B8513" i="1"/>
  <c r="B8512" i="1"/>
  <c r="B8511" i="1"/>
  <c r="B8510" i="1"/>
  <c r="B8509" i="1"/>
  <c r="B8508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1" i="1"/>
  <c r="B8480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7" i="1"/>
  <c r="B8456" i="1"/>
  <c r="B8455" i="1"/>
  <c r="B8454" i="1"/>
  <c r="B8453" i="1"/>
  <c r="B8452" i="1"/>
  <c r="B8451" i="1"/>
  <c r="B8449" i="1"/>
  <c r="B8448" i="1"/>
  <c r="B8447" i="1"/>
  <c r="B8446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0" i="1"/>
  <c r="B8379" i="1"/>
  <c r="B8378" i="1"/>
  <c r="B8377" i="1"/>
  <c r="B8376" i="1"/>
  <c r="B8375" i="1"/>
  <c r="B8373" i="1"/>
  <c r="B8372" i="1"/>
  <c r="B8370" i="1"/>
  <c r="B8369" i="1"/>
  <c r="B8367" i="1"/>
  <c r="B8366" i="1"/>
  <c r="B8365" i="1"/>
  <c r="B8364" i="1"/>
  <c r="B8363" i="1"/>
  <c r="B8362" i="1"/>
  <c r="B8360" i="1"/>
  <c r="B8359" i="1"/>
  <c r="B8358" i="1"/>
  <c r="B8356" i="1"/>
  <c r="B8355" i="1"/>
  <c r="B8354" i="1"/>
  <c r="B8353" i="1"/>
  <c r="B8352" i="1"/>
  <c r="B8351" i="1"/>
  <c r="B8350" i="1"/>
  <c r="B8349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0" i="1"/>
  <c r="B8328" i="1"/>
  <c r="B8327" i="1"/>
  <c r="B8325" i="1"/>
  <c r="B8323" i="1"/>
  <c r="B8322" i="1"/>
  <c r="B8320" i="1"/>
  <c r="B8319" i="1"/>
  <c r="B8318" i="1"/>
  <c r="B8317" i="1"/>
  <c r="B8316" i="1"/>
  <c r="B8315" i="1"/>
  <c r="B8314" i="1"/>
  <c r="B8312" i="1"/>
  <c r="B8311" i="1"/>
  <c r="B8310" i="1"/>
  <c r="B8308" i="1"/>
  <c r="B8307" i="1"/>
  <c r="B8306" i="1"/>
  <c r="B8304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8" i="1"/>
  <c r="B8276" i="1"/>
  <c r="B8275" i="1"/>
  <c r="B8274" i="1"/>
  <c r="B8273" i="1"/>
  <c r="B8272" i="1"/>
  <c r="B8271" i="1"/>
  <c r="B8269" i="1"/>
  <c r="B8268" i="1"/>
  <c r="B8267" i="1"/>
  <c r="B8266" i="1"/>
  <c r="B8265" i="1"/>
  <c r="B8264" i="1"/>
  <c r="B8263" i="1"/>
  <c r="B8262" i="1"/>
  <c r="B8261" i="1"/>
  <c r="B8259" i="1"/>
  <c r="B8258" i="1"/>
  <c r="B8257" i="1"/>
  <c r="B8256" i="1"/>
  <c r="B8254" i="1"/>
  <c r="B8253" i="1"/>
  <c r="B8251" i="1"/>
  <c r="B8250" i="1"/>
  <c r="B8249" i="1"/>
  <c r="B8247" i="1"/>
  <c r="B8246" i="1"/>
  <c r="B8245" i="1"/>
  <c r="B8244" i="1"/>
  <c r="B8243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0" i="1"/>
  <c r="B8219" i="1"/>
  <c r="B8218" i="1"/>
  <c r="B8217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7" i="1"/>
  <c r="B8166" i="1"/>
  <c r="B8165" i="1"/>
  <c r="B8164" i="1"/>
  <c r="B8163" i="1"/>
  <c r="B8162" i="1"/>
  <c r="B8161" i="1"/>
  <c r="B8160" i="1"/>
  <c r="B8159" i="1"/>
  <c r="B8158" i="1"/>
  <c r="B8157" i="1"/>
  <c r="B8155" i="1"/>
  <c r="B8154" i="1"/>
  <c r="B8152" i="1"/>
  <c r="B8151" i="1"/>
  <c r="B8150" i="1"/>
  <c r="B8148" i="1"/>
  <c r="B8147" i="1"/>
  <c r="B8145" i="1"/>
  <c r="B8143" i="1"/>
  <c r="B8141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5" i="1"/>
  <c r="B8123" i="1"/>
  <c r="B8121" i="1"/>
  <c r="B8120" i="1"/>
  <c r="B8119" i="1"/>
  <c r="B8117" i="1"/>
  <c r="B8116" i="1"/>
  <c r="B8115" i="1"/>
  <c r="B8114" i="1"/>
  <c r="B8113" i="1"/>
  <c r="B8111" i="1"/>
  <c r="B8110" i="1"/>
  <c r="B8109" i="1"/>
  <c r="B8108" i="1"/>
  <c r="B8106" i="1"/>
  <c r="B8104" i="1"/>
  <c r="B8102" i="1"/>
  <c r="B8100" i="1"/>
  <c r="B8099" i="1"/>
  <c r="B8098" i="1"/>
  <c r="B8096" i="1"/>
  <c r="B8095" i="1"/>
  <c r="B8094" i="1"/>
  <c r="B8092" i="1"/>
  <c r="B8091" i="1"/>
  <c r="B8090" i="1"/>
  <c r="B8089" i="1"/>
  <c r="B8087" i="1"/>
  <c r="B8086" i="1"/>
  <c r="B8085" i="1"/>
  <c r="B8084" i="1"/>
  <c r="B8082" i="1"/>
  <c r="B8081" i="1"/>
  <c r="B8080" i="1"/>
  <c r="B8079" i="1"/>
  <c r="B8078" i="1"/>
  <c r="B8077" i="1"/>
  <c r="B8075" i="1"/>
  <c r="B8074" i="1"/>
  <c r="B8073" i="1"/>
  <c r="B8072" i="1"/>
  <c r="B8071" i="1"/>
  <c r="B8070" i="1"/>
  <c r="B8069" i="1"/>
  <c r="B8068" i="1"/>
  <c r="B8067" i="1"/>
  <c r="B8065" i="1"/>
  <c r="B8063" i="1"/>
  <c r="B8061" i="1"/>
  <c r="B8059" i="1"/>
  <c r="B8058" i="1"/>
  <c r="B8056" i="1"/>
  <c r="B8055" i="1"/>
  <c r="B8053" i="1"/>
  <c r="B8052" i="1"/>
  <c r="B8051" i="1"/>
  <c r="B8049" i="1"/>
  <c r="B8048" i="1"/>
  <c r="B8046" i="1"/>
  <c r="B8045" i="1"/>
  <c r="B8043" i="1"/>
  <c r="B8042" i="1"/>
  <c r="B8041" i="1"/>
  <c r="B8040" i="1"/>
  <c r="B8038" i="1"/>
  <c r="B8037" i="1"/>
  <c r="B8036" i="1"/>
  <c r="B8035" i="1"/>
  <c r="B8034" i="1"/>
  <c r="B8033" i="1"/>
  <c r="B8031" i="1"/>
  <c r="B8030" i="1"/>
  <c r="B8029" i="1"/>
  <c r="B8028" i="1"/>
  <c r="B8027" i="1"/>
  <c r="B8026" i="1"/>
  <c r="B8025" i="1"/>
  <c r="B8024" i="1"/>
  <c r="B8023" i="1"/>
  <c r="B8021" i="1"/>
  <c r="B8019" i="1"/>
  <c r="B8018" i="1"/>
  <c r="B8017" i="1"/>
  <c r="B8016" i="1"/>
  <c r="B8015" i="1"/>
  <c r="B8014" i="1"/>
  <c r="B8012" i="1"/>
  <c r="B8011" i="1"/>
  <c r="B8010" i="1"/>
  <c r="B8009" i="1"/>
  <c r="B8008" i="1"/>
  <c r="B8007" i="1"/>
  <c r="B8005" i="1"/>
  <c r="B8004" i="1"/>
  <c r="B8003" i="1"/>
  <c r="B8002" i="1"/>
  <c r="B8000" i="1"/>
  <c r="B7999" i="1"/>
  <c r="B7998" i="1"/>
  <c r="B7997" i="1"/>
  <c r="B7995" i="1"/>
  <c r="B7994" i="1"/>
  <c r="B7992" i="1"/>
  <c r="B7991" i="1"/>
  <c r="B7989" i="1"/>
  <c r="B7988" i="1"/>
  <c r="B7987" i="1"/>
  <c r="B7986" i="1"/>
  <c r="B7985" i="1"/>
  <c r="B7984" i="1"/>
  <c r="B7982" i="1"/>
  <c r="B7981" i="1"/>
  <c r="B7980" i="1"/>
  <c r="B7979" i="1"/>
  <c r="B7978" i="1"/>
  <c r="B7977" i="1"/>
  <c r="B7975" i="1"/>
  <c r="B7974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5" i="1"/>
  <c r="B7924" i="1"/>
  <c r="B7923" i="1"/>
  <c r="B7922" i="1"/>
  <c r="B7920" i="1"/>
  <c r="B7919" i="1"/>
  <c r="B7918" i="1"/>
  <c r="B7916" i="1"/>
  <c r="B7915" i="1"/>
  <c r="B7914" i="1"/>
  <c r="B7913" i="1"/>
  <c r="B7912" i="1"/>
  <c r="B7911" i="1"/>
  <c r="B7910" i="1"/>
  <c r="B7909" i="1"/>
  <c r="B7908" i="1"/>
  <c r="B7907" i="1"/>
  <c r="B7906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89" i="1"/>
  <c r="B7887" i="1"/>
  <c r="B7886" i="1"/>
  <c r="B7885" i="1"/>
  <c r="B7884" i="1"/>
  <c r="B7882" i="1"/>
  <c r="B7881" i="1"/>
  <c r="B7880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5" i="1"/>
  <c r="B7843" i="1"/>
  <c r="B7842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4" i="1"/>
  <c r="B7793" i="1"/>
  <c r="B7792" i="1"/>
  <c r="B7791" i="1"/>
  <c r="B7790" i="1"/>
  <c r="B7788" i="1"/>
  <c r="B7787" i="1"/>
  <c r="B7786" i="1"/>
  <c r="B7785" i="1"/>
  <c r="B7784" i="1"/>
  <c r="B7783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8" i="1"/>
  <c r="B7767" i="1"/>
  <c r="B7766" i="1"/>
  <c r="B7765" i="1"/>
  <c r="B7764" i="1"/>
  <c r="B7763" i="1"/>
  <c r="B7762" i="1"/>
  <c r="B7761" i="1"/>
  <c r="B7760" i="1"/>
  <c r="B7759" i="1"/>
  <c r="B7757" i="1"/>
  <c r="B7756" i="1"/>
  <c r="B7755" i="1"/>
  <c r="B7754" i="1"/>
  <c r="B7753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5" i="1"/>
  <c r="B7704" i="1"/>
  <c r="B7703" i="1"/>
  <c r="B7702" i="1"/>
  <c r="B7701" i="1"/>
  <c r="B7700" i="1"/>
  <c r="B7699" i="1"/>
  <c r="B7698" i="1"/>
  <c r="B7697" i="1"/>
  <c r="B7696" i="1"/>
  <c r="B7695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5" i="1"/>
  <c r="B7673" i="1"/>
  <c r="B7671" i="1"/>
  <c r="B7670" i="1"/>
  <c r="B7669" i="1"/>
  <c r="B7668" i="1"/>
  <c r="B7667" i="1"/>
  <c r="B7666" i="1"/>
  <c r="B7665" i="1"/>
  <c r="B7664" i="1"/>
  <c r="B7663" i="1"/>
  <c r="B7662" i="1"/>
  <c r="B7661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1" i="1"/>
  <c r="B7640" i="1"/>
  <c r="B7639" i="1"/>
  <c r="B7638" i="1"/>
  <c r="B7637" i="1"/>
  <c r="B7636" i="1"/>
  <c r="B7635" i="1"/>
  <c r="B7634" i="1"/>
  <c r="B7633" i="1"/>
  <c r="B7631" i="1"/>
  <c r="B7630" i="1"/>
  <c r="B7629" i="1"/>
  <c r="B7628" i="1"/>
  <c r="B7627" i="1"/>
  <c r="B7626" i="1"/>
  <c r="B7625" i="1"/>
  <c r="B7624" i="1"/>
  <c r="B7623" i="1"/>
  <c r="B7622" i="1"/>
  <c r="B7620" i="1"/>
  <c r="B7619" i="1"/>
  <c r="B7618" i="1"/>
  <c r="B7617" i="1"/>
  <c r="B7615" i="1"/>
  <c r="B7614" i="1"/>
  <c r="B7613" i="1"/>
  <c r="B7612" i="1"/>
  <c r="B7610" i="1"/>
  <c r="B7609" i="1"/>
  <c r="B7608" i="1"/>
  <c r="B7606" i="1"/>
  <c r="B7605" i="1"/>
  <c r="B7604" i="1"/>
  <c r="B7602" i="1"/>
  <c r="B7601" i="1"/>
  <c r="B7599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79" i="1"/>
  <c r="B7578" i="1"/>
  <c r="B7576" i="1"/>
  <c r="B7575" i="1"/>
  <c r="B7574" i="1"/>
  <c r="B7572" i="1"/>
  <c r="B7571" i="1"/>
  <c r="B7570" i="1"/>
  <c r="B7569" i="1"/>
  <c r="B7568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1" i="1"/>
  <c r="B7530" i="1"/>
  <c r="B7529" i="1"/>
  <c r="B7528" i="1"/>
  <c r="B7527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0" i="1"/>
  <c r="B7499" i="1"/>
  <c r="B7498" i="1"/>
  <c r="B7497" i="1"/>
  <c r="B7496" i="1"/>
  <c r="B7495" i="1"/>
  <c r="B7494" i="1"/>
  <c r="B7493" i="1"/>
  <c r="B7492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0" i="1"/>
  <c r="B7469" i="1"/>
  <c r="B7468" i="1"/>
  <c r="B7466" i="1"/>
  <c r="B7465" i="1"/>
  <c r="B7464" i="1"/>
  <c r="B7463" i="1"/>
  <c r="B7462" i="1"/>
  <c r="B7461" i="1"/>
  <c r="B7460" i="1"/>
  <c r="B7458" i="1"/>
  <c r="B7457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7" i="1"/>
  <c r="B7416" i="1"/>
  <c r="B7415" i="1"/>
  <c r="B7414" i="1"/>
  <c r="B7413" i="1"/>
  <c r="B7412" i="1"/>
  <c r="B7411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59" i="1"/>
  <c r="B7358" i="1"/>
  <c r="B7357" i="1"/>
  <c r="B7356" i="1"/>
  <c r="B7355" i="1"/>
  <c r="B7353" i="1"/>
  <c r="B7352" i="1"/>
  <c r="B7351" i="1"/>
  <c r="B7350" i="1"/>
  <c r="B7349" i="1"/>
  <c r="B7348" i="1"/>
  <c r="B7347" i="1"/>
  <c r="B7345" i="1"/>
  <c r="B7344" i="1"/>
  <c r="B7343" i="1"/>
  <c r="B7342" i="1"/>
  <c r="B7340" i="1"/>
  <c r="B7339" i="1"/>
  <c r="B7338" i="1"/>
  <c r="B7337" i="1"/>
  <c r="B7336" i="1"/>
  <c r="B7335" i="1"/>
  <c r="B7334" i="1"/>
  <c r="B7333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5" i="1"/>
  <c r="B7264" i="1"/>
  <c r="B7263" i="1"/>
  <c r="B7262" i="1"/>
  <c r="B7261" i="1"/>
  <c r="B7260" i="1"/>
  <c r="B7259" i="1"/>
  <c r="B7258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8" i="1"/>
  <c r="B7147" i="1"/>
  <c r="B7145" i="1"/>
  <c r="B7144" i="1"/>
  <c r="B7142" i="1"/>
  <c r="B7141" i="1"/>
  <c r="B7140" i="1"/>
  <c r="B7139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5" i="1"/>
  <c r="B7114" i="1"/>
  <c r="B7113" i="1"/>
  <c r="B7112" i="1"/>
  <c r="B7110" i="1"/>
  <c r="B7109" i="1"/>
  <c r="B7108" i="1"/>
  <c r="B7107" i="1"/>
  <c r="B7105" i="1"/>
  <c r="B7104" i="1"/>
  <c r="B7103" i="1"/>
  <c r="B7102" i="1"/>
  <c r="B7101" i="1"/>
  <c r="B7100" i="1"/>
  <c r="B7099" i="1"/>
  <c r="B7097" i="1"/>
  <c r="B7096" i="1"/>
  <c r="B7095" i="1"/>
  <c r="B7094" i="1"/>
  <c r="B7093" i="1"/>
  <c r="B7092" i="1"/>
  <c r="B7091" i="1"/>
  <c r="B7090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3" i="1"/>
  <c r="B7062" i="1"/>
  <c r="B7061" i="1"/>
  <c r="B7060" i="1"/>
  <c r="B7059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3" i="1"/>
  <c r="B7002" i="1"/>
  <c r="B7001" i="1"/>
  <c r="B7000" i="1"/>
  <c r="B6999" i="1"/>
  <c r="B6998" i="1"/>
  <c r="B6997" i="1"/>
  <c r="B6996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6" i="1"/>
  <c r="B6975" i="1"/>
  <c r="B6974" i="1"/>
  <c r="B6972" i="1"/>
  <c r="B6971" i="1"/>
  <c r="B6970" i="1"/>
  <c r="B6968" i="1"/>
  <c r="B6967" i="1"/>
  <c r="B6966" i="1"/>
  <c r="B6964" i="1"/>
  <c r="B6963" i="1"/>
  <c r="B6962" i="1"/>
  <c r="B6960" i="1"/>
  <c r="B6959" i="1"/>
  <c r="B6958" i="1"/>
  <c r="B6956" i="1"/>
  <c r="B6955" i="1"/>
  <c r="B6954" i="1"/>
  <c r="B6952" i="1"/>
  <c r="B6950" i="1"/>
  <c r="B6949" i="1"/>
  <c r="B6948" i="1"/>
  <c r="B6946" i="1"/>
  <c r="B6945" i="1"/>
  <c r="B6944" i="1"/>
  <c r="B6943" i="1"/>
  <c r="B6942" i="1"/>
  <c r="B6940" i="1"/>
  <c r="B6938" i="1"/>
  <c r="B6937" i="1"/>
  <c r="B6936" i="1"/>
  <c r="B6935" i="1"/>
  <c r="B6934" i="1"/>
  <c r="B6933" i="1"/>
  <c r="B6932" i="1"/>
  <c r="B6931" i="1"/>
  <c r="B6929" i="1"/>
  <c r="B6928" i="1"/>
  <c r="B6927" i="1"/>
  <c r="B6926" i="1"/>
  <c r="B6925" i="1"/>
  <c r="B6924" i="1"/>
  <c r="B6922" i="1"/>
  <c r="B6921" i="1"/>
  <c r="B6920" i="1"/>
  <c r="B6919" i="1"/>
  <c r="B6918" i="1"/>
  <c r="B6917" i="1"/>
  <c r="B6916" i="1"/>
  <c r="B6915" i="1"/>
  <c r="B6914" i="1"/>
  <c r="B6913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6" i="1"/>
  <c r="B6895" i="1"/>
  <c r="B6894" i="1"/>
  <c r="B6893" i="1"/>
  <c r="B6892" i="1"/>
  <c r="B6890" i="1"/>
  <c r="B6889" i="1"/>
  <c r="B6887" i="1"/>
  <c r="B6886" i="1"/>
  <c r="B6884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7" i="1"/>
  <c r="B6856" i="1"/>
  <c r="B6855" i="1"/>
  <c r="B6854" i="1"/>
  <c r="B6853" i="1"/>
  <c r="B6851" i="1"/>
  <c r="B6850" i="1"/>
  <c r="B6849" i="1"/>
  <c r="B6848" i="1"/>
  <c r="B6847" i="1"/>
  <c r="B6846" i="1"/>
  <c r="B6845" i="1"/>
  <c r="B6844" i="1"/>
  <c r="B6842" i="1"/>
  <c r="B6841" i="1"/>
  <c r="B6840" i="1"/>
  <c r="B6839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8" i="1"/>
  <c r="B6787" i="1"/>
  <c r="B6786" i="1"/>
  <c r="B6785" i="1"/>
  <c r="B6784" i="1"/>
  <c r="B6783" i="1"/>
  <c r="B6782" i="1"/>
  <c r="B6781" i="1"/>
  <c r="B6779" i="1"/>
  <c r="B6778" i="1"/>
  <c r="B6777" i="1"/>
  <c r="B6776" i="1"/>
  <c r="B6775" i="1"/>
  <c r="B6774" i="1"/>
  <c r="B6773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59" i="1"/>
  <c r="B6658" i="1"/>
  <c r="B6657" i="1"/>
  <c r="B6656" i="1"/>
  <c r="B6655" i="1"/>
  <c r="B6653" i="1"/>
  <c r="B6652" i="1"/>
  <c r="B6651" i="1"/>
  <c r="B6650" i="1"/>
  <c r="B6649" i="1"/>
  <c r="B6648" i="1"/>
  <c r="B6646" i="1"/>
  <c r="B6645" i="1"/>
  <c r="B6644" i="1"/>
  <c r="B6642" i="1"/>
  <c r="B6641" i="1"/>
  <c r="B6640" i="1"/>
  <c r="B6638" i="1"/>
  <c r="B6637" i="1"/>
  <c r="B6636" i="1"/>
  <c r="B6635" i="1"/>
  <c r="B6634" i="1"/>
  <c r="B6633" i="1"/>
  <c r="B6632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5" i="1"/>
  <c r="B6604" i="1"/>
  <c r="B6603" i="1"/>
  <c r="B6602" i="1"/>
  <c r="B6601" i="1"/>
  <c r="B6599" i="1"/>
  <c r="B6598" i="1"/>
  <c r="B6597" i="1"/>
  <c r="B6596" i="1"/>
  <c r="B6594" i="1"/>
  <c r="B6593" i="1"/>
  <c r="B6592" i="1"/>
  <c r="B6591" i="1"/>
  <c r="B6589" i="1"/>
  <c r="B6588" i="1"/>
  <c r="B6587" i="1"/>
  <c r="B6586" i="1"/>
  <c r="B6584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3" i="1"/>
  <c r="B6562" i="1"/>
  <c r="B6561" i="1"/>
  <c r="B6560" i="1"/>
  <c r="B6559" i="1"/>
  <c r="B6558" i="1"/>
  <c r="B6557" i="1"/>
  <c r="B6555" i="1"/>
  <c r="B6554" i="1"/>
  <c r="B6552" i="1"/>
  <c r="B6551" i="1"/>
  <c r="B6550" i="1"/>
  <c r="B6548" i="1"/>
  <c r="B6547" i="1"/>
  <c r="B6546" i="1"/>
  <c r="B6545" i="1"/>
  <c r="B6544" i="1"/>
  <c r="B6543" i="1"/>
  <c r="B6542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09" i="1"/>
  <c r="B6508" i="1"/>
  <c r="B6507" i="1"/>
  <c r="B6506" i="1"/>
  <c r="B6505" i="1"/>
  <c r="B6504" i="1"/>
  <c r="B6503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8" i="1"/>
  <c r="B6487" i="1"/>
  <c r="B6486" i="1"/>
  <c r="B6485" i="1"/>
  <c r="B6484" i="1"/>
  <c r="B6483" i="1"/>
  <c r="B6482" i="1"/>
  <c r="B6481" i="1"/>
  <c r="B6480" i="1"/>
  <c r="B6478" i="1"/>
  <c r="B6477" i="1"/>
  <c r="B6476" i="1"/>
  <c r="B6475" i="1"/>
  <c r="B6474" i="1"/>
  <c r="B6473" i="1"/>
  <c r="B6472" i="1"/>
  <c r="B6471" i="1"/>
  <c r="B6470" i="1"/>
  <c r="B6469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3" i="1"/>
  <c r="B6452" i="1"/>
  <c r="B6451" i="1"/>
  <c r="B6449" i="1"/>
  <c r="B6448" i="1"/>
  <c r="B6447" i="1"/>
  <c r="B6446" i="1"/>
  <c r="B6445" i="1"/>
  <c r="B6443" i="1"/>
  <c r="B6442" i="1"/>
  <c r="B6441" i="1"/>
  <c r="B6440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6" i="1"/>
  <c r="B6405" i="1"/>
  <c r="B6403" i="1"/>
  <c r="B6402" i="1"/>
  <c r="B6401" i="1"/>
  <c r="B6400" i="1"/>
  <c r="B6399" i="1"/>
  <c r="B6398" i="1"/>
  <c r="B6397" i="1"/>
  <c r="B6396" i="1"/>
  <c r="B6395" i="1"/>
  <c r="B6393" i="1"/>
  <c r="B6392" i="1"/>
  <c r="B6391" i="1"/>
  <c r="B6390" i="1"/>
  <c r="B6389" i="1"/>
  <c r="B6388" i="1"/>
  <c r="B6386" i="1"/>
  <c r="B6385" i="1"/>
  <c r="B6384" i="1"/>
  <c r="B6383" i="1"/>
  <c r="B6382" i="1"/>
  <c r="B6381" i="1"/>
  <c r="B6380" i="1"/>
  <c r="B6379" i="1"/>
  <c r="B6377" i="1"/>
  <c r="B6376" i="1"/>
  <c r="B6375" i="1"/>
  <c r="B6373" i="1"/>
  <c r="B6372" i="1"/>
  <c r="B6371" i="1"/>
  <c r="B6370" i="1"/>
  <c r="B6368" i="1"/>
  <c r="B6367" i="1"/>
  <c r="B6366" i="1"/>
  <c r="B6365" i="1"/>
  <c r="B6363" i="1"/>
  <c r="B6362" i="1"/>
  <c r="B6361" i="1"/>
  <c r="B6360" i="1"/>
  <c r="B6359" i="1"/>
  <c r="B6357" i="1"/>
  <c r="B6356" i="1"/>
  <c r="B6355" i="1"/>
  <c r="B6354" i="1"/>
  <c r="B6353" i="1"/>
  <c r="B6352" i="1"/>
  <c r="B6351" i="1"/>
  <c r="B6350" i="1"/>
  <c r="B6349" i="1"/>
  <c r="B6347" i="1"/>
  <c r="B6346" i="1"/>
  <c r="B6345" i="1"/>
  <c r="B6344" i="1"/>
  <c r="B6343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8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09" i="1"/>
  <c r="B6308" i="1"/>
  <c r="B6307" i="1"/>
  <c r="B6306" i="1"/>
  <c r="B6305" i="1"/>
  <c r="B6304" i="1"/>
  <c r="B6303" i="1"/>
  <c r="B6302" i="1"/>
  <c r="B6301" i="1"/>
  <c r="B6300" i="1"/>
  <c r="B6298" i="1"/>
  <c r="B6297" i="1"/>
  <c r="B6296" i="1"/>
  <c r="B6295" i="1"/>
  <c r="B6294" i="1"/>
  <c r="B6293" i="1"/>
  <c r="B6292" i="1"/>
  <c r="B6291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3" i="1"/>
  <c r="B6272" i="1"/>
  <c r="B6270" i="1"/>
  <c r="B6269" i="1"/>
  <c r="B6267" i="1"/>
  <c r="B6266" i="1"/>
  <c r="B6265" i="1"/>
  <c r="B6264" i="1"/>
  <c r="B6263" i="1"/>
  <c r="B6262" i="1"/>
  <c r="B6261" i="1"/>
  <c r="B6260" i="1"/>
  <c r="B6258" i="1"/>
  <c r="B6256" i="1"/>
  <c r="B6255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39" i="1"/>
  <c r="B6238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19" i="1"/>
  <c r="B6218" i="1"/>
  <c r="B6217" i="1"/>
  <c r="B6216" i="1"/>
  <c r="B6214" i="1"/>
  <c r="B6213" i="1"/>
  <c r="B6212" i="1"/>
  <c r="B6211" i="1"/>
  <c r="B6209" i="1"/>
  <c r="B6208" i="1"/>
  <c r="B6207" i="1"/>
  <c r="B6206" i="1"/>
  <c r="B6205" i="1"/>
  <c r="B6204" i="1"/>
  <c r="B6203" i="1"/>
  <c r="B6202" i="1"/>
  <c r="B6201" i="1"/>
  <c r="B6199" i="1"/>
  <c r="B6198" i="1"/>
  <c r="B6197" i="1"/>
  <c r="B6196" i="1"/>
  <c r="B6194" i="1"/>
  <c r="B6192" i="1"/>
  <c r="B6191" i="1"/>
  <c r="B6189" i="1"/>
  <c r="B6188" i="1"/>
  <c r="B6187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0" i="1"/>
  <c r="B6169" i="1"/>
  <c r="B6168" i="1"/>
  <c r="B6167" i="1"/>
  <c r="B6166" i="1"/>
  <c r="B6165" i="1"/>
  <c r="B6164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7" i="1"/>
  <c r="B6136" i="1"/>
  <c r="B6135" i="1"/>
  <c r="B6134" i="1"/>
  <c r="B6133" i="1"/>
  <c r="B6132" i="1"/>
  <c r="B6131" i="1"/>
  <c r="B6129" i="1"/>
  <c r="B6128" i="1"/>
  <c r="B6126" i="1"/>
  <c r="B6124" i="1"/>
  <c r="B6123" i="1"/>
  <c r="B6122" i="1"/>
  <c r="B6121" i="1"/>
  <c r="B6120" i="1"/>
  <c r="B6119" i="1"/>
  <c r="B6118" i="1"/>
  <c r="B6117" i="1"/>
  <c r="B6116" i="1"/>
  <c r="B6114" i="1"/>
  <c r="B6113" i="1"/>
  <c r="B6111" i="1"/>
  <c r="B6110" i="1"/>
  <c r="B6108" i="1"/>
  <c r="B6106" i="1"/>
  <c r="B6105" i="1"/>
  <c r="B6104" i="1"/>
  <c r="B6102" i="1"/>
  <c r="B6101" i="1"/>
  <c r="B6100" i="1"/>
  <c r="B6098" i="1"/>
  <c r="B6096" i="1"/>
  <c r="B6095" i="1"/>
  <c r="B6094" i="1"/>
  <c r="B6093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0" i="1"/>
  <c r="B6049" i="1"/>
  <c r="B6048" i="1"/>
  <c r="B6047" i="1"/>
  <c r="B6046" i="1"/>
  <c r="B6045" i="1"/>
  <c r="B6044" i="1"/>
  <c r="B6043" i="1"/>
  <c r="B6041" i="1"/>
  <c r="B6040" i="1"/>
  <c r="B6039" i="1"/>
  <c r="B6038" i="1"/>
  <c r="B6036" i="1"/>
  <c r="B6035" i="1"/>
  <c r="B6034" i="1"/>
  <c r="B6033" i="1"/>
  <c r="B6032" i="1"/>
  <c r="B6031" i="1"/>
  <c r="B6029" i="1"/>
  <c r="B6028" i="1"/>
  <c r="B6027" i="1"/>
  <c r="B6026" i="1"/>
  <c r="B6025" i="1"/>
  <c r="B6024" i="1"/>
  <c r="B6023" i="1"/>
  <c r="B6022" i="1"/>
  <c r="B6021" i="1"/>
  <c r="B6020" i="1"/>
  <c r="B6019" i="1"/>
  <c r="B6017" i="1"/>
  <c r="B6016" i="1"/>
  <c r="B6015" i="1"/>
  <c r="B6014" i="1"/>
  <c r="B6013" i="1"/>
  <c r="B6012" i="1"/>
  <c r="B6010" i="1"/>
  <c r="B6009" i="1"/>
  <c r="B6007" i="1"/>
  <c r="B6006" i="1"/>
  <c r="B6005" i="1"/>
  <c r="B6003" i="1"/>
  <c r="B6002" i="1"/>
  <c r="B6001" i="1"/>
  <c r="B6000" i="1"/>
  <c r="B5999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0" i="1"/>
  <c r="B5959" i="1"/>
  <c r="B5958" i="1"/>
  <c r="B5957" i="1"/>
  <c r="B5956" i="1"/>
  <c r="B5954" i="1"/>
  <c r="B5953" i="1"/>
  <c r="B5952" i="1"/>
  <c r="B5950" i="1"/>
  <c r="B5949" i="1"/>
  <c r="B5948" i="1"/>
  <c r="B5947" i="1"/>
  <c r="B5946" i="1"/>
  <c r="B5945" i="1"/>
  <c r="B5944" i="1"/>
  <c r="B5943" i="1"/>
  <c r="B5941" i="1"/>
  <c r="B5940" i="1"/>
  <c r="B5939" i="1"/>
  <c r="B5938" i="1"/>
  <c r="B5937" i="1"/>
  <c r="B5936" i="1"/>
  <c r="B5935" i="1"/>
  <c r="B5933" i="1"/>
  <c r="B5932" i="1"/>
  <c r="B5931" i="1"/>
  <c r="B5930" i="1"/>
  <c r="B5929" i="1"/>
  <c r="B5928" i="1"/>
  <c r="B5927" i="1"/>
  <c r="B5925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0" i="1"/>
  <c r="B5899" i="1"/>
  <c r="B5898" i="1"/>
  <c r="B5897" i="1"/>
  <c r="B5896" i="1"/>
  <c r="B5895" i="1"/>
  <c r="B5893" i="1"/>
  <c r="B5892" i="1"/>
  <c r="B5891" i="1"/>
  <c r="B5890" i="1"/>
  <c r="B5889" i="1"/>
  <c r="B5888" i="1"/>
  <c r="B5886" i="1"/>
  <c r="B5885" i="1"/>
  <c r="B5883" i="1"/>
  <c r="B5882" i="1"/>
  <c r="B5881" i="1"/>
  <c r="B5880" i="1"/>
  <c r="B5878" i="1"/>
  <c r="B5877" i="1"/>
  <c r="B5876" i="1"/>
  <c r="B5875" i="1"/>
  <c r="B5874" i="1"/>
  <c r="B5872" i="1"/>
  <c r="B5871" i="1"/>
  <c r="B5869" i="1"/>
  <c r="B5868" i="1"/>
  <c r="B5867" i="1"/>
  <c r="B5866" i="1"/>
  <c r="B5865" i="1"/>
  <c r="B5864" i="1"/>
  <c r="B5862" i="1"/>
  <c r="B5861" i="1"/>
  <c r="B5859" i="1"/>
  <c r="B5858" i="1"/>
  <c r="B5857" i="1"/>
  <c r="B5856" i="1"/>
  <c r="B5854" i="1"/>
  <c r="B5853" i="1"/>
  <c r="B5851" i="1"/>
  <c r="B5850" i="1"/>
  <c r="B5849" i="1"/>
  <c r="B5847" i="1"/>
  <c r="B5846" i="1"/>
  <c r="B5845" i="1"/>
  <c r="B5843" i="1"/>
  <c r="B5842" i="1"/>
  <c r="B5841" i="1"/>
  <c r="B5840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8" i="1"/>
  <c r="B5787" i="1"/>
  <c r="B5786" i="1"/>
  <c r="B5785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1" i="1"/>
  <c r="B5760" i="1"/>
  <c r="B5758" i="1"/>
  <c r="B5757" i="1"/>
  <c r="B5755" i="1"/>
  <c r="B5754" i="1"/>
  <c r="B5753" i="1"/>
  <c r="B5752" i="1"/>
  <c r="B5751" i="1"/>
  <c r="B5750" i="1"/>
  <c r="B5749" i="1"/>
  <c r="B5748" i="1"/>
  <c r="B5746" i="1"/>
  <c r="B5745" i="1"/>
  <c r="B5743" i="1"/>
  <c r="B5742" i="1"/>
  <c r="B5741" i="1"/>
  <c r="B5739" i="1"/>
  <c r="B5738" i="1"/>
  <c r="B5737" i="1"/>
  <c r="B5735" i="1"/>
  <c r="B5734" i="1"/>
  <c r="B5733" i="1"/>
  <c r="B5732" i="1"/>
  <c r="B5731" i="1"/>
  <c r="B5730" i="1"/>
  <c r="B5728" i="1"/>
  <c r="B5727" i="1"/>
  <c r="B5726" i="1"/>
  <c r="B5725" i="1"/>
  <c r="B5724" i="1"/>
  <c r="B5722" i="1"/>
  <c r="B5721" i="1"/>
  <c r="B5720" i="1"/>
  <c r="B5719" i="1"/>
  <c r="B5718" i="1"/>
  <c r="B5717" i="1"/>
  <c r="B5716" i="1"/>
  <c r="B5715" i="1"/>
  <c r="B5714" i="1"/>
  <c r="B5712" i="1"/>
  <c r="B5711" i="1"/>
  <c r="B5710" i="1"/>
  <c r="B5709" i="1"/>
  <c r="B5708" i="1"/>
  <c r="B5707" i="1"/>
  <c r="B5706" i="1"/>
  <c r="B5705" i="1"/>
  <c r="B5703" i="1"/>
  <c r="B5702" i="1"/>
  <c r="B5701" i="1"/>
  <c r="B5700" i="1"/>
  <c r="B5699" i="1"/>
  <c r="B5698" i="1"/>
  <c r="B5697" i="1"/>
  <c r="B5695" i="1"/>
  <c r="B5694" i="1"/>
  <c r="B5693" i="1"/>
  <c r="B5692" i="1"/>
  <c r="B5691" i="1"/>
  <c r="B5690" i="1"/>
  <c r="B5688" i="1"/>
  <c r="B5687" i="1"/>
  <c r="B5686" i="1"/>
  <c r="B5684" i="1"/>
  <c r="B5683" i="1"/>
  <c r="B5681" i="1"/>
  <c r="B5680" i="1"/>
  <c r="B5679" i="1"/>
  <c r="B5678" i="1"/>
  <c r="B5676" i="1"/>
  <c r="B5675" i="1"/>
  <c r="B5674" i="1"/>
  <c r="B5673" i="1"/>
  <c r="B5672" i="1"/>
  <c r="B5671" i="1"/>
  <c r="B5669" i="1"/>
  <c r="B5668" i="1"/>
  <c r="B5666" i="1"/>
  <c r="B5665" i="1"/>
  <c r="B5664" i="1"/>
  <c r="B5663" i="1"/>
  <c r="B5662" i="1"/>
  <c r="B5661" i="1"/>
  <c r="B5660" i="1"/>
  <c r="B5659" i="1"/>
  <c r="B5658" i="1"/>
  <c r="B5657" i="1"/>
  <c r="B5655" i="1"/>
  <c r="B5653" i="1"/>
  <c r="B5652" i="1"/>
  <c r="B5650" i="1"/>
  <c r="B5649" i="1"/>
  <c r="B5647" i="1"/>
  <c r="B5646" i="1"/>
  <c r="B5644" i="1"/>
  <c r="B5642" i="1"/>
  <c r="B5641" i="1"/>
  <c r="B5640" i="1"/>
  <c r="B5639" i="1"/>
  <c r="B5637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5" i="1"/>
  <c r="B5584" i="1"/>
  <c r="B5583" i="1"/>
  <c r="B5582" i="1"/>
  <c r="B5581" i="1"/>
  <c r="B5580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09" i="1"/>
  <c r="B5508" i="1"/>
  <c r="B5507" i="1"/>
  <c r="B5506" i="1"/>
  <c r="B5504" i="1"/>
  <c r="B5503" i="1"/>
  <c r="B5502" i="1"/>
  <c r="B5501" i="1"/>
  <c r="B5500" i="1"/>
  <c r="B5498" i="1"/>
  <c r="B5497" i="1"/>
  <c r="B5496" i="1"/>
  <c r="B5495" i="1"/>
  <c r="B5493" i="1"/>
  <c r="B5491" i="1"/>
  <c r="B5489" i="1"/>
  <c r="B5487" i="1"/>
  <c r="B5486" i="1"/>
  <c r="B5485" i="1"/>
  <c r="B5484" i="1"/>
  <c r="B5483" i="1"/>
  <c r="B5482" i="1"/>
  <c r="B5480" i="1"/>
  <c r="B5479" i="1"/>
  <c r="B5478" i="1"/>
  <c r="B5476" i="1"/>
  <c r="B5475" i="1"/>
  <c r="B5474" i="1"/>
  <c r="B5472" i="1"/>
  <c r="B5471" i="1"/>
  <c r="B5469" i="1"/>
  <c r="B5468" i="1"/>
  <c r="B5467" i="1"/>
  <c r="B5466" i="1"/>
  <c r="B5465" i="1"/>
  <c r="B5464" i="1"/>
  <c r="B5463" i="1"/>
  <c r="B5462" i="1"/>
  <c r="B5461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7" i="1"/>
  <c r="B5426" i="1"/>
  <c r="B5424" i="1"/>
  <c r="B5423" i="1"/>
  <c r="B5422" i="1"/>
  <c r="B5421" i="1"/>
  <c r="B5419" i="1"/>
  <c r="B5418" i="1"/>
  <c r="B5417" i="1"/>
  <c r="B5415" i="1"/>
  <c r="B5414" i="1"/>
  <c r="B5413" i="1"/>
  <c r="B5412" i="1"/>
  <c r="B5411" i="1"/>
  <c r="B5410" i="1"/>
  <c r="B5409" i="1"/>
  <c r="B5408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8" i="1"/>
  <c r="B5376" i="1"/>
  <c r="B5375" i="1"/>
  <c r="B5374" i="1"/>
  <c r="B5373" i="1"/>
  <c r="B5371" i="1"/>
  <c r="B5370" i="1"/>
  <c r="B5369" i="1"/>
  <c r="B5367" i="1"/>
  <c r="B5366" i="1"/>
  <c r="B5365" i="1"/>
  <c r="B5364" i="1"/>
  <c r="B5363" i="1"/>
  <c r="B5362" i="1"/>
  <c r="B5360" i="1"/>
  <c r="B5359" i="1"/>
  <c r="B5358" i="1"/>
  <c r="B5357" i="1"/>
  <c r="B5356" i="1"/>
  <c r="B5355" i="1"/>
  <c r="B5354" i="1"/>
  <c r="B5353" i="1"/>
  <c r="B5351" i="1"/>
  <c r="B5350" i="1"/>
  <c r="B5349" i="1"/>
  <c r="B5348" i="1"/>
  <c r="B5347" i="1"/>
  <c r="B5346" i="1"/>
  <c r="B5345" i="1"/>
  <c r="B5344" i="1"/>
  <c r="B5342" i="1"/>
  <c r="B5341" i="1"/>
  <c r="B5340" i="1"/>
  <c r="B5339" i="1"/>
  <c r="B5338" i="1"/>
  <c r="B5336" i="1"/>
  <c r="B5335" i="1"/>
  <c r="B5334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4" i="1"/>
  <c r="B5313" i="1"/>
  <c r="B5312" i="1"/>
  <c r="B5311" i="1"/>
  <c r="B5310" i="1"/>
  <c r="B5309" i="1"/>
  <c r="B5308" i="1"/>
  <c r="B5306" i="1"/>
  <c r="B5305" i="1"/>
  <c r="B5304" i="1"/>
  <c r="B5303" i="1"/>
  <c r="B5302" i="1"/>
  <c r="B5300" i="1"/>
  <c r="B5299" i="1"/>
  <c r="B5298" i="1"/>
  <c r="B5297" i="1"/>
  <c r="B5296" i="1"/>
  <c r="B5295" i="1"/>
  <c r="B5294" i="1"/>
  <c r="B5293" i="1"/>
  <c r="B5292" i="1"/>
  <c r="B5291" i="1"/>
  <c r="B5290" i="1"/>
  <c r="B5288" i="1"/>
  <c r="B5286" i="1"/>
  <c r="B5285" i="1"/>
  <c r="B5284" i="1"/>
  <c r="B5283" i="1"/>
  <c r="B5282" i="1"/>
  <c r="B5281" i="1"/>
  <c r="B5279" i="1"/>
  <c r="B5278" i="1"/>
  <c r="B5277" i="1"/>
  <c r="B5276" i="1"/>
  <c r="B5275" i="1"/>
  <c r="B5274" i="1"/>
  <c r="B5273" i="1"/>
  <c r="B5272" i="1"/>
  <c r="B5271" i="1"/>
  <c r="B5270" i="1"/>
  <c r="B5269" i="1"/>
  <c r="B5267" i="1"/>
  <c r="B5266" i="1"/>
  <c r="B5265" i="1"/>
  <c r="B5264" i="1"/>
  <c r="B5263" i="1"/>
  <c r="B5262" i="1"/>
  <c r="B5261" i="1"/>
  <c r="B5260" i="1"/>
  <c r="B5259" i="1"/>
  <c r="B5258" i="1"/>
  <c r="B5257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39" i="1"/>
  <c r="B5238" i="1"/>
  <c r="B5237" i="1"/>
  <c r="B5236" i="1"/>
  <c r="B5235" i="1"/>
  <c r="B5233" i="1"/>
  <c r="B5232" i="1"/>
  <c r="B5231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3" i="1"/>
  <c r="B5212" i="1"/>
  <c r="B5211" i="1"/>
  <c r="B5210" i="1"/>
  <c r="B5209" i="1"/>
  <c r="B5208" i="1"/>
  <c r="B5207" i="1"/>
  <c r="B5206" i="1"/>
  <c r="B5204" i="1"/>
  <c r="B5203" i="1"/>
  <c r="B5202" i="1"/>
  <c r="B5201" i="1"/>
  <c r="B5200" i="1"/>
  <c r="B5199" i="1"/>
  <c r="B5197" i="1"/>
  <c r="B5196" i="1"/>
  <c r="B5195" i="1"/>
  <c r="B5194" i="1"/>
  <c r="B5193" i="1"/>
  <c r="B5192" i="1"/>
  <c r="B5190" i="1"/>
  <c r="B5189" i="1"/>
  <c r="B5188" i="1"/>
  <c r="B5187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7" i="1"/>
  <c r="B5145" i="1"/>
  <c r="B5144" i="1"/>
  <c r="B5143" i="1"/>
  <c r="B5142" i="1"/>
  <c r="B5141" i="1"/>
  <c r="B5140" i="1"/>
  <c r="B5138" i="1"/>
  <c r="B5137" i="1"/>
  <c r="B5136" i="1"/>
  <c r="B5134" i="1"/>
  <c r="B5133" i="1"/>
  <c r="B5132" i="1"/>
  <c r="B5131" i="1"/>
  <c r="B5130" i="1"/>
  <c r="B5129" i="1"/>
  <c r="B5128" i="1"/>
  <c r="B5127" i="1"/>
  <c r="B5125" i="1"/>
  <c r="B5124" i="1"/>
  <c r="B5123" i="1"/>
  <c r="B5121" i="1"/>
  <c r="B5120" i="1"/>
  <c r="B5119" i="1"/>
  <c r="B5118" i="1"/>
  <c r="B5117" i="1"/>
  <c r="B5116" i="1"/>
  <c r="B5114" i="1"/>
  <c r="B5113" i="1"/>
  <c r="B5112" i="1"/>
  <c r="B5110" i="1"/>
  <c r="B5109" i="1"/>
  <c r="B5108" i="1"/>
  <c r="B5107" i="1"/>
  <c r="B5105" i="1"/>
  <c r="B5104" i="1"/>
  <c r="B5103" i="1"/>
  <c r="B5102" i="1"/>
  <c r="B5101" i="1"/>
  <c r="B5099" i="1"/>
  <c r="B5098" i="1"/>
  <c r="B5097" i="1"/>
  <c r="B5096" i="1"/>
  <c r="B5095" i="1"/>
  <c r="B5094" i="1"/>
  <c r="B5093" i="1"/>
  <c r="B5092" i="1"/>
  <c r="B5090" i="1"/>
  <c r="B5089" i="1"/>
  <c r="B5088" i="1"/>
  <c r="B5087" i="1"/>
  <c r="B5086" i="1"/>
  <c r="B5085" i="1"/>
  <c r="B5084" i="1"/>
  <c r="B5083" i="1"/>
  <c r="B5081" i="1"/>
  <c r="B5080" i="1"/>
  <c r="B5079" i="1"/>
  <c r="B5078" i="1"/>
  <c r="B5076" i="1"/>
  <c r="B5075" i="1"/>
  <c r="B5074" i="1"/>
  <c r="B5073" i="1"/>
  <c r="B5071" i="1"/>
  <c r="B5070" i="1"/>
  <c r="B5069" i="1"/>
  <c r="B5068" i="1"/>
  <c r="B5067" i="1"/>
  <c r="B5066" i="1"/>
  <c r="B5065" i="1"/>
  <c r="B5064" i="1"/>
  <c r="B5062" i="1"/>
  <c r="B5061" i="1"/>
  <c r="B5060" i="1"/>
  <c r="B5059" i="1"/>
  <c r="B5058" i="1"/>
  <c r="B5057" i="1"/>
  <c r="B5055" i="1"/>
  <c r="B5054" i="1"/>
  <c r="B5053" i="1"/>
  <c r="B5052" i="1"/>
  <c r="B5051" i="1"/>
  <c r="B5049" i="1"/>
  <c r="B5048" i="1"/>
  <c r="B5047" i="1"/>
  <c r="B5046" i="1"/>
  <c r="B5045" i="1"/>
  <c r="B5044" i="1"/>
  <c r="B5042" i="1"/>
  <c r="B5041" i="1"/>
  <c r="B5040" i="1"/>
  <c r="B5039" i="1"/>
  <c r="B5038" i="1"/>
  <c r="B5037" i="1"/>
  <c r="B5035" i="1"/>
  <c r="B5034" i="1"/>
  <c r="B5033" i="1"/>
  <c r="B5032" i="1"/>
  <c r="B5031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79" i="1"/>
  <c r="B4978" i="1"/>
  <c r="B4976" i="1"/>
  <c r="B4975" i="1"/>
  <c r="B4974" i="1"/>
  <c r="B4973" i="1"/>
  <c r="B4972" i="1"/>
  <c r="B4971" i="1"/>
  <c r="B4969" i="1"/>
  <c r="B4968" i="1"/>
  <c r="B4967" i="1"/>
  <c r="B4966" i="1"/>
  <c r="B4964" i="1"/>
  <c r="B4963" i="1"/>
  <c r="B4962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19" i="1"/>
  <c r="B4918" i="1"/>
  <c r="B4917" i="1"/>
  <c r="B4916" i="1"/>
  <c r="B4915" i="1"/>
  <c r="B4914" i="1"/>
  <c r="B4913" i="1"/>
  <c r="B4912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89" i="1"/>
  <c r="B4888" i="1"/>
  <c r="B4887" i="1"/>
  <c r="B4886" i="1"/>
  <c r="B4885" i="1"/>
  <c r="B4884" i="1"/>
  <c r="B4883" i="1"/>
  <c r="B4882" i="1"/>
  <c r="B4881" i="1"/>
  <c r="B4880" i="1"/>
  <c r="B4878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6" i="1"/>
  <c r="B4735" i="1"/>
  <c r="B4734" i="1"/>
  <c r="B4733" i="1"/>
  <c r="B4732" i="1"/>
  <c r="B4731" i="1"/>
  <c r="B4729" i="1"/>
  <c r="B4728" i="1"/>
  <c r="B4727" i="1"/>
  <c r="B4726" i="1"/>
  <c r="B4725" i="1"/>
  <c r="B4724" i="1"/>
  <c r="B4722" i="1"/>
  <c r="B4721" i="1"/>
  <c r="B4720" i="1"/>
  <c r="B4719" i="1"/>
  <c r="B4718" i="1"/>
  <c r="B4717" i="1"/>
  <c r="B4716" i="1"/>
  <c r="B4715" i="1"/>
  <c r="B4714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2" i="1"/>
  <c r="B4661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3" i="1"/>
  <c r="B4642" i="1"/>
  <c r="B4641" i="1"/>
  <c r="B4640" i="1"/>
  <c r="B4639" i="1"/>
  <c r="B4638" i="1"/>
  <c r="B4636" i="1"/>
  <c r="B4635" i="1"/>
  <c r="B4634" i="1"/>
  <c r="B4633" i="1"/>
  <c r="B4632" i="1"/>
  <c r="B4631" i="1"/>
  <c r="B4630" i="1"/>
  <c r="B4629" i="1"/>
  <c r="B4628" i="1"/>
  <c r="B4627" i="1"/>
  <c r="B4626" i="1"/>
  <c r="B4624" i="1"/>
  <c r="B4623" i="1"/>
  <c r="B4622" i="1"/>
  <c r="B4620" i="1"/>
  <c r="B4619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5" i="1"/>
  <c r="B4564" i="1"/>
  <c r="B4563" i="1"/>
  <c r="B4562" i="1"/>
  <c r="B4560" i="1"/>
  <c r="B4559" i="1"/>
  <c r="B4558" i="1"/>
  <c r="B4557" i="1"/>
  <c r="B4556" i="1"/>
  <c r="B4555" i="1"/>
  <c r="B4554" i="1"/>
  <c r="B4553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6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499" i="1"/>
  <c r="B4498" i="1"/>
  <c r="B4497" i="1"/>
  <c r="B4495" i="1"/>
  <c r="B4494" i="1"/>
  <c r="B4493" i="1"/>
  <c r="B4492" i="1"/>
  <c r="B4491" i="1"/>
  <c r="B4490" i="1"/>
  <c r="B4489" i="1"/>
  <c r="B4488" i="1"/>
  <c r="B4487" i="1"/>
  <c r="B4485" i="1"/>
  <c r="B4484" i="1"/>
  <c r="B4482" i="1"/>
  <c r="B4481" i="1"/>
  <c r="B4480" i="1"/>
  <c r="B4479" i="1"/>
  <c r="B4478" i="1"/>
  <c r="B4477" i="1"/>
  <c r="B4475" i="1"/>
  <c r="B4474" i="1"/>
  <c r="B4473" i="1"/>
  <c r="B4472" i="1"/>
  <c r="B4471" i="1"/>
  <c r="B4470" i="1"/>
  <c r="B4469" i="1"/>
  <c r="B4468" i="1"/>
  <c r="B4467" i="1"/>
  <c r="B4465" i="1"/>
  <c r="B4464" i="1"/>
  <c r="B4463" i="1"/>
  <c r="B4461" i="1"/>
  <c r="B4460" i="1"/>
  <c r="B4458" i="1"/>
  <c r="B4457" i="1"/>
  <c r="B4456" i="1"/>
  <c r="B4455" i="1"/>
  <c r="B4453" i="1"/>
  <c r="B4452" i="1"/>
  <c r="B4451" i="1"/>
  <c r="B4450" i="1"/>
  <c r="B4449" i="1"/>
  <c r="B4448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1" i="1"/>
  <c r="B4420" i="1"/>
  <c r="B4419" i="1"/>
  <c r="B4417" i="1"/>
  <c r="B4416" i="1"/>
  <c r="B4415" i="1"/>
  <c r="B4414" i="1"/>
  <c r="B4412" i="1"/>
  <c r="B4411" i="1"/>
  <c r="B4410" i="1"/>
  <c r="B4408" i="1"/>
  <c r="B4407" i="1"/>
  <c r="B4406" i="1"/>
  <c r="B4405" i="1"/>
  <c r="B4404" i="1"/>
  <c r="B4403" i="1"/>
  <c r="B4402" i="1"/>
  <c r="B4401" i="1"/>
  <c r="B4399" i="1"/>
  <c r="B4398" i="1"/>
  <c r="B4397" i="1"/>
  <c r="B4396" i="1"/>
  <c r="B4394" i="1"/>
  <c r="B4392" i="1"/>
  <c r="B4391" i="1"/>
  <c r="B4390" i="1"/>
  <c r="B4388" i="1"/>
  <c r="B4387" i="1"/>
  <c r="B4386" i="1"/>
  <c r="B4384" i="1"/>
  <c r="B4383" i="1"/>
  <c r="B4382" i="1"/>
  <c r="B4381" i="1"/>
  <c r="B4380" i="1"/>
  <c r="B4379" i="1"/>
  <c r="B4377" i="1"/>
  <c r="B4376" i="1"/>
  <c r="B4375" i="1"/>
  <c r="B4374" i="1"/>
  <c r="B4373" i="1"/>
  <c r="B4371" i="1"/>
  <c r="B4370" i="1"/>
  <c r="B4369" i="1"/>
  <c r="B4368" i="1"/>
  <c r="B4367" i="1"/>
  <c r="B4366" i="1"/>
  <c r="B4365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7" i="1"/>
  <c r="B4346" i="1"/>
  <c r="B4345" i="1"/>
  <c r="B4344" i="1"/>
  <c r="B4343" i="1"/>
  <c r="B4342" i="1"/>
  <c r="B4341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6" i="1"/>
  <c r="B4255" i="1"/>
  <c r="B4253" i="1"/>
  <c r="B4251" i="1"/>
  <c r="B4250" i="1"/>
  <c r="B4249" i="1"/>
  <c r="B4248" i="1"/>
  <c r="B4247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7" i="1"/>
  <c r="B4206" i="1"/>
  <c r="B4205" i="1"/>
  <c r="B4204" i="1"/>
  <c r="B4203" i="1"/>
  <c r="B4202" i="1"/>
  <c r="B4201" i="1"/>
  <c r="B4200" i="1"/>
  <c r="B4198" i="1"/>
  <c r="B4197" i="1"/>
  <c r="B4195" i="1"/>
  <c r="B4194" i="1"/>
  <c r="B4193" i="1"/>
  <c r="B4192" i="1"/>
  <c r="B4191" i="1"/>
  <c r="B4189" i="1"/>
  <c r="B4187" i="1"/>
  <c r="B4185" i="1"/>
  <c r="B4183" i="1"/>
  <c r="B4182" i="1"/>
  <c r="B4181" i="1"/>
  <c r="B4179" i="1"/>
  <c r="B4178" i="1"/>
  <c r="B4177" i="1"/>
  <c r="B4176" i="1"/>
  <c r="B4175" i="1"/>
  <c r="B4174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0" i="1"/>
  <c r="B4149" i="1"/>
  <c r="B4147" i="1"/>
  <c r="B4146" i="1"/>
  <c r="B4144" i="1"/>
  <c r="B4142" i="1"/>
  <c r="B4141" i="1"/>
  <c r="B4140" i="1"/>
  <c r="B4139" i="1"/>
  <c r="B4138" i="1"/>
  <c r="B4137" i="1"/>
  <c r="B4136" i="1"/>
  <c r="B4135" i="1"/>
  <c r="B4134" i="1"/>
  <c r="B4133" i="1"/>
  <c r="B4131" i="1"/>
  <c r="B4130" i="1"/>
  <c r="B4129" i="1"/>
  <c r="B4128" i="1"/>
  <c r="B4127" i="1"/>
  <c r="B4126" i="1"/>
  <c r="B4124" i="1"/>
  <c r="B4123" i="1"/>
  <c r="B4121" i="1"/>
  <c r="B4120" i="1"/>
  <c r="B4119" i="1"/>
  <c r="B4118" i="1"/>
  <c r="B4116" i="1"/>
  <c r="B4115" i="1"/>
  <c r="B4113" i="1"/>
  <c r="B4112" i="1"/>
  <c r="B4111" i="1"/>
  <c r="B4110" i="1"/>
  <c r="B4108" i="1"/>
  <c r="B4107" i="1"/>
  <c r="B4106" i="1"/>
  <c r="B4105" i="1"/>
  <c r="B4104" i="1"/>
  <c r="B4103" i="1"/>
  <c r="B4101" i="1"/>
  <c r="B4100" i="1"/>
  <c r="B4099" i="1"/>
  <c r="B4098" i="1"/>
  <c r="B4097" i="1"/>
  <c r="B4096" i="1"/>
  <c r="B4094" i="1"/>
  <c r="B4093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5" i="1"/>
  <c r="B4074" i="1"/>
  <c r="B4073" i="1"/>
  <c r="B4072" i="1"/>
  <c r="B4071" i="1"/>
  <c r="B4069" i="1"/>
  <c r="B4068" i="1"/>
  <c r="B4067" i="1"/>
  <c r="B4066" i="1"/>
  <c r="B4065" i="1"/>
  <c r="B4064" i="1"/>
  <c r="B4063" i="1"/>
  <c r="B4061" i="1"/>
  <c r="B4060" i="1"/>
  <c r="B4059" i="1"/>
  <c r="B4058" i="1"/>
  <c r="B4057" i="1"/>
  <c r="B4056" i="1"/>
  <c r="B4055" i="1"/>
  <c r="B4053" i="1"/>
  <c r="B4052" i="1"/>
  <c r="B4051" i="1"/>
  <c r="B4050" i="1"/>
  <c r="B4048" i="1"/>
  <c r="B4047" i="1"/>
  <c r="B4046" i="1"/>
  <c r="B4045" i="1"/>
  <c r="B4043" i="1"/>
  <c r="B4042" i="1"/>
  <c r="B4041" i="1"/>
  <c r="B4039" i="1"/>
  <c r="B4038" i="1"/>
  <c r="B4037" i="1"/>
  <c r="B4036" i="1"/>
  <c r="B4035" i="1"/>
  <c r="B4033" i="1"/>
  <c r="B4032" i="1"/>
  <c r="B4030" i="1"/>
  <c r="B4029" i="1"/>
  <c r="B4028" i="1"/>
  <c r="B4027" i="1"/>
  <c r="B4026" i="1"/>
  <c r="B4025" i="1"/>
  <c r="B4024" i="1"/>
  <c r="B4022" i="1"/>
  <c r="B4021" i="1"/>
  <c r="B4019" i="1"/>
  <c r="B4018" i="1"/>
  <c r="B4017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7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6" i="1"/>
  <c r="B3955" i="1"/>
  <c r="B3954" i="1"/>
  <c r="B3953" i="1"/>
  <c r="B3952" i="1"/>
  <c r="B3951" i="1"/>
  <c r="B3949" i="1"/>
  <c r="B3948" i="1"/>
  <c r="B3947" i="1"/>
  <c r="B3946" i="1"/>
  <c r="B3945" i="1"/>
  <c r="B3944" i="1"/>
  <c r="B3943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5" i="1"/>
  <c r="B3923" i="1"/>
  <c r="B3922" i="1"/>
  <c r="B3921" i="1"/>
  <c r="B3919" i="1"/>
  <c r="B3918" i="1"/>
  <c r="B3917" i="1"/>
  <c r="B3916" i="1"/>
  <c r="B3915" i="1"/>
  <c r="B3914" i="1"/>
  <c r="B3913" i="1"/>
  <c r="B3912" i="1"/>
  <c r="B3911" i="1"/>
  <c r="B3910" i="1"/>
  <c r="B3908" i="1"/>
  <c r="B3907" i="1"/>
  <c r="B3906" i="1"/>
  <c r="B3905" i="1"/>
  <c r="B3904" i="1"/>
  <c r="B3902" i="1"/>
  <c r="B3900" i="1"/>
  <c r="B3899" i="1"/>
  <c r="B3898" i="1"/>
  <c r="B3897" i="1"/>
  <c r="B3896" i="1"/>
  <c r="B3895" i="1"/>
  <c r="B3894" i="1"/>
  <c r="B3893" i="1"/>
  <c r="B3892" i="1"/>
  <c r="B3891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8" i="1"/>
  <c r="B3857" i="1"/>
  <c r="B3856" i="1"/>
  <c r="B3855" i="1"/>
  <c r="B3854" i="1"/>
  <c r="B3853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6" i="1"/>
  <c r="B3825" i="1"/>
  <c r="B3824" i="1"/>
  <c r="B3823" i="1"/>
  <c r="B3822" i="1"/>
  <c r="B3820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2" i="1"/>
  <c r="B3771" i="1"/>
  <c r="B3770" i="1"/>
  <c r="B3769" i="1"/>
  <c r="B3768" i="1"/>
  <c r="B3767" i="1"/>
  <c r="B3766" i="1"/>
  <c r="B3764" i="1"/>
  <c r="B3763" i="1"/>
  <c r="B3761" i="1"/>
  <c r="B3760" i="1"/>
  <c r="B3759" i="1"/>
  <c r="B3758" i="1"/>
  <c r="B3757" i="1"/>
  <c r="B3756" i="1"/>
  <c r="B3755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4" i="1"/>
  <c r="B3692" i="1"/>
  <c r="B3690" i="1"/>
  <c r="B3689" i="1"/>
  <c r="B3688" i="1"/>
  <c r="B3687" i="1"/>
  <c r="B3686" i="1"/>
  <c r="B3685" i="1"/>
  <c r="B3684" i="1"/>
  <c r="B3683" i="1"/>
  <c r="B3681" i="1"/>
  <c r="B3680" i="1"/>
  <c r="B3679" i="1"/>
  <c r="B3678" i="1"/>
  <c r="B3677" i="1"/>
  <c r="B3676" i="1"/>
  <c r="B3675" i="1"/>
  <c r="B3674" i="1"/>
  <c r="B3673" i="1"/>
  <c r="B3672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5" i="1"/>
  <c r="B3644" i="1"/>
  <c r="B3642" i="1"/>
  <c r="B3641" i="1"/>
  <c r="B3640" i="1"/>
  <c r="B3639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3" i="1"/>
  <c r="B3621" i="1"/>
  <c r="B3620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1" i="1"/>
  <c r="B3570" i="1"/>
  <c r="B3568" i="1"/>
  <c r="B3567" i="1"/>
  <c r="B3566" i="1"/>
  <c r="B3565" i="1"/>
  <c r="B3564" i="1"/>
  <c r="B3563" i="1"/>
  <c r="B3561" i="1"/>
  <c r="B3560" i="1"/>
  <c r="B3559" i="1"/>
  <c r="B3558" i="1"/>
  <c r="B3557" i="1"/>
  <c r="B3556" i="1"/>
  <c r="B3555" i="1"/>
  <c r="B3554" i="1"/>
  <c r="B3553" i="1"/>
  <c r="B3552" i="1"/>
  <c r="B3551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4" i="1"/>
  <c r="B3523" i="1"/>
  <c r="B3522" i="1"/>
  <c r="B3521" i="1"/>
  <c r="B3520" i="1"/>
  <c r="B3519" i="1"/>
  <c r="B3518" i="1"/>
  <c r="B3517" i="1"/>
  <c r="B3516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4" i="1"/>
  <c r="B3463" i="1"/>
  <c r="B3462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5" i="1"/>
  <c r="B3434" i="1"/>
  <c r="B3433" i="1"/>
  <c r="B3432" i="1"/>
  <c r="B3431" i="1"/>
  <c r="B3430" i="1"/>
  <c r="B3429" i="1"/>
  <c r="B3428" i="1"/>
  <c r="B3426" i="1"/>
  <c r="B3425" i="1"/>
  <c r="B3424" i="1"/>
  <c r="B3422" i="1"/>
  <c r="B3421" i="1"/>
  <c r="B3420" i="1"/>
  <c r="B3419" i="1"/>
  <c r="B3418" i="1"/>
  <c r="B3417" i="1"/>
  <c r="B3416" i="1"/>
  <c r="B3415" i="1"/>
  <c r="B3414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4" i="1"/>
  <c r="B3373" i="1"/>
  <c r="B3372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7" i="1"/>
  <c r="B3346" i="1"/>
  <c r="B3345" i="1"/>
  <c r="B3344" i="1"/>
  <c r="B3343" i="1"/>
  <c r="B3342" i="1"/>
  <c r="B3340" i="1"/>
  <c r="B3338" i="1"/>
  <c r="B3337" i="1"/>
  <c r="B3336" i="1"/>
  <c r="B3335" i="1"/>
  <c r="B3334" i="1"/>
  <c r="B3333" i="1"/>
  <c r="B3332" i="1"/>
  <c r="B3331" i="1"/>
  <c r="B3329" i="1"/>
  <c r="B3328" i="1"/>
  <c r="B3327" i="1"/>
  <c r="B3326" i="1"/>
  <c r="B3325" i="1"/>
  <c r="B3324" i="1"/>
  <c r="B3322" i="1"/>
  <c r="B3320" i="1"/>
  <c r="B3319" i="1"/>
  <c r="B3318" i="1"/>
  <c r="B3317" i="1"/>
  <c r="B3316" i="1"/>
  <c r="B3315" i="1"/>
  <c r="B3314" i="1"/>
  <c r="B3313" i="1"/>
  <c r="B3312" i="1"/>
  <c r="B3310" i="1"/>
  <c r="B3309" i="1"/>
  <c r="B3308" i="1"/>
  <c r="B3307" i="1"/>
  <c r="B3306" i="1"/>
  <c r="B3305" i="1"/>
  <c r="B3304" i="1"/>
  <c r="B3303" i="1"/>
  <c r="B3301" i="1"/>
  <c r="B3299" i="1"/>
  <c r="B3298" i="1"/>
  <c r="B3297" i="1"/>
  <c r="B3296" i="1"/>
  <c r="B3294" i="1"/>
  <c r="B3293" i="1"/>
  <c r="B3292" i="1"/>
  <c r="B3291" i="1"/>
  <c r="B3289" i="1"/>
  <c r="B3287" i="1"/>
  <c r="B3286" i="1"/>
  <c r="B3285" i="1"/>
  <c r="B3284" i="1"/>
  <c r="B3283" i="1"/>
  <c r="B3282" i="1"/>
  <c r="B3280" i="1"/>
  <c r="B3279" i="1"/>
  <c r="B3278" i="1"/>
  <c r="B3277" i="1"/>
  <c r="B3276" i="1"/>
  <c r="B3275" i="1"/>
  <c r="B3274" i="1"/>
  <c r="B3273" i="1"/>
  <c r="B3271" i="1"/>
  <c r="B3270" i="1"/>
  <c r="B3269" i="1"/>
  <c r="B3268" i="1"/>
  <c r="B3267" i="1"/>
  <c r="B3266" i="1"/>
  <c r="B3265" i="1"/>
  <c r="B3264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7" i="1"/>
  <c r="B3246" i="1"/>
  <c r="B3245" i="1"/>
  <c r="B3244" i="1"/>
  <c r="B3243" i="1"/>
  <c r="B3242" i="1"/>
  <c r="B3241" i="1"/>
  <c r="B3240" i="1"/>
  <c r="B3239" i="1"/>
  <c r="B3237" i="1"/>
  <c r="B3236" i="1"/>
  <c r="B3235" i="1"/>
  <c r="B3233" i="1"/>
  <c r="B3232" i="1"/>
  <c r="B3231" i="1"/>
  <c r="B3229" i="1"/>
  <c r="B3228" i="1"/>
  <c r="B3226" i="1"/>
  <c r="B3225" i="1"/>
  <c r="B3223" i="1"/>
  <c r="B3222" i="1"/>
  <c r="B3220" i="1"/>
  <c r="B3219" i="1"/>
  <c r="B3217" i="1"/>
  <c r="B3215" i="1"/>
  <c r="B3214" i="1"/>
  <c r="B3213" i="1"/>
  <c r="B3212" i="1"/>
  <c r="B3210" i="1"/>
  <c r="B3208" i="1"/>
  <c r="B3207" i="1"/>
  <c r="B3206" i="1"/>
  <c r="B3204" i="1"/>
  <c r="B3203" i="1"/>
  <c r="B3202" i="1"/>
  <c r="B3201" i="1"/>
  <c r="B3200" i="1"/>
  <c r="B3199" i="1"/>
  <c r="B3198" i="1"/>
  <c r="B3196" i="1"/>
  <c r="B3194" i="1"/>
  <c r="B3193" i="1"/>
  <c r="B3191" i="1"/>
  <c r="B3190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5" i="1"/>
  <c r="B3173" i="1"/>
  <c r="B3172" i="1"/>
  <c r="B3171" i="1"/>
  <c r="B3170" i="1"/>
  <c r="B3168" i="1"/>
  <c r="B3166" i="1"/>
  <c r="B3165" i="1"/>
  <c r="B3164" i="1"/>
  <c r="B3163" i="1"/>
  <c r="B3162" i="1"/>
  <c r="B3161" i="1"/>
  <c r="B3160" i="1"/>
  <c r="B3158" i="1"/>
  <c r="B3156" i="1"/>
  <c r="B3155" i="1"/>
  <c r="B3154" i="1"/>
  <c r="B3152" i="1"/>
  <c r="B3151" i="1"/>
  <c r="B3149" i="1"/>
  <c r="B3147" i="1"/>
  <c r="B3145" i="1"/>
  <c r="B3143" i="1"/>
  <c r="B3141" i="1"/>
  <c r="B3140" i="1"/>
  <c r="B3139" i="1"/>
  <c r="B3138" i="1"/>
  <c r="B3136" i="1"/>
  <c r="B3135" i="1"/>
  <c r="B3134" i="1"/>
  <c r="B3133" i="1"/>
  <c r="B3132" i="1"/>
  <c r="B3131" i="1"/>
  <c r="B3129" i="1"/>
  <c r="B3128" i="1"/>
  <c r="B3127" i="1"/>
  <c r="B3126" i="1"/>
  <c r="B3125" i="1"/>
  <c r="B3124" i="1"/>
  <c r="B3123" i="1"/>
  <c r="B3122" i="1"/>
  <c r="B3120" i="1"/>
  <c r="B3119" i="1"/>
  <c r="B3118" i="1"/>
  <c r="B3117" i="1"/>
  <c r="B3116" i="1"/>
  <c r="B3114" i="1"/>
  <c r="B3113" i="1"/>
  <c r="B3112" i="1"/>
  <c r="B3110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7" i="1"/>
  <c r="B3086" i="1"/>
  <c r="B3084" i="1"/>
  <c r="B3083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6" i="1"/>
  <c r="B3055" i="1"/>
  <c r="B3054" i="1"/>
  <c r="B3053" i="1"/>
  <c r="B3052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5" i="1"/>
  <c r="B3024" i="1"/>
  <c r="B3023" i="1"/>
  <c r="B3022" i="1"/>
  <c r="B3021" i="1"/>
  <c r="B3019" i="1"/>
  <c r="B3018" i="1"/>
  <c r="B3017" i="1"/>
  <c r="B3016" i="1"/>
  <c r="B3015" i="1"/>
  <c r="B3013" i="1"/>
  <c r="B3011" i="1"/>
  <c r="B3009" i="1"/>
  <c r="B3008" i="1"/>
  <c r="B3007" i="1"/>
  <c r="B3006" i="1"/>
  <c r="B3004" i="1"/>
  <c r="B3002" i="1"/>
  <c r="B3001" i="1"/>
  <c r="B2999" i="1"/>
  <c r="B2997" i="1"/>
  <c r="B2995" i="1"/>
  <c r="B2993" i="1"/>
  <c r="B2992" i="1"/>
  <c r="B2991" i="1"/>
  <c r="B2990" i="1"/>
  <c r="B2989" i="1"/>
  <c r="B2988" i="1"/>
  <c r="B2987" i="1"/>
  <c r="B2985" i="1"/>
  <c r="B2983" i="1"/>
  <c r="B2982" i="1"/>
  <c r="B2981" i="1"/>
  <c r="B2979" i="1"/>
  <c r="B2978" i="1"/>
  <c r="B2976" i="1"/>
  <c r="B2975" i="1"/>
  <c r="B2974" i="1"/>
  <c r="B2972" i="1"/>
  <c r="B2971" i="1"/>
  <c r="B2969" i="1"/>
  <c r="B2968" i="1"/>
  <c r="B2967" i="1"/>
  <c r="B2966" i="1"/>
  <c r="B2965" i="1"/>
  <c r="B2963" i="1"/>
  <c r="B2961" i="1"/>
  <c r="B2959" i="1"/>
  <c r="B2957" i="1"/>
  <c r="B2955" i="1"/>
  <c r="B2953" i="1"/>
  <c r="B2952" i="1"/>
  <c r="B2950" i="1"/>
  <c r="B2948" i="1"/>
  <c r="B2946" i="1"/>
  <c r="B2945" i="1"/>
  <c r="B2943" i="1"/>
  <c r="B2942" i="1"/>
  <c r="B2941" i="1"/>
  <c r="B2940" i="1"/>
  <c r="B2938" i="1"/>
  <c r="B2937" i="1"/>
  <c r="B2936" i="1"/>
  <c r="B2934" i="1"/>
  <c r="B2933" i="1"/>
  <c r="B2932" i="1"/>
  <c r="B2931" i="1"/>
  <c r="B2930" i="1"/>
  <c r="B2929" i="1"/>
  <c r="B2927" i="1"/>
  <c r="B2926" i="1"/>
  <c r="B2925" i="1"/>
  <c r="B2923" i="1"/>
  <c r="B2922" i="1"/>
  <c r="B2921" i="1"/>
  <c r="B2919" i="1"/>
  <c r="B2918" i="1"/>
  <c r="B2917" i="1"/>
  <c r="B2916" i="1"/>
  <c r="B2915" i="1"/>
  <c r="B2913" i="1"/>
  <c r="B2912" i="1"/>
  <c r="B2911" i="1"/>
  <c r="B2909" i="1"/>
  <c r="B2908" i="1"/>
  <c r="B2906" i="1"/>
  <c r="B2904" i="1"/>
  <c r="B2903" i="1"/>
  <c r="B2902" i="1"/>
  <c r="B2901" i="1"/>
  <c r="B2899" i="1"/>
  <c r="B2898" i="1"/>
  <c r="B2896" i="1"/>
  <c r="B2895" i="1"/>
  <c r="B2894" i="1"/>
  <c r="B2893" i="1"/>
  <c r="B2892" i="1"/>
  <c r="B2891" i="1"/>
  <c r="B2889" i="1"/>
  <c r="B2888" i="1"/>
  <c r="B2886" i="1"/>
  <c r="B2885" i="1"/>
  <c r="B2884" i="1"/>
  <c r="B2883" i="1"/>
  <c r="B2882" i="1"/>
  <c r="B2881" i="1"/>
  <c r="B2879" i="1"/>
  <c r="B2878" i="1"/>
  <c r="B2877" i="1"/>
  <c r="B2876" i="1"/>
  <c r="B2875" i="1"/>
  <c r="B2874" i="1"/>
  <c r="B2873" i="1"/>
  <c r="B2871" i="1"/>
  <c r="B2870" i="1"/>
  <c r="B2869" i="1"/>
  <c r="B2868" i="1"/>
  <c r="B2867" i="1"/>
  <c r="B2866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8" i="1"/>
  <c r="B2847" i="1"/>
  <c r="B2846" i="1"/>
  <c r="B2845" i="1"/>
  <c r="B2844" i="1"/>
  <c r="B2843" i="1"/>
  <c r="B2842" i="1"/>
  <c r="B2841" i="1"/>
  <c r="B2840" i="1"/>
  <c r="B2838" i="1"/>
  <c r="B2837" i="1"/>
  <c r="B2836" i="1"/>
  <c r="B2834" i="1"/>
  <c r="B2833" i="1"/>
  <c r="B2831" i="1"/>
  <c r="B2830" i="1"/>
  <c r="B2829" i="1"/>
  <c r="B2828" i="1"/>
  <c r="B2827" i="1"/>
  <c r="B2826" i="1"/>
  <c r="B2824" i="1"/>
  <c r="B2823" i="1"/>
  <c r="B2822" i="1"/>
  <c r="B2821" i="1"/>
  <c r="B2820" i="1"/>
  <c r="B2819" i="1"/>
  <c r="B2818" i="1"/>
  <c r="B2817" i="1"/>
  <c r="B2816" i="1"/>
  <c r="B2815" i="1"/>
  <c r="B2813" i="1"/>
  <c r="B2811" i="1"/>
  <c r="B2810" i="1"/>
  <c r="B2809" i="1"/>
  <c r="B2807" i="1"/>
  <c r="B2806" i="1"/>
  <c r="B2805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69" i="1"/>
  <c r="B2768" i="1"/>
  <c r="B2767" i="1"/>
  <c r="B2766" i="1"/>
  <c r="B2764" i="1"/>
  <c r="B2763" i="1"/>
  <c r="B2762" i="1"/>
  <c r="B2761" i="1"/>
  <c r="B2760" i="1"/>
  <c r="B2758" i="1"/>
  <c r="B2757" i="1"/>
  <c r="B2756" i="1"/>
  <c r="B2755" i="1"/>
  <c r="B2754" i="1"/>
  <c r="B2753" i="1"/>
  <c r="B2752" i="1"/>
  <c r="B2751" i="1"/>
  <c r="B2750" i="1"/>
  <c r="B2749" i="1"/>
  <c r="B2747" i="1"/>
  <c r="B2746" i="1"/>
  <c r="B2745" i="1"/>
  <c r="B2744" i="1"/>
  <c r="B2743" i="1"/>
  <c r="B2742" i="1"/>
  <c r="B2741" i="1"/>
  <c r="B2739" i="1"/>
  <c r="B2738" i="1"/>
  <c r="B2737" i="1"/>
  <c r="B2736" i="1"/>
  <c r="B2735" i="1"/>
  <c r="B2734" i="1"/>
  <c r="B2733" i="1"/>
  <c r="B2732" i="1"/>
  <c r="B2730" i="1"/>
  <c r="B2729" i="1"/>
  <c r="B2728" i="1"/>
  <c r="B2727" i="1"/>
  <c r="B2726" i="1"/>
  <c r="B2725" i="1"/>
  <c r="B2724" i="1"/>
  <c r="B2723" i="1"/>
  <c r="B2721" i="1"/>
  <c r="B2720" i="1"/>
  <c r="B2719" i="1"/>
  <c r="B2718" i="1"/>
  <c r="B2717" i="1"/>
  <c r="B2716" i="1"/>
  <c r="B2714" i="1"/>
  <c r="B2712" i="1"/>
  <c r="B2711" i="1"/>
  <c r="B2710" i="1"/>
  <c r="B2709" i="1"/>
  <c r="B2708" i="1"/>
  <c r="B2706" i="1"/>
  <c r="B2705" i="1"/>
  <c r="B2704" i="1"/>
  <c r="B2703" i="1"/>
  <c r="B2702" i="1"/>
  <c r="B2701" i="1"/>
  <c r="B2700" i="1"/>
  <c r="B2699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79" i="1"/>
  <c r="B2677" i="1"/>
  <c r="B2676" i="1"/>
  <c r="B2675" i="1"/>
  <c r="B2674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8" i="1"/>
  <c r="B2597" i="1"/>
  <c r="B2596" i="1"/>
  <c r="B2594" i="1"/>
  <c r="B2593" i="1"/>
  <c r="B2592" i="1"/>
  <c r="B2591" i="1"/>
  <c r="B2589" i="1"/>
  <c r="B2588" i="1"/>
  <c r="B2587" i="1"/>
  <c r="B2586" i="1"/>
  <c r="B2584" i="1"/>
  <c r="B2583" i="1"/>
  <c r="B2582" i="1"/>
  <c r="B2581" i="1"/>
  <c r="B2579" i="1"/>
  <c r="B2578" i="1"/>
  <c r="B2577" i="1"/>
  <c r="B2576" i="1"/>
  <c r="B2574" i="1"/>
  <c r="B2573" i="1"/>
  <c r="B2572" i="1"/>
  <c r="B2571" i="1"/>
  <c r="B2569" i="1"/>
  <c r="B2568" i="1"/>
  <c r="B2567" i="1"/>
  <c r="B2565" i="1"/>
  <c r="B2564" i="1"/>
  <c r="B2563" i="1"/>
  <c r="B2561" i="1"/>
  <c r="B2560" i="1"/>
  <c r="B2559" i="1"/>
  <c r="B2558" i="1"/>
  <c r="B2557" i="1"/>
  <c r="B2556" i="1"/>
  <c r="B2554" i="1"/>
  <c r="B2553" i="1"/>
  <c r="B2552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5" i="1"/>
  <c r="B2524" i="1"/>
  <c r="B2523" i="1"/>
  <c r="B2522" i="1"/>
  <c r="B2521" i="1"/>
  <c r="B2520" i="1"/>
  <c r="B2519" i="1"/>
  <c r="B2518" i="1"/>
  <c r="B2517" i="1"/>
  <c r="B2516" i="1"/>
  <c r="B2514" i="1"/>
  <c r="B2513" i="1"/>
  <c r="B2512" i="1"/>
  <c r="B2511" i="1"/>
  <c r="B2510" i="1"/>
  <c r="B2509" i="1"/>
  <c r="B2507" i="1"/>
  <c r="B2506" i="1"/>
  <c r="B2505" i="1"/>
  <c r="B2504" i="1"/>
  <c r="B2503" i="1"/>
  <c r="B2502" i="1"/>
  <c r="B2501" i="1"/>
  <c r="B2500" i="1"/>
  <c r="B2498" i="1"/>
  <c r="B2497" i="1"/>
  <c r="B2496" i="1"/>
  <c r="B2495" i="1"/>
  <c r="B2494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79" i="1"/>
  <c r="B2478" i="1"/>
  <c r="B2477" i="1"/>
  <c r="B2476" i="1"/>
  <c r="B2475" i="1"/>
  <c r="B2474" i="1"/>
  <c r="B2473" i="1"/>
  <c r="B2472" i="1"/>
  <c r="B2471" i="1"/>
  <c r="B2469" i="1"/>
  <c r="B2468" i="1"/>
  <c r="B2467" i="1"/>
  <c r="B2465" i="1"/>
  <c r="B2463" i="1"/>
  <c r="B2462" i="1"/>
  <c r="B2461" i="1"/>
  <c r="B2460" i="1"/>
  <c r="B2458" i="1"/>
  <c r="B2457" i="1"/>
  <c r="B2456" i="1"/>
  <c r="B2455" i="1"/>
  <c r="B2454" i="1"/>
  <c r="B2452" i="1"/>
  <c r="B2451" i="1"/>
  <c r="B2450" i="1"/>
  <c r="B2449" i="1"/>
  <c r="B2448" i="1"/>
  <c r="B2447" i="1"/>
  <c r="B2446" i="1"/>
  <c r="B2445" i="1"/>
  <c r="B2444" i="1"/>
  <c r="B2443" i="1"/>
  <c r="B2442" i="1"/>
  <c r="B2440" i="1"/>
  <c r="B2439" i="1"/>
  <c r="B2438" i="1"/>
  <c r="B2436" i="1"/>
  <c r="B2435" i="1"/>
  <c r="B2434" i="1"/>
  <c r="B2433" i="1"/>
  <c r="B2432" i="1"/>
  <c r="B2431" i="1"/>
  <c r="B2429" i="1"/>
  <c r="B2428" i="1"/>
  <c r="B2427" i="1"/>
  <c r="B2426" i="1"/>
  <c r="B2424" i="1"/>
  <c r="B2423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5" i="1"/>
  <c r="B2364" i="1"/>
  <c r="B2363" i="1"/>
  <c r="B2362" i="1"/>
  <c r="B2361" i="1"/>
  <c r="B2360" i="1"/>
  <c r="B2358" i="1"/>
  <c r="B2356" i="1"/>
  <c r="B2355" i="1"/>
  <c r="B2354" i="1"/>
  <c r="B2353" i="1"/>
  <c r="B2352" i="1"/>
  <c r="B2351" i="1"/>
  <c r="B2350" i="1"/>
  <c r="B2349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7" i="1"/>
  <c r="B2256" i="1"/>
  <c r="B2255" i="1"/>
  <c r="B2254" i="1"/>
  <c r="B2253" i="1"/>
  <c r="B2252" i="1"/>
  <c r="B2251" i="1"/>
  <c r="B2250" i="1"/>
  <c r="B2249" i="1"/>
  <c r="B2247" i="1"/>
  <c r="B2246" i="1"/>
  <c r="B2245" i="1"/>
  <c r="B2244" i="1"/>
  <c r="B2243" i="1"/>
  <c r="B2242" i="1"/>
  <c r="B2241" i="1"/>
  <c r="B2239" i="1"/>
  <c r="B2238" i="1"/>
  <c r="B2237" i="1"/>
  <c r="B2236" i="1"/>
  <c r="B2235" i="1"/>
  <c r="B2234" i="1"/>
  <c r="B2233" i="1"/>
  <c r="B2231" i="1"/>
  <c r="B2230" i="1"/>
  <c r="B2229" i="1"/>
  <c r="B2228" i="1"/>
  <c r="B2227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6" i="1"/>
  <c r="B2205" i="1"/>
  <c r="B2204" i="1"/>
  <c r="B2202" i="1"/>
  <c r="B2201" i="1"/>
  <c r="B2200" i="1"/>
  <c r="B2199" i="1"/>
  <c r="B2197" i="1"/>
  <c r="B2196" i="1"/>
  <c r="B2195" i="1"/>
  <c r="B2194" i="1"/>
  <c r="B2193" i="1"/>
  <c r="B2192" i="1"/>
  <c r="B2191" i="1"/>
  <c r="B2190" i="1"/>
  <c r="B2189" i="1"/>
  <c r="B2187" i="1"/>
  <c r="B2186" i="1"/>
  <c r="B2185" i="1"/>
  <c r="B2184" i="1"/>
  <c r="B2183" i="1"/>
  <c r="B2182" i="1"/>
  <c r="B2181" i="1"/>
  <c r="B2180" i="1"/>
  <c r="B2179" i="1"/>
  <c r="B2177" i="1"/>
  <c r="B2176" i="1"/>
  <c r="B2174" i="1"/>
  <c r="B2173" i="1"/>
  <c r="B2171" i="1"/>
  <c r="B2170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3" i="1"/>
  <c r="B2152" i="1"/>
  <c r="B2151" i="1"/>
  <c r="B2150" i="1"/>
  <c r="B2149" i="1"/>
  <c r="B2148" i="1"/>
  <c r="B2147" i="1"/>
  <c r="B2146" i="1"/>
  <c r="B2145" i="1"/>
  <c r="B2144" i="1"/>
  <c r="B2142" i="1"/>
  <c r="B2140" i="1"/>
  <c r="B2139" i="1"/>
  <c r="B2138" i="1"/>
  <c r="B2137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0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0" i="1"/>
  <c r="B2089" i="1"/>
  <c r="B2088" i="1"/>
  <c r="B2086" i="1"/>
  <c r="B2085" i="1"/>
  <c r="B2084" i="1"/>
  <c r="B2083" i="1"/>
  <c r="B2082" i="1"/>
  <c r="B2081" i="1"/>
  <c r="B2080" i="1"/>
  <c r="B2079" i="1"/>
  <c r="B2078" i="1"/>
  <c r="B2076" i="1"/>
  <c r="B2075" i="1"/>
  <c r="B2074" i="1"/>
  <c r="B2072" i="1"/>
  <c r="B2071" i="1"/>
  <c r="B2070" i="1"/>
  <c r="B2069" i="1"/>
  <c r="B2068" i="1"/>
  <c r="B2067" i="1"/>
  <c r="B2066" i="1"/>
  <c r="B2065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8" i="1"/>
  <c r="B2037" i="1"/>
  <c r="B2036" i="1"/>
  <c r="B2035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6" i="1"/>
  <c r="B1944" i="1"/>
  <c r="B1943" i="1"/>
  <c r="B1942" i="1"/>
  <c r="B1940" i="1"/>
  <c r="B1939" i="1"/>
  <c r="B1938" i="1"/>
  <c r="B1937" i="1"/>
  <c r="B1936" i="1"/>
  <c r="B1935" i="1"/>
  <c r="B1934" i="1"/>
  <c r="B1933" i="1"/>
  <c r="B1932" i="1"/>
  <c r="B1930" i="1"/>
  <c r="B1929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7" i="1"/>
  <c r="B1876" i="1"/>
  <c r="B1875" i="1"/>
  <c r="B1874" i="1"/>
  <c r="B1873" i="1"/>
  <c r="B1872" i="1"/>
  <c r="B1870" i="1"/>
  <c r="B1869" i="1"/>
  <c r="B1868" i="1"/>
  <c r="B1866" i="1"/>
  <c r="B1865" i="1"/>
  <c r="B1863" i="1"/>
  <c r="B1862" i="1"/>
  <c r="B1861" i="1"/>
  <c r="B1860" i="1"/>
  <c r="B1859" i="1"/>
  <c r="B1858" i="1"/>
  <c r="B1857" i="1"/>
  <c r="B1856" i="1"/>
  <c r="B1855" i="1"/>
  <c r="B1853" i="1"/>
  <c r="B1852" i="1"/>
  <c r="B1851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8" i="1"/>
  <c r="B1817" i="1"/>
  <c r="B1816" i="1"/>
  <c r="B1815" i="1"/>
  <c r="B1814" i="1"/>
  <c r="B1813" i="1"/>
  <c r="B1812" i="1"/>
  <c r="B1811" i="1"/>
  <c r="B1810" i="1"/>
  <c r="B1808" i="1"/>
  <c r="B1807" i="1"/>
  <c r="B1806" i="1"/>
  <c r="B1805" i="1"/>
  <c r="B1804" i="1"/>
  <c r="B1803" i="1"/>
  <c r="B1802" i="1"/>
  <c r="B1801" i="1"/>
  <c r="B1800" i="1"/>
  <c r="B1799" i="1"/>
  <c r="B1797" i="1"/>
  <c r="B1796" i="1"/>
  <c r="B1795" i="1"/>
  <c r="B1793" i="1"/>
  <c r="B1792" i="1"/>
  <c r="B1791" i="1"/>
  <c r="B1790" i="1"/>
  <c r="B1788" i="1"/>
  <c r="B1787" i="1"/>
  <c r="B1786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1" i="1"/>
  <c r="B1760" i="1"/>
  <c r="B1759" i="1"/>
  <c r="B1758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1" i="1"/>
  <c r="B1730" i="1"/>
  <c r="B1729" i="1"/>
  <c r="B1728" i="1"/>
  <c r="B1727" i="1"/>
  <c r="B1726" i="1"/>
  <c r="B1724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5" i="1"/>
  <c r="B1704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2" i="1"/>
  <c r="B1611" i="1"/>
  <c r="B1610" i="1"/>
  <c r="B1609" i="1"/>
  <c r="B1608" i="1"/>
  <c r="B1607" i="1"/>
  <c r="B1606" i="1"/>
  <c r="B1605" i="1"/>
  <c r="B1604" i="1"/>
  <c r="B1602" i="1"/>
  <c r="B1601" i="1"/>
  <c r="B1599" i="1"/>
  <c r="B1598" i="1"/>
  <c r="B1597" i="1"/>
  <c r="B1595" i="1"/>
  <c r="B1594" i="1"/>
  <c r="B1593" i="1"/>
  <c r="B1592" i="1"/>
  <c r="B1591" i="1"/>
  <c r="B1590" i="1"/>
  <c r="B1589" i="1"/>
  <c r="B1588" i="1"/>
  <c r="B1587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2" i="1"/>
  <c r="B1571" i="1"/>
  <c r="B1570" i="1"/>
  <c r="B1569" i="1"/>
  <c r="B1568" i="1"/>
  <c r="B1567" i="1"/>
  <c r="B1566" i="1"/>
  <c r="B1564" i="1"/>
  <c r="B1563" i="1"/>
  <c r="B1562" i="1"/>
  <c r="B1561" i="1"/>
  <c r="B1560" i="1"/>
  <c r="B1559" i="1"/>
  <c r="B1558" i="1"/>
  <c r="B1557" i="1"/>
  <c r="B1556" i="1"/>
  <c r="B1554" i="1"/>
  <c r="B1553" i="1"/>
  <c r="B1552" i="1"/>
  <c r="B1551" i="1"/>
  <c r="B1549" i="1"/>
  <c r="B1548" i="1"/>
  <c r="B1547" i="1"/>
  <c r="B1545" i="1"/>
  <c r="B1543" i="1"/>
  <c r="B1542" i="1"/>
  <c r="B1541" i="1"/>
  <c r="B1540" i="1"/>
  <c r="B1539" i="1"/>
  <c r="B1538" i="1"/>
  <c r="B1537" i="1"/>
  <c r="B1536" i="1"/>
  <c r="B1535" i="1"/>
  <c r="B1534" i="1"/>
  <c r="B1532" i="1"/>
  <c r="B1531" i="1"/>
  <c r="B1529" i="1"/>
  <c r="B1528" i="1"/>
  <c r="B1527" i="1"/>
  <c r="B1526" i="1"/>
  <c r="B1524" i="1"/>
  <c r="B1523" i="1"/>
  <c r="B1522" i="1"/>
  <c r="B1521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1" i="1"/>
  <c r="B1480" i="1"/>
  <c r="B1478" i="1"/>
  <c r="B1477" i="1"/>
  <c r="B1476" i="1"/>
  <c r="B1475" i="1"/>
  <c r="B1474" i="1"/>
  <c r="B1472" i="1"/>
  <c r="B1471" i="1"/>
  <c r="B1470" i="1"/>
  <c r="B1469" i="1"/>
  <c r="B1468" i="1"/>
  <c r="B1467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7" i="1"/>
  <c r="B1445" i="1"/>
  <c r="B1444" i="1"/>
  <c r="B1443" i="1"/>
  <c r="B1442" i="1"/>
  <c r="B1441" i="1"/>
  <c r="B1440" i="1"/>
  <c r="B1438" i="1"/>
  <c r="B1437" i="1"/>
  <c r="B1436" i="1"/>
  <c r="B1434" i="1"/>
  <c r="B1433" i="1"/>
  <c r="B1432" i="1"/>
  <c r="B1431" i="1"/>
  <c r="B1430" i="1"/>
  <c r="B1429" i="1"/>
  <c r="B1428" i="1"/>
  <c r="B1427" i="1"/>
  <c r="B1426" i="1"/>
  <c r="B1424" i="1"/>
  <c r="B1423" i="1"/>
  <c r="B1422" i="1"/>
  <c r="B1421" i="1"/>
  <c r="B1420" i="1"/>
  <c r="B1418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2" i="1"/>
  <c r="B1400" i="1"/>
  <c r="B1399" i="1"/>
  <c r="B1398" i="1"/>
  <c r="B1396" i="1"/>
  <c r="B1395" i="1"/>
  <c r="B1394" i="1"/>
  <c r="B1393" i="1"/>
  <c r="B1392" i="1"/>
  <c r="B1390" i="1"/>
  <c r="B1389" i="1"/>
  <c r="B1387" i="1"/>
  <c r="B1386" i="1"/>
  <c r="B1385" i="1"/>
  <c r="B1384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8" i="1"/>
  <c r="B1357" i="1"/>
  <c r="B1355" i="1"/>
  <c r="B1354" i="1"/>
  <c r="B1353" i="1"/>
  <c r="B1352" i="1"/>
  <c r="B1351" i="1"/>
  <c r="B1350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2" i="1"/>
  <c r="B1331" i="1"/>
  <c r="B1330" i="1"/>
  <c r="B1329" i="1"/>
  <c r="B1328" i="1"/>
  <c r="B1327" i="1"/>
  <c r="B1325" i="1"/>
  <c r="B1324" i="1"/>
  <c r="B1323" i="1"/>
  <c r="B1322" i="1"/>
  <c r="B1321" i="1"/>
  <c r="B1320" i="1"/>
  <c r="B1319" i="1"/>
  <c r="B1318" i="1"/>
  <c r="B1317" i="1"/>
  <c r="B1315" i="1"/>
  <c r="B1314" i="1"/>
  <c r="B1313" i="1"/>
  <c r="B1312" i="1"/>
  <c r="B1311" i="1"/>
  <c r="B1310" i="1"/>
  <c r="B1309" i="1"/>
  <c r="B1308" i="1"/>
  <c r="B1307" i="1"/>
  <c r="B1306" i="1"/>
  <c r="B1305" i="1"/>
  <c r="B1303" i="1"/>
  <c r="B1302" i="1"/>
  <c r="B1301" i="1"/>
  <c r="B1299" i="1"/>
  <c r="B1298" i="1"/>
  <c r="B1296" i="1"/>
  <c r="B1295" i="1"/>
  <c r="B1294" i="1"/>
  <c r="B1293" i="1"/>
  <c r="B1292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7" i="1"/>
  <c r="B1276" i="1"/>
  <c r="B1275" i="1"/>
  <c r="B1274" i="1"/>
  <c r="B1273" i="1"/>
  <c r="B1272" i="1"/>
  <c r="B1271" i="1"/>
  <c r="B1270" i="1"/>
  <c r="B1269" i="1"/>
  <c r="B1268" i="1"/>
  <c r="B1267" i="1"/>
  <c r="B1265" i="1"/>
  <c r="B1264" i="1"/>
  <c r="B1263" i="1"/>
  <c r="B1262" i="1"/>
  <c r="B1260" i="1"/>
  <c r="B1259" i="1"/>
  <c r="B1258" i="1"/>
  <c r="B1257" i="1"/>
  <c r="B1256" i="1"/>
  <c r="B1255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09" i="1"/>
  <c r="B1208" i="1"/>
  <c r="B1207" i="1"/>
  <c r="B1206" i="1"/>
  <c r="B1205" i="1"/>
  <c r="B1204" i="1"/>
  <c r="B1203" i="1"/>
  <c r="B1202" i="1"/>
  <c r="B1201" i="1"/>
  <c r="B1200" i="1"/>
  <c r="B1198" i="1"/>
  <c r="B1197" i="1"/>
  <c r="B1196" i="1"/>
  <c r="B1195" i="1"/>
  <c r="B1194" i="1"/>
  <c r="B1192" i="1"/>
  <c r="B1191" i="1"/>
  <c r="B1189" i="1"/>
  <c r="B1188" i="1"/>
  <c r="B1187" i="1"/>
  <c r="B1186" i="1"/>
  <c r="B1185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8" i="1"/>
  <c r="B1156" i="1"/>
  <c r="B1155" i="1"/>
  <c r="B1153" i="1"/>
  <c r="B1152" i="1"/>
  <c r="B1151" i="1"/>
  <c r="B1149" i="1"/>
  <c r="B1148" i="1"/>
  <c r="B1147" i="1"/>
  <c r="B1145" i="1"/>
  <c r="B1144" i="1"/>
  <c r="B1143" i="1"/>
  <c r="B1142" i="1"/>
  <c r="B1141" i="1"/>
  <c r="B1140" i="1"/>
  <c r="B1139" i="1"/>
  <c r="B1138" i="1"/>
  <c r="B1137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2" i="1"/>
  <c r="B1121" i="1"/>
  <c r="B1120" i="1"/>
  <c r="B1119" i="1"/>
  <c r="B1118" i="1"/>
  <c r="B1117" i="1"/>
  <c r="B1116" i="1"/>
  <c r="B1115" i="1"/>
  <c r="B1113" i="1"/>
  <c r="B1112" i="1"/>
  <c r="B1111" i="1"/>
  <c r="B1109" i="1"/>
  <c r="B1107" i="1"/>
  <c r="B1106" i="1"/>
  <c r="B1104" i="1"/>
  <c r="B1103" i="1"/>
  <c r="B1102" i="1"/>
  <c r="B1101" i="1"/>
  <c r="B1100" i="1"/>
  <c r="B1099" i="1"/>
  <c r="B1097" i="1"/>
  <c r="B1096" i="1"/>
  <c r="B1095" i="1"/>
  <c r="B1094" i="1"/>
  <c r="B1093" i="1"/>
  <c r="B1092" i="1"/>
  <c r="B1091" i="1"/>
  <c r="B1090" i="1"/>
  <c r="B1088" i="1"/>
  <c r="B1087" i="1"/>
  <c r="B1086" i="1"/>
  <c r="B1085" i="1"/>
  <c r="B1084" i="1"/>
  <c r="B1082" i="1"/>
  <c r="B1081" i="1"/>
  <c r="B1080" i="1"/>
  <c r="B1079" i="1"/>
  <c r="B1078" i="1"/>
  <c r="B1077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8" i="1"/>
  <c r="B1057" i="1"/>
  <c r="B1055" i="1"/>
  <c r="B1054" i="1"/>
  <c r="B1053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5" i="1"/>
  <c r="B1034" i="1"/>
  <c r="B1033" i="1"/>
  <c r="B1032" i="1"/>
  <c r="B1031" i="1"/>
  <c r="B1030" i="1"/>
  <c r="B1029" i="1"/>
  <c r="B1028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7" i="1"/>
  <c r="B986" i="1"/>
  <c r="B984" i="1"/>
  <c r="B983" i="1"/>
  <c r="B982" i="1"/>
  <c r="B981" i="1"/>
  <c r="B979" i="1"/>
  <c r="B978" i="1"/>
  <c r="B976" i="1"/>
  <c r="B975" i="1"/>
  <c r="B974" i="1"/>
  <c r="B972" i="1"/>
  <c r="B971" i="1"/>
  <c r="B969" i="1"/>
  <c r="B967" i="1"/>
  <c r="B966" i="1"/>
  <c r="B965" i="1"/>
  <c r="B963" i="1"/>
  <c r="B962" i="1"/>
  <c r="B961" i="1"/>
  <c r="B959" i="1"/>
  <c r="B958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1" i="1"/>
  <c r="B930" i="1"/>
  <c r="B929" i="1"/>
  <c r="B928" i="1"/>
  <c r="B926" i="1"/>
  <c r="B925" i="1"/>
  <c r="B924" i="1"/>
  <c r="B923" i="1"/>
  <c r="B922" i="1"/>
  <c r="B921" i="1"/>
  <c r="B920" i="1"/>
  <c r="B919" i="1"/>
  <c r="B918" i="1"/>
  <c r="B916" i="1"/>
  <c r="B915" i="1"/>
  <c r="B914" i="1"/>
  <c r="B913" i="1"/>
  <c r="B912" i="1"/>
  <c r="B911" i="1"/>
  <c r="B909" i="1"/>
  <c r="B908" i="1"/>
  <c r="B907" i="1"/>
  <c r="B906" i="1"/>
  <c r="B905" i="1"/>
  <c r="B904" i="1"/>
  <c r="B903" i="1"/>
  <c r="B901" i="1"/>
  <c r="B900" i="1"/>
  <c r="B899" i="1"/>
  <c r="B898" i="1"/>
  <c r="B897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2" i="1"/>
  <c r="B831" i="1"/>
  <c r="B830" i="1"/>
  <c r="B829" i="1"/>
  <c r="B828" i="1"/>
  <c r="B827" i="1"/>
  <c r="B826" i="1"/>
  <c r="B825" i="1"/>
  <c r="B824" i="1"/>
  <c r="B823" i="1"/>
  <c r="B822" i="1"/>
  <c r="B820" i="1"/>
  <c r="B819" i="1"/>
  <c r="B818" i="1"/>
  <c r="B817" i="1"/>
  <c r="B816" i="1"/>
  <c r="B815" i="1"/>
  <c r="B813" i="1"/>
  <c r="B812" i="1"/>
  <c r="B811" i="1"/>
  <c r="B809" i="1"/>
  <c r="B807" i="1"/>
  <c r="B806" i="1"/>
  <c r="B805" i="1"/>
  <c r="B804" i="1"/>
  <c r="B803" i="1"/>
  <c r="B802" i="1"/>
  <c r="B801" i="1"/>
  <c r="B800" i="1"/>
  <c r="B799" i="1"/>
  <c r="B797" i="1"/>
  <c r="B796" i="1"/>
  <c r="B795" i="1"/>
  <c r="B794" i="1"/>
  <c r="B793" i="1"/>
  <c r="B792" i="1"/>
  <c r="B791" i="1"/>
  <c r="B790" i="1"/>
  <c r="B789" i="1"/>
  <c r="B787" i="1"/>
  <c r="B786" i="1"/>
  <c r="B785" i="1"/>
  <c r="B783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7" i="1"/>
  <c r="B756" i="1"/>
  <c r="B755" i="1"/>
  <c r="B754" i="1"/>
  <c r="B753" i="1"/>
  <c r="B752" i="1"/>
  <c r="B750" i="1"/>
  <c r="B749" i="1"/>
  <c r="B748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0" i="1"/>
  <c r="B728" i="1"/>
  <c r="B727" i="1"/>
  <c r="B726" i="1"/>
  <c r="B725" i="1"/>
  <c r="B724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3" i="1"/>
  <c r="B682" i="1"/>
  <c r="B681" i="1"/>
  <c r="B680" i="1"/>
  <c r="B679" i="1"/>
  <c r="B678" i="1"/>
  <c r="B677" i="1"/>
  <c r="B676" i="1"/>
  <c r="B675" i="1"/>
  <c r="B674" i="1"/>
  <c r="B673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7" i="1"/>
  <c r="B656" i="1"/>
  <c r="B655" i="1"/>
  <c r="B654" i="1"/>
  <c r="B653" i="1"/>
  <c r="B652" i="1"/>
  <c r="B651" i="1"/>
  <c r="B650" i="1"/>
  <c r="B649" i="1"/>
  <c r="B648" i="1"/>
  <c r="B646" i="1"/>
  <c r="B645" i="1"/>
  <c r="B644" i="1"/>
  <c r="B643" i="1"/>
  <c r="B642" i="1"/>
  <c r="B641" i="1"/>
  <c r="B640" i="1"/>
  <c r="B639" i="1"/>
  <c r="B638" i="1"/>
  <c r="B637" i="1"/>
  <c r="B635" i="1"/>
  <c r="B634" i="1"/>
  <c r="B633" i="1"/>
  <c r="B632" i="1"/>
  <c r="B631" i="1"/>
  <c r="B630" i="1"/>
  <c r="B629" i="1"/>
  <c r="B628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2" i="1"/>
  <c r="B611" i="1"/>
  <c r="B610" i="1"/>
  <c r="B609" i="1"/>
  <c r="B608" i="1"/>
  <c r="B607" i="1"/>
  <c r="B606" i="1"/>
  <c r="B605" i="1"/>
  <c r="B604" i="1"/>
  <c r="B603" i="1"/>
  <c r="B602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7" i="1"/>
  <c r="B586" i="1"/>
  <c r="B585" i="1"/>
  <c r="B583" i="1"/>
  <c r="B582" i="1"/>
  <c r="B580" i="1"/>
  <c r="B578" i="1"/>
  <c r="B577" i="1"/>
  <c r="B575" i="1"/>
  <c r="B574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8" i="1"/>
  <c r="B547" i="1"/>
  <c r="B546" i="1"/>
  <c r="B545" i="1"/>
  <c r="B544" i="1"/>
  <c r="B543" i="1"/>
  <c r="B542" i="1"/>
  <c r="B541" i="1"/>
  <c r="B539" i="1"/>
  <c r="B538" i="1"/>
  <c r="B536" i="1"/>
  <c r="B535" i="1"/>
  <c r="B534" i="1"/>
  <c r="B533" i="1"/>
  <c r="B532" i="1"/>
  <c r="B531" i="1"/>
  <c r="B530" i="1"/>
  <c r="B529" i="1"/>
  <c r="B528" i="1"/>
  <c r="B527" i="1"/>
  <c r="B526" i="1"/>
  <c r="B524" i="1"/>
  <c r="B523" i="1"/>
  <c r="B522" i="1"/>
  <c r="B521" i="1"/>
  <c r="B520" i="1"/>
  <c r="B519" i="1"/>
  <c r="B518" i="1"/>
  <c r="B517" i="1"/>
  <c r="B516" i="1"/>
  <c r="B514" i="1"/>
  <c r="B513" i="1"/>
  <c r="B512" i="1"/>
  <c r="B511" i="1"/>
  <c r="B510" i="1"/>
  <c r="B509" i="1"/>
  <c r="B508" i="1"/>
  <c r="B507" i="1"/>
  <c r="B505" i="1"/>
  <c r="B504" i="1"/>
  <c r="B503" i="1"/>
  <c r="B502" i="1"/>
  <c r="B500" i="1"/>
  <c r="B499" i="1"/>
  <c r="B498" i="1"/>
  <c r="B497" i="1"/>
  <c r="B496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7" i="1"/>
  <c r="B476" i="1"/>
  <c r="B475" i="1"/>
  <c r="B474" i="1"/>
  <c r="B473" i="1"/>
  <c r="B472" i="1"/>
  <c r="B471" i="1"/>
  <c r="B469" i="1"/>
  <c r="B468" i="1"/>
  <c r="B467" i="1"/>
  <c r="B466" i="1"/>
  <c r="B464" i="1"/>
  <c r="B463" i="1"/>
  <c r="B461" i="1"/>
  <c r="B460" i="1"/>
  <c r="B459" i="1"/>
  <c r="B457" i="1"/>
  <c r="B456" i="1"/>
  <c r="B454" i="1"/>
  <c r="B453" i="1"/>
  <c r="B452" i="1"/>
  <c r="B450" i="1"/>
  <c r="B449" i="1"/>
  <c r="B448" i="1"/>
  <c r="B447" i="1"/>
  <c r="B446" i="1"/>
  <c r="B445" i="1"/>
  <c r="B444" i="1"/>
  <c r="B443" i="1"/>
  <c r="B442" i="1"/>
  <c r="B441" i="1"/>
  <c r="B440" i="1"/>
  <c r="B438" i="1"/>
  <c r="B437" i="1"/>
  <c r="B436" i="1"/>
  <c r="B435" i="1"/>
  <c r="B434" i="1"/>
  <c r="B433" i="1"/>
  <c r="B432" i="1"/>
  <c r="B430" i="1"/>
  <c r="B429" i="1"/>
  <c r="B428" i="1"/>
  <c r="B427" i="1"/>
  <c r="B426" i="1"/>
  <c r="B425" i="1"/>
  <c r="B423" i="1"/>
  <c r="B422" i="1"/>
  <c r="B421" i="1"/>
  <c r="B420" i="1"/>
  <c r="B419" i="1"/>
  <c r="B418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6" i="1"/>
  <c r="B395" i="1"/>
  <c r="B394" i="1"/>
  <c r="B393" i="1"/>
  <c r="B392" i="1"/>
  <c r="B391" i="1"/>
  <c r="B389" i="1"/>
  <c r="B388" i="1"/>
  <c r="B387" i="1"/>
  <c r="B386" i="1"/>
  <c r="B385" i="1"/>
  <c r="B384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3" i="1"/>
  <c r="B361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6" i="1"/>
  <c r="B345" i="1"/>
  <c r="B344" i="1"/>
  <c r="B343" i="1"/>
  <c r="B342" i="1"/>
  <c r="B341" i="1"/>
  <c r="B340" i="1"/>
  <c r="B339" i="1"/>
  <c r="B338" i="1"/>
  <c r="B337" i="1"/>
  <c r="B336" i="1"/>
  <c r="B334" i="1"/>
  <c r="B333" i="1"/>
  <c r="B332" i="1"/>
  <c r="B331" i="1"/>
  <c r="B330" i="1"/>
  <c r="B329" i="1"/>
  <c r="B328" i="1"/>
  <c r="B326" i="1"/>
  <c r="B325" i="1"/>
  <c r="B324" i="1"/>
  <c r="B323" i="1"/>
  <c r="B322" i="1"/>
  <c r="B321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2" i="1"/>
  <c r="B301" i="1"/>
  <c r="B300" i="1"/>
  <c r="B299" i="1"/>
  <c r="B298" i="1"/>
  <c r="B297" i="1"/>
  <c r="B296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79" i="1"/>
  <c r="B278" i="1"/>
  <c r="B277" i="1"/>
  <c r="B276" i="1"/>
  <c r="B275" i="1"/>
  <c r="B273" i="1"/>
  <c r="B272" i="1"/>
  <c r="B271" i="1"/>
  <c r="B270" i="1"/>
  <c r="B269" i="1"/>
  <c r="B268" i="1"/>
  <c r="B267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2" i="1"/>
  <c r="B241" i="1"/>
  <c r="B240" i="1"/>
  <c r="B239" i="1"/>
  <c r="B238" i="1"/>
  <c r="B237" i="1"/>
  <c r="B235" i="1"/>
  <c r="B234" i="1"/>
  <c r="B233" i="1"/>
  <c r="B231" i="1"/>
  <c r="B230" i="1"/>
  <c r="B229" i="1"/>
  <c r="B228" i="1"/>
  <c r="B227" i="1"/>
  <c r="B225" i="1"/>
  <c r="B224" i="1"/>
  <c r="B222" i="1"/>
  <c r="B221" i="1"/>
  <c r="B220" i="1"/>
  <c r="B219" i="1"/>
  <c r="B218" i="1"/>
  <c r="B216" i="1"/>
  <c r="B215" i="1"/>
  <c r="B214" i="1"/>
  <c r="B213" i="1"/>
  <c r="B212" i="1"/>
  <c r="B211" i="1"/>
  <c r="B210" i="1"/>
  <c r="B208" i="1"/>
  <c r="B207" i="1"/>
  <c r="B206" i="1"/>
  <c r="B205" i="1"/>
  <c r="B204" i="1"/>
  <c r="B203" i="1"/>
  <c r="B202" i="1"/>
  <c r="B201" i="1"/>
  <c r="B200" i="1"/>
  <c r="B199" i="1"/>
  <c r="B197" i="1"/>
  <c r="B196" i="1"/>
  <c r="B195" i="1"/>
  <c r="B194" i="1"/>
  <c r="B193" i="1"/>
  <c r="B192" i="1"/>
  <c r="B191" i="1"/>
  <c r="B190" i="1"/>
  <c r="B189" i="1"/>
  <c r="B187" i="1"/>
  <c r="B186" i="1"/>
  <c r="B185" i="1"/>
  <c r="B184" i="1"/>
  <c r="B183" i="1"/>
  <c r="B182" i="1"/>
  <c r="B181" i="1"/>
  <c r="B180" i="1"/>
  <c r="B179" i="1"/>
  <c r="B178" i="1"/>
  <c r="B177" i="1"/>
  <c r="B175" i="1"/>
  <c r="B174" i="1"/>
  <c r="B173" i="1"/>
  <c r="B172" i="1"/>
  <c r="B170" i="1"/>
  <c r="B169" i="1"/>
  <c r="B168" i="1"/>
  <c r="B167" i="1"/>
  <c r="B166" i="1"/>
  <c r="B16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6" i="1"/>
  <c r="B145" i="1"/>
  <c r="B144" i="1"/>
  <c r="B143" i="1"/>
  <c r="B142" i="1"/>
  <c r="B141" i="1"/>
  <c r="B140" i="1"/>
  <c r="B139" i="1"/>
  <c r="B137" i="1"/>
  <c r="B136" i="1"/>
  <c r="B135" i="1"/>
  <c r="B134" i="1"/>
  <c r="B133" i="1"/>
  <c r="B131" i="1"/>
  <c r="B129" i="1"/>
  <c r="B128" i="1"/>
  <c r="B127" i="1"/>
  <c r="B126" i="1"/>
  <c r="B124" i="1"/>
  <c r="B123" i="1"/>
  <c r="B121" i="1"/>
  <c r="B119" i="1"/>
  <c r="B118" i="1"/>
  <c r="B117" i="1"/>
  <c r="B116" i="1"/>
  <c r="B115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4" i="1"/>
  <c r="B83" i="1"/>
  <c r="B82" i="1"/>
  <c r="B81" i="1"/>
  <c r="B79" i="1"/>
  <c r="B78" i="1"/>
  <c r="B76" i="1"/>
  <c r="B75" i="1"/>
  <c r="B73" i="1"/>
  <c r="B72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0" i="1"/>
  <c r="B29" i="1"/>
  <c r="B28" i="1"/>
  <c r="B27" i="1"/>
  <c r="B26" i="1"/>
  <c r="B25" i="1"/>
  <c r="B24" i="1"/>
  <c r="B22" i="1"/>
  <c r="B21" i="1"/>
  <c r="B20" i="1"/>
  <c r="B19" i="1"/>
  <c r="B18" i="1"/>
  <c r="B17" i="1"/>
  <c r="B16" i="1"/>
  <c r="B15" i="1"/>
  <c r="B14" i="1"/>
  <c r="B13" i="1"/>
  <c r="B12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<sst xmlns="http://schemas.openxmlformats.org/spreadsheetml/2006/main" count="21177" uniqueCount="2415">
  <si>
    <t xml:space="preserve">Nature's Own Fish Oil </t>
  </si>
  <si>
    <t>$19.99</t>
  </si>
  <si>
    <t>$17.97</t>
  </si>
  <si>
    <t>$17.98</t>
  </si>
  <si>
    <t>$10.47</t>
  </si>
  <si>
    <t>$10.48</t>
  </si>
  <si>
    <t>$29.99</t>
  </si>
  <si>
    <t>$15.75</t>
  </si>
  <si>
    <t>$17.99</t>
  </si>
  <si>
    <t>$23.96</t>
  </si>
  <si>
    <t>$24.99</t>
  </si>
  <si>
    <t>$27.96</t>
  </si>
  <si>
    <t>$14.97</t>
  </si>
  <si>
    <t>$14.98</t>
  </si>
  <si>
    <t>$9.97</t>
  </si>
  <si>
    <t>$9.98</t>
  </si>
  <si>
    <t xml:space="preserve">Nature's Own Cold &amp; Immunity </t>
  </si>
  <si>
    <t>$11.47</t>
  </si>
  <si>
    <t>$11.48</t>
  </si>
  <si>
    <t>$12.47</t>
  </si>
  <si>
    <t>$12.48</t>
  </si>
  <si>
    <t>$8.47</t>
  </si>
  <si>
    <t>$8.48</t>
  </si>
  <si>
    <t>$15.15</t>
  </si>
  <si>
    <t>$18.97</t>
  </si>
  <si>
    <t>$18.98</t>
  </si>
  <si>
    <t>$6.97</t>
  </si>
  <si>
    <t>$6.98</t>
  </si>
  <si>
    <t>$7.25</t>
  </si>
  <si>
    <t>$22.97</t>
  </si>
  <si>
    <t>$22.98</t>
  </si>
  <si>
    <t xml:space="preserve">Nature's Own Digestion &amp; Detox </t>
  </si>
  <si>
    <t>$8.99</t>
  </si>
  <si>
    <t>$10.91</t>
  </si>
  <si>
    <t>$8.37</t>
  </si>
  <si>
    <t>$8.38</t>
  </si>
  <si>
    <t>$15.97</t>
  </si>
  <si>
    <t>$15.98</t>
  </si>
  <si>
    <t>$8.97</t>
  </si>
  <si>
    <t>$8.98</t>
  </si>
  <si>
    <t xml:space="preserve">Nature's Own Energy &amp; Performance </t>
  </si>
  <si>
    <t>$6.47</t>
  </si>
  <si>
    <t>$6.48</t>
  </si>
  <si>
    <t>$7.97</t>
  </si>
  <si>
    <t>$7.98</t>
  </si>
  <si>
    <t>$9.99</t>
  </si>
  <si>
    <t>$10.00</t>
  </si>
  <si>
    <t>$9.75</t>
  </si>
  <si>
    <t>$11.15</t>
  </si>
  <si>
    <t>$13.47</t>
  </si>
  <si>
    <t>$13.48</t>
  </si>
  <si>
    <t>$14.25</t>
  </si>
  <si>
    <t>$16.47</t>
  </si>
  <si>
    <t>$16.48</t>
  </si>
  <si>
    <t>$8.75</t>
  </si>
  <si>
    <t>$13.97</t>
  </si>
  <si>
    <t>$13.98</t>
  </si>
  <si>
    <t xml:space="preserve">Nature's Own Heart &amp; Circulation </t>
  </si>
  <si>
    <t>$15.99</t>
  </si>
  <si>
    <t>$22.47</t>
  </si>
  <si>
    <t>$22.48</t>
  </si>
  <si>
    <t>$16.99</t>
  </si>
  <si>
    <t xml:space="preserve">Nature's Own Joint, Bone &amp; Muscle Health </t>
  </si>
  <si>
    <t>$18.99</t>
  </si>
  <si>
    <t>$6.00</t>
  </si>
  <si>
    <t>$12.97</t>
  </si>
  <si>
    <t>$12.98</t>
  </si>
  <si>
    <t>$19.97</t>
  </si>
  <si>
    <t>$19.98</t>
  </si>
  <si>
    <t>$8.67</t>
  </si>
  <si>
    <t>$8.68</t>
  </si>
  <si>
    <t>$34.96</t>
  </si>
  <si>
    <t>$30.96</t>
  </si>
  <si>
    <t>$7.47</t>
  </si>
  <si>
    <t>$7.48</t>
  </si>
  <si>
    <t xml:space="preserve">Nature's Own Krill Oil </t>
  </si>
  <si>
    <t>$32.96</t>
  </si>
  <si>
    <t>$14.47</t>
  </si>
  <si>
    <t>$14.48</t>
  </si>
  <si>
    <t xml:space="preserve">Nature's Own Men's Health </t>
  </si>
  <si>
    <t>$11.99</t>
  </si>
  <si>
    <t>$12.96</t>
  </si>
  <si>
    <t xml:space="preserve">Nature's Own Multivitamin </t>
  </si>
  <si>
    <t>$15.65</t>
  </si>
  <si>
    <t xml:space="preserve">Nature's Own Sleep Management </t>
  </si>
  <si>
    <t>$11.27</t>
  </si>
  <si>
    <t>$11.28</t>
  </si>
  <si>
    <t xml:space="preserve">Nature's Own Women's Health </t>
  </si>
  <si>
    <t>$8.12</t>
  </si>
  <si>
    <t>$8.13</t>
  </si>
  <si>
    <t>$3.90</t>
  </si>
  <si>
    <t>$24.48</t>
  </si>
  <si>
    <t>$6.99</t>
  </si>
  <si>
    <t>$8.96</t>
  </si>
  <si>
    <t>$5.22</t>
  </si>
  <si>
    <t>$5.23</t>
  </si>
  <si>
    <t>$14.67</t>
  </si>
  <si>
    <t>$14.68</t>
  </si>
  <si>
    <t>$10.99</t>
  </si>
  <si>
    <t>$13.11</t>
  </si>
  <si>
    <t>$26.47</t>
  </si>
  <si>
    <t>$26.48</t>
  </si>
  <si>
    <t xml:space="preserve">Barnes Naturals </t>
  </si>
  <si>
    <t>$7.99</t>
  </si>
  <si>
    <t>$4.00</t>
  </si>
  <si>
    <t>$15.69</t>
  </si>
  <si>
    <t>$11.30</t>
  </si>
  <si>
    <t>$9.39</t>
  </si>
  <si>
    <t>$3.60</t>
  </si>
  <si>
    <t>$25.99</t>
  </si>
  <si>
    <t>$30.00</t>
  </si>
  <si>
    <t>$32.99</t>
  </si>
  <si>
    <t>$17.00</t>
  </si>
  <si>
    <t>$39.99</t>
  </si>
  <si>
    <t>$47.50</t>
  </si>
  <si>
    <t>$3.00</t>
  </si>
  <si>
    <t>$5.99</t>
  </si>
  <si>
    <t>$21.69</t>
  </si>
  <si>
    <t>$8.30</t>
  </si>
  <si>
    <t>$4.60</t>
  </si>
  <si>
    <t>$4.39</t>
  </si>
  <si>
    <t>$2.60</t>
  </si>
  <si>
    <t xml:space="preserve">Bio-Organics Arthritis </t>
  </si>
  <si>
    <t>$26.99</t>
  </si>
  <si>
    <t>$39.96</t>
  </si>
  <si>
    <t>$23.99</t>
  </si>
  <si>
    <t>$21.47</t>
  </si>
  <si>
    <t>$21.48</t>
  </si>
  <si>
    <t>$10.97</t>
  </si>
  <si>
    <t>$10.98</t>
  </si>
  <si>
    <t xml:space="preserve">Bio-Organics Brain &amp; Memory </t>
  </si>
  <si>
    <t xml:space="preserve">Bio-Organics Energy &amp; Stamina </t>
  </si>
  <si>
    <t>$21.97</t>
  </si>
  <si>
    <t>$21.98</t>
  </si>
  <si>
    <t xml:space="preserve">Bio-Organics Bone &amp; Muscle Health </t>
  </si>
  <si>
    <t>$13.62</t>
  </si>
  <si>
    <t>$13.63</t>
  </si>
  <si>
    <t xml:space="preserve">Bio-Organics Men's Health </t>
  </si>
  <si>
    <t xml:space="preserve">Bio-Organics Women's Health </t>
  </si>
  <si>
    <t>$27.00</t>
  </si>
  <si>
    <t>$26.97</t>
  </si>
  <si>
    <t>$26.98</t>
  </si>
  <si>
    <t>$17.47</t>
  </si>
  <si>
    <t>$17.48</t>
  </si>
  <si>
    <t xml:space="preserve">Bio-Organics Glycemix </t>
  </si>
  <si>
    <t>$3.96</t>
  </si>
  <si>
    <t>$2.99</t>
  </si>
  <si>
    <t>$0.96</t>
  </si>
  <si>
    <t>$20.69</t>
  </si>
  <si>
    <t>$7.26</t>
  </si>
  <si>
    <t>$1.96</t>
  </si>
  <si>
    <t>$16.39</t>
  </si>
  <si>
    <t>$3.56</t>
  </si>
  <si>
    <t>$21.99</t>
  </si>
  <si>
    <t>$7.96</t>
  </si>
  <si>
    <t>$6.96</t>
  </si>
  <si>
    <t xml:space="preserve">Bio Island </t>
  </si>
  <si>
    <t>$5.96</t>
  </si>
  <si>
    <t>$2.01</t>
  </si>
  <si>
    <t>$10.96</t>
  </si>
  <si>
    <t>$9.96</t>
  </si>
  <si>
    <t>$22.99</t>
  </si>
  <si>
    <t>$5.00</t>
  </si>
  <si>
    <t>$36.99</t>
  </si>
  <si>
    <t>$8.00</t>
  </si>
  <si>
    <t>$4.96</t>
  </si>
  <si>
    <t>$34.99</t>
  </si>
  <si>
    <t>$15.00</t>
  </si>
  <si>
    <t>$42.99</t>
  </si>
  <si>
    <t>$7.00</t>
  </si>
  <si>
    <t xml:space="preserve">Cenovis Arthritis, Bones &amp; Muscles </t>
  </si>
  <si>
    <t xml:space="preserve">Cenovis Kid's Health </t>
  </si>
  <si>
    <t xml:space="preserve">Cenovis Colds &amp; Immunity </t>
  </si>
  <si>
    <t>$20.99</t>
  </si>
  <si>
    <t>$4.89</t>
  </si>
  <si>
    <t>$4.90</t>
  </si>
  <si>
    <t>$3.47</t>
  </si>
  <si>
    <t>$3.48</t>
  </si>
  <si>
    <t>$5.97</t>
  </si>
  <si>
    <t>$5.98</t>
  </si>
  <si>
    <t>$7.74</t>
  </si>
  <si>
    <t>$7.75</t>
  </si>
  <si>
    <t>$7.84</t>
  </si>
  <si>
    <t>$7.85</t>
  </si>
  <si>
    <t>$4.97</t>
  </si>
  <si>
    <t>$4.98</t>
  </si>
  <si>
    <t xml:space="preserve">Cenovis General Well Being </t>
  </si>
  <si>
    <t>$14.99</t>
  </si>
  <si>
    <t>$4.32</t>
  </si>
  <si>
    <t>$4.33</t>
  </si>
  <si>
    <t>$7.94</t>
  </si>
  <si>
    <t>$7.95</t>
  </si>
  <si>
    <t xml:space="preserve">Cenovis Multivitamins </t>
  </si>
  <si>
    <t>$11.97</t>
  </si>
  <si>
    <t>$11.98</t>
  </si>
  <si>
    <t>$8.89</t>
  </si>
  <si>
    <t>$8.90</t>
  </si>
  <si>
    <t>$9.47</t>
  </si>
  <si>
    <t>$9.48</t>
  </si>
  <si>
    <t xml:space="preserve">Cenovis Energy &amp; Stress </t>
  </si>
  <si>
    <t>$6.62</t>
  </si>
  <si>
    <t>$6.63</t>
  </si>
  <si>
    <t>$13.99</t>
  </si>
  <si>
    <t>$7.64</t>
  </si>
  <si>
    <t>$7.65</t>
  </si>
  <si>
    <t xml:space="preserve">Cenovis Women's Health </t>
  </si>
  <si>
    <t>$6.60</t>
  </si>
  <si>
    <t xml:space="preserve">Cenovis Fish Oil </t>
  </si>
  <si>
    <t>$5.47</t>
  </si>
  <si>
    <t>$5.48</t>
  </si>
  <si>
    <t xml:space="preserve">Blackmores Children's Health </t>
  </si>
  <si>
    <t>$10.39</t>
  </si>
  <si>
    <t>$12.69</t>
  </si>
  <si>
    <t>$4.80</t>
  </si>
  <si>
    <t xml:space="preserve">Blackmores Lyprinol </t>
  </si>
  <si>
    <t>$42.00</t>
  </si>
  <si>
    <t>$35.99</t>
  </si>
  <si>
    <t>$16.00</t>
  </si>
  <si>
    <t>$29.39</t>
  </si>
  <si>
    <t>$13.60</t>
  </si>
  <si>
    <t xml:space="preserve">Blackmores Brain Health </t>
  </si>
  <si>
    <t>$9.60</t>
  </si>
  <si>
    <t>$10.50</t>
  </si>
  <si>
    <t>$8.50</t>
  </si>
  <si>
    <t>$19.69</t>
  </si>
  <si>
    <t>$7.30</t>
  </si>
  <si>
    <t xml:space="preserve">Blackmores Cold, Flu &amp; Immunity </t>
  </si>
  <si>
    <t>$25.00</t>
  </si>
  <si>
    <t>$13.39</t>
  </si>
  <si>
    <t>$5.10</t>
  </si>
  <si>
    <t>$25.39</t>
  </si>
  <si>
    <t>$10.10</t>
  </si>
  <si>
    <t>$10.80</t>
  </si>
  <si>
    <t>$14.69</t>
  </si>
  <si>
    <t>$5.76</t>
  </si>
  <si>
    <t>$7.50</t>
  </si>
  <si>
    <t>$7.80</t>
  </si>
  <si>
    <t>$12.99</t>
  </si>
  <si>
    <t>$3.50</t>
  </si>
  <si>
    <t>$5.50</t>
  </si>
  <si>
    <t>$8.39</t>
  </si>
  <si>
    <t>$3.10</t>
  </si>
  <si>
    <t>$7.39</t>
  </si>
  <si>
    <t>$37.99</t>
  </si>
  <si>
    <t>$11.39</t>
  </si>
  <si>
    <t>$35.69</t>
  </si>
  <si>
    <t>$14.30</t>
  </si>
  <si>
    <t xml:space="preserve">Blackmores Digestive Health </t>
  </si>
  <si>
    <t>$21.39</t>
  </si>
  <si>
    <t>$8.60</t>
  </si>
  <si>
    <t>$5.80</t>
  </si>
  <si>
    <t>$60.69</t>
  </si>
  <si>
    <t>$23.80</t>
  </si>
  <si>
    <t>$5.30</t>
  </si>
  <si>
    <t xml:space="preserve">Blackmores Energy </t>
  </si>
  <si>
    <t>$47.99</t>
  </si>
  <si>
    <t xml:space="preserve">Blackmores Everyday Health </t>
  </si>
  <si>
    <t>$11.50</t>
  </si>
  <si>
    <t>$44.99</t>
  </si>
  <si>
    <t>$44.69</t>
  </si>
  <si>
    <t>$19.80</t>
  </si>
  <si>
    <t>$6.50</t>
  </si>
  <si>
    <t>$27.69</t>
  </si>
  <si>
    <t>$10.30</t>
  </si>
  <si>
    <t>$4.40</t>
  </si>
  <si>
    <t xml:space="preserve">Blackmores Eye Health </t>
  </si>
  <si>
    <t>$31.99</t>
  </si>
  <si>
    <t>$35.39</t>
  </si>
  <si>
    <t>$17.60</t>
  </si>
  <si>
    <t>$15.39</t>
  </si>
  <si>
    <t>$5.60</t>
  </si>
  <si>
    <t>$32.69</t>
  </si>
  <si>
    <t>$4.50</t>
  </si>
  <si>
    <t>$33.99</t>
  </si>
  <si>
    <t>$11.00</t>
  </si>
  <si>
    <t xml:space="preserve">Blackmores Heart &amp; Circulation </t>
  </si>
  <si>
    <t>$49.99</t>
  </si>
  <si>
    <t>$36.69</t>
  </si>
  <si>
    <t>$17.30</t>
  </si>
  <si>
    <t>$27.99</t>
  </si>
  <si>
    <t>$12.00</t>
  </si>
  <si>
    <t>$2.50</t>
  </si>
  <si>
    <t>$31.69</t>
  </si>
  <si>
    <t>$9.00</t>
  </si>
  <si>
    <t>$21.49</t>
  </si>
  <si>
    <t xml:space="preserve">Blackmores Men's Health </t>
  </si>
  <si>
    <t>$27.39</t>
  </si>
  <si>
    <t>$10.60</t>
  </si>
  <si>
    <t>$43.99</t>
  </si>
  <si>
    <t xml:space="preserve">Blackmores Nails, Hair &amp; Skin </t>
  </si>
  <si>
    <t>$11.69</t>
  </si>
  <si>
    <t>$3.30</t>
  </si>
  <si>
    <t>$14.39</t>
  </si>
  <si>
    <t>$7.10</t>
  </si>
  <si>
    <t xml:space="preserve">Blackmores Fish &amp; Krill Oil </t>
  </si>
  <si>
    <t>$14.00</t>
  </si>
  <si>
    <t>$23.00</t>
  </si>
  <si>
    <t>$28.99</t>
  </si>
  <si>
    <t>$22.39</t>
  </si>
  <si>
    <t>$13.00</t>
  </si>
  <si>
    <t xml:space="preserve">Blackmores Stress Relief </t>
  </si>
  <si>
    <t>$17.69</t>
  </si>
  <si>
    <t>$6.80</t>
  </si>
  <si>
    <t>$20.00</t>
  </si>
  <si>
    <t>$25.69</t>
  </si>
  <si>
    <t>$9.10</t>
  </si>
  <si>
    <t xml:space="preserve">Blackmores Teen Health </t>
  </si>
  <si>
    <t xml:space="preserve">Blackmores Weight Management </t>
  </si>
  <si>
    <t xml:space="preserve">Blackmores Women's Health </t>
  </si>
  <si>
    <t>$22.00</t>
  </si>
  <si>
    <t>$35.00</t>
  </si>
  <si>
    <t>$18.50</t>
  </si>
  <si>
    <t>$2.00</t>
  </si>
  <si>
    <t>$26.69</t>
  </si>
  <si>
    <t>$3.80</t>
  </si>
  <si>
    <t>$11.10</t>
  </si>
  <si>
    <t>$24.69</t>
  </si>
  <si>
    <t>$9.69</t>
  </si>
  <si>
    <t>$2.30</t>
  </si>
  <si>
    <t xml:space="preserve">Blackmores Superfood </t>
  </si>
  <si>
    <t xml:space="preserve">Blackmores Probiotics+ </t>
  </si>
  <si>
    <t>$38.99</t>
  </si>
  <si>
    <t>$26.00</t>
  </si>
  <si>
    <t xml:space="preserve">Healtheries </t>
  </si>
  <si>
    <t>$10.69</t>
  </si>
  <si>
    <t>$1.26</t>
  </si>
  <si>
    <t>$5.39</t>
  </si>
  <si>
    <t>$0.60</t>
  </si>
  <si>
    <t>$78.99</t>
  </si>
  <si>
    <t>$2.56</t>
  </si>
  <si>
    <t>$64.99</t>
  </si>
  <si>
    <t>$49.69</t>
  </si>
  <si>
    <t>$5.26</t>
  </si>
  <si>
    <t>$53.99</t>
  </si>
  <si>
    <t>$55.99</t>
  </si>
  <si>
    <t>$40.39</t>
  </si>
  <si>
    <t>$4.56</t>
  </si>
  <si>
    <t>$34.95</t>
  </si>
  <si>
    <t>$34.39</t>
  </si>
  <si>
    <t xml:space="preserve">Ethical Nutrients Evidence Based Probiotics </t>
  </si>
  <si>
    <t>$14.95</t>
  </si>
  <si>
    <t>$14.96</t>
  </si>
  <si>
    <t>$38.96</t>
  </si>
  <si>
    <t>$11.96</t>
  </si>
  <si>
    <t xml:space="preserve">Ethical Nutrients Fish Oil, Arthritis &amp; Pain Relief </t>
  </si>
  <si>
    <t>$51.99</t>
  </si>
  <si>
    <t>$21.51</t>
  </si>
  <si>
    <t>$17.96</t>
  </si>
  <si>
    <t xml:space="preserve">Ethical Nutrients High Absorption Minerals </t>
  </si>
  <si>
    <t>$5.51</t>
  </si>
  <si>
    <t>$6.51</t>
  </si>
  <si>
    <t xml:space="preserve">Ethical Nutrients Immune Support </t>
  </si>
  <si>
    <t>$8.51</t>
  </si>
  <si>
    <t>$6.95</t>
  </si>
  <si>
    <t>$11.51</t>
  </si>
  <si>
    <t>$5.95</t>
  </si>
  <si>
    <t>$7.56</t>
  </si>
  <si>
    <t xml:space="preserve">Ethical Nutrients Cardiovascular, Sleep &amp; Energy Support </t>
  </si>
  <si>
    <t xml:space="preserve">Ethical Nutrients Stress Relief </t>
  </si>
  <si>
    <t>$11.95</t>
  </si>
  <si>
    <t xml:space="preserve">Ethical Nutrients Bums, Tums &amp; Detox </t>
  </si>
  <si>
    <t>$7.51</t>
  </si>
  <si>
    <t xml:space="preserve">Ethical Nutrients Nutritional Protection </t>
  </si>
  <si>
    <t>$15.51</t>
  </si>
  <si>
    <t xml:space="preserve">Ethical Nutrients Therapeutic Male &amp; Female Health Support </t>
  </si>
  <si>
    <t>$20.39</t>
  </si>
  <si>
    <t xml:space="preserve">Ethical Nutrients Mega Magnesium </t>
  </si>
  <si>
    <t>$13.51</t>
  </si>
  <si>
    <t>$12.51</t>
  </si>
  <si>
    <t>$21.96</t>
  </si>
  <si>
    <t xml:space="preserve">Centrum </t>
  </si>
  <si>
    <t>$1.00</t>
  </si>
  <si>
    <t xml:space="preserve">Bioglan Arthritis, Joint, Bone &amp; Muscle </t>
  </si>
  <si>
    <t>$29.96</t>
  </si>
  <si>
    <t xml:space="preserve">Bioglan Cold, Flu &amp; Immunity </t>
  </si>
  <si>
    <t>$5.69</t>
  </si>
  <si>
    <t>$3.26</t>
  </si>
  <si>
    <t xml:space="preserve">Bioglan Digestive Health </t>
  </si>
  <si>
    <t>$16.96</t>
  </si>
  <si>
    <t>$18.00</t>
  </si>
  <si>
    <t>$13.95</t>
  </si>
  <si>
    <t xml:space="preserve">Bioglan Fish Oil &amp; Krill Oil </t>
  </si>
  <si>
    <t>$59.96</t>
  </si>
  <si>
    <t>$62.96</t>
  </si>
  <si>
    <t>$23.95</t>
  </si>
  <si>
    <t>$10.51</t>
  </si>
  <si>
    <t>$26.96</t>
  </si>
  <si>
    <t>$24.39</t>
  </si>
  <si>
    <t>$15.56</t>
  </si>
  <si>
    <t xml:space="preserve">Bioglan Everyday Health </t>
  </si>
  <si>
    <t>$19.96</t>
  </si>
  <si>
    <t>$24.96</t>
  </si>
  <si>
    <t>$20.96</t>
  </si>
  <si>
    <t>$19.95</t>
  </si>
  <si>
    <t>$12.95</t>
  </si>
  <si>
    <t xml:space="preserve">Bioglan Heart &amp; Circulation </t>
  </si>
  <si>
    <t xml:space="preserve">Bioglan Children's Health </t>
  </si>
  <si>
    <t>$2.96</t>
  </si>
  <si>
    <t xml:space="preserve">Bioglan SuperFoods </t>
  </si>
  <si>
    <t>$2.39</t>
  </si>
  <si>
    <t>$1.56</t>
  </si>
  <si>
    <t>$18.69</t>
  </si>
  <si>
    <t>$6.30</t>
  </si>
  <si>
    <t>$5.36</t>
  </si>
  <si>
    <t>$19.39</t>
  </si>
  <si>
    <t>$8.56</t>
  </si>
  <si>
    <t>$4.26</t>
  </si>
  <si>
    <t>$16.69</t>
  </si>
  <si>
    <t>$8.26</t>
  </si>
  <si>
    <t>$10.95</t>
  </si>
  <si>
    <t xml:space="preserve">Bioglan Brain Health </t>
  </si>
  <si>
    <t xml:space="preserve">Bioglan Stress Relief </t>
  </si>
  <si>
    <t xml:space="preserve">Bioglan Eye Health </t>
  </si>
  <si>
    <t>$17.95</t>
  </si>
  <si>
    <t xml:space="preserve">Bioglan Weight Management </t>
  </si>
  <si>
    <t xml:space="preserve">Herron Vitamins </t>
  </si>
  <si>
    <t>$6.87</t>
  </si>
  <si>
    <t>$9.95</t>
  </si>
  <si>
    <t xml:space="preserve">Naturopathica </t>
  </si>
  <si>
    <t>$29.00</t>
  </si>
  <si>
    <t>$22.96</t>
  </si>
  <si>
    <t xml:space="preserve">Swisse Superfoods </t>
  </si>
  <si>
    <t>$13.96</t>
  </si>
  <si>
    <t>$7.76</t>
  </si>
  <si>
    <t xml:space="preserve">Swisse Women's Health </t>
  </si>
  <si>
    <t>$10.26</t>
  </si>
  <si>
    <t xml:space="preserve">Swisse Men's Health </t>
  </si>
  <si>
    <t xml:space="preserve">Swisse Kids &amp; Teen Health </t>
  </si>
  <si>
    <t>$9.16</t>
  </si>
  <si>
    <t>$7.11</t>
  </si>
  <si>
    <t>$8.69</t>
  </si>
  <si>
    <t xml:space="preserve">Swisse Omega 3, Krill &amp; Fish Oil </t>
  </si>
  <si>
    <t>$17.39</t>
  </si>
  <si>
    <t xml:space="preserve">Swisse Sleep, Mood &amp; Energy </t>
  </si>
  <si>
    <t>$10.45</t>
  </si>
  <si>
    <t>$18.96</t>
  </si>
  <si>
    <t>$9.76</t>
  </si>
  <si>
    <t>$9.26</t>
  </si>
  <si>
    <t xml:space="preserve">Swisse Immunity, Cold &amp; Flu </t>
  </si>
  <si>
    <t>$40.00</t>
  </si>
  <si>
    <t>$37.00</t>
  </si>
  <si>
    <t>$4.31</t>
  </si>
  <si>
    <t xml:space="preserve">Swisse Bones, Joints &amp; Muscles </t>
  </si>
  <si>
    <t>$13.69</t>
  </si>
  <si>
    <t>$46.00</t>
  </si>
  <si>
    <t>$23.39</t>
  </si>
  <si>
    <t>$9.56</t>
  </si>
  <si>
    <t>$24.00</t>
  </si>
  <si>
    <t>$22.69</t>
  </si>
  <si>
    <t>$9.30</t>
  </si>
  <si>
    <t>$28.39</t>
  </si>
  <si>
    <t>$11.60</t>
  </si>
  <si>
    <t>$5.11</t>
  </si>
  <si>
    <t>$21.00</t>
  </si>
  <si>
    <t>$3.70</t>
  </si>
  <si>
    <t xml:space="preserve">Swisse Digestion &amp; Detox </t>
  </si>
  <si>
    <t>$33.00</t>
  </si>
  <si>
    <t>$26.39</t>
  </si>
  <si>
    <t>$10.56</t>
  </si>
  <si>
    <t xml:space="preserve">Swisse Weight Management </t>
  </si>
  <si>
    <t xml:space="preserve">Swisse Professional </t>
  </si>
  <si>
    <t xml:space="preserve">Swisse Body &amp; Beauty </t>
  </si>
  <si>
    <t>$18.56</t>
  </si>
  <si>
    <t xml:space="preserve">Berocca Fizzy Melts </t>
  </si>
  <si>
    <t xml:space="preserve">Scheussler Tissue Salts </t>
  </si>
  <si>
    <t>$2.51</t>
  </si>
  <si>
    <t>$5.31</t>
  </si>
  <si>
    <t>$2.31</t>
  </si>
  <si>
    <t xml:space="preserve">Nature's Way Kids </t>
  </si>
  <si>
    <t>$34.69</t>
  </si>
  <si>
    <t xml:space="preserve">Nature's Way Brain Health </t>
  </si>
  <si>
    <t xml:space="preserve">Nature's Way Diet &amp; Weight Loss </t>
  </si>
  <si>
    <t>$54.99</t>
  </si>
  <si>
    <t>$24.46</t>
  </si>
  <si>
    <t xml:space="preserve">Nature's Way General Health </t>
  </si>
  <si>
    <t xml:space="preserve">Nature's Way Joint Health </t>
  </si>
  <si>
    <t xml:space="preserve">Nature's Way Multivitamins </t>
  </si>
  <si>
    <t xml:space="preserve">Nature's Way Omega-3 Oils </t>
  </si>
  <si>
    <t xml:space="preserve">Nature's Way Restore Probiotics </t>
  </si>
  <si>
    <t>$36.39</t>
  </si>
  <si>
    <t xml:space="preserve">Nature's Way Vita Gummies </t>
  </si>
  <si>
    <t xml:space="preserve">Nature's Way SuperFoods </t>
  </si>
  <si>
    <t>$2.95</t>
  </si>
  <si>
    <t>$3.99</t>
  </si>
  <si>
    <t xml:space="preserve">Healthy Care </t>
  </si>
  <si>
    <t xml:space="preserve">Caruso's Health &amp; Wellness </t>
  </si>
  <si>
    <t>$33.26</t>
  </si>
  <si>
    <t>$7.01</t>
  </si>
  <si>
    <t>$7.31</t>
  </si>
  <si>
    <t>$24.01</t>
  </si>
  <si>
    <t>$8.01</t>
  </si>
  <si>
    <t>$42.39</t>
  </si>
  <si>
    <t>$37.56</t>
  </si>
  <si>
    <t>$31.39</t>
  </si>
  <si>
    <t>$23.56</t>
  </si>
  <si>
    <t>$18.39</t>
  </si>
  <si>
    <t>$6.56</t>
  </si>
  <si>
    <t>$4.01</t>
  </si>
  <si>
    <t>$47.39</t>
  </si>
  <si>
    <t xml:space="preserve">Caruso's Internal Health </t>
  </si>
  <si>
    <t>$6.01</t>
  </si>
  <si>
    <t>$15.96</t>
  </si>
  <si>
    <t xml:space="preserve">Caruso's Arthritis &amp; Bone Support </t>
  </si>
  <si>
    <t xml:space="preserve">Caruso's Hair Care </t>
  </si>
  <si>
    <t xml:space="preserve">Caruso's Men's Health </t>
  </si>
  <si>
    <t>$13.01</t>
  </si>
  <si>
    <t>$76.39</t>
  </si>
  <si>
    <t>$16.61</t>
  </si>
  <si>
    <t>$76.99</t>
  </si>
  <si>
    <t>$85.99</t>
  </si>
  <si>
    <t>$29.01</t>
  </si>
  <si>
    <t>$41.99</t>
  </si>
  <si>
    <t>$10.01</t>
  </si>
  <si>
    <t>$56.99</t>
  </si>
  <si>
    <t>$59.99</t>
  </si>
  <si>
    <t>$22.01</t>
  </si>
  <si>
    <t xml:space="preserve">Caruso's Women's Health </t>
  </si>
  <si>
    <t xml:space="preserve">Thompson's </t>
  </si>
  <si>
    <t>$5.06</t>
  </si>
  <si>
    <t>$24.26</t>
  </si>
  <si>
    <t>$32.46</t>
  </si>
  <si>
    <t>$12.56</t>
  </si>
  <si>
    <t>$13.56</t>
  </si>
  <si>
    <t>$40.72</t>
  </si>
  <si>
    <t>$33.97</t>
  </si>
  <si>
    <t>$54.46</t>
  </si>
  <si>
    <t>$13.26</t>
  </si>
  <si>
    <t xml:space="preserve">Wagner Kyolic Garlic </t>
  </si>
  <si>
    <t>$31.00</t>
  </si>
  <si>
    <t xml:space="preserve">Wagner Magnesium </t>
  </si>
  <si>
    <t xml:space="preserve">Wagner MSM Joint Formula </t>
  </si>
  <si>
    <t>$39.00</t>
  </si>
  <si>
    <t xml:space="preserve">Wagner Green Lipped Mussel </t>
  </si>
  <si>
    <t xml:space="preserve">Wagner Ester-C </t>
  </si>
  <si>
    <t>$30.50</t>
  </si>
  <si>
    <t xml:space="preserve">Wagner Probiotica P3 </t>
  </si>
  <si>
    <t>$26.50</t>
  </si>
  <si>
    <t>$12.10</t>
  </si>
  <si>
    <t xml:space="preserve">Wagner Probiotica P50 </t>
  </si>
  <si>
    <t>$20.50</t>
  </si>
  <si>
    <t xml:space="preserve">Wagner Bone and Joint Health </t>
  </si>
  <si>
    <t>$42.80</t>
  </si>
  <si>
    <t>$16.60</t>
  </si>
  <si>
    <t>$17.50</t>
  </si>
  <si>
    <t xml:space="preserve">Wagner Bio-Curcumin </t>
  </si>
  <si>
    <t>$32.00</t>
  </si>
  <si>
    <t>$14.50</t>
  </si>
  <si>
    <t xml:space="preserve">Ostelin </t>
  </si>
  <si>
    <t>$5.29</t>
  </si>
  <si>
    <t xml:space="preserve">Blooms </t>
  </si>
  <si>
    <t>$19.91</t>
  </si>
  <si>
    <t>$12.39</t>
  </si>
  <si>
    <t>$16.56</t>
  </si>
  <si>
    <t>$0.76</t>
  </si>
  <si>
    <t>$6.69</t>
  </si>
  <si>
    <t>$1.21</t>
  </si>
  <si>
    <t>$4.99</t>
  </si>
  <si>
    <t>$0.46</t>
  </si>
  <si>
    <t>$0.81</t>
  </si>
  <si>
    <t xml:space="preserve">Caltrate </t>
  </si>
  <si>
    <t>$3.51</t>
  </si>
  <si>
    <t>$1.60</t>
  </si>
  <si>
    <t xml:space="preserve">Comvita </t>
  </si>
  <si>
    <t>$25.96</t>
  </si>
  <si>
    <t>$99.99</t>
  </si>
  <si>
    <t>$84.99</t>
  </si>
  <si>
    <t>$58.99</t>
  </si>
  <si>
    <t>$24.51</t>
  </si>
  <si>
    <t xml:space="preserve">Ensure </t>
  </si>
  <si>
    <t>$1.71</t>
  </si>
  <si>
    <t>$7.46</t>
  </si>
  <si>
    <t xml:space="preserve">Martin &amp; Pleasance </t>
  </si>
  <si>
    <t>$4.95</t>
  </si>
  <si>
    <t xml:space="preserve">Melrose </t>
  </si>
  <si>
    <t>$11.56</t>
  </si>
  <si>
    <t>$4.36</t>
  </si>
  <si>
    <t>$1.81</t>
  </si>
  <si>
    <t xml:space="preserve">Olive Leaf </t>
  </si>
  <si>
    <t>$9.81</t>
  </si>
  <si>
    <t xml:space="preserve">Qsilica </t>
  </si>
  <si>
    <t xml:space="preserve">Rescue Remedy </t>
  </si>
  <si>
    <t>$3.81</t>
  </si>
  <si>
    <t>$7.16</t>
  </si>
  <si>
    <t xml:space="preserve">Silicea </t>
  </si>
  <si>
    <t xml:space="preserve">Anthogenol </t>
  </si>
  <si>
    <t>$109.99</t>
  </si>
  <si>
    <t>$88.01</t>
  </si>
  <si>
    <t xml:space="preserve">CalSource </t>
  </si>
  <si>
    <t>$1.86</t>
  </si>
  <si>
    <t xml:space="preserve">Crampeze </t>
  </si>
  <si>
    <t xml:space="preserve">Elevit &amp; Menevit </t>
  </si>
  <si>
    <t>$61.99</t>
  </si>
  <si>
    <t>$24.86</t>
  </si>
  <si>
    <t>$1.50</t>
  </si>
  <si>
    <t>$2.71</t>
  </si>
  <si>
    <t xml:space="preserve">Sustagen </t>
  </si>
  <si>
    <t>$29.69</t>
  </si>
  <si>
    <t>$1.01</t>
  </si>
  <si>
    <t xml:space="preserve">OsteVit </t>
  </si>
  <si>
    <t xml:space="preserve">Lifestream </t>
  </si>
  <si>
    <t>$6.18</t>
  </si>
  <si>
    <t>$83.99</t>
  </si>
  <si>
    <t xml:space="preserve">Ferro </t>
  </si>
  <si>
    <t xml:space="preserve">Citracal </t>
  </si>
  <si>
    <t>$2.86</t>
  </si>
  <si>
    <t xml:space="preserve">Cal-Sup </t>
  </si>
  <si>
    <t>$1.98</t>
  </si>
  <si>
    <t xml:space="preserve">Vitamins Miscellaneous </t>
  </si>
  <si>
    <t>$125.00</t>
  </si>
  <si>
    <t>$2.63</t>
  </si>
  <si>
    <t>$6.39</t>
  </si>
  <si>
    <t>$1.30</t>
  </si>
  <si>
    <t>$2.10</t>
  </si>
  <si>
    <t>$2.40</t>
  </si>
  <si>
    <t>$69.99</t>
  </si>
  <si>
    <t>$9.51</t>
  </si>
  <si>
    <t xml:space="preserve">Vital </t>
  </si>
  <si>
    <t>$38.36</t>
  </si>
  <si>
    <t>$27.11</t>
  </si>
  <si>
    <t>$13.81</t>
  </si>
  <si>
    <t>$164.99</t>
  </si>
  <si>
    <t xml:space="preserve">Rose-Hip Vital Canine </t>
  </si>
  <si>
    <t>$52.96</t>
  </si>
  <si>
    <t xml:space="preserve">Pentavite </t>
  </si>
  <si>
    <t>$1.61</t>
  </si>
  <si>
    <t xml:space="preserve">Cabot Health </t>
  </si>
  <si>
    <t>$12.01</t>
  </si>
  <si>
    <t>$5.52</t>
  </si>
  <si>
    <t>$11.12</t>
  </si>
  <si>
    <t>$28.61</t>
  </si>
  <si>
    <t>$7.86</t>
  </si>
  <si>
    <t>$2.97</t>
  </si>
  <si>
    <t>$10.06</t>
  </si>
  <si>
    <t>$4.86</t>
  </si>
  <si>
    <t xml:space="preserve">Healthy Way </t>
  </si>
  <si>
    <t>$1.99</t>
  </si>
  <si>
    <t xml:space="preserve">Life Space </t>
  </si>
  <si>
    <t xml:space="preserve">Isustain </t>
  </si>
  <si>
    <t xml:space="preserve">Fab Iron </t>
  </si>
  <si>
    <t xml:space="preserve">Coco Joy </t>
  </si>
  <si>
    <t>$0.51</t>
  </si>
  <si>
    <t>$1.51</t>
  </si>
  <si>
    <t xml:space="preserve">Red Seal Tea </t>
  </si>
  <si>
    <t>$0.20</t>
  </si>
  <si>
    <t xml:space="preserve">Lakewood </t>
  </si>
  <si>
    <t xml:space="preserve">Spatone </t>
  </si>
  <si>
    <t>$7.91</t>
  </si>
  <si>
    <t>$5.21</t>
  </si>
  <si>
    <t xml:space="preserve">Maxigenes </t>
  </si>
  <si>
    <t xml:space="preserve">VOOST </t>
  </si>
  <si>
    <t xml:space="preserve">Flordis </t>
  </si>
  <si>
    <t>$11.66</t>
  </si>
  <si>
    <t>$7.36</t>
  </si>
  <si>
    <t>$8.46</t>
  </si>
  <si>
    <t xml:space="preserve">Floradix </t>
  </si>
  <si>
    <t>$37.69</t>
  </si>
  <si>
    <t xml:space="preserve">Inner Health </t>
  </si>
  <si>
    <t>$22.51</t>
  </si>
  <si>
    <t>$15.26</t>
  </si>
  <si>
    <t xml:space="preserve">Green Tea X50 </t>
  </si>
  <si>
    <t xml:space="preserve">Meta Align </t>
  </si>
  <si>
    <t>$9.50</t>
  </si>
  <si>
    <t xml:space="preserve">Nature's Sunshine </t>
  </si>
  <si>
    <t>$46.99</t>
  </si>
  <si>
    <t>$10.76</t>
  </si>
  <si>
    <t>$10.11</t>
  </si>
  <si>
    <t>$9.86</t>
  </si>
  <si>
    <t>$30.99</t>
  </si>
  <si>
    <t>$8.76</t>
  </si>
  <si>
    <t>$11.86</t>
  </si>
  <si>
    <t>$10.41</t>
  </si>
  <si>
    <t>$10.31</t>
  </si>
  <si>
    <t>$8.11</t>
  </si>
  <si>
    <t>$10.61</t>
  </si>
  <si>
    <t>$10.21</t>
  </si>
  <si>
    <t>$8.71</t>
  </si>
  <si>
    <t xml:space="preserve">Raw Essentials </t>
  </si>
  <si>
    <t xml:space="preserve">Nageze </t>
  </si>
  <si>
    <t xml:space="preserve">Smoothie Bombs </t>
  </si>
  <si>
    <t xml:space="preserve">Tonics </t>
  </si>
  <si>
    <t xml:space="preserve">Forskolin </t>
  </si>
  <si>
    <t xml:space="preserve">IsoWhey </t>
  </si>
  <si>
    <t>$2.06</t>
  </si>
  <si>
    <t xml:space="preserve">Optislim 48hr Detox </t>
  </si>
  <si>
    <t xml:space="preserve">Optislim VLCD Shakes </t>
  </si>
  <si>
    <t xml:space="preserve">Optislim VLCD Platinum Shake </t>
  </si>
  <si>
    <t>$32.50</t>
  </si>
  <si>
    <t xml:space="preserve">Optislim VLCD Soups </t>
  </si>
  <si>
    <t xml:space="preserve">Optislim VLCD Bars </t>
  </si>
  <si>
    <t xml:space="preserve">Optislim Life Starter </t>
  </si>
  <si>
    <t xml:space="preserve">Optislim Life Shakes </t>
  </si>
  <si>
    <t>$2.69</t>
  </si>
  <si>
    <t xml:space="preserve">Optislim Life Soups </t>
  </si>
  <si>
    <t xml:space="preserve">Optislim HealthyOption Meals </t>
  </si>
  <si>
    <t xml:space="preserve">Optislim OptiMan </t>
  </si>
  <si>
    <t xml:space="preserve">FatBlaster </t>
  </si>
  <si>
    <t>$13.50</t>
  </si>
  <si>
    <t xml:space="preserve">Optifast </t>
  </si>
  <si>
    <t xml:space="preserve">Detox/Nourishment Programs </t>
  </si>
  <si>
    <t>$44.01</t>
  </si>
  <si>
    <t>$35.01</t>
  </si>
  <si>
    <t xml:space="preserve">Weight Loss Miscellaneous </t>
  </si>
  <si>
    <t>$7.71</t>
  </si>
  <si>
    <t xml:space="preserve">African Mango </t>
  </si>
  <si>
    <t xml:space="preserve">Garcinia Cambogia </t>
  </si>
  <si>
    <t>$16.97</t>
  </si>
  <si>
    <t>$6.46</t>
  </si>
  <si>
    <t xml:space="preserve">XLS Medical Direct </t>
  </si>
  <si>
    <t xml:space="preserve">Slim Secrets </t>
  </si>
  <si>
    <t xml:space="preserve">Bondi Protein Co </t>
  </si>
  <si>
    <t xml:space="preserve">Natural Hormone Replacement </t>
  </si>
  <si>
    <t>$57.99</t>
  </si>
  <si>
    <t>$9.21</t>
  </si>
  <si>
    <t xml:space="preserve">Aromatherapy </t>
  </si>
  <si>
    <t>$14.21</t>
  </si>
  <si>
    <t>$7.78</t>
  </si>
  <si>
    <t>$6.03</t>
  </si>
  <si>
    <t>$3.93</t>
  </si>
  <si>
    <t>$4.46</t>
  </si>
  <si>
    <t>$3.03</t>
  </si>
  <si>
    <t>$4.74</t>
  </si>
  <si>
    <t>$8.21</t>
  </si>
  <si>
    <t>$2.74</t>
  </si>
  <si>
    <t xml:space="preserve">Painaway </t>
  </si>
  <si>
    <t xml:space="preserve">Aussie Bodies Lo Carb High Protein Bars </t>
  </si>
  <si>
    <t>$0.50</t>
  </si>
  <si>
    <t xml:space="preserve">Aussie Bodies Protein Drinks </t>
  </si>
  <si>
    <t>$0.70</t>
  </si>
  <si>
    <t>$3.39</t>
  </si>
  <si>
    <t xml:space="preserve">Aussie Bodies HPLC Bars </t>
  </si>
  <si>
    <t xml:space="preserve">Aussie Bodies Lo Carb Mini Protein Bars </t>
  </si>
  <si>
    <t>$0.80</t>
  </si>
  <si>
    <t xml:space="preserve">Endura </t>
  </si>
  <si>
    <t>$1.69</t>
  </si>
  <si>
    <t>$30.51</t>
  </si>
  <si>
    <t xml:space="preserve">Musashi </t>
  </si>
  <si>
    <t>$41.39</t>
  </si>
  <si>
    <t>$20.31</t>
  </si>
  <si>
    <t>$1.66</t>
  </si>
  <si>
    <t>$4.30</t>
  </si>
  <si>
    <t>$31.61</t>
  </si>
  <si>
    <t xml:space="preserve">INC Sports </t>
  </si>
  <si>
    <t>$89.99</t>
  </si>
  <si>
    <t xml:space="preserve">VitalStrength </t>
  </si>
  <si>
    <t>$104.99</t>
  </si>
  <si>
    <t>$62.99</t>
  </si>
  <si>
    <t>$48.99</t>
  </si>
  <si>
    <t xml:space="preserve">Ratio </t>
  </si>
  <si>
    <t>$0.99</t>
  </si>
  <si>
    <t xml:space="preserve">Pure Warrior Powered by Swisse </t>
  </si>
  <si>
    <t>$119.99</t>
  </si>
  <si>
    <t xml:space="preserve">Spark by Boomer </t>
  </si>
  <si>
    <t xml:space="preserve">Vital Sports Nutrition </t>
  </si>
  <si>
    <t xml:space="preserve">Titan </t>
  </si>
  <si>
    <t>$0.26</t>
  </si>
  <si>
    <t>$0.56</t>
  </si>
  <si>
    <t xml:space="preserve">Quest </t>
  </si>
  <si>
    <t xml:space="preserve">International Protein </t>
  </si>
  <si>
    <t>$49.96</t>
  </si>
  <si>
    <t>$72.81</t>
  </si>
  <si>
    <t>$154.99</t>
  </si>
  <si>
    <t>$139.73</t>
  </si>
  <si>
    <t>$139.71</t>
  </si>
  <si>
    <t>$59.01</t>
  </si>
  <si>
    <t>$27.91</t>
  </si>
  <si>
    <t>$129.99</t>
  </si>
  <si>
    <t>$121.01</t>
  </si>
  <si>
    <t>$21.61</t>
  </si>
  <si>
    <t>$23.81</t>
  </si>
  <si>
    <t>$61.01</t>
  </si>
  <si>
    <t>$98.31</t>
  </si>
  <si>
    <t>$149.99</t>
  </si>
  <si>
    <t>$178.71</t>
  </si>
  <si>
    <t>$64.65</t>
  </si>
  <si>
    <t xml:space="preserve">Atkins </t>
  </si>
  <si>
    <t>$3.69</t>
  </si>
  <si>
    <t>$0.30</t>
  </si>
  <si>
    <t xml:space="preserve">Kapai Puku </t>
  </si>
  <si>
    <t xml:space="preserve">Lenny and Larry </t>
  </si>
  <si>
    <t xml:space="preserve">Amazonia RAW </t>
  </si>
  <si>
    <t xml:space="preserve">Clean &amp; Clear  </t>
  </si>
  <si>
    <t>$1.10</t>
  </si>
  <si>
    <t>$7.69</t>
  </si>
  <si>
    <t xml:space="preserve">Biore </t>
  </si>
  <si>
    <t>$1.65</t>
  </si>
  <si>
    <t>$1.80</t>
  </si>
  <si>
    <t>$4.69</t>
  </si>
  <si>
    <t xml:space="preserve">Clearasil </t>
  </si>
  <si>
    <t xml:space="preserve">Oxy </t>
  </si>
  <si>
    <t>$3.66</t>
  </si>
  <si>
    <t xml:space="preserve">Benzac </t>
  </si>
  <si>
    <t xml:space="preserve">Ego Acne </t>
  </si>
  <si>
    <t xml:space="preserve">Acne Miscellaneous </t>
  </si>
  <si>
    <t xml:space="preserve">Thursday Plantation Acne </t>
  </si>
  <si>
    <t>$4.16</t>
  </si>
  <si>
    <t>$3.41</t>
  </si>
  <si>
    <t>$3.86</t>
  </si>
  <si>
    <t>$4.11</t>
  </si>
  <si>
    <t xml:space="preserve">Nad's </t>
  </si>
  <si>
    <t>$2.26</t>
  </si>
  <si>
    <t>$3.46</t>
  </si>
  <si>
    <t xml:space="preserve">Nair </t>
  </si>
  <si>
    <t>$4.70</t>
  </si>
  <si>
    <t>$3.20</t>
  </si>
  <si>
    <t>$2.20</t>
  </si>
  <si>
    <t>$1.90</t>
  </si>
  <si>
    <t>$2.80</t>
  </si>
  <si>
    <t xml:space="preserve">Veet </t>
  </si>
  <si>
    <t>$2.70</t>
  </si>
  <si>
    <t>$2.90</t>
  </si>
  <si>
    <t xml:space="preserve">Andrea  </t>
  </si>
  <si>
    <t xml:space="preserve">Waxaway </t>
  </si>
  <si>
    <t>$1.59</t>
  </si>
  <si>
    <t>$1.76</t>
  </si>
  <si>
    <t>$1.41</t>
  </si>
  <si>
    <t>$2.21</t>
  </si>
  <si>
    <t xml:space="preserve">Bump eRaiser </t>
  </si>
  <si>
    <t>$2.76</t>
  </si>
  <si>
    <t xml:space="preserve">Waxeeze </t>
  </si>
  <si>
    <t xml:space="preserve">Anti-Itch </t>
  </si>
  <si>
    <t>$4.58</t>
  </si>
  <si>
    <t>$6.26</t>
  </si>
  <si>
    <t>$2.34</t>
  </si>
  <si>
    <t>$2.17</t>
  </si>
  <si>
    <t>$2.98</t>
  </si>
  <si>
    <t>$1.88</t>
  </si>
  <si>
    <t xml:space="preserve">Cleansers </t>
  </si>
  <si>
    <t>$1.39</t>
  </si>
  <si>
    <t>$2.58</t>
  </si>
  <si>
    <t>$2.55</t>
  </si>
  <si>
    <t>$1.58</t>
  </si>
  <si>
    <t xml:space="preserve">Fragrances - Mens </t>
  </si>
  <si>
    <t>$75.01</t>
  </si>
  <si>
    <t>$79.99</t>
  </si>
  <si>
    <t>$30.01</t>
  </si>
  <si>
    <t>$34.01</t>
  </si>
  <si>
    <t>$20.01</t>
  </si>
  <si>
    <t>$40.01</t>
  </si>
  <si>
    <t>$62.01</t>
  </si>
  <si>
    <t>$72.01</t>
  </si>
  <si>
    <t>$54.01</t>
  </si>
  <si>
    <t>$70.01</t>
  </si>
  <si>
    <t>$26.01</t>
  </si>
  <si>
    <t>$85.01</t>
  </si>
  <si>
    <t>$50.01</t>
  </si>
  <si>
    <t>$79.01</t>
  </si>
  <si>
    <t xml:space="preserve">Fragrances - Womens </t>
  </si>
  <si>
    <t>$14.01</t>
  </si>
  <si>
    <t>$89.01</t>
  </si>
  <si>
    <t>$86.01</t>
  </si>
  <si>
    <t>$110.01</t>
  </si>
  <si>
    <t>$124.01</t>
  </si>
  <si>
    <t>$99.01</t>
  </si>
  <si>
    <t>$47.01</t>
  </si>
  <si>
    <t>$52.01</t>
  </si>
  <si>
    <t xml:space="preserve">Fragrances - Unisex </t>
  </si>
  <si>
    <t>$39.01</t>
  </si>
  <si>
    <t>$19.01</t>
  </si>
  <si>
    <t xml:space="preserve">Fragrance Gift Sets </t>
  </si>
  <si>
    <t>$59.00</t>
  </si>
  <si>
    <t>$89.00</t>
  </si>
  <si>
    <t xml:space="preserve">Ciate Caviar Nail Polish </t>
  </si>
  <si>
    <t xml:space="preserve">Revlon Age Defying CC Cream </t>
  </si>
  <si>
    <t xml:space="preserve">Revlon Age Defying Firming &amp; Lifting Makeup </t>
  </si>
  <si>
    <t>$33.69</t>
  </si>
  <si>
    <t xml:space="preserve">Revlon Age Defying Targeted Dark Spot Concealer </t>
  </si>
  <si>
    <t xml:space="preserve">Revlon Age Defying with DNA Advantage </t>
  </si>
  <si>
    <t>$5.56</t>
  </si>
  <si>
    <t xml:space="preserve">Revlon Age Defying Wrinkle Filler </t>
  </si>
  <si>
    <t xml:space="preserve">Revlon Ultra High Definition Lipstick </t>
  </si>
  <si>
    <t xml:space="preserve">Revlon ColorBurst Lacquer Balm </t>
  </si>
  <si>
    <t xml:space="preserve">Revlon ColorBurst Lipgloss </t>
  </si>
  <si>
    <t xml:space="preserve">Revlon ColorBurst Matte Balm </t>
  </si>
  <si>
    <t xml:space="preserve">Revlon ColorStay 16 Hour Eye Shadow </t>
  </si>
  <si>
    <t xml:space="preserve">Revlon ColorStay Browmaker </t>
  </si>
  <si>
    <t xml:space="preserve">Revlon ColorStay Creme Gel Eye Liner </t>
  </si>
  <si>
    <t xml:space="preserve">Revlon ColorStay Eyebrow Liner </t>
  </si>
  <si>
    <t xml:space="preserve">Revlon ColorStay Eyeliner </t>
  </si>
  <si>
    <t xml:space="preserve">Revlon ColorStay Liquid Liner </t>
  </si>
  <si>
    <t>$15.95</t>
  </si>
  <si>
    <t xml:space="preserve">Revlon ColorStay Shadow Links </t>
  </si>
  <si>
    <t xml:space="preserve">Revlon ColorStay Blemish Concealer </t>
  </si>
  <si>
    <t xml:space="preserve">Revlon ColorStay Makeup with Time Release Technology </t>
  </si>
  <si>
    <t xml:space="preserve">Revlon ColorStay Pressed Powder </t>
  </si>
  <si>
    <t xml:space="preserve">Revlon ColorStay Stay Natural Makeup </t>
  </si>
  <si>
    <t xml:space="preserve">Revlon ColorStay Whipped Creme Makeup </t>
  </si>
  <si>
    <t xml:space="preserve">Revlon ColorStay 2-IN-1 Make Up and Concealer  </t>
  </si>
  <si>
    <t xml:space="preserve">Revlon ColorStay Lipliner </t>
  </si>
  <si>
    <t xml:space="preserve">Revlon ColorStay Moisture Lip Stain </t>
  </si>
  <si>
    <t xml:space="preserve">Revlon ColorStay Overtime Lipcolor </t>
  </si>
  <si>
    <t>$23.69</t>
  </si>
  <si>
    <t xml:space="preserve">Revlon ColorStay Ultimate Suede Lipstick </t>
  </si>
  <si>
    <t xml:space="preserve">Revlon ColorStay Gel Envy </t>
  </si>
  <si>
    <t xml:space="preserve">Revlon Just Bitten Kissable Balm Stain </t>
  </si>
  <si>
    <t xml:space="preserve">Revlon Nail Art Expressionist </t>
  </si>
  <si>
    <t xml:space="preserve">Revlon Nail Enamel Sun Candy </t>
  </si>
  <si>
    <t xml:space="preserve">Revlon Nail Enamel </t>
  </si>
  <si>
    <t>$3.95</t>
  </si>
  <si>
    <t>$0.95</t>
  </si>
  <si>
    <t>$8.95</t>
  </si>
  <si>
    <t xml:space="preserve">Revlon Top Speed Nail Enamel </t>
  </si>
  <si>
    <t xml:space="preserve">Revlon Parfumerie Scented Nail Enamel </t>
  </si>
  <si>
    <t xml:space="preserve">Revlon Transforming Effects Nail Enamel </t>
  </si>
  <si>
    <t xml:space="preserve">Revlon Nearly Naked Mineral Powder Foundation </t>
  </si>
  <si>
    <t xml:space="preserve">Revlon Nearly Naked Pressed Powder </t>
  </si>
  <si>
    <t xml:space="preserve">Revlon PhotoReady BB Cream </t>
  </si>
  <si>
    <t xml:space="preserve">Revlon PhotoReady Concealer </t>
  </si>
  <si>
    <t xml:space="preserve">Revlon PhotoReady Primer </t>
  </si>
  <si>
    <t xml:space="preserve">Revlon PhotoReady Powder </t>
  </si>
  <si>
    <t xml:space="preserve">Revlon PhotoReady Skinlights Face Illuminator </t>
  </si>
  <si>
    <t xml:space="preserve">Revlon PhotoReady Creme Blush </t>
  </si>
  <si>
    <t>$18.95</t>
  </si>
  <si>
    <t>$16.95</t>
  </si>
  <si>
    <t xml:space="preserve">Revlon PhotoReady Makeup </t>
  </si>
  <si>
    <t xml:space="preserve">Revlon Photoready Eye Art </t>
  </si>
  <si>
    <t xml:space="preserve">Revlon Photoready Kajal Eye Pen </t>
  </si>
  <si>
    <t xml:space="preserve">Revlon PhotoReady Primer And Shadow </t>
  </si>
  <si>
    <t xml:space="preserve">Revlon New Complexion One-Step Compact Makeup </t>
  </si>
  <si>
    <t xml:space="preserve">Revlon Super Lustrous Lipgloss </t>
  </si>
  <si>
    <t xml:space="preserve">Revlon Super Lustrous Lipstick </t>
  </si>
  <si>
    <t xml:space="preserve">Revlon Touch &amp; Glow Face Powder </t>
  </si>
  <si>
    <t xml:space="preserve">Revlon Eterna 27+ Skincare </t>
  </si>
  <si>
    <t>$42.69</t>
  </si>
  <si>
    <t>$6.31</t>
  </si>
  <si>
    <t>$28.69</t>
  </si>
  <si>
    <t xml:space="preserve">Revlon Matte Lipstick </t>
  </si>
  <si>
    <t xml:space="preserve">Revlon Brow Fantasy </t>
  </si>
  <si>
    <t xml:space="preserve">Revlon Ultimate All In One Mascara </t>
  </si>
  <si>
    <t xml:space="preserve">Revlon Dramatic Definition Mascara </t>
  </si>
  <si>
    <t xml:space="preserve">Revlon Super Length Mascara </t>
  </si>
  <si>
    <t xml:space="preserve">Revlon Ultra Volume Mascara </t>
  </si>
  <si>
    <t xml:space="preserve">Revlon Volume Length Magnified Mascara </t>
  </si>
  <si>
    <t xml:space="preserve">Revlon Eyes Cheeks and Lips Palette </t>
  </si>
  <si>
    <t xml:space="preserve">Revlon Beauty Tools </t>
  </si>
  <si>
    <t>$29.95</t>
  </si>
  <si>
    <t xml:space="preserve">Revlon Powder Blush </t>
  </si>
  <si>
    <t xml:space="preserve">Revlon Ultra High Definition Lip Lacquer </t>
  </si>
  <si>
    <t xml:space="preserve">Revlon Miscellaneous &amp; Gifts </t>
  </si>
  <si>
    <t xml:space="preserve">Revlon Insta-Blush </t>
  </si>
  <si>
    <t xml:space="preserve">Maybelline Dr Rescue </t>
  </si>
  <si>
    <t xml:space="preserve">Maybelline Color Show 60 Seconds Nail Lacquer </t>
  </si>
  <si>
    <t xml:space="preserve">Maybelline Super Stay 7 Days </t>
  </si>
  <si>
    <t xml:space="preserve">Maybelline Miscellaneous </t>
  </si>
  <si>
    <t xml:space="preserve">Maybelline Baby Lips </t>
  </si>
  <si>
    <t xml:space="preserve">Maybelline Blushed Nudes Lipsticks </t>
  </si>
  <si>
    <t xml:space="preserve">Maybelline Vivid Matte Lip Colour </t>
  </si>
  <si>
    <t xml:space="preserve">Maybelline Color Sensational Creamy Mattes </t>
  </si>
  <si>
    <t xml:space="preserve">Maybelline Lip Studio Color Blur </t>
  </si>
  <si>
    <t xml:space="preserve">Maybelline Color Drama </t>
  </si>
  <si>
    <t xml:space="preserve">Maybelline Color Sensational Stripped Nudes </t>
  </si>
  <si>
    <t xml:space="preserve">Maybelline Color Sensational Vivids </t>
  </si>
  <si>
    <t xml:space="preserve">Maybelline Color Sensational Lipcolor </t>
  </si>
  <si>
    <t xml:space="preserve">Maybelline Superstay 24 Color </t>
  </si>
  <si>
    <t xml:space="preserve">Maybelline Color Elixir By Color Sensational </t>
  </si>
  <si>
    <t xml:space="preserve">Maybelline Color Sensational Lip Liner </t>
  </si>
  <si>
    <t xml:space="preserve">Maybelline Superstay Lip Liner </t>
  </si>
  <si>
    <t xml:space="preserve">Maybelline Dream Velvet Foundation </t>
  </si>
  <si>
    <t>$14.92</t>
  </si>
  <si>
    <t>$8.03</t>
  </si>
  <si>
    <t xml:space="preserve">Maybelline Fit Me Matte + Poreless Foundation </t>
  </si>
  <si>
    <t xml:space="preserve">Maybelline Mineral Power Foundation </t>
  </si>
  <si>
    <t>$16.22</t>
  </si>
  <si>
    <t>$8.73</t>
  </si>
  <si>
    <t xml:space="preserve">Maybelline Fitme! Shine-Free + Balance Stick Foundation </t>
  </si>
  <si>
    <t>$11.02</t>
  </si>
  <si>
    <t>$5.93</t>
  </si>
  <si>
    <t xml:space="preserve">Maybelline Fitme! Dewy + Smooth Foundation </t>
  </si>
  <si>
    <t xml:space="preserve">Maybelline Dream Matte Mousse </t>
  </si>
  <si>
    <t>$9.03</t>
  </si>
  <si>
    <t xml:space="preserve">Maybelline Dream BB Cream </t>
  </si>
  <si>
    <t>$10.37</t>
  </si>
  <si>
    <t>$5.58</t>
  </si>
  <si>
    <t xml:space="preserve">Maybelline Superstay 24Hr Foundation </t>
  </si>
  <si>
    <t xml:space="preserve">Maybelline Instant Age Rewind Foundation </t>
  </si>
  <si>
    <t>$16.87</t>
  </si>
  <si>
    <t>$9.08</t>
  </si>
  <si>
    <t xml:space="preserve">Maybelline Superstay Better Skin Foundation </t>
  </si>
  <si>
    <t xml:space="preserve">Maybelline Dream Cushion Foundation </t>
  </si>
  <si>
    <t>$17.52</t>
  </si>
  <si>
    <t>$9.43</t>
  </si>
  <si>
    <t xml:space="preserve">Maybelline Matte Maker Powder </t>
  </si>
  <si>
    <t>$7.77</t>
  </si>
  <si>
    <t>$4.18</t>
  </si>
  <si>
    <t xml:space="preserve">Maybelline Fitme! Set + Smooth Pressed Powder </t>
  </si>
  <si>
    <t>$9.72</t>
  </si>
  <si>
    <t xml:space="preserve">Maybelline Shine Free Oil-Control Loose Powder </t>
  </si>
  <si>
    <t xml:space="preserve">Maybelline Superstay Better Skin - Skin Perfecting Powder </t>
  </si>
  <si>
    <t>$14.27</t>
  </si>
  <si>
    <t>$7.68</t>
  </si>
  <si>
    <t xml:space="preserve">Maybelline Superstay 24H Powder </t>
  </si>
  <si>
    <t>$7.33</t>
  </si>
  <si>
    <t xml:space="preserve">Maybelline Master Conceal </t>
  </si>
  <si>
    <t xml:space="preserve">Maybelline Cover Stick Corrector Concealer </t>
  </si>
  <si>
    <t>$6.83</t>
  </si>
  <si>
    <t>$3.67</t>
  </si>
  <si>
    <t xml:space="preserve">Maybelline Dream Lumi Touch Highlighting Concealer </t>
  </si>
  <si>
    <t>$11.67</t>
  </si>
  <si>
    <t>$6.28</t>
  </si>
  <si>
    <t xml:space="preserve">Maybelline Fitme! Concealer </t>
  </si>
  <si>
    <t xml:space="preserve">Maybelline Superstay 24Hr Concealer </t>
  </si>
  <si>
    <t xml:space="preserve">Maybelline Instant Age Rewind Eraser Dark Circles Concealer + Treatment </t>
  </si>
  <si>
    <t>$12.32</t>
  </si>
  <si>
    <t xml:space="preserve">Maybelline Master Contour Palette </t>
  </si>
  <si>
    <t xml:space="preserve">Maybelline Master Glaze Blush Stick </t>
  </si>
  <si>
    <t xml:space="preserve">Maybelline Fitme! Blush </t>
  </si>
  <si>
    <t xml:space="preserve">Maybelline Master Sculpt Contouring Palette </t>
  </si>
  <si>
    <t xml:space="preserve">Maybelline Fitme! Bronzer </t>
  </si>
  <si>
    <t xml:space="preserve">Maybelline Dream Terra Sun Bronzer </t>
  </si>
  <si>
    <t xml:space="preserve">Maybelline Master Fix Setting Spray </t>
  </si>
  <si>
    <t xml:space="preserve">Maybelline Baby Skin Pore Eraser Primer </t>
  </si>
  <si>
    <t xml:space="preserve">Maybelline Instant Age Rewind Primer Skin Transformer </t>
  </si>
  <si>
    <t xml:space="preserve">Maybelline Brow Drama </t>
  </si>
  <si>
    <t xml:space="preserve">Maybelline Master Brow Pro Palette </t>
  </si>
  <si>
    <t xml:space="preserve">Maybelline Brow Satin </t>
  </si>
  <si>
    <t xml:space="preserve">Maybelline Brow Drama Sculpting Brow Mascara </t>
  </si>
  <si>
    <t xml:space="preserve">Maybelline Eyestudio Brow Precise Brow Pencil </t>
  </si>
  <si>
    <t xml:space="preserve">Maybelline Master Precise Curvy Liquid Liner </t>
  </si>
  <si>
    <t xml:space="preserve">Maybelline Color Show Crayon Kohl Liner </t>
  </si>
  <si>
    <t xml:space="preserve">Maybelline Eye Studio Hyper Glossy Liquid Liner </t>
  </si>
  <si>
    <t xml:space="preserve">Maybelline Eye Studio Lasting Drama Gel Eyeliner </t>
  </si>
  <si>
    <t xml:space="preserve">Maybelline Line Express Eyeliner </t>
  </si>
  <si>
    <t xml:space="preserve">Maybelline Unstoppable Eyeliner </t>
  </si>
  <si>
    <t xml:space="preserve">Maybelline Blushed Nudes Eyeshadow Palette </t>
  </si>
  <si>
    <t xml:space="preserve">Maybelline Color Tattoo 24Hr Leather Eyeshadow </t>
  </si>
  <si>
    <t xml:space="preserve">Maybelline The Nudes Palette </t>
  </si>
  <si>
    <t xml:space="preserve">Maybelline Eye Studio Color Molten Duo Shadow </t>
  </si>
  <si>
    <t xml:space="preserve">Maybelline Expertwear Eyeshadow Quads </t>
  </si>
  <si>
    <t xml:space="preserve">Maybelline Eye Studio Color Tattoo 24Hr Cream Gel Shadow </t>
  </si>
  <si>
    <t xml:space="preserve">Maybelline Mascara </t>
  </si>
  <si>
    <t>$2.81</t>
  </si>
  <si>
    <t>$3.06</t>
  </si>
  <si>
    <t>$2.11</t>
  </si>
  <si>
    <t xml:space="preserve">OPI </t>
  </si>
  <si>
    <t xml:space="preserve">Rimmel 60 Seconds Nail Polish </t>
  </si>
  <si>
    <t xml:space="preserve">Rimmel Salon Pro </t>
  </si>
  <si>
    <t xml:space="preserve">Rimmel Salon Pro By Kate Moss </t>
  </si>
  <si>
    <t xml:space="preserve">Rimmel Super Gel </t>
  </si>
  <si>
    <t xml:space="preserve">Rimmel Glam Eyes </t>
  </si>
  <si>
    <t xml:space="preserve">Rimmel Glam Eyes HD </t>
  </si>
  <si>
    <t xml:space="preserve">Rimmel Glam Eyes Quad </t>
  </si>
  <si>
    <t xml:space="preserve">Rimmel Scandaleyes Shadow </t>
  </si>
  <si>
    <t xml:space="preserve">Rimmel Magnifeyes Mono Eyeshadow </t>
  </si>
  <si>
    <t xml:space="preserve">Rimmel MagnifEyes Double Ended Shadow &amp; Liner </t>
  </si>
  <si>
    <t xml:space="preserve">Rimmel Exaggerate Liquid </t>
  </si>
  <si>
    <t xml:space="preserve">Rimmel Glam Eyes Liquid Liner </t>
  </si>
  <si>
    <t xml:space="preserve">Rimmel Gel Pot Liner </t>
  </si>
  <si>
    <t xml:space="preserve">Rimmel Thick and Thin </t>
  </si>
  <si>
    <t xml:space="preserve">Rimmel Scandaleyes Liquid Liner </t>
  </si>
  <si>
    <t xml:space="preserve">Rimmel Colour Precise Liner </t>
  </si>
  <si>
    <t xml:space="preserve">Rimmel 100% Waterproof </t>
  </si>
  <si>
    <t xml:space="preserve">Rimmel Wonderfull Mascara </t>
  </si>
  <si>
    <t xml:space="preserve">Rimmel Day 2 Night </t>
  </si>
  <si>
    <t xml:space="preserve">Rimmel Extra Super Lash </t>
  </si>
  <si>
    <t xml:space="preserve">Rimmel Lash Accelerator Endless </t>
  </si>
  <si>
    <t xml:space="preserve">Rimmel Scandaleyes Mascara </t>
  </si>
  <si>
    <t xml:space="preserve">Rimmel Volume Flash X 10 </t>
  </si>
  <si>
    <t xml:space="preserve">Rimmel Supercurler Mascara </t>
  </si>
  <si>
    <t xml:space="preserve">Rimmel Extra 3D Lash </t>
  </si>
  <si>
    <t xml:space="preserve">Rimmel Exaggerate Auto Waterproof Eye Definer </t>
  </si>
  <si>
    <t xml:space="preserve">Rimmel Professional Eyebrow Pencil </t>
  </si>
  <si>
    <t xml:space="preserve">Rimmel Scandaleyes Waterproof Liner </t>
  </si>
  <si>
    <t xml:space="preserve">Rimmel Soft Kohl </t>
  </si>
  <si>
    <t xml:space="preserve">Rimmel Colour Rush Lip Pencil </t>
  </si>
  <si>
    <t xml:space="preserve">Rimmel Mono Blush </t>
  </si>
  <si>
    <t xml:space="preserve">Rimmel InstaFlawless </t>
  </si>
  <si>
    <t xml:space="preserve">Rimmel Sculpting </t>
  </si>
  <si>
    <t xml:space="preserve">Rimmel Sun Shimmer </t>
  </si>
  <si>
    <t xml:space="preserve">Rimmel Match Perfection Illuminator </t>
  </si>
  <si>
    <t xml:space="preserve">Rimmel Wake Me Up Concealer </t>
  </si>
  <si>
    <t xml:space="preserve">Rimmel BB Cream </t>
  </si>
  <si>
    <t xml:space="preserve">Rimmel Lasting Finish 25HR </t>
  </si>
  <si>
    <t xml:space="preserve">Rimmel Match Perfection Foundation </t>
  </si>
  <si>
    <t xml:space="preserve">Rimmel Stay Matte Foundation </t>
  </si>
  <si>
    <t xml:space="preserve">Rimmel Wake Me Up Foundation </t>
  </si>
  <si>
    <t xml:space="preserve">Rimmel Match Perfection Powder </t>
  </si>
  <si>
    <t xml:space="preserve">Rimmel Stay Matte Pressed Powder </t>
  </si>
  <si>
    <t xml:space="preserve">Rimmel Lasting Finish </t>
  </si>
  <si>
    <t xml:space="preserve">Rimmel Stay Matte Primer </t>
  </si>
  <si>
    <t xml:space="preserve">Rimmel Provocalips Lips </t>
  </si>
  <si>
    <t xml:space="preserve">Rimmel Oh My Gloss </t>
  </si>
  <si>
    <t xml:space="preserve">Rimmel Colour Rush Lip Balm </t>
  </si>
  <si>
    <t xml:space="preserve">Rimmel 1000 Kisses Lip Liner </t>
  </si>
  <si>
    <t xml:space="preserve">Rimmel Exaggerate Automatic Lip Liner </t>
  </si>
  <si>
    <t xml:space="preserve">Rimmel Moisture Renew Lip Liner </t>
  </si>
  <si>
    <t xml:space="preserve">Rimmel Lasting Finish Lipstick </t>
  </si>
  <si>
    <t xml:space="preserve">Rimmel Lasting Finish Lipstick by Kate Moss </t>
  </si>
  <si>
    <t>$1.70</t>
  </si>
  <si>
    <t xml:space="preserve">Rimmel Lasting Finish Matte Lipstick by Kate Moss </t>
  </si>
  <si>
    <t xml:space="preserve">Rimmel Moisture Renew Lipstick </t>
  </si>
  <si>
    <t xml:space="preserve">Rimmel The Only 1 Lipstick </t>
  </si>
  <si>
    <t xml:space="preserve">Rimmel The Only 1 Matte Lipstick </t>
  </si>
  <si>
    <t xml:space="preserve">Rimmel Miscellaneous &amp; Gifts </t>
  </si>
  <si>
    <t xml:space="preserve">Rimmel Brow This Way </t>
  </si>
  <si>
    <t xml:space="preserve">Sally Hansen Nail Care </t>
  </si>
  <si>
    <t xml:space="preserve">Sally Hansen Removers </t>
  </si>
  <si>
    <t xml:space="preserve">Sally Hansen Complete Salon Manicure </t>
  </si>
  <si>
    <t xml:space="preserve">Sally Hansen Hard As Nails Xtreme Wear </t>
  </si>
  <si>
    <t xml:space="preserve">Sally Hansen Top Coat </t>
  </si>
  <si>
    <t xml:space="preserve">Sally Hansen Miracle Gel </t>
  </si>
  <si>
    <t>$3.97</t>
  </si>
  <si>
    <t xml:space="preserve">Sally Hansen Xtreme Wear </t>
  </si>
  <si>
    <t xml:space="preserve">Sally Hansen Red Carpet Collection </t>
  </si>
  <si>
    <t xml:space="preserve">Sally Hansen Base Coat </t>
  </si>
  <si>
    <t xml:space="preserve">Sally Hansen Colour Therapy </t>
  </si>
  <si>
    <t xml:space="preserve"> Cosmetics Miscellaneous </t>
  </si>
  <si>
    <t>$9.01</t>
  </si>
  <si>
    <t xml:space="preserve">YSL </t>
  </si>
  <si>
    <t xml:space="preserve">W7 Makeup </t>
  </si>
  <si>
    <t xml:space="preserve">W7 Concealer </t>
  </si>
  <si>
    <t xml:space="preserve">W7 Bronzer </t>
  </si>
  <si>
    <t xml:space="preserve">W7 Face Primer </t>
  </si>
  <si>
    <t xml:space="preserve">W7 Foundation </t>
  </si>
  <si>
    <t xml:space="preserve">W7 Powder </t>
  </si>
  <si>
    <t xml:space="preserve">W7 Blusher </t>
  </si>
  <si>
    <t xml:space="preserve">W7 Highlighter </t>
  </si>
  <si>
    <t xml:space="preserve">W7 Contour </t>
  </si>
  <si>
    <t xml:space="preserve">W7 Eyeshadow </t>
  </si>
  <si>
    <t xml:space="preserve">W7 Eyeliner </t>
  </si>
  <si>
    <t xml:space="preserve">W7 Mascara </t>
  </si>
  <si>
    <t xml:space="preserve">W7 Eyebrows </t>
  </si>
  <si>
    <t xml:space="preserve">W7 False Lashes </t>
  </si>
  <si>
    <t xml:space="preserve">W7 Lip Balm </t>
  </si>
  <si>
    <t xml:space="preserve">W7 Lipstick </t>
  </si>
  <si>
    <t xml:space="preserve">W7 Lip Gloss </t>
  </si>
  <si>
    <t xml:space="preserve">W7 Lip Liner </t>
  </si>
  <si>
    <t xml:space="preserve">W7 Miscellaneous </t>
  </si>
  <si>
    <t xml:space="preserve">W7 Nail Polish </t>
  </si>
  <si>
    <t xml:space="preserve">W7 Nail Treatments </t>
  </si>
  <si>
    <t xml:space="preserve">L'Oreal Mascara </t>
  </si>
  <si>
    <t xml:space="preserve">L'Oreal Eyebrow </t>
  </si>
  <si>
    <t xml:space="preserve">L'Oreal Eyeliner </t>
  </si>
  <si>
    <t>$12.23</t>
  </si>
  <si>
    <t>$12.22</t>
  </si>
  <si>
    <t xml:space="preserve">L'Oreal Color Riche Crayon Eyeshadow </t>
  </si>
  <si>
    <t xml:space="preserve">L'Oreal Color Riche Eyeshadow Quads </t>
  </si>
  <si>
    <t xml:space="preserve">L'Oreal Color Riche Mono Eyeshadow </t>
  </si>
  <si>
    <t xml:space="preserve">L'Oreal Color Riche Eyes Nude Palette </t>
  </si>
  <si>
    <t xml:space="preserve">L'Oreal Color Riche Extraordinaire </t>
  </si>
  <si>
    <t xml:space="preserve">L'Oreal Infallible Lip Gloss </t>
  </si>
  <si>
    <t xml:space="preserve">L'Oreal Color Riche Lip Liner </t>
  </si>
  <si>
    <t xml:space="preserve">L'Oreal Infallible Matte FX Lip </t>
  </si>
  <si>
    <t xml:space="preserve">L'Oreal Infallible 2-Step Longwear </t>
  </si>
  <si>
    <t xml:space="preserve">L'Oreal Color Riche Lipstick </t>
  </si>
  <si>
    <t xml:space="preserve">L'Oreal Color Riche Matte </t>
  </si>
  <si>
    <t xml:space="preserve">L'Oreal Infallible Le Rouge </t>
  </si>
  <si>
    <t xml:space="preserve">L'Oreal Primer </t>
  </si>
  <si>
    <t xml:space="preserve">L'Oreal BB Cream </t>
  </si>
  <si>
    <t xml:space="preserve">L'Oreal Blush </t>
  </si>
  <si>
    <t xml:space="preserve">L'Oreal CC Cream </t>
  </si>
  <si>
    <t xml:space="preserve">L'Oreal Infallible Concealer </t>
  </si>
  <si>
    <t xml:space="preserve">L'Oreal Lumi Magique Concealer </t>
  </si>
  <si>
    <t xml:space="preserve">L'Oreal True Match Concealer </t>
  </si>
  <si>
    <t xml:space="preserve">L'Oreal True Match Pen Stick </t>
  </si>
  <si>
    <t xml:space="preserve">L'Oreal Infallible Liquid Foundation </t>
  </si>
  <si>
    <t xml:space="preserve">L'Oreal Infallible Matte Foundation </t>
  </si>
  <si>
    <t xml:space="preserve">L'Oreal NutriLift Gold Foundation </t>
  </si>
  <si>
    <t xml:space="preserve">L'Oreal True Match Foundation </t>
  </si>
  <si>
    <t xml:space="preserve">L'Oreal True Match Minerals Foundation </t>
  </si>
  <si>
    <t xml:space="preserve">L'Oreal Nude Magique Cushion Foundation </t>
  </si>
  <si>
    <t xml:space="preserve">L'Oreal Infallible Total Cover Foundation </t>
  </si>
  <si>
    <t xml:space="preserve">L'Oreal Infallible Compact Foundation </t>
  </si>
  <si>
    <t xml:space="preserve">L'Oreal Nude BB Powder </t>
  </si>
  <si>
    <t xml:space="preserve">L'Oreal True Match Powder </t>
  </si>
  <si>
    <t xml:space="preserve">L'Oreal Infallible Sculpt Contouring Palette  </t>
  </si>
  <si>
    <t xml:space="preserve">L'Oreal Color Riche Le Vernis </t>
  </si>
  <si>
    <t xml:space="preserve">L'Oreal Infallible Nail Gel </t>
  </si>
  <si>
    <t xml:space="preserve">L'Oreal Nail Polish Remover </t>
  </si>
  <si>
    <t xml:space="preserve">Nude by Nature Bronzers </t>
  </si>
  <si>
    <t xml:space="preserve">Nude by Nature Finishing Powders </t>
  </si>
  <si>
    <t xml:space="preserve">Nude by Nature Foundations </t>
  </si>
  <si>
    <t xml:space="preserve">Nude by Nature Contour &amp; Highlight </t>
  </si>
  <si>
    <t xml:space="preserve">Nude by Nature Concealers </t>
  </si>
  <si>
    <t xml:space="preserve">Nude by Nature Illuminators </t>
  </si>
  <si>
    <t xml:space="preserve">Nude by Nature Primers </t>
  </si>
  <si>
    <t xml:space="preserve">Nude by Nature Blush </t>
  </si>
  <si>
    <t xml:space="preserve">Nude by Nature Sheer Glow BB </t>
  </si>
  <si>
    <t xml:space="preserve">Nude by Nature Mascara </t>
  </si>
  <si>
    <t xml:space="preserve">Nude by Nature Eye Liner </t>
  </si>
  <si>
    <t xml:space="preserve">Nude by Nature Eyeshadows </t>
  </si>
  <si>
    <t xml:space="preserve">Nude by Nature Brushes &amp; Tools </t>
  </si>
  <si>
    <t xml:space="preserve">Nude by Nature Gift Sets </t>
  </si>
  <si>
    <t>$50.69</t>
  </si>
  <si>
    <t xml:space="preserve">Eulactol Skin Care </t>
  </si>
  <si>
    <t>$6.76</t>
  </si>
  <si>
    <t xml:space="preserve">Rosken </t>
  </si>
  <si>
    <t xml:space="preserve">Skin Doctors </t>
  </si>
  <si>
    <t xml:space="preserve">Avene </t>
  </si>
  <si>
    <t>$45.99</t>
  </si>
  <si>
    <t xml:space="preserve">Skin Republic </t>
  </si>
  <si>
    <t xml:space="preserve">Natio </t>
  </si>
  <si>
    <t xml:space="preserve">Goodness </t>
  </si>
  <si>
    <t xml:space="preserve">John Plunkett </t>
  </si>
  <si>
    <t>$2.94</t>
  </si>
  <si>
    <t>$1.28</t>
  </si>
  <si>
    <t>$10.04</t>
  </si>
  <si>
    <t>$3.92</t>
  </si>
  <si>
    <t>$4.82</t>
  </si>
  <si>
    <t xml:space="preserve">Garnier Pure Active </t>
  </si>
  <si>
    <t xml:space="preserve">Garnier Moisture Match </t>
  </si>
  <si>
    <t>$5.45</t>
  </si>
  <si>
    <t xml:space="preserve">L'Oreal Men Expert Hydra Energetic </t>
  </si>
  <si>
    <t xml:space="preserve">L'Oreal Men Expert Hydra Sensitive </t>
  </si>
  <si>
    <t xml:space="preserve">L'Oreal Men Expert Pure Power </t>
  </si>
  <si>
    <t xml:space="preserve">L'Oreal Men Expert Vita Lift </t>
  </si>
  <si>
    <t>$6.16</t>
  </si>
  <si>
    <t xml:space="preserve">L'Oreal Revitalift Laser X3 </t>
  </si>
  <si>
    <t xml:space="preserve">L'Oreal Skin Perfection </t>
  </si>
  <si>
    <t xml:space="preserve">L'Oreal Age Perfect Cell Renewal </t>
  </si>
  <si>
    <t xml:space="preserve">L'Oreal Age Perfect Intense Nutrition </t>
  </si>
  <si>
    <t xml:space="preserve">L'Oreal Dermo Pure Clay Mask </t>
  </si>
  <si>
    <t xml:space="preserve">Nivea For Men </t>
  </si>
  <si>
    <t>$1.54</t>
  </si>
  <si>
    <t>$3.76</t>
  </si>
  <si>
    <t>$1.87</t>
  </si>
  <si>
    <t>$3.14</t>
  </si>
  <si>
    <t>$4.29</t>
  </si>
  <si>
    <t>$3.04</t>
  </si>
  <si>
    <t>$0.93</t>
  </si>
  <si>
    <t>$2.91</t>
  </si>
  <si>
    <t xml:space="preserve">Nivea Hand </t>
  </si>
  <si>
    <t xml:space="preserve">Nivea Face </t>
  </si>
  <si>
    <t xml:space="preserve">Nivea Body </t>
  </si>
  <si>
    <t xml:space="preserve">Olay Regenerist Luminous </t>
  </si>
  <si>
    <t xml:space="preserve">Olay Total Effects </t>
  </si>
  <si>
    <t>$12.70</t>
  </si>
  <si>
    <t xml:space="preserve">Olay Base Range </t>
  </si>
  <si>
    <t xml:space="preserve">Olay Regenerist Advanced Cleansing  </t>
  </si>
  <si>
    <t xml:space="preserve">Olay Complete </t>
  </si>
  <si>
    <t xml:space="preserve">Olay Eyes </t>
  </si>
  <si>
    <t xml:space="preserve">Palmer's </t>
  </si>
  <si>
    <t>$1.40</t>
  </si>
  <si>
    <t xml:space="preserve">Innoxa Skincare </t>
  </si>
  <si>
    <t xml:space="preserve">Dr LeWinn's </t>
  </si>
  <si>
    <t>$52.39</t>
  </si>
  <si>
    <t>$22.56</t>
  </si>
  <si>
    <t>$48.69</t>
  </si>
  <si>
    <t>$21.26</t>
  </si>
  <si>
    <t>$15.06</t>
  </si>
  <si>
    <t>$31.96</t>
  </si>
  <si>
    <t xml:space="preserve">Elizabeth Arden </t>
  </si>
  <si>
    <t>$53.01</t>
  </si>
  <si>
    <t>$49.01</t>
  </si>
  <si>
    <t>$42.01</t>
  </si>
  <si>
    <t>$46.01</t>
  </si>
  <si>
    <t xml:space="preserve">Vaseline Spray Moisturisers </t>
  </si>
  <si>
    <t xml:space="preserve">Lancome </t>
  </si>
  <si>
    <t>$64.00</t>
  </si>
  <si>
    <t>$130.00</t>
  </si>
  <si>
    <t>$75.00</t>
  </si>
  <si>
    <t>$115.00</t>
  </si>
  <si>
    <t>$58.00</t>
  </si>
  <si>
    <t>$52.00</t>
  </si>
  <si>
    <t>$69.00</t>
  </si>
  <si>
    <t xml:space="preserve">Dove </t>
  </si>
  <si>
    <t>$1.37</t>
  </si>
  <si>
    <t>$7.90</t>
  </si>
  <si>
    <t xml:space="preserve">Simple </t>
  </si>
  <si>
    <t>$0.10</t>
  </si>
  <si>
    <t xml:space="preserve">NeoStrata Enlighten  </t>
  </si>
  <si>
    <t>$37.39</t>
  </si>
  <si>
    <t xml:space="preserve">Invite E </t>
  </si>
  <si>
    <t>$2.66</t>
  </si>
  <si>
    <t>$3.21</t>
  </si>
  <si>
    <t xml:space="preserve">Johnson &amp; Johnson </t>
  </si>
  <si>
    <t>$3.49</t>
  </si>
  <si>
    <t>$0.47</t>
  </si>
  <si>
    <t xml:space="preserve">Witch Hazel </t>
  </si>
  <si>
    <t xml:space="preserve">Sukin Hair </t>
  </si>
  <si>
    <t xml:space="preserve">Sukin Rosehip Oil  </t>
  </si>
  <si>
    <t xml:space="preserve">Sukin Body </t>
  </si>
  <si>
    <t xml:space="preserve">Sukin Face </t>
  </si>
  <si>
    <t xml:space="preserve">Derma Sukin </t>
  </si>
  <si>
    <t xml:space="preserve">Sukin Baby </t>
  </si>
  <si>
    <t xml:space="preserve">Fruitworks </t>
  </si>
  <si>
    <t xml:space="preserve">Clarins </t>
  </si>
  <si>
    <t>$138.00</t>
  </si>
  <si>
    <t>$120.00</t>
  </si>
  <si>
    <t>$57.69</t>
  </si>
  <si>
    <t>$36.00</t>
  </si>
  <si>
    <t>$52.69</t>
  </si>
  <si>
    <t>$9.31</t>
  </si>
  <si>
    <t>$44.00</t>
  </si>
  <si>
    <t xml:space="preserve">Skin Care Miscellaneous </t>
  </si>
  <si>
    <t>$0.15</t>
  </si>
  <si>
    <t>$9.91</t>
  </si>
  <si>
    <t>$4.49</t>
  </si>
  <si>
    <t>$5.46</t>
  </si>
  <si>
    <t xml:space="preserve">Enya </t>
  </si>
  <si>
    <t xml:space="preserve">freezeframe </t>
  </si>
  <si>
    <t>$58.39</t>
  </si>
  <si>
    <t>$66.99</t>
  </si>
  <si>
    <t>$7.61</t>
  </si>
  <si>
    <t>$75.39</t>
  </si>
  <si>
    <t>$13.61</t>
  </si>
  <si>
    <t>$15.01</t>
  </si>
  <si>
    <t xml:space="preserve">Grace Cole </t>
  </si>
  <si>
    <t xml:space="preserve">Goat Soap &amp; Moisturisers </t>
  </si>
  <si>
    <t xml:space="preserve">Ponds </t>
  </si>
  <si>
    <t xml:space="preserve">Redwin </t>
  </si>
  <si>
    <t>$0.71</t>
  </si>
  <si>
    <t xml:space="preserve">Trilogy </t>
  </si>
  <si>
    <t>$11.26</t>
  </si>
  <si>
    <t xml:space="preserve">Alpha Keri </t>
  </si>
  <si>
    <t>$25.26</t>
  </si>
  <si>
    <t xml:space="preserve">Aveeno Hand &amp; Body </t>
  </si>
  <si>
    <t>$6.49</t>
  </si>
  <si>
    <t xml:space="preserve">Cetaphil </t>
  </si>
  <si>
    <t>$5.71</t>
  </si>
  <si>
    <t>$4.06</t>
  </si>
  <si>
    <t>$2.16</t>
  </si>
  <si>
    <t>$3.01</t>
  </si>
  <si>
    <t>$2.41</t>
  </si>
  <si>
    <t>$1.11</t>
  </si>
  <si>
    <t xml:space="preserve">DermaVeen Moisturising </t>
  </si>
  <si>
    <t xml:space="preserve">DermaVeen Wash </t>
  </si>
  <si>
    <t xml:space="preserve">DermaVeen Daily Nourish </t>
  </si>
  <si>
    <t xml:space="preserve">DermaVeen Eczema </t>
  </si>
  <si>
    <t xml:space="preserve">QV Skincare </t>
  </si>
  <si>
    <t>$3.16</t>
  </si>
  <si>
    <t>$3.36</t>
  </si>
  <si>
    <t>$1.16</t>
  </si>
  <si>
    <t>$3.61</t>
  </si>
  <si>
    <t>$3.31</t>
  </si>
  <si>
    <t xml:space="preserve">Swisse Skin Care </t>
  </si>
  <si>
    <t xml:space="preserve">Montagne Jeunesse </t>
  </si>
  <si>
    <t xml:space="preserve">Elucent Anti-ageing </t>
  </si>
  <si>
    <t xml:space="preserve">Elucent Whitening </t>
  </si>
  <si>
    <t xml:space="preserve">Beauty &amp; Me </t>
  </si>
  <si>
    <t>$0.01</t>
  </si>
  <si>
    <t xml:space="preserve">Byphasse </t>
  </si>
  <si>
    <t xml:space="preserve">Neutrogena Acne </t>
  </si>
  <si>
    <t xml:space="preserve">Neutrogena Body </t>
  </si>
  <si>
    <t>$0.40</t>
  </si>
  <si>
    <t xml:space="preserve">Neutrogena Ageless Intensives </t>
  </si>
  <si>
    <t xml:space="preserve">Neutrogena Hydro Boost </t>
  </si>
  <si>
    <t xml:space="preserve">Neutrogena Cleansers </t>
  </si>
  <si>
    <t xml:space="preserve">Neutrogena Naturals </t>
  </si>
  <si>
    <t xml:space="preserve">Neutrogena Moisturiser </t>
  </si>
  <si>
    <t xml:space="preserve">Neutrogena Pore Refining </t>
  </si>
  <si>
    <t xml:space="preserve">Neutrogena Norwegian </t>
  </si>
  <si>
    <t>$0.31</t>
  </si>
  <si>
    <t xml:space="preserve">Neutrogena T-Gel </t>
  </si>
  <si>
    <t>$2.62</t>
  </si>
  <si>
    <t xml:space="preserve">Neutrogena Make-up Removers </t>
  </si>
  <si>
    <t xml:space="preserve">Neutrogena Rapid Clear </t>
  </si>
  <si>
    <t xml:space="preserve">RosehipPLUS </t>
  </si>
  <si>
    <t>$12.26</t>
  </si>
  <si>
    <t xml:space="preserve">Bee Venom </t>
  </si>
  <si>
    <t xml:space="preserve">Natural Instinct </t>
  </si>
  <si>
    <t xml:space="preserve">Oil Garden </t>
  </si>
  <si>
    <t>$7.60</t>
  </si>
  <si>
    <t xml:space="preserve">7th Heaven </t>
  </si>
  <si>
    <t xml:space="preserve">Natura Siberica Skin </t>
  </si>
  <si>
    <t xml:space="preserve">Natura Siberica Hair </t>
  </si>
  <si>
    <t xml:space="preserve">Natura Siberica Bath and Body </t>
  </si>
  <si>
    <t xml:space="preserve">Paw Paw </t>
  </si>
  <si>
    <t>$3.63</t>
  </si>
  <si>
    <t>$2.49</t>
  </si>
  <si>
    <t>$2.46</t>
  </si>
  <si>
    <t>$3.45</t>
  </si>
  <si>
    <t xml:space="preserve">Martin and Pleasance Herbal Creams </t>
  </si>
  <si>
    <t xml:space="preserve">La Roche-Posay Oily and Acne Prone Skin </t>
  </si>
  <si>
    <t xml:space="preserve">La Roche-Posay Sensitive and Reactive Skin </t>
  </si>
  <si>
    <t xml:space="preserve">La Roche-Posay Suncare </t>
  </si>
  <si>
    <t>$30.39</t>
  </si>
  <si>
    <t xml:space="preserve">La Roche-Posay Dry and Atopic Skin </t>
  </si>
  <si>
    <t xml:space="preserve">La Roche-Posay Anti-ageing and Pigmentation </t>
  </si>
  <si>
    <t xml:space="preserve">La Roche-Posay Anti-redness </t>
  </si>
  <si>
    <t xml:space="preserve">Goat Creams and Lotions </t>
  </si>
  <si>
    <t xml:space="preserve">Byron </t>
  </si>
  <si>
    <t xml:space="preserve">Klim Skincare </t>
  </si>
  <si>
    <t xml:space="preserve">Thankyou </t>
  </si>
  <si>
    <t xml:space="preserve">WotNot </t>
  </si>
  <si>
    <t xml:space="preserve">Tony Moly I Am Real </t>
  </si>
  <si>
    <t xml:space="preserve">Thursday Plantation Skincare </t>
  </si>
  <si>
    <t>$5.16</t>
  </si>
  <si>
    <t xml:space="preserve">A'kin </t>
  </si>
  <si>
    <t xml:space="preserve">Wrinkles Schminkles </t>
  </si>
  <si>
    <t>$39.95</t>
  </si>
  <si>
    <t xml:space="preserve">By My Beard </t>
  </si>
  <si>
    <t xml:space="preserve">Coffee Bar Exfoliator </t>
  </si>
  <si>
    <t xml:space="preserve">Hamilton </t>
  </si>
  <si>
    <t xml:space="preserve">Olivella </t>
  </si>
  <si>
    <t xml:space="preserve">Mustela </t>
  </si>
  <si>
    <t xml:space="preserve">Essano Rosehip </t>
  </si>
  <si>
    <t xml:space="preserve">Bio Oil </t>
  </si>
  <si>
    <t xml:space="preserve">Swisspers </t>
  </si>
  <si>
    <t>$0.19</t>
  </si>
  <si>
    <t>$0.29</t>
  </si>
  <si>
    <t xml:space="preserve">Hiprex </t>
  </si>
  <si>
    <t xml:space="preserve">Pharmaceutical Preparations </t>
  </si>
  <si>
    <t xml:space="preserve">Kits and Accessories </t>
  </si>
  <si>
    <t>$5.42</t>
  </si>
  <si>
    <t>$8.66</t>
  </si>
  <si>
    <t xml:space="preserve">Handy/Hansaplast </t>
  </si>
  <si>
    <t>$7.70</t>
  </si>
  <si>
    <t>$4.48</t>
  </si>
  <si>
    <t>$0.49</t>
  </si>
  <si>
    <t xml:space="preserve">Band-Aid Fabric </t>
  </si>
  <si>
    <t xml:space="preserve">Band-Aid SkinFlex </t>
  </si>
  <si>
    <t xml:space="preserve">Band-Aid Advanced Healing </t>
  </si>
  <si>
    <t>$1.25</t>
  </si>
  <si>
    <t xml:space="preserve">Band-Aid Character Strips </t>
  </si>
  <si>
    <t xml:space="preserve">Band-Aid Clear </t>
  </si>
  <si>
    <t xml:space="preserve">Band-Aid Extra Wide </t>
  </si>
  <si>
    <t xml:space="preserve">Band-Aid Shapes </t>
  </si>
  <si>
    <t xml:space="preserve">Band-Aid Plastic </t>
  </si>
  <si>
    <t xml:space="preserve">Band-Aid Tough Strips </t>
  </si>
  <si>
    <t xml:space="preserve">Band-Aid First Aid </t>
  </si>
  <si>
    <t xml:space="preserve">Nexcare </t>
  </si>
  <si>
    <t>$0.67</t>
  </si>
  <si>
    <t>$2.59</t>
  </si>
  <si>
    <t>$5.61</t>
  </si>
  <si>
    <t>$8.33</t>
  </si>
  <si>
    <t>$3.57</t>
  </si>
  <si>
    <t>$1.75</t>
  </si>
  <si>
    <t>$0.75</t>
  </si>
  <si>
    <t>$5.43</t>
  </si>
  <si>
    <t>$2.32</t>
  </si>
  <si>
    <t>$4.61</t>
  </si>
  <si>
    <t>$2.36</t>
  </si>
  <si>
    <t xml:space="preserve">Elastoplast </t>
  </si>
  <si>
    <t>$0.41</t>
  </si>
  <si>
    <t>$0.27</t>
  </si>
  <si>
    <t>$0.17</t>
  </si>
  <si>
    <t>$0.77</t>
  </si>
  <si>
    <t>$0.65</t>
  </si>
  <si>
    <t>$2.68</t>
  </si>
  <si>
    <t>$0.73</t>
  </si>
  <si>
    <t>$0.94</t>
  </si>
  <si>
    <t>$0.61</t>
  </si>
  <si>
    <t>$0.53</t>
  </si>
  <si>
    <t xml:space="preserve">Smith &amp; Nephew </t>
  </si>
  <si>
    <t>$0.21</t>
  </si>
  <si>
    <t>$1.36</t>
  </si>
  <si>
    <t>$3.11</t>
  </si>
  <si>
    <t>$3.71</t>
  </si>
  <si>
    <t>$0.69</t>
  </si>
  <si>
    <t>$0.06</t>
  </si>
  <si>
    <t>$4.71</t>
  </si>
  <si>
    <t>$0.36</t>
  </si>
  <si>
    <t>$1.47</t>
  </si>
  <si>
    <t>$2.61</t>
  </si>
  <si>
    <t>$0.91</t>
  </si>
  <si>
    <t xml:space="preserve">Bodigrip </t>
  </si>
  <si>
    <t xml:space="preserve">Antiseptics </t>
  </si>
  <si>
    <t>$6.81</t>
  </si>
  <si>
    <t>$7.35</t>
  </si>
  <si>
    <t>$3.15</t>
  </si>
  <si>
    <t>$10.15</t>
  </si>
  <si>
    <t>$4.35</t>
  </si>
  <si>
    <t>$1.20</t>
  </si>
  <si>
    <t>$1.74</t>
  </si>
  <si>
    <t xml:space="preserve">Hot &amp; Cold Packs </t>
  </si>
  <si>
    <t>$4.81</t>
  </si>
  <si>
    <t>$1.04</t>
  </si>
  <si>
    <t xml:space="preserve">Squatty Potty </t>
  </si>
  <si>
    <t xml:space="preserve">Zen </t>
  </si>
  <si>
    <t>$6.61</t>
  </si>
  <si>
    <t xml:space="preserve">Flexiseq </t>
  </si>
  <si>
    <t xml:space="preserve">Buscopan </t>
  </si>
  <si>
    <t xml:space="preserve">Alka Seltzer </t>
  </si>
  <si>
    <t>$1.32</t>
  </si>
  <si>
    <t xml:space="preserve">De-Gas </t>
  </si>
  <si>
    <t xml:space="preserve">Eno </t>
  </si>
  <si>
    <t xml:space="preserve">Gaviscon </t>
  </si>
  <si>
    <t>$1.31</t>
  </si>
  <si>
    <t>$0.59</t>
  </si>
  <si>
    <t xml:space="preserve">Mintec </t>
  </si>
  <si>
    <t xml:space="preserve">Mylanta </t>
  </si>
  <si>
    <t>$2.29</t>
  </si>
  <si>
    <t xml:space="preserve">Quick Eze </t>
  </si>
  <si>
    <t>$0.89</t>
  </si>
  <si>
    <t xml:space="preserve">Rennie </t>
  </si>
  <si>
    <t>$2.13</t>
  </si>
  <si>
    <t xml:space="preserve">Zantac </t>
  </si>
  <si>
    <t xml:space="preserve">Antacids Miscellaneous </t>
  </si>
  <si>
    <t xml:space="preserve">Anti-Nauseants </t>
  </si>
  <si>
    <t xml:space="preserve">Meal Replacements </t>
  </si>
  <si>
    <t xml:space="preserve">Haemorrhoids </t>
  </si>
  <si>
    <t xml:space="preserve">Dulcolax </t>
  </si>
  <si>
    <t xml:space="preserve">Coloxyl </t>
  </si>
  <si>
    <t xml:space="preserve">Glycerol </t>
  </si>
  <si>
    <t xml:space="preserve">Laxettes </t>
  </si>
  <si>
    <t xml:space="preserve">Microlax </t>
  </si>
  <si>
    <t xml:space="preserve">Movicol </t>
  </si>
  <si>
    <t xml:space="preserve">Normacol </t>
  </si>
  <si>
    <t xml:space="preserve">Nulax </t>
  </si>
  <si>
    <t>$2.89</t>
  </si>
  <si>
    <t>$1.89</t>
  </si>
  <si>
    <t xml:space="preserve">Laxatives Miscellaneous </t>
  </si>
  <si>
    <t>$9.93</t>
  </si>
  <si>
    <t>$3.73</t>
  </si>
  <si>
    <t xml:space="preserve">Prunelax </t>
  </si>
  <si>
    <t xml:space="preserve">Contact Lens Care </t>
  </si>
  <si>
    <t>$3.05</t>
  </si>
  <si>
    <t xml:space="preserve">Ear Care and Treatments </t>
  </si>
  <si>
    <t>$0.11</t>
  </si>
  <si>
    <t>$8.55</t>
  </si>
  <si>
    <t xml:space="preserve">Combantrin </t>
  </si>
  <si>
    <t xml:space="preserve">Sedatives </t>
  </si>
  <si>
    <t xml:space="preserve">Stimulants </t>
  </si>
  <si>
    <t>$0.86</t>
  </si>
  <si>
    <t xml:space="preserve">Gastrolyte Jelly Ice Blocks </t>
  </si>
  <si>
    <t xml:space="preserve">Heparanoids / Varicose </t>
  </si>
  <si>
    <t>$9.45</t>
  </si>
  <si>
    <t>$10.63</t>
  </si>
  <si>
    <t xml:space="preserve">Toys </t>
  </si>
  <si>
    <t xml:space="preserve">Advil </t>
  </si>
  <si>
    <t xml:space="preserve">Aspalgin </t>
  </si>
  <si>
    <t xml:space="preserve">Aspro </t>
  </si>
  <si>
    <t xml:space="preserve">Disprin </t>
  </si>
  <si>
    <t xml:space="preserve">Dymadon </t>
  </si>
  <si>
    <t xml:space="preserve">Herron </t>
  </si>
  <si>
    <t xml:space="preserve">Mersyndol </t>
  </si>
  <si>
    <t xml:space="preserve">Nurofen </t>
  </si>
  <si>
    <t>$0.90</t>
  </si>
  <si>
    <t xml:space="preserve">Painstop </t>
  </si>
  <si>
    <t xml:space="preserve">Panadeine </t>
  </si>
  <si>
    <t xml:space="preserve">Panadol - Baby &amp; Children </t>
  </si>
  <si>
    <t xml:space="preserve">Panadol Optizorb </t>
  </si>
  <si>
    <t xml:space="preserve">Panamax </t>
  </si>
  <si>
    <t xml:space="preserve">Voltaren </t>
  </si>
  <si>
    <t xml:space="preserve">Nicabate </t>
  </si>
  <si>
    <t>$4.10</t>
  </si>
  <si>
    <t xml:space="preserve">Nicorette Gum </t>
  </si>
  <si>
    <t xml:space="preserve">Nicorette Patches </t>
  </si>
  <si>
    <t xml:space="preserve">Nicorette Quickmist </t>
  </si>
  <si>
    <t>$21.50</t>
  </si>
  <si>
    <t xml:space="preserve">Nicorette Inhalator </t>
  </si>
  <si>
    <t xml:space="preserve">Nicorette Cooldrops </t>
  </si>
  <si>
    <t>$15.50</t>
  </si>
  <si>
    <t xml:space="preserve">Nicotinell </t>
  </si>
  <si>
    <t xml:space="preserve">QuitX </t>
  </si>
  <si>
    <t xml:space="preserve">Ego Resolve Product Range </t>
  </si>
  <si>
    <t xml:space="preserve">Warts </t>
  </si>
  <si>
    <t xml:space="preserve">Anti-Fungal Topical Cream &amp; Gels </t>
  </si>
  <si>
    <t>$2.83</t>
  </si>
  <si>
    <t xml:space="preserve">Foot and Nail Fungal Treatments </t>
  </si>
  <si>
    <t xml:space="preserve">Thrush Treatments </t>
  </si>
  <si>
    <t xml:space="preserve">Pregaine </t>
  </si>
  <si>
    <t xml:space="preserve">Womens Regaine </t>
  </si>
  <si>
    <t>$74.99</t>
  </si>
  <si>
    <t>$118.69</t>
  </si>
  <si>
    <t xml:space="preserve">Hair Assist </t>
  </si>
  <si>
    <t xml:space="preserve">Hair A Gain </t>
  </si>
  <si>
    <t>$87.99</t>
  </si>
  <si>
    <t xml:space="preserve">Viviscal </t>
  </si>
  <si>
    <t xml:space="preserve">Hangover Preparations </t>
  </si>
  <si>
    <t xml:space="preserve">Topical Ointments </t>
  </si>
  <si>
    <t xml:space="preserve">Anti-Diarrhoea medicines </t>
  </si>
  <si>
    <t xml:space="preserve">Travel aids </t>
  </si>
  <si>
    <t>$6.52</t>
  </si>
  <si>
    <t xml:space="preserve">Travel Kits </t>
  </si>
  <si>
    <t xml:space="preserve">Travel Accessories </t>
  </si>
  <si>
    <t xml:space="preserve">Low Dose Aspirin </t>
  </si>
  <si>
    <t xml:space="preserve">Metamucil </t>
  </si>
  <si>
    <t>$4.20</t>
  </si>
  <si>
    <t>$2.04</t>
  </si>
  <si>
    <t xml:space="preserve">Aerius </t>
  </si>
  <si>
    <t xml:space="preserve">Atrovent </t>
  </si>
  <si>
    <t xml:space="preserve">Beconase </t>
  </si>
  <si>
    <t xml:space="preserve">Breathe Right </t>
  </si>
  <si>
    <t xml:space="preserve">Claratyne </t>
  </si>
  <si>
    <t xml:space="preserve">Dimetapp </t>
  </si>
  <si>
    <t xml:space="preserve">Drixine </t>
  </si>
  <si>
    <t xml:space="preserve">Fess </t>
  </si>
  <si>
    <t xml:space="preserve">Flixonase </t>
  </si>
  <si>
    <t xml:space="preserve">Flo </t>
  </si>
  <si>
    <t xml:space="preserve">Logicin </t>
  </si>
  <si>
    <t xml:space="preserve">Narium </t>
  </si>
  <si>
    <t>$4.13</t>
  </si>
  <si>
    <t xml:space="preserve">Otrivin </t>
  </si>
  <si>
    <t xml:space="preserve">Sinoclear </t>
  </si>
  <si>
    <t xml:space="preserve">Spray Tish </t>
  </si>
  <si>
    <t xml:space="preserve">Sudafed </t>
  </si>
  <si>
    <t xml:space="preserve">Telfast </t>
  </si>
  <si>
    <t xml:space="preserve">Zyrtec </t>
  </si>
  <si>
    <t xml:space="preserve">Allergy, Hayfever &amp; Anti-Histamines Miscellaneous </t>
  </si>
  <si>
    <t xml:space="preserve">Ki Allergies &amp; Hayfever </t>
  </si>
  <si>
    <t>$12.75</t>
  </si>
  <si>
    <t xml:space="preserve">Cold and Flu - Liquids </t>
  </si>
  <si>
    <t xml:space="preserve">Codral Sore Throat Lozenges </t>
  </si>
  <si>
    <t xml:space="preserve">Demazin </t>
  </si>
  <si>
    <t xml:space="preserve">Ease a Cold </t>
  </si>
  <si>
    <t xml:space="preserve">Ki Cold &amp; Flu </t>
  </si>
  <si>
    <t>$21.21</t>
  </si>
  <si>
    <t>$4.51</t>
  </si>
  <si>
    <t xml:space="preserve">Vicks Cold &amp; Flu </t>
  </si>
  <si>
    <t xml:space="preserve">Butter-Menthol </t>
  </si>
  <si>
    <t xml:space="preserve">Benadryl </t>
  </si>
  <si>
    <t xml:space="preserve">Betadine Lozenges </t>
  </si>
  <si>
    <t xml:space="preserve">Bisolvon </t>
  </si>
  <si>
    <t xml:space="preserve">Cepacol </t>
  </si>
  <si>
    <t xml:space="preserve">Difflam </t>
  </si>
  <si>
    <t>$3.40</t>
  </si>
  <si>
    <t xml:space="preserve">Duro-Tuss </t>
  </si>
  <si>
    <t xml:space="preserve">Robitussin </t>
  </si>
  <si>
    <t xml:space="preserve">Soothers </t>
  </si>
  <si>
    <t xml:space="preserve">Strepfen </t>
  </si>
  <si>
    <t xml:space="preserve">Strepsils </t>
  </si>
  <si>
    <t xml:space="preserve">Vicks VapoDrops </t>
  </si>
  <si>
    <t xml:space="preserve">Coughs Miscellaneous </t>
  </si>
  <si>
    <t xml:space="preserve">Cold Sore Treatments </t>
  </si>
  <si>
    <t xml:space="preserve">Thursday Plantation Oils </t>
  </si>
  <si>
    <t>$6.27</t>
  </si>
  <si>
    <t xml:space="preserve">Bosistos </t>
  </si>
  <si>
    <t>$8.59</t>
  </si>
  <si>
    <t>$5.24</t>
  </si>
  <si>
    <t>$2.79</t>
  </si>
  <si>
    <t xml:space="preserve">Avent Bottle Feeding </t>
  </si>
  <si>
    <t xml:space="preserve">Avent Breast Feeding </t>
  </si>
  <si>
    <t>$179.99</t>
  </si>
  <si>
    <t>$69.96</t>
  </si>
  <si>
    <t xml:space="preserve">Avent Warmers &amp; Sterilizers </t>
  </si>
  <si>
    <t xml:space="preserve">Avent Toddler Feeding </t>
  </si>
  <si>
    <t xml:space="preserve">Avent Soothers </t>
  </si>
  <si>
    <t xml:space="preserve">Closer To Nature </t>
  </si>
  <si>
    <t>$6.29</t>
  </si>
  <si>
    <t>$17.49</t>
  </si>
  <si>
    <t>$12.50</t>
  </si>
  <si>
    <t>$9.09</t>
  </si>
  <si>
    <t>$3.91</t>
  </si>
  <si>
    <t>$13.29</t>
  </si>
  <si>
    <t>$16.79</t>
  </si>
  <si>
    <t>$7.20</t>
  </si>
  <si>
    <t xml:space="preserve">Tommee Tippee Infant Feeding </t>
  </si>
  <si>
    <t>$3.89</t>
  </si>
  <si>
    <t xml:space="preserve">Tommee Tippee Soothers </t>
  </si>
  <si>
    <t xml:space="preserve">Tommee Tippee Toddler Feeding </t>
  </si>
  <si>
    <t xml:space="preserve">Tommee Tippee Cups </t>
  </si>
  <si>
    <t xml:space="preserve">Tommee Tippee Breastfeeding </t>
  </si>
  <si>
    <t>$139.99</t>
  </si>
  <si>
    <t>$60.01</t>
  </si>
  <si>
    <t>$96.99</t>
  </si>
  <si>
    <t>$21.01</t>
  </si>
  <si>
    <t xml:space="preserve">Pigeon </t>
  </si>
  <si>
    <t>$1.95</t>
  </si>
  <si>
    <t>$1.91</t>
  </si>
  <si>
    <t>$4.66</t>
  </si>
  <si>
    <t>$0.66</t>
  </si>
  <si>
    <t xml:space="preserve">Medela Breast Pumps </t>
  </si>
  <si>
    <t>$334.99</t>
  </si>
  <si>
    <t>$114.01</t>
  </si>
  <si>
    <t>$52.49</t>
  </si>
  <si>
    <t>$409.99</t>
  </si>
  <si>
    <t>$139.96</t>
  </si>
  <si>
    <t>$71.19</t>
  </si>
  <si>
    <t>$23.76</t>
  </si>
  <si>
    <t>$249.99</t>
  </si>
  <si>
    <t>$89.96</t>
  </si>
  <si>
    <t xml:space="preserve">Medela Kits And Sets </t>
  </si>
  <si>
    <t>$11.61</t>
  </si>
  <si>
    <t xml:space="preserve">Medela Nipple Shields </t>
  </si>
  <si>
    <t>$6.11</t>
  </si>
  <si>
    <t xml:space="preserve">Medela Bottles and Teats </t>
  </si>
  <si>
    <t>$8.19</t>
  </si>
  <si>
    <t>$11.19</t>
  </si>
  <si>
    <t xml:space="preserve">Medela Miscellaneous </t>
  </si>
  <si>
    <t>$26.21</t>
  </si>
  <si>
    <t>$8.74</t>
  </si>
  <si>
    <t xml:space="preserve">Baby Accessories Miscellaneous </t>
  </si>
  <si>
    <t xml:space="preserve">Nuby </t>
  </si>
  <si>
    <t>$5.79</t>
  </si>
  <si>
    <t>$3.19</t>
  </si>
  <si>
    <t>$5.19</t>
  </si>
  <si>
    <t xml:space="preserve">b.box </t>
  </si>
  <si>
    <t xml:space="preserve">Lamaze </t>
  </si>
  <si>
    <t xml:space="preserve">Playgro </t>
  </si>
  <si>
    <t xml:space="preserve">Twistshake Anti Colic </t>
  </si>
  <si>
    <t xml:space="preserve">Baby U Accessories </t>
  </si>
  <si>
    <t xml:space="preserve">Babylove </t>
  </si>
  <si>
    <t xml:space="preserve">Huggies </t>
  </si>
  <si>
    <t xml:space="preserve">Snugglers </t>
  </si>
  <si>
    <t xml:space="preserve">Treasures </t>
  </si>
  <si>
    <t xml:space="preserve">Tooshies by TOM Organic </t>
  </si>
  <si>
    <t xml:space="preserve">Baby Wipes </t>
  </si>
  <si>
    <t xml:space="preserve">Aptamil Infant Formula 0-6 Months </t>
  </si>
  <si>
    <t xml:space="preserve">Aptamil Follow-On Formula 6-12 Months </t>
  </si>
  <si>
    <t xml:space="preserve">Aptamil Toddler 1-2+ Years </t>
  </si>
  <si>
    <t xml:space="preserve">Aptamil Specialty Formulas </t>
  </si>
  <si>
    <t xml:space="preserve">S-26 </t>
  </si>
  <si>
    <t xml:space="preserve">NAN </t>
  </si>
  <si>
    <t xml:space="preserve">Heinz Nurture </t>
  </si>
  <si>
    <t xml:space="preserve">Karicare </t>
  </si>
  <si>
    <t xml:space="preserve">Neocate </t>
  </si>
  <si>
    <t xml:space="preserve">Novalac </t>
  </si>
  <si>
    <t xml:space="preserve">Bellamy's Organic Formula </t>
  </si>
  <si>
    <t xml:space="preserve">SMA </t>
  </si>
  <si>
    <t xml:space="preserve">A2 </t>
  </si>
  <si>
    <t xml:space="preserve">Nature's Way Kids Smart </t>
  </si>
  <si>
    <t xml:space="preserve">Blackmores Formula </t>
  </si>
  <si>
    <t xml:space="preserve">Opti Gold </t>
  </si>
  <si>
    <t xml:space="preserve">OLI6 </t>
  </si>
  <si>
    <t xml:space="preserve">Bubs Goat Formula </t>
  </si>
  <si>
    <t xml:space="preserve">Baby Medical and Vitamins </t>
  </si>
  <si>
    <t xml:space="preserve">Breast Pads, Shields and Cream </t>
  </si>
  <si>
    <t>$13.09</t>
  </si>
  <si>
    <t>$4.41</t>
  </si>
  <si>
    <t>$2.42</t>
  </si>
  <si>
    <t xml:space="preserve">Little Innoscents </t>
  </si>
  <si>
    <t xml:space="preserve">Baby Powders </t>
  </si>
  <si>
    <t>$5.09</t>
  </si>
  <si>
    <t>$0.45</t>
  </si>
  <si>
    <t xml:space="preserve">Baby Shampoo and Conditioners </t>
  </si>
  <si>
    <t xml:space="preserve">Baby Oils </t>
  </si>
  <si>
    <t xml:space="preserve">Baby Creams and Lotions </t>
  </si>
  <si>
    <t>$3.64</t>
  </si>
  <si>
    <t xml:space="preserve">La Clinica Organic For Baby </t>
  </si>
  <si>
    <t xml:space="preserve">Ecostore Baby &amp; Kids </t>
  </si>
  <si>
    <t xml:space="preserve">Organic Care Baby </t>
  </si>
  <si>
    <t xml:space="preserve">Baby Mum-Mum </t>
  </si>
  <si>
    <t xml:space="preserve">Bellamy's Organic </t>
  </si>
  <si>
    <t>$3.79</t>
  </si>
  <si>
    <t>$0.16</t>
  </si>
  <si>
    <t xml:space="preserve">Cerelac </t>
  </si>
  <si>
    <t xml:space="preserve">Little Quacker </t>
  </si>
  <si>
    <t xml:space="preserve">Farex </t>
  </si>
  <si>
    <t xml:space="preserve">Raffertys </t>
  </si>
  <si>
    <t>$2.19</t>
  </si>
  <si>
    <t xml:space="preserve">Heinz Baby Food </t>
  </si>
  <si>
    <t>$1.49</t>
  </si>
  <si>
    <t xml:space="preserve">Whole Kids </t>
  </si>
  <si>
    <t xml:space="preserve">Pantyhose </t>
  </si>
  <si>
    <t xml:space="preserve">Ansell Condoms </t>
  </si>
  <si>
    <t xml:space="preserve">Durex Condoms </t>
  </si>
  <si>
    <t xml:space="preserve">Lubricants </t>
  </si>
  <si>
    <t xml:space="preserve">Toys/Devices </t>
  </si>
  <si>
    <t>$14.56</t>
  </si>
  <si>
    <t xml:space="preserve">Carefree </t>
  </si>
  <si>
    <t>$0.38</t>
  </si>
  <si>
    <t xml:space="preserve">Cottons </t>
  </si>
  <si>
    <t xml:space="preserve">Sofy BeFresh </t>
  </si>
  <si>
    <t xml:space="preserve">Clearblue Pregnancy Tests </t>
  </si>
  <si>
    <t>$17.24</t>
  </si>
  <si>
    <t>$5.75</t>
  </si>
  <si>
    <t>$38.24</t>
  </si>
  <si>
    <t>$7.49</t>
  </si>
  <si>
    <t>$9.74</t>
  </si>
  <si>
    <t>$3.25</t>
  </si>
  <si>
    <t>$12.74</t>
  </si>
  <si>
    <t>$4.25</t>
  </si>
  <si>
    <t>$13.49</t>
  </si>
  <si>
    <t xml:space="preserve">Babystart </t>
  </si>
  <si>
    <t xml:space="preserve">U by Kotex </t>
  </si>
  <si>
    <t>$6.79</t>
  </si>
  <si>
    <t>$4.19</t>
  </si>
  <si>
    <t xml:space="preserve">Libra </t>
  </si>
  <si>
    <t>$2.27</t>
  </si>
  <si>
    <t>$1.57</t>
  </si>
  <si>
    <t>$1.23</t>
  </si>
  <si>
    <t>$1.45</t>
  </si>
  <si>
    <t>$7.09</t>
  </si>
  <si>
    <t>$2.48</t>
  </si>
  <si>
    <t>$1.35</t>
  </si>
  <si>
    <t xml:space="preserve">Moxie </t>
  </si>
  <si>
    <t xml:space="preserve">Stayfree </t>
  </si>
  <si>
    <t xml:space="preserve">Intimate Hygiene </t>
  </si>
  <si>
    <t xml:space="preserve">Tampax </t>
  </si>
  <si>
    <t xml:space="preserve">TOM Organic </t>
  </si>
  <si>
    <t xml:space="preserve">Multi-Gyn </t>
  </si>
  <si>
    <t xml:space="preserve">Comfy Feet </t>
  </si>
  <si>
    <t xml:space="preserve">Foot Treatments </t>
  </si>
  <si>
    <t>$1.06</t>
  </si>
  <si>
    <t xml:space="preserve">Scholl Foot Care </t>
  </si>
  <si>
    <t xml:space="preserve">Eulactol </t>
  </si>
  <si>
    <t xml:space="preserve">Orthaheel </t>
  </si>
  <si>
    <t>$28.00</t>
  </si>
  <si>
    <t>$21.95</t>
  </si>
  <si>
    <t xml:space="preserve">Oapl </t>
  </si>
  <si>
    <t xml:space="preserve">Neat Feat </t>
  </si>
  <si>
    <t>$8.41</t>
  </si>
  <si>
    <t xml:space="preserve">Odor Eaters </t>
  </si>
  <si>
    <t>$1.73</t>
  </si>
  <si>
    <t>$1.55</t>
  </si>
  <si>
    <t xml:space="preserve">Milky Foot </t>
  </si>
  <si>
    <t xml:space="preserve">Thursday Plantation Foot Care </t>
  </si>
  <si>
    <t xml:space="preserve">Batiste Shampoo </t>
  </si>
  <si>
    <t xml:space="preserve">Kerastase Conditioner </t>
  </si>
  <si>
    <t xml:space="preserve">Lynx </t>
  </si>
  <si>
    <t xml:space="preserve">Dove Shampoo </t>
  </si>
  <si>
    <t xml:space="preserve">Dove Conditioner </t>
  </si>
  <si>
    <t xml:space="preserve">Alchemy Shampoo </t>
  </si>
  <si>
    <t xml:space="preserve">Alchemy Conditioner </t>
  </si>
  <si>
    <t xml:space="preserve">Garnier Fructis Shampoo </t>
  </si>
  <si>
    <t xml:space="preserve">Garnier Fructis Conditioner </t>
  </si>
  <si>
    <t xml:space="preserve">Head &amp; Shoulders Shampoo </t>
  </si>
  <si>
    <t xml:space="preserve">Head &amp; Shoulders Conditioner </t>
  </si>
  <si>
    <t xml:space="preserve">Head &amp; Shoulders Tonics </t>
  </si>
  <si>
    <t xml:space="preserve">Headgear Shampoo </t>
  </si>
  <si>
    <t xml:space="preserve">Herbal Essences Shampoo </t>
  </si>
  <si>
    <t xml:space="preserve">Herbal Essences Conditioner </t>
  </si>
  <si>
    <t xml:space="preserve">John Frieda Shampoo </t>
  </si>
  <si>
    <t xml:space="preserve">John Frieda Conditioner </t>
  </si>
  <si>
    <t xml:space="preserve">Klorane Shampoo </t>
  </si>
  <si>
    <t>$2.45</t>
  </si>
  <si>
    <t xml:space="preserve">Klorane Conditioner </t>
  </si>
  <si>
    <t xml:space="preserve">L'Oreal Elvive Shampoo </t>
  </si>
  <si>
    <t xml:space="preserve">L'Oreal Elvive Conditioner </t>
  </si>
  <si>
    <t xml:space="preserve">Palmolive Naturals Shampoo </t>
  </si>
  <si>
    <t xml:space="preserve">Palmolive Naturals Conditioner </t>
  </si>
  <si>
    <t xml:space="preserve">Pantene Shampoo </t>
  </si>
  <si>
    <t xml:space="preserve">Pantene Conditioner </t>
  </si>
  <si>
    <t xml:space="preserve">Redken Shampoo </t>
  </si>
  <si>
    <t xml:space="preserve">Redken Conditioner </t>
  </si>
  <si>
    <t xml:space="preserve">Schwarzkopf Extra Care Shampoo </t>
  </si>
  <si>
    <t xml:space="preserve">Schwarzkopf Extra Care Conditioner </t>
  </si>
  <si>
    <t xml:space="preserve">Sunsilk Conditioner </t>
  </si>
  <si>
    <t>$0.79</t>
  </si>
  <si>
    <t>$3.29</t>
  </si>
  <si>
    <t xml:space="preserve">Thursday Plantation Shampoo </t>
  </si>
  <si>
    <t xml:space="preserve">Thursday Plantation Conditioner </t>
  </si>
  <si>
    <t xml:space="preserve">Tresemme Shampoo </t>
  </si>
  <si>
    <t>$6.08</t>
  </si>
  <si>
    <t xml:space="preserve">Tresemme Conditioner </t>
  </si>
  <si>
    <t xml:space="preserve">VO5 Conditioner </t>
  </si>
  <si>
    <t xml:space="preserve">VO5 Shampoo </t>
  </si>
  <si>
    <t xml:space="preserve">OGX Shampoo </t>
  </si>
  <si>
    <t xml:space="preserve">OGX Conditioner </t>
  </si>
  <si>
    <t xml:space="preserve">Cedel Shampoo </t>
  </si>
  <si>
    <t xml:space="preserve">Daily Defense Shampoo </t>
  </si>
  <si>
    <t xml:space="preserve">Daily Defense Conditioner </t>
  </si>
  <si>
    <t xml:space="preserve">Ego Shampoo </t>
  </si>
  <si>
    <t xml:space="preserve">Ego Conditioner </t>
  </si>
  <si>
    <t xml:space="preserve">Enya Shampoo </t>
  </si>
  <si>
    <t xml:space="preserve">Enya Conditioner </t>
  </si>
  <si>
    <t xml:space="preserve">Goat Shampoo </t>
  </si>
  <si>
    <t xml:space="preserve">Goat Conditioner </t>
  </si>
  <si>
    <t xml:space="preserve">Tea Tree Shampoo </t>
  </si>
  <si>
    <t xml:space="preserve">Toni &amp; Guy Shampoo </t>
  </si>
  <si>
    <t xml:space="preserve">Toni &amp; Guy Conditioner </t>
  </si>
  <si>
    <t xml:space="preserve">Seven Wonders Shampoo </t>
  </si>
  <si>
    <t xml:space="preserve">Seven Wonders Conditioner </t>
  </si>
  <si>
    <t xml:space="preserve">Marc Daniels Shampoo </t>
  </si>
  <si>
    <t xml:space="preserve">Marc Daniels Conditioner </t>
  </si>
  <si>
    <t xml:space="preserve">DermaVeen Shampoo </t>
  </si>
  <si>
    <t xml:space="preserve">DermaVeen Conditioner </t>
  </si>
  <si>
    <t xml:space="preserve">Vitapointe Conditioner </t>
  </si>
  <si>
    <t>$1.03</t>
  </si>
  <si>
    <t xml:space="preserve">Olivella Conditioner </t>
  </si>
  <si>
    <t xml:space="preserve">Olivella Shampoo </t>
  </si>
  <si>
    <t xml:space="preserve">My Organics Shampoo </t>
  </si>
  <si>
    <t xml:space="preserve">My Organics Conditioner </t>
  </si>
  <si>
    <t xml:space="preserve">L'Oreal Hair Expertise Shampoo </t>
  </si>
  <si>
    <t xml:space="preserve">L'Oreal Hair Expertise Conditioner </t>
  </si>
  <si>
    <t xml:space="preserve">My Beauty Natural Shampoo </t>
  </si>
  <si>
    <t xml:space="preserve">My Beauty Natural Conditioner </t>
  </si>
  <si>
    <t xml:space="preserve">Simple Shampoo </t>
  </si>
  <si>
    <t xml:space="preserve">Simple Conditioner </t>
  </si>
  <si>
    <t xml:space="preserve">Alberto Balsam Shampoo </t>
  </si>
  <si>
    <t xml:space="preserve">Alberto Balsam Conditioner </t>
  </si>
  <si>
    <t xml:space="preserve">Alpecin Shampoo </t>
  </si>
  <si>
    <t xml:space="preserve">Argan Oil Shampoo </t>
  </si>
  <si>
    <t xml:space="preserve">Argan Oil Conditioner </t>
  </si>
  <si>
    <t xml:space="preserve">Schwarzkopf Essence Ultime </t>
  </si>
  <si>
    <t xml:space="preserve">Coconut Care Conditioner </t>
  </si>
  <si>
    <t xml:space="preserve">Coconut Care Shampoo </t>
  </si>
  <si>
    <t xml:space="preserve">Harmony Herbal Shampoo </t>
  </si>
  <si>
    <t xml:space="preserve">Harmony Herbal Conditioner </t>
  </si>
  <si>
    <t xml:space="preserve">Hask Shampoo </t>
  </si>
  <si>
    <t xml:space="preserve">Hask Conditioner </t>
  </si>
  <si>
    <t xml:space="preserve">Stratton </t>
  </si>
  <si>
    <t xml:space="preserve">Dandruff </t>
  </si>
  <si>
    <t>$1.27</t>
  </si>
  <si>
    <t>$4.76</t>
  </si>
  <si>
    <t xml:space="preserve">My Beauty Hair </t>
  </si>
  <si>
    <t xml:space="preserve">Fudge Haircare </t>
  </si>
  <si>
    <t xml:space="preserve">Hair Gel </t>
  </si>
  <si>
    <t xml:space="preserve">Cedel Hair Spray </t>
  </si>
  <si>
    <t xml:space="preserve">Clairol Hair Spray </t>
  </si>
  <si>
    <t>$1.46</t>
  </si>
  <si>
    <t xml:space="preserve">Garnier Hair Spray </t>
  </si>
  <si>
    <t xml:space="preserve">John Frieda Hair Spray </t>
  </si>
  <si>
    <t xml:space="preserve">L'Oreal Elnett Hair Spray </t>
  </si>
  <si>
    <t xml:space="preserve">Marc Daniels Hair Spray </t>
  </si>
  <si>
    <t xml:space="preserve">My Organics Hair Spray </t>
  </si>
  <si>
    <t xml:space="preserve">Schwarzkopf Hair Spray </t>
  </si>
  <si>
    <t xml:space="preserve">Sunsilk Hair Spray </t>
  </si>
  <si>
    <t xml:space="preserve">Taft Hair Spray </t>
  </si>
  <si>
    <t xml:space="preserve">Toni &amp; Guy Hair Spray </t>
  </si>
  <si>
    <t xml:space="preserve">Tresemme Hair Spray </t>
  </si>
  <si>
    <t>$4.34</t>
  </si>
  <si>
    <t xml:space="preserve">VO5 Hair Spray </t>
  </si>
  <si>
    <t xml:space="preserve">Enliven Hair Spray </t>
  </si>
  <si>
    <t xml:space="preserve">Redken Hair Spray </t>
  </si>
  <si>
    <t xml:space="preserve">Pantene Hair Spray </t>
  </si>
  <si>
    <t xml:space="preserve">Hair Mousse </t>
  </si>
  <si>
    <t xml:space="preserve">Hair Wax </t>
  </si>
  <si>
    <t xml:space="preserve">Hair Powder </t>
  </si>
  <si>
    <t xml:space="preserve">Kardashian Beauty </t>
  </si>
  <si>
    <t>$189.99</t>
  </si>
  <si>
    <t>$199.99</t>
  </si>
  <si>
    <t xml:space="preserve">Hedrin </t>
  </si>
  <si>
    <t xml:space="preserve">Neutralice </t>
  </si>
  <si>
    <t xml:space="preserve">1000 Hour </t>
  </si>
  <si>
    <t xml:space="preserve">Permanent Colours </t>
  </si>
  <si>
    <t xml:space="preserve">Revlon ColorSilk </t>
  </si>
  <si>
    <t xml:space="preserve">Mens Colours </t>
  </si>
  <si>
    <t xml:space="preserve">Colourants </t>
  </si>
  <si>
    <t>$5.28</t>
  </si>
  <si>
    <t xml:space="preserve">L'Oreal Excellence Age Perfect </t>
  </si>
  <si>
    <t xml:space="preserve">L'Oreal Casting Creme Gloss  </t>
  </si>
  <si>
    <t xml:space="preserve">L'Oreal Casting Sunkiss Jelly </t>
  </si>
  <si>
    <t xml:space="preserve">L'Oreal Excellence Creme  </t>
  </si>
  <si>
    <t xml:space="preserve">Clairol Nice &amp; Easy Age Defy </t>
  </si>
  <si>
    <t xml:space="preserve">L'Oreal Feria  </t>
  </si>
  <si>
    <t xml:space="preserve">L'Oreal Preference  </t>
  </si>
  <si>
    <t xml:space="preserve">Schwarzkopf Live Colour  </t>
  </si>
  <si>
    <t xml:space="preserve">Clairol Nice &amp; Easy  </t>
  </si>
  <si>
    <t xml:space="preserve">Garnier Nutrisse </t>
  </si>
  <si>
    <t xml:space="preserve">Schwarzkopf Nordic </t>
  </si>
  <si>
    <t xml:space="preserve">John Frieda Colour </t>
  </si>
  <si>
    <t xml:space="preserve">Napro Colours </t>
  </si>
  <si>
    <t xml:space="preserve">Schwarzkopf Palette </t>
  </si>
  <si>
    <t xml:space="preserve">Schwarzkopf Perfect Mousse </t>
  </si>
  <si>
    <t xml:space="preserve">Garnier Olia </t>
  </si>
  <si>
    <t xml:space="preserve">L'Oreal Perfect Blonde </t>
  </si>
  <si>
    <t xml:space="preserve">Schwarzkopf Nectra Colour </t>
  </si>
  <si>
    <t xml:space="preserve">Garnier Color Sensation </t>
  </si>
  <si>
    <t xml:space="preserve">Schwarzkopf Brilliance </t>
  </si>
  <si>
    <t xml:space="preserve">Schwarzkopf Live Salon Permanent </t>
  </si>
  <si>
    <t xml:space="preserve">L'Oreal Magic ReTouch </t>
  </si>
  <si>
    <t xml:space="preserve">Hi Lift </t>
  </si>
  <si>
    <t xml:space="preserve">Schwarzkopf Live Salon </t>
  </si>
  <si>
    <t xml:space="preserve">Vitality Colour </t>
  </si>
  <si>
    <t xml:space="preserve">Lady Jayne </t>
  </si>
  <si>
    <t>$1.29</t>
  </si>
  <si>
    <t>$1.05</t>
  </si>
  <si>
    <t xml:space="preserve">Hair Treatments </t>
  </si>
  <si>
    <t xml:space="preserve">Redken </t>
  </si>
  <si>
    <t xml:space="preserve">Joico </t>
  </si>
  <si>
    <t xml:space="preserve">Kerastase </t>
  </si>
  <si>
    <t xml:space="preserve">L’Oreal Serie Expert </t>
  </si>
  <si>
    <t>$11.01</t>
  </si>
  <si>
    <t xml:space="preserve">De Lorenzo </t>
  </si>
  <si>
    <t>$4.91</t>
  </si>
  <si>
    <t xml:space="preserve">Goldwell </t>
  </si>
  <si>
    <t>$10.46</t>
  </si>
  <si>
    <t xml:space="preserve">KMS </t>
  </si>
  <si>
    <t xml:space="preserve">Matrix Biolage </t>
  </si>
  <si>
    <t>$6.21</t>
  </si>
  <si>
    <t xml:space="preserve">Moroccanoil </t>
  </si>
  <si>
    <t>$40.99</t>
  </si>
  <si>
    <t>$47.69</t>
  </si>
  <si>
    <t>$5.81</t>
  </si>
  <si>
    <t xml:space="preserve">Nioxin </t>
  </si>
  <si>
    <t>$45.69</t>
  </si>
  <si>
    <t>$11.31</t>
  </si>
  <si>
    <t xml:space="preserve">Schwarzkopf Professional </t>
  </si>
  <si>
    <t xml:space="preserve">Tigi </t>
  </si>
  <si>
    <t>$6.91</t>
  </si>
  <si>
    <t xml:space="preserve">Men's Shaving Cream &amp; Balms </t>
  </si>
  <si>
    <t>$0.39</t>
  </si>
  <si>
    <t xml:space="preserve">Gillette Fusion </t>
  </si>
  <si>
    <t>$4.21</t>
  </si>
  <si>
    <t xml:space="preserve">Gillette Fusion Proglide </t>
  </si>
  <si>
    <t>$7.66</t>
  </si>
  <si>
    <t xml:space="preserve">Gillette Mach 3 </t>
  </si>
  <si>
    <t xml:space="preserve">Gillette Sensor Excel </t>
  </si>
  <si>
    <t xml:space="preserve">Gillette Men's Disposables </t>
  </si>
  <si>
    <t xml:space="preserve">Gillette Fusion ProShield </t>
  </si>
  <si>
    <t xml:space="preserve">Schick Men's Shavers &amp; Blades </t>
  </si>
  <si>
    <t xml:space="preserve">Denture Preparations </t>
  </si>
  <si>
    <t xml:space="preserve">Colgate Toothbrushes </t>
  </si>
  <si>
    <t>$2.75</t>
  </si>
  <si>
    <t>$1.07</t>
  </si>
  <si>
    <t>$2.24</t>
  </si>
  <si>
    <t xml:space="preserve">Macleans Toothbrushes </t>
  </si>
  <si>
    <t xml:space="preserve">Oral B Toothbrushes </t>
  </si>
  <si>
    <t>$0.44</t>
  </si>
  <si>
    <t>$10.49</t>
  </si>
  <si>
    <t>$6.59</t>
  </si>
  <si>
    <t xml:space="preserve">Piksters Toothbrushes </t>
  </si>
  <si>
    <t xml:space="preserve">Reach Toothbrushes </t>
  </si>
  <si>
    <t xml:space="preserve">Toothbrushes Miscellaneous </t>
  </si>
  <si>
    <t xml:space="preserve">AFL Toothbrushes </t>
  </si>
  <si>
    <t xml:space="preserve">NRL Toothbrushes </t>
  </si>
  <si>
    <t xml:space="preserve">Aim Toothbrushes </t>
  </si>
  <si>
    <t xml:space="preserve">Health &amp; Beauty Brushes </t>
  </si>
  <si>
    <t xml:space="preserve">Colgate Sensitive Pro-Relief </t>
  </si>
  <si>
    <t xml:space="preserve">Colgate Total </t>
  </si>
  <si>
    <t xml:space="preserve">Colgate Triple Action </t>
  </si>
  <si>
    <t xml:space="preserve">Colgate Maximum Cavity Protection </t>
  </si>
  <si>
    <t xml:space="preserve">Colgate Optic White </t>
  </si>
  <si>
    <t xml:space="preserve">Colgate Max Fresh </t>
  </si>
  <si>
    <t xml:space="preserve">Colgate Advanced Whitening </t>
  </si>
  <si>
    <t>$0.58</t>
  </si>
  <si>
    <t xml:space="preserve">Aim Toothpaste </t>
  </si>
  <si>
    <t xml:space="preserve">Sensodyne Toothpaste </t>
  </si>
  <si>
    <t xml:space="preserve">Oral B Toothpaste </t>
  </si>
  <si>
    <t xml:space="preserve">White Glo Toothpaste </t>
  </si>
  <si>
    <t xml:space="preserve">Macleans Toothpaste </t>
  </si>
  <si>
    <t xml:space="preserve">Toothpaste &amp; Gel Miscellaneous </t>
  </si>
  <si>
    <t>$0.55</t>
  </si>
  <si>
    <t xml:space="preserve">Red Seal Toothpaste </t>
  </si>
  <si>
    <t xml:space="preserve">Listerine </t>
  </si>
  <si>
    <t xml:space="preserve">Waterpik </t>
  </si>
  <si>
    <t>$115.99</t>
  </si>
  <si>
    <t>$73.96</t>
  </si>
  <si>
    <t xml:space="preserve">Oral B Electric Toothbrushes </t>
  </si>
  <si>
    <t>$99.00</t>
  </si>
  <si>
    <t>$80.99</t>
  </si>
  <si>
    <t>$140.00</t>
  </si>
  <si>
    <t xml:space="preserve">Colgate Electric Toothbrushes </t>
  </si>
  <si>
    <t>$110.00</t>
  </si>
  <si>
    <t>$119.95</t>
  </si>
  <si>
    <t>$66.00</t>
  </si>
  <si>
    <t>$33.95</t>
  </si>
  <si>
    <t xml:space="preserve">After Sun Care </t>
  </si>
  <si>
    <t xml:space="preserve">Ego Sunsense  </t>
  </si>
  <si>
    <t>$5.67</t>
  </si>
  <si>
    <t xml:space="preserve">Banana Boat </t>
  </si>
  <si>
    <t xml:space="preserve">The Cancer Council - Aerosol </t>
  </si>
  <si>
    <t xml:space="preserve">The Cancer Council - Everyday </t>
  </si>
  <si>
    <t xml:space="preserve">The Cancer Council - Active </t>
  </si>
  <si>
    <t>$6.06</t>
  </si>
  <si>
    <t xml:space="preserve">The Cancer Council - Ultra </t>
  </si>
  <si>
    <t xml:space="preserve">The Cancer Council - Sport </t>
  </si>
  <si>
    <t xml:space="preserve">The Cancer Council - Classic </t>
  </si>
  <si>
    <t xml:space="preserve">The Cancer Council - Kids </t>
  </si>
  <si>
    <t xml:space="preserve">The Cancer Council - Work </t>
  </si>
  <si>
    <t xml:space="preserve">The Cancer Council - Face </t>
  </si>
  <si>
    <t xml:space="preserve">The Cancer Council - Repel </t>
  </si>
  <si>
    <t xml:space="preserve">Nivea Sun </t>
  </si>
  <si>
    <t>$5.04</t>
  </si>
  <si>
    <t xml:space="preserve">Le Tan </t>
  </si>
  <si>
    <t xml:space="preserve">Reef </t>
  </si>
  <si>
    <t xml:space="preserve">Neutrogena Cool Dry Sport </t>
  </si>
  <si>
    <t xml:space="preserve">Invisible Zinc </t>
  </si>
  <si>
    <t>$12.31</t>
  </si>
  <si>
    <t xml:space="preserve">Cetaphil Suntivity </t>
  </si>
  <si>
    <t xml:space="preserve">Oz Guard </t>
  </si>
  <si>
    <t xml:space="preserve">Bondi Zinc </t>
  </si>
  <si>
    <t xml:space="preserve">Surf Life Saving </t>
  </si>
  <si>
    <t xml:space="preserve">Lip Balm </t>
  </si>
  <si>
    <t>$1.68</t>
  </si>
  <si>
    <t xml:space="preserve">Le Tan Self Tanning </t>
  </si>
  <si>
    <t xml:space="preserve">The Bronzer </t>
  </si>
  <si>
    <t xml:space="preserve">Jbronze by Jennifer Hawkins </t>
  </si>
  <si>
    <t xml:space="preserve">ModelCo </t>
  </si>
  <si>
    <t xml:space="preserve">Skinny Tan </t>
  </si>
  <si>
    <t>$46.69</t>
  </si>
  <si>
    <t xml:space="preserve">Selfie Tan n Go - Fake Tanners </t>
  </si>
  <si>
    <t xml:space="preserve">Rimmel Self Tanning </t>
  </si>
  <si>
    <t xml:space="preserve">Batteries </t>
  </si>
  <si>
    <t>$10.09</t>
  </si>
  <si>
    <t>$5.89</t>
  </si>
  <si>
    <t>$9.89</t>
  </si>
  <si>
    <t>$4.79</t>
  </si>
  <si>
    <t>$6.10</t>
  </si>
  <si>
    <t xml:space="preserve">Hearing Aid Batteries </t>
  </si>
  <si>
    <t xml:space="preserve">AFL Hand Sanitiser </t>
  </si>
  <si>
    <t xml:space="preserve">NRL Hand Sanitiser </t>
  </si>
  <si>
    <t xml:space="preserve">Palmolive Oil Infusions </t>
  </si>
  <si>
    <t xml:space="preserve">Bioten </t>
  </si>
  <si>
    <t xml:space="preserve">Body Washes &amp; Scrubs </t>
  </si>
  <si>
    <t xml:space="preserve">Manicare </t>
  </si>
  <si>
    <t xml:space="preserve">Soaps </t>
  </si>
  <si>
    <t>$0.88</t>
  </si>
  <si>
    <t>$0.72</t>
  </si>
  <si>
    <t xml:space="preserve">Nail Care </t>
  </si>
  <si>
    <t xml:space="preserve">Shower Gel </t>
  </si>
  <si>
    <t xml:space="preserve">Talc </t>
  </si>
  <si>
    <t xml:space="preserve">My Beauty </t>
  </si>
  <si>
    <t xml:space="preserve">Insect Repellents Miscellaneous </t>
  </si>
  <si>
    <t xml:space="preserve">Aerogard </t>
  </si>
  <si>
    <t xml:space="preserve">Bushman </t>
  </si>
  <si>
    <t xml:space="preserve">RID </t>
  </si>
  <si>
    <t xml:space="preserve">Ego Moov </t>
  </si>
  <si>
    <t>$0.82</t>
  </si>
  <si>
    <t xml:space="preserve">Mosquito Band </t>
  </si>
  <si>
    <t xml:space="preserve">Off! </t>
  </si>
  <si>
    <t>$1.34</t>
  </si>
  <si>
    <t xml:space="preserve">Women's Shaving Cream </t>
  </si>
  <si>
    <t xml:space="preserve">Gillette Venus </t>
  </si>
  <si>
    <t xml:space="preserve">Schick Women's Shavers &amp; Blades </t>
  </si>
  <si>
    <t xml:space="preserve">Depend </t>
  </si>
  <si>
    <t xml:space="preserve">Tena Men's </t>
  </si>
  <si>
    <t>$7.59</t>
  </si>
  <si>
    <t>$5.59</t>
  </si>
  <si>
    <t xml:space="preserve">Tena Women's </t>
  </si>
  <si>
    <t>$1.22</t>
  </si>
  <si>
    <t>$1.38</t>
  </si>
  <si>
    <t xml:space="preserve">Tena Unisex </t>
  </si>
  <si>
    <t>$22.79</t>
  </si>
  <si>
    <t>$17.79</t>
  </si>
  <si>
    <t>$26.19</t>
  </si>
  <si>
    <t xml:space="preserve">Incontinence Miscellaneous </t>
  </si>
  <si>
    <t>$15.76</t>
  </si>
  <si>
    <t>$14.04</t>
  </si>
  <si>
    <t xml:space="preserve">Poise </t>
  </si>
  <si>
    <t>$0.14</t>
  </si>
  <si>
    <t xml:space="preserve">D-Brief Underwear </t>
  </si>
  <si>
    <t xml:space="preserve">Air Wick </t>
  </si>
  <si>
    <t xml:space="preserve">Ansell Gloves </t>
  </si>
  <si>
    <t xml:space="preserve">Clearwipe </t>
  </si>
  <si>
    <t xml:space="preserve">Dettol Household  </t>
  </si>
  <si>
    <t>$0.18</t>
  </si>
  <si>
    <t xml:space="preserve">Duck </t>
  </si>
  <si>
    <t>$0.64</t>
  </si>
  <si>
    <t>$0.87</t>
  </si>
  <si>
    <t xml:space="preserve">Duo </t>
  </si>
  <si>
    <t xml:space="preserve">Earth Choice </t>
  </si>
  <si>
    <t xml:space="preserve">Finish </t>
  </si>
  <si>
    <t xml:space="preserve">Glen 20 </t>
  </si>
  <si>
    <t xml:space="preserve">Harpic </t>
  </si>
  <si>
    <t xml:space="preserve">Huggie </t>
  </si>
  <si>
    <t xml:space="preserve">Morning Fresh </t>
  </si>
  <si>
    <t xml:space="preserve">Mortein </t>
  </si>
  <si>
    <t xml:space="preserve">Mr Muscle </t>
  </si>
  <si>
    <t xml:space="preserve">Napisan </t>
  </si>
  <si>
    <t xml:space="preserve">Pine O Cleen </t>
  </si>
  <si>
    <t xml:space="preserve">Radiant </t>
  </si>
  <si>
    <t xml:space="preserve">Vileda </t>
  </si>
  <si>
    <t xml:space="preserve">Wettex </t>
  </si>
  <si>
    <t xml:space="preserve">White King </t>
  </si>
  <si>
    <t xml:space="preserve">Windex </t>
  </si>
  <si>
    <t xml:space="preserve">Ajax </t>
  </si>
  <si>
    <t xml:space="preserve">Astonish </t>
  </si>
  <si>
    <t xml:space="preserve">Dylon </t>
  </si>
  <si>
    <t xml:space="preserve">Soft as Soap </t>
  </si>
  <si>
    <t xml:space="preserve">Kleenex </t>
  </si>
  <si>
    <t xml:space="preserve">Easy </t>
  </si>
  <si>
    <t xml:space="preserve">Glade </t>
  </si>
  <si>
    <t xml:space="preserve">Mr Sheen </t>
  </si>
  <si>
    <t xml:space="preserve">At Home </t>
  </si>
  <si>
    <t xml:space="preserve">Clean N Fresh </t>
  </si>
  <si>
    <t xml:space="preserve">Round 1 </t>
  </si>
  <si>
    <t xml:space="preserve">Domestos </t>
  </si>
  <si>
    <t xml:space="preserve">Purity </t>
  </si>
  <si>
    <t xml:space="preserve">Spic &amp; Span </t>
  </si>
  <si>
    <t xml:space="preserve">Ecostore </t>
  </si>
  <si>
    <t xml:space="preserve">Airpure </t>
  </si>
  <si>
    <t xml:space="preserve">Household Miscellaneous </t>
  </si>
  <si>
    <t xml:space="preserve">Pledge </t>
  </si>
  <si>
    <t xml:space="preserve">Green Shield </t>
  </si>
  <si>
    <t xml:space="preserve">BX Earth Candle </t>
  </si>
  <si>
    <t xml:space="preserve">One Drop </t>
  </si>
  <si>
    <t xml:space="preserve">AFL Tissues </t>
  </si>
  <si>
    <t xml:space="preserve">NRL Tissues </t>
  </si>
  <si>
    <t xml:space="preserve">Dove - Men's Deodorants </t>
  </si>
  <si>
    <t xml:space="preserve">Garnier - Men's Deodorants </t>
  </si>
  <si>
    <t xml:space="preserve">Lynx - Men's Deodorants </t>
  </si>
  <si>
    <t xml:space="preserve">Men's Deodorants Miscellaneous </t>
  </si>
  <si>
    <t xml:space="preserve">Nivea - Men's Deodorants </t>
  </si>
  <si>
    <t xml:space="preserve">Rexona - Men's Deodorants </t>
  </si>
  <si>
    <t>$1.78</t>
  </si>
  <si>
    <t xml:space="preserve">Dove - Women's Deodorants </t>
  </si>
  <si>
    <t xml:space="preserve">Lynx - Women's Deodorants </t>
  </si>
  <si>
    <t xml:space="preserve">Garnier - Women's Deodorants </t>
  </si>
  <si>
    <t xml:space="preserve">Hello Kitty - Women's Deodorants </t>
  </si>
  <si>
    <t xml:space="preserve">Innoxa - Women's Deodorants </t>
  </si>
  <si>
    <t xml:space="preserve">Mum - Women's Deodorants </t>
  </si>
  <si>
    <t xml:space="preserve">Nivea - Women's Deodorants </t>
  </si>
  <si>
    <t>$7.18</t>
  </si>
  <si>
    <t xml:space="preserve">Rexona - Women's Deodorants </t>
  </si>
  <si>
    <t>$1.14</t>
  </si>
  <si>
    <t>$0.85</t>
  </si>
  <si>
    <t xml:space="preserve">Women's Deodorants Miscellaneous </t>
  </si>
  <si>
    <t>$7.21</t>
  </si>
  <si>
    <t xml:space="preserve">Deodorants Unisex </t>
  </si>
  <si>
    <t xml:space="preserve">Humidifers &amp; Vapourisers </t>
  </si>
  <si>
    <t xml:space="preserve">Home Health Care </t>
  </si>
  <si>
    <t>$9.66</t>
  </si>
  <si>
    <t>$8.49</t>
  </si>
  <si>
    <t>$72.99</t>
  </si>
  <si>
    <t>$22.81</t>
  </si>
  <si>
    <t>$10.36</t>
  </si>
  <si>
    <t xml:space="preserve">Dick Wicks </t>
  </si>
  <si>
    <t xml:space="preserve">Body Plus </t>
  </si>
  <si>
    <t xml:space="preserve">Elastoplast Sports </t>
  </si>
  <si>
    <t>$1.42</t>
  </si>
  <si>
    <t>$52.99</t>
  </si>
  <si>
    <t>$12.90</t>
  </si>
  <si>
    <t>$1.19</t>
  </si>
  <si>
    <t>$0.33</t>
  </si>
  <si>
    <t>$1.15</t>
  </si>
  <si>
    <t>$0.98</t>
  </si>
  <si>
    <t xml:space="preserve">Deep Heat </t>
  </si>
  <si>
    <t xml:space="preserve">Sports Aids </t>
  </si>
  <si>
    <t xml:space="preserve">Leuko </t>
  </si>
  <si>
    <t xml:space="preserve">BodyAssist </t>
  </si>
  <si>
    <t xml:space="preserve">E-Sport </t>
  </si>
  <si>
    <t>$9.46</t>
  </si>
  <si>
    <t>$12.86</t>
  </si>
  <si>
    <t>$22.46</t>
  </si>
  <si>
    <t>$29.91</t>
  </si>
  <si>
    <t xml:space="preserve">Omron </t>
  </si>
  <si>
    <t>$157.99</t>
  </si>
  <si>
    <t>$169.99</t>
  </si>
  <si>
    <t>$67.01</t>
  </si>
  <si>
    <t>$25.01</t>
  </si>
  <si>
    <t>$199.00</t>
  </si>
  <si>
    <t>$50.00</t>
  </si>
  <si>
    <t xml:space="preserve">Accu-Chek Strips </t>
  </si>
  <si>
    <t>$46.20</t>
  </si>
  <si>
    <t>$13.80</t>
  </si>
  <si>
    <t xml:space="preserve">Accu-Chek Meters &amp; Monitors </t>
  </si>
  <si>
    <t>$18.01</t>
  </si>
  <si>
    <t xml:space="preserve">Accu-Chek Lancets </t>
  </si>
  <si>
    <t>$2.28</t>
  </si>
  <si>
    <t>$16.25</t>
  </si>
  <si>
    <t xml:space="preserve">Accu-Chek Glucose Control Solutions </t>
  </si>
  <si>
    <t xml:space="preserve">TENS and Massage Therapy </t>
  </si>
  <si>
    <t>$0.84</t>
  </si>
  <si>
    <t>$122.99</t>
  </si>
  <si>
    <t>$45.14</t>
  </si>
  <si>
    <t>$159.99</t>
  </si>
  <si>
    <t xml:space="preserve">Snoring </t>
  </si>
  <si>
    <t xml:space="preserve">Breath A Tech </t>
  </si>
  <si>
    <t xml:space="preserve">Better Air </t>
  </si>
  <si>
    <t>$299.00</t>
  </si>
  <si>
    <t>$50.95</t>
  </si>
  <si>
    <t xml:space="preserve">Thermometers </t>
  </si>
  <si>
    <t>$16.01</t>
  </si>
  <si>
    <t>$3.07</t>
  </si>
  <si>
    <t>$95.99</t>
  </si>
  <si>
    <t xml:space="preserve">Apex </t>
  </si>
  <si>
    <t>$4.55</t>
  </si>
  <si>
    <t>$0.35</t>
  </si>
  <si>
    <t xml:space="preserve">Prescriptions </t>
  </si>
  <si>
    <t>$185.00</t>
  </si>
  <si>
    <t xml:space="preserve">Heartworm Control Products </t>
  </si>
  <si>
    <t xml:space="preserve">Combined Flea &amp; Heartworm Products </t>
  </si>
  <si>
    <t>$106.99</t>
  </si>
  <si>
    <t>$22.54</t>
  </si>
  <si>
    <t>$87.69</t>
  </si>
  <si>
    <t>$9.73</t>
  </si>
  <si>
    <t>$110.39</t>
  </si>
  <si>
    <t>$11.89</t>
  </si>
  <si>
    <t>$113.39</t>
  </si>
  <si>
    <t>$12.19</t>
  </si>
  <si>
    <t>$123.99</t>
  </si>
  <si>
    <t>$13.70</t>
  </si>
  <si>
    <t>$128.69</t>
  </si>
  <si>
    <t>$14.12</t>
  </si>
  <si>
    <t>$5.12</t>
  </si>
  <si>
    <t>$77.39</t>
  </si>
  <si>
    <t>$81.69</t>
  </si>
  <si>
    <t>$8.91</t>
  </si>
  <si>
    <t>$5.84</t>
  </si>
  <si>
    <t>$106.69</t>
  </si>
  <si>
    <t>$11.91</t>
  </si>
  <si>
    <t xml:space="preserve">Worming Products </t>
  </si>
  <si>
    <t>$4.59</t>
  </si>
  <si>
    <t xml:space="preserve">Combined Flea &amp; Tick Products </t>
  </si>
  <si>
    <t>$82.39</t>
  </si>
  <si>
    <t>$12.60</t>
  </si>
  <si>
    <t>$86.69</t>
  </si>
  <si>
    <t>$16.30</t>
  </si>
  <si>
    <t>$86.39</t>
  </si>
  <si>
    <t>$9.57</t>
  </si>
  <si>
    <t>$91.39</t>
  </si>
  <si>
    <t>$95.39</t>
  </si>
  <si>
    <t>$1.64</t>
  </si>
  <si>
    <t xml:space="preserve">Flea Control Products </t>
  </si>
  <si>
    <t>$63.39</t>
  </si>
  <si>
    <t>$3.52</t>
  </si>
  <si>
    <t>$65.69</t>
  </si>
  <si>
    <t>$70.69</t>
  </si>
  <si>
    <t>$5.15</t>
  </si>
  <si>
    <t>$73.69</t>
  </si>
  <si>
    <t xml:space="preserve">Comfortis </t>
  </si>
  <si>
    <t>$69.39</t>
  </si>
  <si>
    <t>$9.15</t>
  </si>
  <si>
    <t>$80.69</t>
  </si>
  <si>
    <t xml:space="preserve">Confectionery </t>
  </si>
  <si>
    <t>$2.09</t>
  </si>
  <si>
    <t xml:space="preserve">Travel Medicine(TMA B2B Products only) </t>
  </si>
  <si>
    <t xml:space="preserve">Samples </t>
  </si>
  <si>
    <t>Free</t>
  </si>
  <si>
    <t xml:space="preserve">6 Most Researched Arthritis Relief Supplements </t>
  </si>
  <si>
    <t xml:space="preserve">Glucosamine + Chondroitin </t>
  </si>
  <si>
    <t xml:space="preserve">All Glucosamine Supplements </t>
  </si>
  <si>
    <t xml:space="preserve">All Calcium Supplements </t>
  </si>
  <si>
    <t xml:space="preserve">All Fish Oil Supplements </t>
  </si>
  <si>
    <t xml:space="preserve">Analgesic Creams Containing Capsaicin </t>
  </si>
  <si>
    <t xml:space="preserve">All Rosehip Products </t>
  </si>
  <si>
    <t xml:space="preserve">Nicotine Gum </t>
  </si>
  <si>
    <t xml:space="preserve">Nicotine Patch </t>
  </si>
  <si>
    <t xml:space="preserve">Garcinia Cambogia (HCA) - How To Buy Online </t>
  </si>
  <si>
    <t xml:space="preserve">Oral Contraceptives </t>
  </si>
  <si>
    <t>$59.97</t>
  </si>
  <si>
    <t>$37.80</t>
  </si>
  <si>
    <t>$28.50</t>
  </si>
  <si>
    <t xml:space="preserve">Products for Diabetics </t>
  </si>
  <si>
    <t xml:space="preserve">Products with Brahmi (Bacopa) </t>
  </si>
  <si>
    <t xml:space="preserve">Codral, Sudafed and Benadryl </t>
  </si>
  <si>
    <t xml:space="preserve">Gillette </t>
  </si>
  <si>
    <t xml:space="preserve">Melatonin </t>
  </si>
  <si>
    <t xml:space="preserve">Flaxseed Oil Products </t>
  </si>
  <si>
    <t xml:space="preserve">Hydralyte </t>
  </si>
  <si>
    <t xml:space="preserve">Excessive Sweating </t>
  </si>
  <si>
    <t xml:space="preserve">Old Spice Australia Product Range </t>
  </si>
  <si>
    <t xml:space="preserve">Paw Paw (Carica Papaya) Products </t>
  </si>
  <si>
    <t xml:space="preserve">Today Tonight - Chia Seeds The New Superfood </t>
  </si>
  <si>
    <t xml:space="preserve">A Current Affair - Sukin Voted #1 Moisturiser </t>
  </si>
  <si>
    <t xml:space="preserve">A Current Affair - Reducta </t>
  </si>
  <si>
    <t xml:space="preserve">A Current Affair - Olive Leaf Extract </t>
  </si>
  <si>
    <t xml:space="preserve">Rose Hip Oil - Featured on A Current Affair </t>
  </si>
  <si>
    <t xml:space="preserve">Comvita Honey - Featured on A Current Affair </t>
  </si>
  <si>
    <t xml:space="preserve">A Current Affair - Paw Paw Ointments </t>
  </si>
  <si>
    <t xml:space="preserve">A Current Affair - Hair Skin Nails </t>
  </si>
  <si>
    <t xml:space="preserve">A Current Affair : Goat Soap </t>
  </si>
  <si>
    <t xml:space="preserve">Today Tonight - Featured Health Products </t>
  </si>
  <si>
    <t xml:space="preserve">Scabies </t>
  </si>
  <si>
    <t>$6.70</t>
  </si>
  <si>
    <t xml:space="preserve">Ulcer Treatments </t>
  </si>
  <si>
    <t xml:space="preserve">Rexona Clinical Protection </t>
  </si>
  <si>
    <t xml:space="preserve">Remifemin </t>
  </si>
  <si>
    <t xml:space="preserve">Mens Hair Removal </t>
  </si>
  <si>
    <t xml:space="preserve">PMS / Menopause - Popular Products </t>
  </si>
  <si>
    <t xml:space="preserve">Calamari Oil </t>
  </si>
  <si>
    <t xml:space="preserve">Olay CC Cream </t>
  </si>
  <si>
    <t xml:space="preserve">Chlorophyll </t>
  </si>
  <si>
    <t xml:space="preserve">Green Coffee </t>
  </si>
  <si>
    <t xml:space="preserve">Menopause </t>
  </si>
  <si>
    <t xml:space="preserve">Vitamins for Kids / Children </t>
  </si>
  <si>
    <t xml:space="preserve">Allergy Medicine for Kids / Children </t>
  </si>
  <si>
    <t xml:space="preserve">Cough, Cold &amp; Flu Relief for Kids </t>
  </si>
  <si>
    <t xml:space="preserve">Dental for Kids / Children </t>
  </si>
  <si>
    <t>$8.25</t>
  </si>
  <si>
    <t xml:space="preserve">Digestive Aid for Kids / Children </t>
  </si>
  <si>
    <t xml:space="preserve">Head Lice ( Kids / Children ) </t>
  </si>
  <si>
    <t xml:space="preserve">Insect Repellant for Kids </t>
  </si>
  <si>
    <t xml:space="preserve">Kids Creams, Lotions, Body Wash </t>
  </si>
  <si>
    <t xml:space="preserve">Medical Aid for Kids / Children </t>
  </si>
  <si>
    <t xml:space="preserve">Pain Relief for Kids / Children </t>
  </si>
  <si>
    <t xml:space="preserve">Suncare for Kids / Children </t>
  </si>
  <si>
    <t xml:space="preserve">Kids Health </t>
  </si>
  <si>
    <t xml:space="preserve">Vitamin B12 </t>
  </si>
  <si>
    <t xml:space="preserve">Oral B 3D White </t>
  </si>
  <si>
    <t xml:space="preserve">Herbal Essences Naked </t>
  </si>
  <si>
    <t xml:space="preserve">Cenovis Kids Vita Sprinkles </t>
  </si>
  <si>
    <t xml:space="preserve">Krill Oil </t>
  </si>
  <si>
    <t xml:space="preserve">Vicks  Product Range </t>
  </si>
  <si>
    <t xml:space="preserve">Heinz Baby </t>
  </si>
  <si>
    <t xml:space="preserve">Travel </t>
  </si>
  <si>
    <t xml:space="preserve">Arthritis Gloves </t>
  </si>
  <si>
    <t xml:space="preserve">Superfoods </t>
  </si>
  <si>
    <t xml:space="preserve">Organic Coconut Oil </t>
  </si>
  <si>
    <t xml:space="preserve">Berocca Boost </t>
  </si>
  <si>
    <t xml:space="preserve">Cenovis Vitamingum </t>
  </si>
  <si>
    <t xml:space="preserve">Eczema </t>
  </si>
  <si>
    <t>$2.02</t>
  </si>
  <si>
    <t xml:space="preserve">Emu Oil Products </t>
  </si>
  <si>
    <t xml:space="preserve">Gillette Proglide Flexball </t>
  </si>
  <si>
    <t xml:space="preserve">Headgear </t>
  </si>
  <si>
    <t xml:space="preserve">Healthy Care Emu Oil </t>
  </si>
  <si>
    <t xml:space="preserve">Justin Bieber Collectors Edition </t>
  </si>
  <si>
    <t xml:space="preserve">Lynx Black </t>
  </si>
  <si>
    <t xml:space="preserve">Mens Skin Care </t>
  </si>
  <si>
    <t xml:space="preserve">Mercedes Benz Club </t>
  </si>
  <si>
    <t xml:space="preserve">Mercedes Benz Perfume Mens </t>
  </si>
  <si>
    <t>$49.00</t>
  </si>
  <si>
    <t xml:space="preserve">Mercedes Benz Perfume Womens </t>
  </si>
  <si>
    <t xml:space="preserve">Oral B Clinical </t>
  </si>
  <si>
    <t xml:space="preserve">Panadol Extra Optizorb </t>
  </si>
  <si>
    <t xml:space="preserve">Playboy Generation </t>
  </si>
  <si>
    <t xml:space="preserve">Rihanna Rogue Man </t>
  </si>
  <si>
    <t xml:space="preserve">Sleep Supplements </t>
  </si>
  <si>
    <t xml:space="preserve">Thrush/Candidiasis Treatment </t>
  </si>
  <si>
    <t xml:space="preserve">Elvive Extraordinary Oil </t>
  </si>
  <si>
    <t xml:space="preserve">David Beckham Beyond </t>
  </si>
  <si>
    <t xml:space="preserve">Bio-Organics Glucosamine </t>
  </si>
  <si>
    <t xml:space="preserve">Maybelline Lash Sensation </t>
  </si>
  <si>
    <t xml:space="preserve">Panadol Rapid </t>
  </si>
  <si>
    <t xml:space="preserve">AFL Fragrances </t>
  </si>
  <si>
    <t xml:space="preserve">NRL Fragrances </t>
  </si>
  <si>
    <t xml:space="preserve">Vagisil </t>
  </si>
  <si>
    <t xml:space="preserve">Gillette Body Groomer </t>
  </si>
  <si>
    <t>$7.34</t>
  </si>
  <si>
    <t xml:space="preserve">Bioglan Bio Happy </t>
  </si>
  <si>
    <t xml:space="preserve">W7 Lip Bomb </t>
  </si>
  <si>
    <t xml:space="preserve">Mercedes Benz Intense </t>
  </si>
  <si>
    <t xml:space="preserve">Police To Be Mens </t>
  </si>
  <si>
    <t xml:space="preserve">Police To Be Womens </t>
  </si>
  <si>
    <t xml:space="preserve">Sarah Jessica Parker Lovely </t>
  </si>
  <si>
    <t xml:space="preserve">Sarah Jessica Parker NYC </t>
  </si>
  <si>
    <t xml:space="preserve">HARMONY </t>
  </si>
  <si>
    <t>$27.95</t>
  </si>
  <si>
    <t xml:space="preserve">Thursday Plantation Oli </t>
  </si>
  <si>
    <t xml:space="preserve">Oral B  </t>
  </si>
  <si>
    <t xml:space="preserve">Veet Spawax </t>
  </si>
  <si>
    <t xml:space="preserve">Durex </t>
  </si>
  <si>
    <t xml:space="preserve">Loreal True Match </t>
  </si>
  <si>
    <t xml:space="preserve">Pantene 3 Minute Miracle </t>
  </si>
  <si>
    <t xml:space="preserve">Dettol </t>
  </si>
  <si>
    <t xml:space="preserve">Optrex </t>
  </si>
  <si>
    <t xml:space="preserve">Lemsip </t>
  </si>
  <si>
    <t xml:space="preserve">Britney Spears Fantasy Intimate Edition </t>
  </si>
  <si>
    <t xml:space="preserve">Systane </t>
  </si>
  <si>
    <t>$29.98</t>
  </si>
  <si>
    <t xml:space="preserve">Real Paw Paw </t>
  </si>
  <si>
    <t xml:space="preserve">Argon Oil Hair Care </t>
  </si>
  <si>
    <t xml:space="preserve">Lynx Cologne </t>
  </si>
  <si>
    <t xml:space="preserve">Zipped </t>
  </si>
  <si>
    <t xml:space="preserve">Perry Ellis </t>
  </si>
  <si>
    <t xml:space="preserve">Lynx Pump </t>
  </si>
  <si>
    <t xml:space="preserve">Sambucol </t>
  </si>
  <si>
    <t xml:space="preserve">Beckham Beyond Forever  </t>
  </si>
  <si>
    <t xml:space="preserve">loceryl </t>
  </si>
  <si>
    <t xml:space="preserve">Lynx Styling Range </t>
  </si>
  <si>
    <t xml:space="preserve">Ear Clear </t>
  </si>
  <si>
    <t xml:space="preserve">Garnier Micellar Water </t>
  </si>
  <si>
    <t xml:space="preserve">Liptember 2016 </t>
  </si>
  <si>
    <t xml:space="preserve">Playboy King and Queen of the game </t>
  </si>
  <si>
    <t xml:space="preserve">Sarah Jessica Parker Stash </t>
  </si>
  <si>
    <t xml:space="preserve">Michael Buble By Invitation </t>
  </si>
  <si>
    <t xml:space="preserve">Paris Hilton Gold Rush  </t>
  </si>
  <si>
    <t xml:space="preserve">Natures Way Kids Smart Milk Buttons </t>
  </si>
  <si>
    <t xml:space="preserve">Canesten Feminine Intimate Wash and Wipes </t>
  </si>
  <si>
    <t xml:space="preserve">Comvita Manuka Honey </t>
  </si>
  <si>
    <t xml:space="preserve">KP 24  </t>
  </si>
  <si>
    <t xml:space="preserve">Lamisil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</si>
</sst>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57"/>
  <sheetViews>
    <sheetView tabSelected="1" topLeftCell="A11139" workbookViewId="0">
      <selection activeCell="A11368" sqref="A11368"/>
    </sheetView>
  </sheetViews>
  <sheetFormatPr defaultRowHeight="15" x14ac:dyDescent="0.25"/>
  <cols>
    <col min="1" max="1" width="35.7109375" customWidth="1"/>
    <col min="2" max="2" width="113.28515625" bestFit="1" customWidth="1"/>
  </cols>
  <sheetData>
    <row r="1" spans="1:4" x14ac:dyDescent="0.25">
      <c r="A1" t="s">
        <v>0</v>
      </c>
    </row>
    <row r="2" spans="1:4" x14ac:dyDescent="0.25">
      <c r="B2" t="str">
        <f>HYPERLINK("https://www.chemistwarehouse.com.au/buy/71336/Nature-39-s-Own-Odourless-Fish-Oil-Capsules-1000mg-600-Exclusive-Pack"," Nature's Own Odourless Fish Oil Capsules 1000mg 600 Exclusive Pack")</f>
        <v xml:space="preserve"> Nature's Own Odourless Fish Oil Capsules 1000mg 600 Exclusive Pack</v>
      </c>
      <c r="C2" t="s">
        <v>1</v>
      </c>
      <c r="D2">
        <v>0</v>
      </c>
    </row>
    <row r="3" spans="1:4" x14ac:dyDescent="0.25">
      <c r="B3" t="str">
        <f>HYPERLINK("https://www.chemistwarehouse.com.au/buy/63404/Nature-39-s-Own-Odourless-Fish-Oil-2000mg-200-Capsules"," Nature's Own Odourless Fish Oil 2000mg 200 Capsules")</f>
        <v xml:space="preserve"> Nature's Own Odourless Fish Oil 2000mg 200 Capsules</v>
      </c>
      <c r="C3" t="s">
        <v>2</v>
      </c>
      <c r="D3" t="s">
        <v>3</v>
      </c>
    </row>
    <row r="4" spans="1:4" x14ac:dyDescent="0.25">
      <c r="B4" t="str">
        <f>HYPERLINK("https://www.chemistwarehouse.com.au/buy/62917/Nature-39-s-Own-Fish-Oil-Liquid-300ml"," Nature's Own Fish Oil Liquid 300ml")</f>
        <v xml:space="preserve"> Nature's Own Fish Oil Liquid 300ml</v>
      </c>
      <c r="C4" t="s">
        <v>4</v>
      </c>
      <c r="D4" t="s">
        <v>5</v>
      </c>
    </row>
    <row r="5" spans="1:4" x14ac:dyDescent="0.25">
      <c r="B5" t="str">
        <f>HYPERLINK("https://www.chemistwarehouse.com.au/buy/65812/Nature-39-s-Own-Odourless-Fish-Oil-1500mg-High-Strength-600-Capsules"," Nature's Own Odourless Fish Oil 1500mg High Strength 600 Capsules")</f>
        <v xml:space="preserve"> Nature's Own Odourless Fish Oil 1500mg High Strength 600 Capsules</v>
      </c>
      <c r="C5" t="s">
        <v>6</v>
      </c>
      <c r="D5">
        <v>0</v>
      </c>
    </row>
    <row r="6" spans="1:4" x14ac:dyDescent="0.25">
      <c r="B6" t="str">
        <f>HYPERLINK("https://www.chemistwarehouse.com.au/buy/69892/Nature-39-s-Own-Triple-Concentrated-Fish-Oil-Odourless-90-Capsules"," Nature's Own Triple Concentrated Fish Oil Odourless 90 Capsules")</f>
        <v xml:space="preserve"> Nature's Own Triple Concentrated Fish Oil Odourless 90 Capsules</v>
      </c>
      <c r="C6" t="s">
        <v>7</v>
      </c>
      <c r="D6" t="s">
        <v>7</v>
      </c>
    </row>
    <row r="7" spans="1:4" x14ac:dyDescent="0.25">
      <c r="B7" t="str">
        <f>HYPERLINK("https://www.chemistwarehouse.com.au/buy/51642/Nature-39-s-Own-Odourless-Fish-Oil-1000mg-400-Capsules"," Nature's Own Odourless Fish Oil 1000mg 400 Capsules")</f>
        <v xml:space="preserve"> Nature's Own Odourless Fish Oil 1000mg 400 Capsules</v>
      </c>
      <c r="C7" t="s">
        <v>8</v>
      </c>
      <c r="D7" t="s">
        <v>9</v>
      </c>
    </row>
    <row r="8" spans="1:4" x14ac:dyDescent="0.25">
      <c r="B8" t="str">
        <f>HYPERLINK("https://www.chemistwarehouse.com.au/buy/57308/Nature-39-s-Own-Odourless-Fish-Oil-1500mg-High-Strength-400-Capsules"," Nature's Own Odourless Fish Oil 1500mg High Strength 400 Capsules")</f>
        <v xml:space="preserve"> Nature's Own Odourless Fish Oil 1500mg High Strength 400 Capsules</v>
      </c>
      <c r="C8" t="s">
        <v>10</v>
      </c>
      <c r="D8" t="s">
        <v>11</v>
      </c>
    </row>
    <row r="9" spans="1:4" x14ac:dyDescent="0.25">
      <c r="B9" t="str">
        <f>HYPERLINK("https://www.chemistwarehouse.com.au/buy/56496/Nature-39-s-Own-Fish-Oil-1500mg-Odourless-200-Capsules"," Nature's Own Fish Oil 1500mg Odourless 200 Capsules")</f>
        <v xml:space="preserve"> Nature's Own Fish Oil 1500mg Odourless 200 Capsules</v>
      </c>
      <c r="C9" t="s">
        <v>12</v>
      </c>
      <c r="D9" t="s">
        <v>13</v>
      </c>
    </row>
    <row r="10" spans="1:4" x14ac:dyDescent="0.25">
      <c r="B10" t="str">
        <f>HYPERLINK("https://www.chemistwarehouse.com.au/buy/67781/Nature-39-s-Own-Concentrated-odourless-Fish-Oil-1000mg-60-Capsules"," Nature's Own Concentrated odourless Fish Oil 1000mg 60 Capsules")</f>
        <v xml:space="preserve"> Nature's Own Concentrated odourless Fish Oil 1000mg 60 Capsules</v>
      </c>
      <c r="C10" t="s">
        <v>14</v>
      </c>
      <c r="D10" t="s">
        <v>15</v>
      </c>
    </row>
    <row r="11" spans="1:4" x14ac:dyDescent="0.25">
      <c r="A11" t="s">
        <v>16</v>
      </c>
    </row>
    <row r="12" spans="1:4" x14ac:dyDescent="0.25">
      <c r="B12" t="str">
        <f>HYPERLINK("https://www.chemistwarehouse.com.au/buy/74819/Nature-39-s-Own-High-Strength-Garlic-10000mg-100-Tablets"," Nature's Own High Strength Garlic 10000mg 100 Tablets")</f>
        <v xml:space="preserve"> Nature's Own High Strength Garlic 10000mg 100 Tablets</v>
      </c>
      <c r="C12" t="s">
        <v>17</v>
      </c>
      <c r="D12" t="s">
        <v>18</v>
      </c>
    </row>
    <row r="13" spans="1:4" x14ac:dyDescent="0.25">
      <c r="B13" t="str">
        <f>HYPERLINK("https://www.chemistwarehouse.com.au/buy/75059/Nature-39-s-Own-Triple-Strength-Garlic-C-Horseradish-200-Tablets"," Nature's Own Triple Strength Garlic C Horseradish 200 Tablets")</f>
        <v xml:space="preserve"> Nature's Own Triple Strength Garlic C Horseradish 200 Tablets</v>
      </c>
      <c r="C13" t="s">
        <v>10</v>
      </c>
      <c r="D13">
        <v>0</v>
      </c>
    </row>
    <row r="14" spans="1:4" x14ac:dyDescent="0.25">
      <c r="B14" t="str">
        <f>HYPERLINK("https://www.chemistwarehouse.com.au/buy/74821/Nature-39-s-Own-High-Strength-Zinc-30mg-120-Tablets"," Nature's Own High Strength Zinc 30mg 120 Tablets")</f>
        <v xml:space="preserve"> Nature's Own High Strength Zinc 30mg 120 Tablets</v>
      </c>
      <c r="C14" t="s">
        <v>19</v>
      </c>
      <c r="D14" t="s">
        <v>20</v>
      </c>
    </row>
    <row r="15" spans="1:4" x14ac:dyDescent="0.25">
      <c r="B15" t="str">
        <f>HYPERLINK("https://www.chemistwarehouse.com.au/buy/71330/Nature-39-s-Own-Double-Strength-Cold-Sore-Relief-100-Tablets"," Nature's Own Double Strength Cold Sore Relief 100 Tablets")</f>
        <v xml:space="preserve"> Nature's Own Double Strength Cold Sore Relief 100 Tablets</v>
      </c>
      <c r="C15" t="s">
        <v>19</v>
      </c>
      <c r="D15" t="s">
        <v>20</v>
      </c>
    </row>
    <row r="16" spans="1:4" x14ac:dyDescent="0.25">
      <c r="B16" t="str">
        <f>HYPERLINK("https://www.chemistwarehouse.com.au/buy/74818/Nature-39-s-Own-High-Strength-Echinacea-10000mg-30-Tablets"," Nature's Own High Strength Echinacea 10000mg 30 Tablets")</f>
        <v xml:space="preserve"> Nature's Own High Strength Echinacea 10000mg 30 Tablets</v>
      </c>
      <c r="C16" t="s">
        <v>21</v>
      </c>
      <c r="D16" t="s">
        <v>22</v>
      </c>
    </row>
    <row r="17" spans="1:4" x14ac:dyDescent="0.25">
      <c r="B17" t="str">
        <f>HYPERLINK("https://www.chemistwarehouse.com.au/buy/53683/Nature-39-s-Own-Sugarless-Vitamin-C-500mg-400-Tablets"," Nature's Own Sugarless Vitamin C 500mg 400 Tablets")</f>
        <v xml:space="preserve"> Nature's Own Sugarless Vitamin C 500mg 400 Tablets</v>
      </c>
      <c r="C17" t="s">
        <v>23</v>
      </c>
      <c r="D17" t="s">
        <v>23</v>
      </c>
    </row>
    <row r="18" spans="1:4" x14ac:dyDescent="0.25">
      <c r="B18" t="str">
        <f>HYPERLINK("https://www.chemistwarehouse.com.au/buy/74817/Nature-39-s-Own-High-Strength-Defence-C-1000mg-150-Tablets"," Nature's Own High Strength Defence C 1000mg 150 Tablets")</f>
        <v xml:space="preserve"> Nature's Own High Strength Defence C 1000mg 150 Tablets</v>
      </c>
      <c r="C18" t="s">
        <v>24</v>
      </c>
      <c r="D18" t="s">
        <v>25</v>
      </c>
    </row>
    <row r="19" spans="1:4" x14ac:dyDescent="0.25">
      <c r="B19" t="str">
        <f>HYPERLINK("https://www.chemistwarehouse.com.au/buy/57252/Nature-39-s-Own-Zinc-C-60-Lozenges"," Nature's Own Zinc + C 60 Lozenges")</f>
        <v xml:space="preserve"> Nature's Own Zinc + C 60 Lozenges</v>
      </c>
      <c r="C19" t="s">
        <v>26</v>
      </c>
      <c r="D19" t="s">
        <v>27</v>
      </c>
    </row>
    <row r="20" spans="1:4" x14ac:dyDescent="0.25">
      <c r="B20" t="str">
        <f>HYPERLINK("https://www.chemistwarehouse.com.au/buy/74814/Nature-39-s-Own-Cold-amp-Flu-Max-Relief-30-Tablets"," Nature's Own Cold &amp; Flu Max-Relief 30 Tablets")</f>
        <v xml:space="preserve"> Nature's Own Cold &amp; Flu Max-Relief 30 Tablets</v>
      </c>
      <c r="C20" t="s">
        <v>28</v>
      </c>
      <c r="D20" t="s">
        <v>28</v>
      </c>
    </row>
    <row r="21" spans="1:4" x14ac:dyDescent="0.25">
      <c r="B21" t="str">
        <f>HYPERLINK("https://www.chemistwarehouse.com.au/buy/74823/Nature-39-s-Own-Triple-Strength-Garlic-C-Horseradish-100-Tablets"," Nature's Own Triple Strength Garlic C Horseradish 100 Tablets")</f>
        <v xml:space="preserve"> Nature's Own Triple Strength Garlic C Horseradish 100 Tablets</v>
      </c>
      <c r="C21" t="s">
        <v>12</v>
      </c>
      <c r="D21" t="s">
        <v>13</v>
      </c>
    </row>
    <row r="22" spans="1:4" x14ac:dyDescent="0.25">
      <c r="B22" t="str">
        <f>HYPERLINK("https://www.chemistwarehouse.com.au/buy/20664/Nature-39-s-Own-Garlic-C,-Horseradish-with-Fenugreek-amp-Marshmallow-200-Tablets"," Nature's Own Garlic + C, Horseradish with Fenugreek &amp; Marshmallow 200 Tablets")</f>
        <v xml:space="preserve"> Nature's Own Garlic + C, Horseradish with Fenugreek &amp; Marshmallow 200 Tablets</v>
      </c>
      <c r="C22" t="s">
        <v>29</v>
      </c>
      <c r="D22" t="s">
        <v>30</v>
      </c>
    </row>
    <row r="23" spans="1:4" x14ac:dyDescent="0.25">
      <c r="A23" t="s">
        <v>31</v>
      </c>
    </row>
    <row r="24" spans="1:4" x14ac:dyDescent="0.25">
      <c r="B24" t="str">
        <f>HYPERLINK("https://www.chemistwarehouse.com.au/buy/20809/Nature-39-s-Own-Lecithin-1200mg-100-Capsules"," Nature's Own Lecithin 1200mg 100 Capsules")</f>
        <v xml:space="preserve"> Nature's Own Lecithin 1200mg 100 Capsules</v>
      </c>
      <c r="C24" t="s">
        <v>32</v>
      </c>
      <c r="D24" t="s">
        <v>33</v>
      </c>
    </row>
    <row r="25" spans="1:4" x14ac:dyDescent="0.25">
      <c r="B25" t="str">
        <f>HYPERLINK("https://www.chemistwarehouse.com.au/buy/21053/Nature-39-s-Own-Fenugreek-1000mg-60-Capsules"," Nature's Own Fenugreek 1000mg 60 Capsules")</f>
        <v xml:space="preserve"> Nature's Own Fenugreek 1000mg 60 Capsules</v>
      </c>
      <c r="C25" t="s">
        <v>34</v>
      </c>
      <c r="D25" t="s">
        <v>35</v>
      </c>
    </row>
    <row r="26" spans="1:4" x14ac:dyDescent="0.25">
      <c r="B26" t="str">
        <f>HYPERLINK("https://www.chemistwarehouse.com.au/buy/20581/Nature-39-s-Own-Chromium-Picolinate-400mcg-200-Tablets"," Nature's Own Chromium Picolinate 400mcg 200 Tablets")</f>
        <v xml:space="preserve"> Nature's Own Chromium Picolinate 400mcg 200 Tablets</v>
      </c>
      <c r="C26" t="s">
        <v>4</v>
      </c>
      <c r="D26" t="s">
        <v>5</v>
      </c>
    </row>
    <row r="27" spans="1:4" x14ac:dyDescent="0.25">
      <c r="B27" t="str">
        <f>HYPERLINK("https://www.chemistwarehouse.com.au/buy/74820/Nature-39-s-Own-High-Strength-Milk-Thistle-35000-60-Capsules"," Nature's Own High Strength Milk Thistle 35000 60 Capsules")</f>
        <v xml:space="preserve"> Nature's Own High Strength Milk Thistle 35000 60 Capsules</v>
      </c>
      <c r="C27" t="s">
        <v>19</v>
      </c>
      <c r="D27" t="s">
        <v>20</v>
      </c>
    </row>
    <row r="28" spans="1:4" x14ac:dyDescent="0.25">
      <c r="B28" t="str">
        <f>HYPERLINK("https://www.chemistwarehouse.com.au/buy/55341/Nature-39-s-Own-Kelp-1000mg-200-Tablets"," Nature's Own Kelp 1000mg 200 Tablets")</f>
        <v xml:space="preserve"> Nature's Own Kelp 1000mg 200 Tablets</v>
      </c>
      <c r="C28" t="s">
        <v>36</v>
      </c>
      <c r="D28" t="s">
        <v>37</v>
      </c>
    </row>
    <row r="29" spans="1:4" x14ac:dyDescent="0.25">
      <c r="B29" t="str">
        <f>HYPERLINK("https://www.chemistwarehouse.com.au/buy/69413/Nature-39-s-Own-Liver-Tonic-50-Tablets"," Nature's Own Liver Tonic 50 Tablets")</f>
        <v xml:space="preserve"> Nature's Own Liver Tonic 50 Tablets</v>
      </c>
      <c r="C29" t="s">
        <v>38</v>
      </c>
      <c r="D29" t="s">
        <v>39</v>
      </c>
    </row>
    <row r="30" spans="1:4" x14ac:dyDescent="0.25">
      <c r="B30" t="str">
        <f>HYPERLINK("https://www.chemistwarehouse.com.au/buy/69885/Nature-39-s-Own-Slippery-Elm-400mg-60-Capsules"," Nature's Own Slippery Elm 400mg 60 Capsules")</f>
        <v xml:space="preserve"> Nature's Own Slippery Elm 400mg 60 Capsules</v>
      </c>
      <c r="C30" t="s">
        <v>14</v>
      </c>
      <c r="D30" t="s">
        <v>15</v>
      </c>
    </row>
    <row r="31" spans="1:4" x14ac:dyDescent="0.25">
      <c r="A31" t="s">
        <v>40</v>
      </c>
    </row>
    <row r="32" spans="1:4" x14ac:dyDescent="0.25">
      <c r="B32" t="str">
        <f>HYPERLINK("https://www.chemistwarehouse.com.au/buy/21113/Nature-39-s-Own-Vitamin-B3-500mg-60-Tablets"," Nature's Own Vitamin B3 500mg 60 Tablets")</f>
        <v xml:space="preserve"> Nature's Own Vitamin B3 500mg 60 Tablets</v>
      </c>
      <c r="C32" t="s">
        <v>41</v>
      </c>
      <c r="D32" t="s">
        <v>42</v>
      </c>
    </row>
    <row r="33" spans="1:4" x14ac:dyDescent="0.25">
      <c r="B33" t="str">
        <f>HYPERLINK("https://www.chemistwarehouse.com.au/buy/20820/Nature-39-s-Own-Vitamin-B2-100mg-100-Tablets"," Nature's Own Vitamin B2 100mg 100 Tablets")</f>
        <v xml:space="preserve"> Nature's Own Vitamin B2 100mg 100 Tablets</v>
      </c>
      <c r="C33" t="s">
        <v>43</v>
      </c>
      <c r="D33" t="s">
        <v>44</v>
      </c>
    </row>
    <row r="34" spans="1:4" x14ac:dyDescent="0.25">
      <c r="B34" t="str">
        <f>HYPERLINK("https://www.chemistwarehouse.com.au/buy/69897/Nature-39-s-Own-Memory-Boost-50-Capsules"," Nature's Own Memory Boost 50 Capsules")</f>
        <v xml:space="preserve"> Nature's Own Memory Boost 50 Capsules</v>
      </c>
      <c r="C34" t="s">
        <v>29</v>
      </c>
      <c r="D34" t="s">
        <v>30</v>
      </c>
    </row>
    <row r="35" spans="1:4" x14ac:dyDescent="0.25">
      <c r="B35" t="str">
        <f>HYPERLINK("https://www.chemistwarehouse.com.au/buy/69894/Nature-39-s-Own-Stress-amp-Stamina-30-Tablets"," Nature's Own Stress &amp; Stamina 30 Tablets")</f>
        <v xml:space="preserve"> Nature's Own Stress &amp; Stamina 30 Tablets</v>
      </c>
      <c r="C35" t="s">
        <v>45</v>
      </c>
      <c r="D35" t="s">
        <v>46</v>
      </c>
    </row>
    <row r="36" spans="1:4" x14ac:dyDescent="0.25">
      <c r="B36" t="str">
        <f>HYPERLINK("https://www.chemistwarehouse.com.au/buy/20621/Nature-39-s-Own-Vitamin-B12-1000mcg-60-Tablets"," Nature's Own Vitamin B12 1000mcg 60 Tablets")</f>
        <v xml:space="preserve"> Nature's Own Vitamin B12 1000mcg 60 Tablets</v>
      </c>
      <c r="C36" t="s">
        <v>47</v>
      </c>
      <c r="D36" t="s">
        <v>47</v>
      </c>
    </row>
    <row r="37" spans="1:4" x14ac:dyDescent="0.25">
      <c r="B37" t="str">
        <f>HYPERLINK("https://www.chemistwarehouse.com.au/buy/20887/Nature-39-s-Own-Vitamin-B1-250mg-75-Tablets"," Nature's Own Vitamin B1 250mg 75 Tablets")</f>
        <v xml:space="preserve"> Nature's Own Vitamin B1 250mg 75 Tablets</v>
      </c>
      <c r="C37" t="s">
        <v>38</v>
      </c>
      <c r="D37" t="s">
        <v>39</v>
      </c>
    </row>
    <row r="38" spans="1:4" x14ac:dyDescent="0.25">
      <c r="B38" t="str">
        <f>HYPERLINK("https://www.chemistwarehouse.com.au/buy/41131/Nature-39-s-Own-St-Johns-Wort-2700mg-40-Tablets"," Nature's Own St Johns Wort 2700mg 40 Tablets")</f>
        <v xml:space="preserve"> Nature's Own St Johns Wort 2700mg 40 Tablets</v>
      </c>
      <c r="C38" t="s">
        <v>48</v>
      </c>
      <c r="D38" t="s">
        <v>48</v>
      </c>
    </row>
    <row r="39" spans="1:4" x14ac:dyDescent="0.25">
      <c r="B39" t="str">
        <f>HYPERLINK("https://www.chemistwarehouse.com.au/buy/20978/Nature-39-s-Own-Mega-B-150mg-60-Tablets"," Nature's Own Mega B 150mg 60 Tablets")</f>
        <v xml:space="preserve"> Nature's Own Mega B 150mg 60 Tablets</v>
      </c>
      <c r="C39" t="s">
        <v>36</v>
      </c>
      <c r="D39" t="s">
        <v>37</v>
      </c>
    </row>
    <row r="40" spans="1:4" x14ac:dyDescent="0.25">
      <c r="B40" t="str">
        <f>HYPERLINK("https://www.chemistwarehouse.com.au/buy/74816/Nature-39-s-Own-Focus-amp-Perform-40-Tablets"," Nature's Own Focus &amp; Perform 40 Tablets")</f>
        <v xml:space="preserve"> Nature's Own Focus &amp; Perform 40 Tablets</v>
      </c>
      <c r="C40" t="s">
        <v>19</v>
      </c>
      <c r="D40" t="s">
        <v>20</v>
      </c>
    </row>
    <row r="41" spans="1:4" x14ac:dyDescent="0.25">
      <c r="B41" t="str">
        <f>HYPERLINK("https://www.chemistwarehouse.com.au/buy/20971/Nature-39-s-Own-Super-B-Complex-75-Tablets"," Nature's Own Super B Complex 75 Tablets")</f>
        <v xml:space="preserve"> Nature's Own Super B Complex 75 Tablets</v>
      </c>
      <c r="C41" t="s">
        <v>49</v>
      </c>
      <c r="D41" t="s">
        <v>50</v>
      </c>
    </row>
    <row r="42" spans="1:4" x14ac:dyDescent="0.25">
      <c r="B42" t="str">
        <f>HYPERLINK("https://www.chemistwarehouse.com.au/buy/55342/Nature-39-s-Own-Siberian-Ginseng-1000mg-60-Tablets"," Nature's Own Siberian Ginseng 1000mg 60 Tablets")</f>
        <v xml:space="preserve"> Nature's Own Siberian Ginseng 1000mg 60 Tablets</v>
      </c>
      <c r="C42" t="s">
        <v>51</v>
      </c>
      <c r="D42" t="s">
        <v>51</v>
      </c>
    </row>
    <row r="43" spans="1:4" x14ac:dyDescent="0.25">
      <c r="B43" t="str">
        <f>HYPERLINK("https://www.chemistwarehouse.com.au/buy/69887/Nature-39-s-Own-EQ-Control-50-Tablets"," Nature's Own EQ Control 50 Tablets")</f>
        <v xml:space="preserve"> Nature's Own EQ Control 50 Tablets</v>
      </c>
      <c r="C43" t="s">
        <v>52</v>
      </c>
      <c r="D43" t="s">
        <v>53</v>
      </c>
    </row>
    <row r="44" spans="1:4" x14ac:dyDescent="0.25">
      <c r="B44" t="str">
        <f>HYPERLINK("https://www.chemistwarehouse.com.au/buy/20955/Nature-39-s-Own-Korean-Ginseng-500mg-50-Capsules"," Nature's Own Korean Ginseng 500mg 50 Capsules")</f>
        <v xml:space="preserve"> Nature's Own Korean Ginseng 500mg 50 Capsules</v>
      </c>
      <c r="C44" t="s">
        <v>17</v>
      </c>
      <c r="D44" t="s">
        <v>18</v>
      </c>
    </row>
    <row r="45" spans="1:4" x14ac:dyDescent="0.25">
      <c r="B45" t="str">
        <f>HYPERLINK("https://www.chemistwarehouse.com.au/buy/20629/Nature-39-s-Own-Vitamin-B12-250mcg-75-Tablets"," Nature's Own Vitamin B12 250mcg 75 Tablets")</f>
        <v xml:space="preserve"> Nature's Own Vitamin B12 250mcg 75 Tablets</v>
      </c>
      <c r="C45" t="s">
        <v>54</v>
      </c>
      <c r="D45" t="s">
        <v>54</v>
      </c>
    </row>
    <row r="46" spans="1:4" x14ac:dyDescent="0.25">
      <c r="B46" t="str">
        <f>HYPERLINK("https://www.chemistwarehouse.com.au/buy/43239/Nature-39-s-Own-Ginkgo-Biloba-2000mg-100-Tablets"," Nature's Own Ginkgo Biloba 2000mg 100 Tablets")</f>
        <v xml:space="preserve"> Nature's Own Ginkgo Biloba 2000mg 100 Tablets</v>
      </c>
      <c r="C46" t="s">
        <v>55</v>
      </c>
      <c r="D46" t="s">
        <v>56</v>
      </c>
    </row>
    <row r="47" spans="1:4" x14ac:dyDescent="0.25">
      <c r="A47" t="s">
        <v>57</v>
      </c>
    </row>
    <row r="48" spans="1:4" x14ac:dyDescent="0.25">
      <c r="B48" t="str">
        <f>HYPERLINK("https://www.chemistwarehouse.com.au/buy/48420/Nature-39-s-Own-Flaxseed-Oil-125-Capsules"," Nature's Own Flaxseed Oil 125 Capsules")</f>
        <v xml:space="preserve"> Nature's Own Flaxseed Oil 125 Capsules</v>
      </c>
      <c r="C48" t="s">
        <v>19</v>
      </c>
      <c r="D48" t="s">
        <v>20</v>
      </c>
    </row>
    <row r="49" spans="1:4" x14ac:dyDescent="0.25">
      <c r="B49" t="str">
        <f>HYPERLINK("https://www.chemistwarehouse.com.au/buy/76018/Nature-39-s-Own-B12-1000mcg-120-Tablets-Exclusive"," Nature's Own B12 1000mcg 120 Tablets Exclusive")</f>
        <v xml:space="preserve"> Nature's Own B12 1000mcg 120 Tablets Exclusive</v>
      </c>
      <c r="C49" t="s">
        <v>58</v>
      </c>
      <c r="D49">
        <v>0</v>
      </c>
    </row>
    <row r="50" spans="1:4" x14ac:dyDescent="0.25">
      <c r="B50" t="str">
        <f>HYPERLINK("https://www.chemistwarehouse.com.au/buy/74815/Nature-39-s-Own-Double-Strength-Natural-Vitamin-E-1000IU-50-Capsules"," Nature's Own Double Strength Natural Vitamin E 1000IU 50 Capsules")</f>
        <v xml:space="preserve"> Nature's Own Double Strength Natural Vitamin E 1000IU 50 Capsules</v>
      </c>
      <c r="C50" t="s">
        <v>2</v>
      </c>
      <c r="D50" t="s">
        <v>3</v>
      </c>
    </row>
    <row r="51" spans="1:4" x14ac:dyDescent="0.25">
      <c r="B51" t="str">
        <f>HYPERLINK("https://www.chemistwarehouse.com.au/buy/74822/Nature-39-s-Own-Natural-Vitamin-E-500IU-Capsules-150-Capsules"," Nature's Own Natural Vitamin E 500IU Capsules 150 Capsules")</f>
        <v xml:space="preserve"> Nature's Own Natural Vitamin E 500IU Capsules 150 Capsules</v>
      </c>
      <c r="C51" t="s">
        <v>59</v>
      </c>
      <c r="D51" t="s">
        <v>60</v>
      </c>
    </row>
    <row r="52" spans="1:4" x14ac:dyDescent="0.25">
      <c r="B52" t="str">
        <f>HYPERLINK("https://www.chemistwarehouse.com.au/buy/76102/Nature-39-s-Own-Grape-Seed-15000mg-180-Tablets-Exclusive"," Nature's Own Grape Seed 15000mg 180 Tablets Exclusive")</f>
        <v xml:space="preserve"> Nature's Own Grape Seed 15000mg 180 Tablets Exclusive</v>
      </c>
      <c r="C52" t="s">
        <v>61</v>
      </c>
      <c r="D52">
        <v>0</v>
      </c>
    </row>
    <row r="53" spans="1:4" x14ac:dyDescent="0.25">
      <c r="A53" t="s">
        <v>62</v>
      </c>
    </row>
    <row r="54" spans="1:4" x14ac:dyDescent="0.25">
      <c r="B54" t="str">
        <f>HYPERLINK("https://www.chemistwarehouse.com.au/buy/72135/Nature-39-s-Own-Glucosamine-1500-With-Chondroitin-180-Tablets"," Nature's Own Glucosamine 1500 With Chondroitin 180 Tablets ")</f>
        <v xml:space="preserve"> Nature's Own Glucosamine 1500 With Chondroitin 180 Tablets </v>
      </c>
      <c r="C54" t="s">
        <v>10</v>
      </c>
      <c r="D54">
        <v>0</v>
      </c>
    </row>
    <row r="55" spans="1:4" x14ac:dyDescent="0.25">
      <c r="B55" t="str">
        <f>HYPERLINK("https://www.chemistwarehouse.com.au/buy/68895/Nature-39-s-Own-Magnesium-Chelate-500mg-250-Tablets-Exclusive-Pack"," Nature's Own Magnesium Chelate 500mg 250 Tablets Exclusive Pack")</f>
        <v xml:space="preserve"> Nature's Own Magnesium Chelate 500mg 250 Tablets Exclusive Pack</v>
      </c>
      <c r="C55" t="s">
        <v>1</v>
      </c>
      <c r="D55">
        <v>0</v>
      </c>
    </row>
    <row r="56" spans="1:4" x14ac:dyDescent="0.25">
      <c r="B56" t="str">
        <f>HYPERLINK("https://www.chemistwarehouse.com.au/buy/81126/Nature-39-s-Own-Calcium-Magnesium-Vitamin-D3-K2-200-Tablets-Exclusive-Size"," Nature's Own Calcium Magnesium Vitamin D3 + K2 200 Tablets Exclusive Size")</f>
        <v xml:space="preserve"> Nature's Own Calcium Magnesium Vitamin D3 + K2 200 Tablets Exclusive Size</v>
      </c>
      <c r="C56" t="s">
        <v>63</v>
      </c>
      <c r="D56" t="s">
        <v>64</v>
      </c>
    </row>
    <row r="57" spans="1:4" x14ac:dyDescent="0.25">
      <c r="B57" t="str">
        <f>HYPERLINK("https://www.chemistwarehouse.com.au/buy/63405/Nature-39-s-Own-Glucosamine-1500mg-250-Tablets"," Nature's Own Glucosamine 1500mg 250 Tablets")</f>
        <v xml:space="preserve"> Nature's Own Glucosamine 1500mg 250 Tablets</v>
      </c>
      <c r="C57" t="s">
        <v>1</v>
      </c>
      <c r="D57">
        <v>0</v>
      </c>
    </row>
    <row r="58" spans="1:4" x14ac:dyDescent="0.25">
      <c r="B58" t="str">
        <f>HYPERLINK("https://www.chemistwarehouse.com.au/buy/81125/Nature-39-s-Own-Calcium-Magnesium-Vitamin-D3-K2-120-Tablets"," Nature's Own Calcium Magnesium Vitamin D3 + K2 120 Tablets")</f>
        <v xml:space="preserve"> Nature's Own Calcium Magnesium Vitamin D3 + K2 120 Tablets</v>
      </c>
      <c r="C58" t="s">
        <v>65</v>
      </c>
      <c r="D58" t="s">
        <v>66</v>
      </c>
    </row>
    <row r="59" spans="1:4" x14ac:dyDescent="0.25">
      <c r="B59" t="str">
        <f>HYPERLINK("https://www.chemistwarehouse.com.au/buy/71338/Nature-39-s-Own-CoQ10-150mg-Complex-60-Capsules"," Nature's Own CoQ10 150mg Complex 60 Capsules")</f>
        <v xml:space="preserve"> Nature's Own CoQ10 150mg Complex 60 Capsules</v>
      </c>
      <c r="C59" t="s">
        <v>67</v>
      </c>
      <c r="D59" t="s">
        <v>68</v>
      </c>
    </row>
    <row r="60" spans="1:4" x14ac:dyDescent="0.25">
      <c r="B60" t="str">
        <f>HYPERLINK("https://www.chemistwarehouse.com.au/buy/55345/Nature-39-s-Own-Magnesium-Chelated-500mg-75-Capsules"," Nature's Own Magnesium Chelated 500mg 75 Capsules")</f>
        <v xml:space="preserve"> Nature's Own Magnesium Chelated 500mg 75 Capsules</v>
      </c>
      <c r="C60" t="s">
        <v>69</v>
      </c>
      <c r="D60" t="s">
        <v>70</v>
      </c>
    </row>
    <row r="61" spans="1:4" x14ac:dyDescent="0.25">
      <c r="B61" t="str">
        <f>HYPERLINK("https://www.chemistwarehouse.com.au/buy/71334/Nature-39-s-Own-Curcumin-amp-Willowbark-30-Tablets"," Nature's Own Curcumin &amp; Willowbark 30 Tablets ")</f>
        <v xml:space="preserve"> Nature's Own Curcumin &amp; Willowbark 30 Tablets </v>
      </c>
      <c r="C61" t="s">
        <v>52</v>
      </c>
      <c r="D61" t="s">
        <v>53</v>
      </c>
    </row>
    <row r="62" spans="1:4" x14ac:dyDescent="0.25">
      <c r="B62" t="str">
        <f>HYPERLINK("https://www.chemistwarehouse.com.au/buy/50514/Nature-39-s-Own-Glucosamine-Sulfate-Complex-1000mg-300-Capsules"," Nature's Own Glucosamine Sulfate Complex 1000mg 300 Capsules")</f>
        <v xml:space="preserve"> Nature's Own Glucosamine Sulfate Complex 1000mg 300 Capsules</v>
      </c>
      <c r="C62" t="s">
        <v>10</v>
      </c>
      <c r="D62" t="s">
        <v>71</v>
      </c>
    </row>
    <row r="63" spans="1:4" x14ac:dyDescent="0.25">
      <c r="B63" t="str">
        <f>HYPERLINK("https://www.chemistwarehouse.com.au/buy/55036/Nature-39-s-Own-Joint-Enhance-Easy-Glide-with-Glucosamine-amp-Chondroitin-100-Tablets"," Nature's Own Joint Enhance Easy Glide with Glucosamine &amp; Chondroitin 100 Tablets")</f>
        <v xml:space="preserve"> Nature's Own Joint Enhance Easy Glide with Glucosamine &amp; Chondroitin 100 Tablets</v>
      </c>
      <c r="C63" t="s">
        <v>63</v>
      </c>
      <c r="D63" t="s">
        <v>72</v>
      </c>
    </row>
    <row r="64" spans="1:4" x14ac:dyDescent="0.25">
      <c r="B64" t="str">
        <f>HYPERLINK("https://www.chemistwarehouse.com.au/buy/81124/Nature-39-s-Own-High-Strength-Magnesium-Orotate-60-Capsules"," Nature's Own High Strength Magnesium Orotate 60 Capsules")</f>
        <v xml:space="preserve"> Nature's Own High Strength Magnesium Orotate 60 Capsules</v>
      </c>
      <c r="C64" t="s">
        <v>49</v>
      </c>
      <c r="D64" t="s">
        <v>50</v>
      </c>
    </row>
    <row r="65" spans="1:4" x14ac:dyDescent="0.25">
      <c r="B65" t="str">
        <f>HYPERLINK("https://www.chemistwarehouse.com.au/buy/81128/Nature-39-s-Own-Calcium-and-Vitamin-D3-90-Tablets"," Nature's Own Calcium and Vitamin D3 90 Tablets")</f>
        <v xml:space="preserve"> Nature's Own Calcium and Vitamin D3 90 Tablets</v>
      </c>
      <c r="C65" t="s">
        <v>73</v>
      </c>
      <c r="D65" t="s">
        <v>74</v>
      </c>
    </row>
    <row r="66" spans="1:4" x14ac:dyDescent="0.25">
      <c r="B66" t="str">
        <f>HYPERLINK("https://www.chemistwarehouse.com.au/buy/81127/Nature-39-s-Own-Mega-Magnesium-Complex-100-Tablets"," Nature's Own Mega Magnesium Complex 100 Tablets")</f>
        <v xml:space="preserve"> Nature's Own Mega Magnesium Complex 100 Tablets</v>
      </c>
      <c r="C66" t="s">
        <v>55</v>
      </c>
      <c r="D66" t="s">
        <v>56</v>
      </c>
    </row>
    <row r="67" spans="1:4" x14ac:dyDescent="0.25">
      <c r="B67" t="str">
        <f>HYPERLINK("https://www.chemistwarehouse.com.au/buy/74813/Nature-39-s-Own-Celery-Seed-4000mg-30-Capsules"," Nature's Own Celery Seed 4000mg 30 Capsules")</f>
        <v xml:space="preserve"> Nature's Own Celery Seed 4000mg 30 Capsules</v>
      </c>
      <c r="C67" t="s">
        <v>26</v>
      </c>
      <c r="D67" t="s">
        <v>27</v>
      </c>
    </row>
    <row r="68" spans="1:4" x14ac:dyDescent="0.25">
      <c r="B68" t="str">
        <f>HYPERLINK("https://www.chemistwarehouse.com.au/buy/81123/Nature-39-s-Own-Mega-Magnesium-Powder-CoQ10-180g"," Nature's Own Mega Magnesium Powder + CoQ10 180g")</f>
        <v xml:space="preserve"> Nature's Own Mega Magnesium Powder + CoQ10 180g</v>
      </c>
      <c r="C68" t="s">
        <v>49</v>
      </c>
      <c r="D68" t="s">
        <v>50</v>
      </c>
    </row>
    <row r="69" spans="1:4" x14ac:dyDescent="0.25">
      <c r="B69" t="str">
        <f>HYPERLINK("https://www.chemistwarehouse.com.au/buy/64729/Nature-39-s-Own-Vitamin-D3-1000iu-200-Capsules"," Nature's Own Vitamin D3 1000iu 200 Capsules")</f>
        <v xml:space="preserve"> Nature's Own Vitamin D3 1000iu 200 Capsules</v>
      </c>
      <c r="C69" t="s">
        <v>43</v>
      </c>
      <c r="D69" t="s">
        <v>44</v>
      </c>
    </row>
    <row r="70" spans="1:4" x14ac:dyDescent="0.25">
      <c r="B70" t="str">
        <f>HYPERLINK("https://www.chemistwarehouse.com.au/buy/69890/Nature-39-s-Own-Joint-Swelling-Relief-50-Tablets"," Nature's Own Joint Swelling Relief 50 Tablets")</f>
        <v xml:space="preserve"> Nature's Own Joint Swelling Relief 50 Tablets</v>
      </c>
      <c r="C70" t="s">
        <v>14</v>
      </c>
      <c r="D70" t="s">
        <v>15</v>
      </c>
    </row>
    <row r="71" spans="1:4" x14ac:dyDescent="0.25">
      <c r="A71" t="s">
        <v>75</v>
      </c>
    </row>
    <row r="72" spans="1:4" x14ac:dyDescent="0.25">
      <c r="B72" t="str">
        <f>HYPERLINK("https://www.chemistwarehouse.com.au/buy/69893/Nature-39-s-Own-Mega-Krill-Oil-2000mg-30-Capsules"," Nature's Own Mega Krill Oil 2000mg 30 Capsules")</f>
        <v xml:space="preserve"> Nature's Own Mega Krill Oil 2000mg 30 Capsules</v>
      </c>
      <c r="C72" t="s">
        <v>1</v>
      </c>
      <c r="D72" t="s">
        <v>76</v>
      </c>
    </row>
    <row r="73" spans="1:4" x14ac:dyDescent="0.25">
      <c r="B73" t="str">
        <f>HYPERLINK("https://www.chemistwarehouse.com.au/buy/67036/Nature-39-s-Own-Ultra-Krill-Oil-1000mg-30-Capsules"," Nature's Own Ultra Krill Oil 1000mg 30 Capsules")</f>
        <v xml:space="preserve"> Nature's Own Ultra Krill Oil 1000mg 30 Capsules</v>
      </c>
      <c r="C73" t="s">
        <v>77</v>
      </c>
      <c r="D73" t="s">
        <v>78</v>
      </c>
    </row>
    <row r="74" spans="1:4" x14ac:dyDescent="0.25">
      <c r="A74" t="s">
        <v>79</v>
      </c>
    </row>
    <row r="75" spans="1:4" x14ac:dyDescent="0.25">
      <c r="B75" t="str">
        <f>HYPERLINK("https://www.chemistwarehouse.com.au/buy/68027/Nature-39-s-Own-Men-39-s-Multivitamin-Mega-Potency-60-Tablets"," Nature's Own Men's Multivitamin Mega Potency 60 Tablets")</f>
        <v xml:space="preserve"> Nature's Own Men's Multivitamin Mega Potency 60 Tablets</v>
      </c>
      <c r="C75" t="s">
        <v>80</v>
      </c>
      <c r="D75" t="s">
        <v>81</v>
      </c>
    </row>
    <row r="76" spans="1:4" x14ac:dyDescent="0.25">
      <c r="B76" t="str">
        <f>HYPERLINK("https://www.chemistwarehouse.com.au/buy/39932/Nature-39-s-Own-Prostate-Health-30-Capsules"," Nature's Own Prostate Health 30 Capsules")</f>
        <v xml:space="preserve"> Nature's Own Prostate Health 30 Capsules</v>
      </c>
      <c r="C76" t="s">
        <v>21</v>
      </c>
      <c r="D76" t="s">
        <v>22</v>
      </c>
    </row>
    <row r="77" spans="1:4" x14ac:dyDescent="0.25">
      <c r="A77" t="s">
        <v>82</v>
      </c>
    </row>
    <row r="78" spans="1:4" x14ac:dyDescent="0.25">
      <c r="B78" t="str">
        <f>HYPERLINK("https://www.chemistwarehouse.com.au/buy/68029/Nature-39-s-Own-50-Years-Multivitamin-Mega-Potency-60-Tablets"," Nature's Own 50+ Years Multivitamin Mega Potency 60 Tablets")</f>
        <v xml:space="preserve"> Nature's Own 50+ Years Multivitamin Mega Potency 60 Tablets</v>
      </c>
      <c r="C78" t="s">
        <v>80</v>
      </c>
      <c r="D78" t="s">
        <v>81</v>
      </c>
    </row>
    <row r="79" spans="1:4" x14ac:dyDescent="0.25">
      <c r="B79" t="str">
        <f>HYPERLINK("https://www.chemistwarehouse.com.au/buy/51239/Nature-39-s-Own-Multi-Vitamin-Plus-Omega-3-Fish-Oil-150-Capsules"," Nature's Own Multi Vitamin Plus Omega 3 Fish Oil 150 Capsules")</f>
        <v xml:space="preserve"> Nature's Own Multi Vitamin Plus Omega 3 Fish Oil 150 Capsules</v>
      </c>
      <c r="C79" t="s">
        <v>83</v>
      </c>
      <c r="D79" t="s">
        <v>83</v>
      </c>
    </row>
    <row r="80" spans="1:4" x14ac:dyDescent="0.25">
      <c r="A80" t="s">
        <v>84</v>
      </c>
    </row>
    <row r="81" spans="1:4" x14ac:dyDescent="0.25">
      <c r="B81" t="str">
        <f>HYPERLINK("https://www.chemistwarehouse.com.au/buy/76013/Nature-39-s-Own-Complete-Sleep-Advanced-60-Tablets"," Nature's Own Complete Sleep Advanced 60 Tablets")</f>
        <v xml:space="preserve"> Nature's Own Complete Sleep Advanced 60 Tablets</v>
      </c>
      <c r="C81" t="s">
        <v>67</v>
      </c>
      <c r="D81" t="s">
        <v>68</v>
      </c>
    </row>
    <row r="82" spans="1:4" x14ac:dyDescent="0.25">
      <c r="B82" t="str">
        <f>HYPERLINK("https://www.chemistwarehouse.com.au/buy/21031/Nature-39-s-Own-Sleep-Ezy-100-Tablets"," Nature's Own Sleep Ezy 100 Tablets")</f>
        <v xml:space="preserve"> Nature's Own Sleep Ezy 100 Tablets</v>
      </c>
      <c r="C82" t="s">
        <v>85</v>
      </c>
      <c r="D82" t="s">
        <v>86</v>
      </c>
    </row>
    <row r="83" spans="1:4" x14ac:dyDescent="0.25">
      <c r="B83" t="str">
        <f>HYPERLINK("https://www.chemistwarehouse.com.au/buy/77670/Nature-39-s-Own-Valerian-Forte-2000mg-60-Capsules"," Nature's Own Valerian Forte 2000mg 60 Capsules")</f>
        <v xml:space="preserve"> Nature's Own Valerian Forte 2000mg 60 Capsules</v>
      </c>
      <c r="C83" t="s">
        <v>36</v>
      </c>
      <c r="D83" t="s">
        <v>37</v>
      </c>
    </row>
    <row r="84" spans="1:4" x14ac:dyDescent="0.25">
      <c r="B84" t="str">
        <f>HYPERLINK("https://www.chemistwarehouse.com.au/buy/66227/Nature-39-s-Own-Complete-Sleep-Advanced-30-Tablets"," Nature's Own Complete Sleep Advanced 30 Tablets")</f>
        <v xml:space="preserve"> Nature's Own Complete Sleep Advanced 30 Tablets</v>
      </c>
      <c r="C84" t="s">
        <v>19</v>
      </c>
      <c r="D84" t="s">
        <v>20</v>
      </c>
    </row>
    <row r="85" spans="1:4" x14ac:dyDescent="0.25">
      <c r="A85" t="s">
        <v>87</v>
      </c>
    </row>
    <row r="86" spans="1:4" x14ac:dyDescent="0.25">
      <c r="B86" t="str">
        <f>HYPERLINK("https://www.chemistwarehouse.com.au/buy/78540/Nature-39-s-Own-Cranberry-50000mg-90-Capsules"," Nature's Own Cranberry 50000mg 90 Capsules ")</f>
        <v xml:space="preserve"> Nature's Own Cranberry 50000mg 90 Capsules </v>
      </c>
      <c r="C86" t="s">
        <v>67</v>
      </c>
      <c r="D86" t="s">
        <v>68</v>
      </c>
    </row>
    <row r="87" spans="1:4" x14ac:dyDescent="0.25">
      <c r="B87" t="str">
        <f>HYPERLINK("https://www.chemistwarehouse.com.au/buy/69888/Nature-39-s-Own-Biotin-300mcg-100-Tablets"," Nature's Own Biotin 300mcg 100 Tablets")</f>
        <v xml:space="preserve"> Nature's Own Biotin 300mcg 100 Tablets</v>
      </c>
      <c r="C87" t="s">
        <v>88</v>
      </c>
      <c r="D87" t="s">
        <v>89</v>
      </c>
    </row>
    <row r="88" spans="1:4" x14ac:dyDescent="0.25">
      <c r="B88" t="str">
        <f>HYPERLINK("https://www.chemistwarehouse.com.au/buy/68028/Nature-39-s-Own-Women-39-s-Multivitamin-Mega-Potency-60-Tablets"," Nature's Own Women's Multivitamin Mega Potency 60 Tablets")</f>
        <v xml:space="preserve"> Nature's Own Women's Multivitamin Mega Potency 60 Tablets</v>
      </c>
      <c r="C88" t="s">
        <v>80</v>
      </c>
      <c r="D88" t="s">
        <v>81</v>
      </c>
    </row>
    <row r="89" spans="1:4" x14ac:dyDescent="0.25">
      <c r="B89" t="str">
        <f>HYPERLINK("https://www.chemistwarehouse.com.au/buy/68894/Nature-39-s-Own-Hair-Skin-amp-Nails-120-Tablets-Exclusive-Pack"," Nature's Own Hair Skin &amp; Nails 120 Tablets Exclusive Pack")</f>
        <v xml:space="preserve"> Nature's Own Hair Skin &amp; Nails 120 Tablets Exclusive Pack</v>
      </c>
      <c r="C89" t="s">
        <v>45</v>
      </c>
      <c r="D89">
        <v>0</v>
      </c>
    </row>
    <row r="90" spans="1:4" x14ac:dyDescent="0.25">
      <c r="B90" t="str">
        <f>HYPERLINK("https://www.chemistwarehouse.com.au/buy/20968/Nature-39-s-Own-Folic-Acid-500mcg-100-Tablets"," Nature's Own Folic Acid 500mcg 100 Tablets")</f>
        <v xml:space="preserve"> Nature's Own Folic Acid 500mcg 100 Tablets</v>
      </c>
      <c r="C90" t="s">
        <v>90</v>
      </c>
      <c r="D90" t="s">
        <v>90</v>
      </c>
    </row>
    <row r="91" spans="1:4" x14ac:dyDescent="0.25">
      <c r="B91" t="str">
        <f>HYPERLINK("https://www.chemistwarehouse.com.au/buy/21114/Nature-39-s-Own-Evening-Primrose-Oil-1000mg-300-Capsules"," Nature's Own Evening Primrose Oil 1000mg 300 Capsules")</f>
        <v xml:space="preserve"> Nature's Own Evening Primrose Oil 1000mg 300 Capsules</v>
      </c>
      <c r="C91" t="s">
        <v>59</v>
      </c>
      <c r="D91" t="s">
        <v>91</v>
      </c>
    </row>
    <row r="92" spans="1:4" x14ac:dyDescent="0.25">
      <c r="B92" t="str">
        <f>HYPERLINK("https://www.chemistwarehouse.com.au/buy/20832/Nature-39-s-Own-Iron-Plus-50-Tablets"," Nature's Own Iron Plus 50 Tablets")</f>
        <v xml:space="preserve"> Nature's Own Iron Plus 50 Tablets</v>
      </c>
      <c r="C92" t="s">
        <v>92</v>
      </c>
      <c r="D92" t="s">
        <v>93</v>
      </c>
    </row>
    <row r="93" spans="1:4" x14ac:dyDescent="0.25">
      <c r="B93" t="str">
        <f>HYPERLINK("https://www.chemistwarehouse.com.au/buy/21109/Nature-39-s-Own-Vitamin-B6-100mg-60-Tablets"," Nature's Own Vitamin B6 100mg 60 Tablets")</f>
        <v xml:space="preserve"> Nature's Own Vitamin B6 100mg 60 Tablets</v>
      </c>
      <c r="C93" t="s">
        <v>94</v>
      </c>
      <c r="D93" t="s">
        <v>95</v>
      </c>
    </row>
    <row r="94" spans="1:4" x14ac:dyDescent="0.25">
      <c r="B94" t="str">
        <f>HYPERLINK("https://www.chemistwarehouse.com.au/buy/69884/Nature-39-s-Own-Zinc-B6-amp-Magnesium-200-Tablets"," Nature's Own Zinc B6 &amp; Magnesium 200 Tablets")</f>
        <v xml:space="preserve"> Nature's Own Zinc B6 &amp; Magnesium 200 Tablets</v>
      </c>
      <c r="C94" t="s">
        <v>77</v>
      </c>
      <c r="D94" t="s">
        <v>78</v>
      </c>
    </row>
    <row r="95" spans="1:4" x14ac:dyDescent="0.25">
      <c r="B95" t="str">
        <f>HYPERLINK("https://www.chemistwarehouse.com.au/buy/21042/Nature-39-s-Own-Vitamin-B6-200mg-100-Tablets"," Nature's Own Vitamin B6 200mg 100 Tablets")</f>
        <v xml:space="preserve"> Nature's Own Vitamin B6 200mg 100 Tablets</v>
      </c>
      <c r="C95" t="s">
        <v>96</v>
      </c>
      <c r="D95" t="s">
        <v>97</v>
      </c>
    </row>
    <row r="96" spans="1:4" x14ac:dyDescent="0.25">
      <c r="B96" t="str">
        <f>HYPERLINK("https://www.chemistwarehouse.com.au/buy/76103/Nature-39-s-Own-Cranberry-50000mg-30-Capsules"," Nature's Own Cranberry 50000mg 30 Capsules")</f>
        <v xml:space="preserve"> Nature's Own Cranberry 50000mg 30 Capsules</v>
      </c>
      <c r="C96" t="s">
        <v>14</v>
      </c>
      <c r="D96" t="s">
        <v>15</v>
      </c>
    </row>
    <row r="97" spans="1:4" x14ac:dyDescent="0.25">
      <c r="B97" t="str">
        <f>HYPERLINK("https://www.chemistwarehouse.com.au/buy/77671/Nature-39-s-Own-Vitex-Agnus-Castus-1000mg-60-Capsules"," Nature's Own Vitex Agnus Castus 1000mg 60 Capsules")</f>
        <v xml:space="preserve"> Nature's Own Vitex Agnus Castus 1000mg 60 Capsules</v>
      </c>
      <c r="C97" t="s">
        <v>98</v>
      </c>
      <c r="D97" t="s">
        <v>99</v>
      </c>
    </row>
    <row r="98" spans="1:4" x14ac:dyDescent="0.25">
      <c r="B98" t="str">
        <f>HYPERLINK("https://www.chemistwarehouse.com.au/buy/53681/Nature-39-s-Own-Pregnancy-Platinum-Multi-120-Capsules"," Nature's Own Pregnancy Platinum Multi 120 Capsules")</f>
        <v xml:space="preserve"> Nature's Own Pregnancy Platinum Multi 120 Capsules</v>
      </c>
      <c r="C98" t="s">
        <v>100</v>
      </c>
      <c r="D98" t="s">
        <v>101</v>
      </c>
    </row>
    <row r="99" spans="1:4" x14ac:dyDescent="0.25">
      <c r="A99" t="s">
        <v>102</v>
      </c>
    </row>
    <row r="100" spans="1:4" x14ac:dyDescent="0.25">
      <c r="B100" t="str">
        <f>HYPERLINK("https://www.chemistwarehouse.com.au/buy/76244/Barnes-Naturals-Organic-Apple-Cider-Vinegar-with-the-Mother-1000ml"," Barnes Naturals Organic Apple Cider Vinegar with the Mother 1000ml")</f>
        <v xml:space="preserve"> Barnes Naturals Organic Apple Cider Vinegar with the Mother 1000ml</v>
      </c>
      <c r="C100" t="s">
        <v>103</v>
      </c>
      <c r="D100" t="s">
        <v>104</v>
      </c>
    </row>
    <row r="101" spans="1:4" x14ac:dyDescent="0.25">
      <c r="B101" t="str">
        <f>HYPERLINK("https://www.chemistwarehouse.com.au/buy/73989/Barnes-Naturals-Manuka-Honey-5-500g"," Barnes Naturals Manuka Honey 5+ 500g")</f>
        <v xml:space="preserve"> Barnes Naturals Manuka Honey 5+ 500g</v>
      </c>
      <c r="C101" t="s">
        <v>105</v>
      </c>
      <c r="D101" t="s">
        <v>106</v>
      </c>
    </row>
    <row r="102" spans="1:4" x14ac:dyDescent="0.25">
      <c r="B102" t="str">
        <f>HYPERLINK("https://www.chemistwarehouse.com.au/buy/80641/Capilano-Beeotic-Prebiotic-Honey-260ml"," Capilano Beeotic Prebiotic Honey 260ml")</f>
        <v xml:space="preserve"> Capilano Beeotic Prebiotic Honey 260ml</v>
      </c>
      <c r="C102" t="s">
        <v>107</v>
      </c>
      <c r="D102" t="s">
        <v>108</v>
      </c>
    </row>
    <row r="103" spans="1:4" x14ac:dyDescent="0.25">
      <c r="B103" t="str">
        <f>HYPERLINK("https://www.chemistwarehouse.com.au/buy/73985/Barnes-Naturals-Manuka-Honey-10-500g"," Barnes Naturals Manuka Honey 10+ 500g")</f>
        <v xml:space="preserve"> Barnes Naturals Manuka Honey 10+ 500g</v>
      </c>
      <c r="C103" t="s">
        <v>109</v>
      </c>
      <c r="D103" t="s">
        <v>110</v>
      </c>
    </row>
    <row r="104" spans="1:4" x14ac:dyDescent="0.25">
      <c r="B104" t="str">
        <f>HYPERLINK("https://www.chemistwarehouse.com.au/buy/73986/Barnes-Naturals-Manuka-Honey-15-250g"," Barnes Naturals Manuka Honey 15+ 250g")</f>
        <v xml:space="preserve"> Barnes Naturals Manuka Honey 15+ 250g</v>
      </c>
      <c r="C104" t="s">
        <v>111</v>
      </c>
      <c r="D104" t="s">
        <v>112</v>
      </c>
    </row>
    <row r="105" spans="1:4" x14ac:dyDescent="0.25">
      <c r="B105" t="str">
        <f>HYPERLINK("https://www.chemistwarehouse.com.au/buy/73987/Barnes-Naturals-Manuka-Honey-15-500g"," Barnes Naturals Manuka Honey 15+ 500g")</f>
        <v xml:space="preserve"> Barnes Naturals Manuka Honey 15+ 500g</v>
      </c>
      <c r="C105" t="s">
        <v>113</v>
      </c>
      <c r="D105" t="s">
        <v>114</v>
      </c>
    </row>
    <row r="106" spans="1:4" x14ac:dyDescent="0.25">
      <c r="B106" t="str">
        <f>HYPERLINK("https://www.chemistwarehouse.com.au/buy/73988/Barnes-Naturals-Manuka-Honey-5-250g"," Barnes Naturals Manuka Honey 5+ 250g")</f>
        <v xml:space="preserve"> Barnes Naturals Manuka Honey 5+ 250g</v>
      </c>
      <c r="C106" t="s">
        <v>80</v>
      </c>
      <c r="D106" t="s">
        <v>115</v>
      </c>
    </row>
    <row r="107" spans="1:4" x14ac:dyDescent="0.25">
      <c r="B107" t="str">
        <f>HYPERLINK("https://www.chemistwarehouse.com.au/buy/73981/Barnes-Naturals-Organc-Apple-Cider-Vinegar-with-the-Mother-and-Honey-500ml"," Barnes Naturals  Organc  Apple Cider Vinegar with the Mother and Honey 500ml")</f>
        <v xml:space="preserve"> Barnes Naturals  Organc  Apple Cider Vinegar with the Mother and Honey 500ml</v>
      </c>
      <c r="C107" t="s">
        <v>116</v>
      </c>
      <c r="D107" t="s">
        <v>104</v>
      </c>
    </row>
    <row r="108" spans="1:4" x14ac:dyDescent="0.25">
      <c r="B108" t="str">
        <f>HYPERLINK("https://www.chemistwarehouse.com.au/buy/73982/Barnes-Naturals-Jarrah-TA-10-250g"," Barnes Naturals Jarrah TA 10+ 250g")</f>
        <v xml:space="preserve"> Barnes Naturals Jarrah TA 10+ 250g</v>
      </c>
      <c r="C108" t="s">
        <v>45</v>
      </c>
      <c r="D108" t="s">
        <v>115</v>
      </c>
    </row>
    <row r="109" spans="1:4" x14ac:dyDescent="0.25">
      <c r="B109" t="str">
        <f>HYPERLINK("https://www.chemistwarehouse.com.au/buy/73983/Barnes-Naturals-Jarrah-TA-10-500g"," Barnes Naturals Jarrah TA 10+ 500g")</f>
        <v xml:space="preserve"> Barnes Naturals Jarrah TA 10+ 500g</v>
      </c>
      <c r="C109" t="s">
        <v>61</v>
      </c>
      <c r="D109" t="s">
        <v>64</v>
      </c>
    </row>
    <row r="110" spans="1:4" x14ac:dyDescent="0.25">
      <c r="B110" t="str">
        <f>HYPERLINK("https://www.chemistwarehouse.com.au/buy/73984/Barnes-Naturals-Manuka-Honey-10-250g"," Barnes Naturals Manuka Honey 10+ 250g")</f>
        <v xml:space="preserve"> Barnes Naturals Manuka Honey 10+ 250g</v>
      </c>
      <c r="C110" t="s">
        <v>117</v>
      </c>
      <c r="D110" t="s">
        <v>118</v>
      </c>
    </row>
    <row r="111" spans="1:4" x14ac:dyDescent="0.25">
      <c r="B111" t="str">
        <f>HYPERLINK("https://www.chemistwarehouse.com.au/buy/80642/Capilano-Beeotic-Prebiotic-Honey-350ml"," Capilano Beeotic Prebiotic Honey 350ml")</f>
        <v xml:space="preserve"> Capilano Beeotic Prebiotic Honey 350ml</v>
      </c>
      <c r="C111" t="s">
        <v>80</v>
      </c>
      <c r="D111" t="s">
        <v>119</v>
      </c>
    </row>
    <row r="112" spans="1:4" x14ac:dyDescent="0.25">
      <c r="B112" t="str">
        <f>HYPERLINK("https://www.chemistwarehouse.com.au/buy/73990/Barnes-Naturals-Organic-Apple-Cider-Vinegar-with-the-Mother-500ml"," Barnes Naturals Organic Apple Cider Vinegar with the Mother 500ml")</f>
        <v xml:space="preserve"> Barnes Naturals Organic Apple Cider Vinegar with the Mother 500ml</v>
      </c>
      <c r="C112" t="s">
        <v>120</v>
      </c>
      <c r="D112" t="s">
        <v>121</v>
      </c>
    </row>
    <row r="113" spans="1:4" x14ac:dyDescent="0.25">
      <c r="B113" t="str">
        <f>HYPERLINK("https://www.chemistwarehouse.com.au/buy/80640/Barnes-Naturals-Apple-Cider-Vinegar-with-Manuka-5-500ml"," Barnes Naturals Apple Cider Vinegar with Manuka 5+ 500ml")</f>
        <v xml:space="preserve"> Barnes Naturals Apple Cider Vinegar with Manuka 5+ 500ml</v>
      </c>
      <c r="C113" t="s">
        <v>107</v>
      </c>
      <c r="D113" t="s">
        <v>108</v>
      </c>
    </row>
    <row r="114" spans="1:4" x14ac:dyDescent="0.25">
      <c r="A114" t="s">
        <v>122</v>
      </c>
    </row>
    <row r="115" spans="1:4" x14ac:dyDescent="0.25">
      <c r="B115" t="str">
        <f>HYPERLINK("https://www.chemistwarehouse.com.au/buy/51767/Bio-Organics-Glucosamine-Sulfate-Complex-1000mg-320-Capsules"," Bio-Organics Glucosamine Sulfate Complex 1000mg 320 Capsules")</f>
        <v xml:space="preserve"> Bio-Organics Glucosamine Sulfate Complex 1000mg 320 Capsules</v>
      </c>
      <c r="C115" t="s">
        <v>123</v>
      </c>
      <c r="D115" t="s">
        <v>124</v>
      </c>
    </row>
    <row r="116" spans="1:4" x14ac:dyDescent="0.25">
      <c r="B116" t="str">
        <f>HYPERLINK("https://www.chemistwarehouse.com.au/buy/66557/Bio-Organics-Glucosamine-Forte-1500mg-Tablets-20-Extra-240-Tablets"," Bio-Organics Glucosamine Forte 1500mg Tablets 20% Extra 240 Tablets")</f>
        <v xml:space="preserve"> Bio-Organics Glucosamine Forte 1500mg Tablets 20% Extra 240 Tablets</v>
      </c>
      <c r="C116" t="s">
        <v>125</v>
      </c>
      <c r="D116">
        <v>0</v>
      </c>
    </row>
    <row r="117" spans="1:4" x14ac:dyDescent="0.25">
      <c r="B117" t="str">
        <f>HYPERLINK("https://www.chemistwarehouse.com.au/buy/67392/Bio-Organics-Krill-Oil-Glucosamine-60-Capsules"," Bio-Organics Krill Oil + Glucosamine 60 Capsules")</f>
        <v xml:space="preserve"> Bio-Organics Krill Oil + Glucosamine 60 Capsules</v>
      </c>
      <c r="C117" t="s">
        <v>126</v>
      </c>
      <c r="D117" t="s">
        <v>127</v>
      </c>
    </row>
    <row r="118" spans="1:4" x14ac:dyDescent="0.25">
      <c r="B118" t="str">
        <f>HYPERLINK("https://www.chemistwarehouse.com.au/buy/66556/Bio-Organics-Glucosamine-750mg-and-Chondroitin-400mg-180-Tablets"," Bio-Organics Glucosamine 750mg and Chondroitin 400mg 180 Tablets")</f>
        <v xml:space="preserve"> Bio-Organics Glucosamine 750mg and Chondroitin 400mg 180 Tablets</v>
      </c>
      <c r="C118" t="s">
        <v>6</v>
      </c>
      <c r="D118">
        <v>0</v>
      </c>
    </row>
    <row r="119" spans="1:4" x14ac:dyDescent="0.25">
      <c r="B119" t="str">
        <f>HYPERLINK("https://www.chemistwarehouse.com.au/buy/43238/Bio-Organics-Glucosamine-Rapid-Cream-100g"," Bio-Organics Glucosamine Rapid Cream 100g")</f>
        <v xml:space="preserve"> Bio-Organics Glucosamine Rapid Cream 100g</v>
      </c>
      <c r="C119" t="s">
        <v>128</v>
      </c>
      <c r="D119" t="s">
        <v>129</v>
      </c>
    </row>
    <row r="120" spans="1:4" x14ac:dyDescent="0.25">
      <c r="A120" t="s">
        <v>130</v>
      </c>
    </row>
    <row r="121" spans="1:4" x14ac:dyDescent="0.25">
      <c r="B121" t="str">
        <f>HYPERLINK("https://www.chemistwarehouse.com.au/buy/53988/Bio-Organics-Brahmi-6000-Optimal-40-Capsules"," Bio-Organics Brahmi 6000 Optimal 40 Capsules")</f>
        <v xml:space="preserve"> Bio-Organics Brahmi 6000 Optimal 40 Capsules</v>
      </c>
      <c r="C121" t="s">
        <v>96</v>
      </c>
      <c r="D121" t="s">
        <v>97</v>
      </c>
    </row>
    <row r="122" spans="1:4" x14ac:dyDescent="0.25">
      <c r="A122" t="s">
        <v>131</v>
      </c>
    </row>
    <row r="123" spans="1:4" x14ac:dyDescent="0.25">
      <c r="B123" t="str">
        <f>HYPERLINK("https://www.chemistwarehouse.com.au/buy/66555/Bio-Organics-CoQ10-150mg-Optimal-60-Capsules"," Bio-Organics CoQ10 150mg Optimal 60 Capsules")</f>
        <v xml:space="preserve"> Bio-Organics CoQ10 150mg Optimal 60 Capsules</v>
      </c>
      <c r="C123" t="s">
        <v>132</v>
      </c>
      <c r="D123" t="s">
        <v>133</v>
      </c>
    </row>
    <row r="124" spans="1:4" x14ac:dyDescent="0.25">
      <c r="B124" t="str">
        <f>HYPERLINK("https://www.chemistwarehouse.com.au/buy/52998/Bio-Organics-CoQ10-150mg-Optimal-30-Capsules"," Bio-Organics CoQ10 150mg Optimal 30 Capsules")</f>
        <v xml:space="preserve"> Bio-Organics CoQ10 150mg Optimal 30 Capsules</v>
      </c>
      <c r="C124" t="s">
        <v>19</v>
      </c>
      <c r="D124" t="s">
        <v>20</v>
      </c>
    </row>
    <row r="125" spans="1:4" x14ac:dyDescent="0.25">
      <c r="A125" t="s">
        <v>134</v>
      </c>
    </row>
    <row r="126" spans="1:4" x14ac:dyDescent="0.25">
      <c r="B126" t="str">
        <f>HYPERLINK("https://www.chemistwarehouse.com.au/buy/55660/Bio-Organics-Magnesium-Forte-100-Tablets"," Bio-Organics Magnesium Forte 100 Tablets")</f>
        <v xml:space="preserve"> Bio-Organics Magnesium Forte 100 Tablets</v>
      </c>
      <c r="C126" t="s">
        <v>135</v>
      </c>
      <c r="D126" t="s">
        <v>136</v>
      </c>
    </row>
    <row r="127" spans="1:4" x14ac:dyDescent="0.25">
      <c r="B127" t="str">
        <f>HYPERLINK("https://www.chemistwarehouse.com.au/buy/55228/Bio-Organics-Calcium-600-Vitamin-D3-400-120-Tablets"," Bio-Organics Calcium 600 + Vitamin D3 400 120 Tablets")</f>
        <v xml:space="preserve"> Bio-Organics Calcium 600 + Vitamin D3 400 120 Tablets</v>
      </c>
      <c r="C127" t="s">
        <v>54</v>
      </c>
      <c r="D127" t="s">
        <v>54</v>
      </c>
    </row>
    <row r="128" spans="1:4" x14ac:dyDescent="0.25">
      <c r="B128" t="str">
        <f>HYPERLINK("https://www.chemistwarehouse.com.au/buy/55037/Bio-Organics-Vitamin-D3-1000iu-120-Tablets"," Bio-Organics Vitamin D3 1000iu 120 Tablets")</f>
        <v xml:space="preserve"> Bio-Organics Vitamin D3 1000iu 120 Tablets</v>
      </c>
      <c r="C128" t="s">
        <v>41</v>
      </c>
      <c r="D128" t="s">
        <v>42</v>
      </c>
    </row>
    <row r="129" spans="1:4" x14ac:dyDescent="0.25">
      <c r="B129" t="str">
        <f>HYPERLINK("https://www.chemistwarehouse.com.au/buy/67202/Bio-Organics-Magnesium-Forte-Powder-with-CoQ10-and-B-Vitamins-200g"," Bio-Organics Magnesium Forte Powder with CoQ10 and B Vitamins 200g")</f>
        <v xml:space="preserve"> Bio-Organics Magnesium Forte Powder with CoQ10 and B Vitamins 200g</v>
      </c>
      <c r="C129" t="s">
        <v>67</v>
      </c>
      <c r="D129" t="s">
        <v>68</v>
      </c>
    </row>
    <row r="130" spans="1:4" x14ac:dyDescent="0.25">
      <c r="A130" t="s">
        <v>137</v>
      </c>
    </row>
    <row r="131" spans="1:4" x14ac:dyDescent="0.25">
      <c r="B131" t="str">
        <f>HYPERLINK("https://www.chemistwarehouse.com.au/buy/44645/Bio-Organics-Tribulus-Max-10,000mg-50-Capsules"," Bio-Organics Tribulus Max 10,000mg 50 Capsules")</f>
        <v xml:space="preserve"> Bio-Organics Tribulus Max 10,000mg 50 Capsules</v>
      </c>
      <c r="C131" t="s">
        <v>36</v>
      </c>
      <c r="D131" t="s">
        <v>37</v>
      </c>
    </row>
    <row r="132" spans="1:4" x14ac:dyDescent="0.25">
      <c r="A132" t="s">
        <v>138</v>
      </c>
    </row>
    <row r="133" spans="1:4" x14ac:dyDescent="0.25">
      <c r="B133" t="str">
        <f>HYPERLINK("https://www.chemistwarehouse.com.au/buy/52952/Bio-Organics-Cranberry-10000mg-150-Capsules"," Bio-Organics Cranberry 10000mg 150 Capsules")</f>
        <v xml:space="preserve"> Bio-Organics Cranberry 10000mg 150 Capsules</v>
      </c>
      <c r="C133" t="s">
        <v>139</v>
      </c>
      <c r="D133" t="s">
        <v>139</v>
      </c>
    </row>
    <row r="134" spans="1:4" x14ac:dyDescent="0.25">
      <c r="B134" t="str">
        <f>HYPERLINK("https://www.chemistwarehouse.com.au/buy/76014/Bio-Organics-Mega-Cranberry-MAX-50000-60-Capsules"," Bio-Organics Mega Cranberry MAX 50000 60 Capsules")</f>
        <v xml:space="preserve"> Bio-Organics Mega Cranberry MAX 50000 60 Capsules</v>
      </c>
      <c r="C134" t="s">
        <v>24</v>
      </c>
      <c r="D134" t="s">
        <v>25</v>
      </c>
    </row>
    <row r="135" spans="1:4" x14ac:dyDescent="0.25">
      <c r="B135" t="str">
        <f>HYPERLINK("https://www.chemistwarehouse.com.au/buy/53682/Bio-Organics-Cranberry-MAX-20000mg-100-Tablets"," Bio-Organics Cranberry MAX 20000mg 100 Tablets")</f>
        <v xml:space="preserve"> Bio-Organics Cranberry MAX 20000mg 100 Tablets</v>
      </c>
      <c r="C135" t="s">
        <v>140</v>
      </c>
      <c r="D135" t="s">
        <v>141</v>
      </c>
    </row>
    <row r="136" spans="1:4" x14ac:dyDescent="0.25">
      <c r="B136" t="str">
        <f>HYPERLINK("https://www.chemistwarehouse.com.au/buy/48072/Bio-Organics-Cranberry-10000-90-Capsules"," Bio-Organics Cranberry 10000+ 90 Capsules")</f>
        <v xml:space="preserve"> Bio-Organics Cranberry 10000+ 90 Capsules</v>
      </c>
      <c r="C136" t="s">
        <v>67</v>
      </c>
      <c r="D136" t="s">
        <v>68</v>
      </c>
    </row>
    <row r="137" spans="1:4" x14ac:dyDescent="0.25">
      <c r="B137" t="str">
        <f>HYPERLINK("https://www.chemistwarehouse.com.au/buy/51864/Bio-Organics-Cranberry-MAX-20000mg-60-Tablets"," Bio-Organics Cranberry MAX 20000mg 60 Tablets")</f>
        <v xml:space="preserve"> Bio-Organics Cranberry MAX 20000mg 60 Tablets</v>
      </c>
      <c r="C137" t="s">
        <v>142</v>
      </c>
      <c r="D137" t="s">
        <v>143</v>
      </c>
    </row>
    <row r="138" spans="1:4" x14ac:dyDescent="0.25">
      <c r="A138" t="s">
        <v>144</v>
      </c>
    </row>
    <row r="139" spans="1:4" x14ac:dyDescent="0.25">
      <c r="B139" t="str">
        <f>HYPERLINK("https://www.chemistwarehouse.com.au/buy/81130/Bio-Organics-Glycemix-Foot-and-Heal-Balm-100ml"," Bio-Organics Glycemix Foot and Heal Balm 100ml")</f>
        <v xml:space="preserve"> Bio-Organics Glycemix Foot and Heal Balm 100ml</v>
      </c>
      <c r="C139" t="s">
        <v>98</v>
      </c>
      <c r="D139" t="s">
        <v>145</v>
      </c>
    </row>
    <row r="140" spans="1:4" x14ac:dyDescent="0.25">
      <c r="B140" t="str">
        <f>HYPERLINK("https://www.chemistwarehouse.com.au/buy/81131/Bio-Organics-Glycemix-Glucose-Rapid-30-Chewable-Tablets"," Bio-Organics Glycemix Glucose Rapid 30 Chewable Tablets")</f>
        <v xml:space="preserve"> Bio-Organics Glycemix Glucose Rapid 30 Chewable Tablets</v>
      </c>
      <c r="C140" t="s">
        <v>146</v>
      </c>
      <c r="D140" t="s">
        <v>147</v>
      </c>
    </row>
    <row r="141" spans="1:4" x14ac:dyDescent="0.25">
      <c r="B141" t="str">
        <f>HYPERLINK("https://www.chemistwarehouse.com.au/buy/81132/Bio-Organics-Glycemix-Glucose-Balance-60-Capsules"," Bio-Organics Glycemix Glucose Balance 60 Capsules")</f>
        <v xml:space="preserve"> Bio-Organics Glycemix Glucose Balance 60 Capsules</v>
      </c>
      <c r="C141" t="s">
        <v>148</v>
      </c>
      <c r="D141" t="s">
        <v>149</v>
      </c>
    </row>
    <row r="142" spans="1:4" x14ac:dyDescent="0.25">
      <c r="B142" t="str">
        <f>HYPERLINK("https://www.chemistwarehouse.com.au/buy/81133/Bio-Organics-Glycemix-Wound-Gel-50gm"," Bio Organics Glycemix Wound Gel (50gm)")</f>
        <v xml:space="preserve"> Bio Organics Glycemix Wound Gel (50gm)</v>
      </c>
      <c r="C142" t="s">
        <v>32</v>
      </c>
      <c r="D142" t="s">
        <v>150</v>
      </c>
    </row>
    <row r="143" spans="1:4" x14ac:dyDescent="0.25">
      <c r="B143" t="str">
        <f>HYPERLINK("https://www.chemistwarehouse.com.au/buy/81135/Bio-Oganics-Glycemix-Neuropad-Test-Patches"," Bio Oganics Glycemix Neuropad Test Patches")</f>
        <v xml:space="preserve"> Bio Oganics Glycemix Neuropad Test Patches</v>
      </c>
      <c r="C143" t="s">
        <v>151</v>
      </c>
      <c r="D143" t="s">
        <v>152</v>
      </c>
    </row>
    <row r="144" spans="1:4" x14ac:dyDescent="0.25">
      <c r="B144" t="str">
        <f>HYPERLINK("https://www.chemistwarehouse.com.au/buy/81136/Bio-Organics-Glycemix-Vision-Defence-60-Capsules"," Bio-Organics Glycemix Vision Defence 60 Capsules")</f>
        <v xml:space="preserve"> Bio-Organics Glycemix Vision Defence 60 Capsules</v>
      </c>
      <c r="C144" t="s">
        <v>153</v>
      </c>
      <c r="D144" t="s">
        <v>154</v>
      </c>
    </row>
    <row r="145" spans="1:4" x14ac:dyDescent="0.25">
      <c r="B145" t="str">
        <f>HYPERLINK("https://www.chemistwarehouse.com.au/buy/81129/Bio-Organics-Glycemix-CoQ10-Alpha-Lipoic-Acid-60-Soft-Capsules"," Bio-Organics Glycemix CoQ10 + Alpha Lipoic Acid 60 Soft Capsules")</f>
        <v xml:space="preserve"> Bio-Organics Glycemix CoQ10 + Alpha Lipoic Acid 60 Soft Capsules</v>
      </c>
      <c r="C145" t="s">
        <v>153</v>
      </c>
      <c r="D145" t="s">
        <v>154</v>
      </c>
    </row>
    <row r="146" spans="1:4" x14ac:dyDescent="0.25">
      <c r="B146" t="str">
        <f>HYPERLINK("https://www.chemistwarehouse.com.au/buy/81134/Bio-Organics-Glycemix-Metabolic-Multi-60-Tablets"," Bio-Organics Glycemix Metabolic Multi 60 Tablets")</f>
        <v xml:space="preserve"> Bio-Organics Glycemix Metabolic Multi 60 Tablets</v>
      </c>
      <c r="C146" t="s">
        <v>63</v>
      </c>
      <c r="D146" t="s">
        <v>155</v>
      </c>
    </row>
    <row r="147" spans="1:4" x14ac:dyDescent="0.25">
      <c r="A147" t="s">
        <v>156</v>
      </c>
    </row>
    <row r="148" spans="1:4" x14ac:dyDescent="0.25">
      <c r="B148" t="str">
        <f>HYPERLINK("https://www.chemistwarehouse.com.au/buy/75444/Bio-Island-Milk-Calcium-90-Capsules"," Bio Island Milk Calcium 90 Capsules")</f>
        <v xml:space="preserve"> Bio Island Milk Calcium 90 Capsules</v>
      </c>
      <c r="C148" t="s">
        <v>1</v>
      </c>
      <c r="D148" t="s">
        <v>157</v>
      </c>
    </row>
    <row r="149" spans="1:4" x14ac:dyDescent="0.25">
      <c r="B149" t="str">
        <f>HYPERLINK("https://www.chemistwarehouse.com.au/buy/75441/Bio-Island-DHA-60-Capsules"," Bio Island DHA 60 Capsules")</f>
        <v xml:space="preserve"> Bio Island DHA 60 Capsules</v>
      </c>
      <c r="C149" t="s">
        <v>8</v>
      </c>
      <c r="D149" t="s">
        <v>150</v>
      </c>
    </row>
    <row r="150" spans="1:4" x14ac:dyDescent="0.25">
      <c r="B150" t="str">
        <f>HYPERLINK("https://www.chemistwarehouse.com.au/buy/75439/Bio-Island-Cod-Liver-Fish-Oil-90-Capsules"," Bio Island Cod Liver + Fish Oil 90 Capsules")</f>
        <v xml:space="preserve"> Bio Island Cod Liver + Fish Oil 90 Capsules</v>
      </c>
      <c r="C150" t="s">
        <v>1</v>
      </c>
      <c r="D150" t="s">
        <v>157</v>
      </c>
    </row>
    <row r="151" spans="1:4" x14ac:dyDescent="0.25">
      <c r="B151" t="str">
        <f>HYPERLINK("https://www.chemistwarehouse.com.au/buy/75447/Bio-Island-Zinc-120-Chewable-Tablets"," Bio Island Zinc 120 Chewable Tablets")</f>
        <v xml:space="preserve"> Bio Island Zinc 120 Chewable Tablets</v>
      </c>
      <c r="C151" t="s">
        <v>61</v>
      </c>
      <c r="D151" t="s">
        <v>158</v>
      </c>
    </row>
    <row r="152" spans="1:4" x14ac:dyDescent="0.25">
      <c r="B152" t="str">
        <f>HYPERLINK("https://www.chemistwarehouse.com.au/buy/75772/Bio-Island-DHA-for-Pregnancy-60-Softgel-Capsules"," Bio Island DHA for Pregnancy 60 Softgel Capsules")</f>
        <v xml:space="preserve"> Bio Island DHA for Pregnancy 60 Softgel Capsules</v>
      </c>
      <c r="C152" t="s">
        <v>10</v>
      </c>
      <c r="D152" t="s">
        <v>159</v>
      </c>
    </row>
    <row r="153" spans="1:4" x14ac:dyDescent="0.25">
      <c r="B153" t="str">
        <f>HYPERLINK("https://www.chemistwarehouse.com.au/buy/78228/Bio-Island-Kangaroo-Essence-50000-90-Vege-Capsules"," Bio Island Kangaroo Essence 50000 90 Vege Capsules")</f>
        <v xml:space="preserve"> Bio Island Kangaroo Essence 50000 90 Vege Capsules</v>
      </c>
      <c r="C153" t="s">
        <v>8</v>
      </c>
      <c r="D153" t="s">
        <v>160</v>
      </c>
    </row>
    <row r="154" spans="1:4" x14ac:dyDescent="0.25">
      <c r="B154" t="str">
        <f>HYPERLINK("https://www.chemistwarehouse.com.au/buy/78953/Bio-Island-Lysine-Step-Up-for-Youth-90-Chewable-Tablets"," Bio Island Lysine Step Up for Youth 90 Chewable Tablets")</f>
        <v xml:space="preserve"> Bio Island Lysine Step Up for Youth 90 Chewable Tablets</v>
      </c>
      <c r="C154" t="s">
        <v>10</v>
      </c>
      <c r="D154" t="s">
        <v>147</v>
      </c>
    </row>
    <row r="155" spans="1:4" x14ac:dyDescent="0.25">
      <c r="B155" t="str">
        <f>HYPERLINK("https://www.chemistwarehouse.com.au/buy/75773/Bio-Island-Extra-Strength-Collagen-plus-Grape-Seed-Extract-60-Capsules"," Bio Island Extra Strength Collagen plus Grape Seed Extract 60 Capsules ")</f>
        <v xml:space="preserve"> Bio Island Extra Strength Collagen plus Grape Seed Extract 60 Capsules </v>
      </c>
      <c r="C155" t="s">
        <v>161</v>
      </c>
      <c r="D155" t="s">
        <v>162</v>
      </c>
    </row>
    <row r="156" spans="1:4" x14ac:dyDescent="0.25">
      <c r="B156" t="str">
        <f>HYPERLINK("https://www.chemistwarehouse.com.au/buy/78272/Bio-Island-Milk-Calcium-Bone-Care-300-Softgel-Capsules"," Bio Island Milk Calcium Bone Care 300 Softgel Capsules")</f>
        <v xml:space="preserve"> Bio Island Milk Calcium Bone Care 300 Softgel Capsules</v>
      </c>
      <c r="C156" t="s">
        <v>163</v>
      </c>
      <c r="D156" t="s">
        <v>164</v>
      </c>
    </row>
    <row r="157" spans="1:4" x14ac:dyDescent="0.25">
      <c r="B157" t="str">
        <f>HYPERLINK("https://www.chemistwarehouse.com.au/buy/79522/Bio-Island-Lysine-Starter-for-Kids-150g-Oral-Powder"," Bio Island Lysine Starter for Kids 150g Oral Powder")</f>
        <v xml:space="preserve"> Bio Island Lysine Starter for Kids 150g Oral Powder</v>
      </c>
      <c r="C157" t="s">
        <v>125</v>
      </c>
      <c r="D157" t="s">
        <v>165</v>
      </c>
    </row>
    <row r="158" spans="1:4" x14ac:dyDescent="0.25">
      <c r="B158" t="str">
        <f>HYPERLINK("https://www.chemistwarehouse.com.au/buy/78274/Bio-Island-Eyesight-Support"," Bio Island Eyesight Support")</f>
        <v xml:space="preserve"> Bio Island Eyesight Support</v>
      </c>
      <c r="C158" t="s">
        <v>166</v>
      </c>
      <c r="D158" t="s">
        <v>167</v>
      </c>
    </row>
    <row r="159" spans="1:4" x14ac:dyDescent="0.25">
      <c r="B159" t="str">
        <f>HYPERLINK("https://www.chemistwarehouse.com.au/buy/78790/Bio-Island-Emu-Oil-1000-200-Softgel-Capsules"," Bio Island Emu Oil 1000 200 Softgel Capsules")</f>
        <v xml:space="preserve"> Bio Island Emu Oil 1000 200 Softgel Capsules</v>
      </c>
      <c r="C159" t="s">
        <v>168</v>
      </c>
      <c r="D159" t="s">
        <v>169</v>
      </c>
    </row>
    <row r="160" spans="1:4" x14ac:dyDescent="0.25">
      <c r="B160" t="str">
        <f>HYPERLINK("https://www.chemistwarehouse.com.au/buy/79523/Bio-Island-Super-C-Chews-200-Chewable-Tablets"," Bio Island Super C Chews 200 Chewable Tablets")</f>
        <v xml:space="preserve"> Bio Island Super C Chews 200 Chewable Tablets</v>
      </c>
      <c r="C160" t="s">
        <v>125</v>
      </c>
      <c r="D160" t="s">
        <v>165</v>
      </c>
    </row>
    <row r="161" spans="1:4" x14ac:dyDescent="0.25">
      <c r="B161" t="str">
        <f>HYPERLINK("https://www.chemistwarehouse.com.au/buy/79524/Bio-Island-Liver-Care-amp-Detox-200-Vege-Capsules"," Bio Island Liver Care &amp; Detox 200 Vege Capsules")</f>
        <v xml:space="preserve"> Bio Island Liver Care &amp; Detox 200 Vege Capsules</v>
      </c>
      <c r="C161" t="s">
        <v>163</v>
      </c>
      <c r="D161" t="s">
        <v>164</v>
      </c>
    </row>
    <row r="162" spans="1:4" x14ac:dyDescent="0.25">
      <c r="B162" t="str">
        <f>HYPERLINK("https://www.chemistwarehouse.com.au/buy/80318/Bio-Island-Cherry-Fizz-Multi-For-Kids-Twin-Pack-40-Tablets"," Bio Island Cherry Fizz Multi For Kids Twin Pack 40 Tablets")</f>
        <v xml:space="preserve"> Bio Island Cherry Fizz Multi For Kids Twin Pack 40 Tablets</v>
      </c>
      <c r="C162" t="s">
        <v>1</v>
      </c>
      <c r="D162" t="s">
        <v>165</v>
      </c>
    </row>
    <row r="163" spans="1:4" x14ac:dyDescent="0.25">
      <c r="B163" t="str">
        <f>HYPERLINK("https://www.chemistwarehouse.com.au/buy/78273/Bio-Island-Immune-Protect-Propolis-400-Capsules"," Bio Island Immune Protect Propolis 400 Capsules")</f>
        <v xml:space="preserve"> Bio Island Immune Protect Propolis 400 Capsules</v>
      </c>
      <c r="C163" t="s">
        <v>166</v>
      </c>
      <c r="D163" t="s">
        <v>167</v>
      </c>
    </row>
    <row r="164" spans="1:4" x14ac:dyDescent="0.25">
      <c r="A164" t="s">
        <v>170</v>
      </c>
    </row>
    <row r="165" spans="1:4" x14ac:dyDescent="0.25">
      <c r="B165" t="str">
        <f>HYPERLINK("https://www.chemistwarehouse.com.au/buy/55322/Cenovis-Mega-Calcium-200-Tablets-Value-Pack"," Cenovis Mega Calcium 200 Tablets Value Pack")</f>
        <v xml:space="preserve"> Cenovis Mega Calcium 200 Tablets Value Pack</v>
      </c>
      <c r="C165" t="s">
        <v>14</v>
      </c>
      <c r="D165" t="s">
        <v>15</v>
      </c>
    </row>
    <row r="166" spans="1:4" x14ac:dyDescent="0.25">
      <c r="B166" t="str">
        <f>HYPERLINK("https://www.chemistwarehouse.com.au/buy/67393/Cenovis-Krill-Oil-Glucosamine-60-Capsules"," Cenovis Krill Oil + Glucosamine 60 Capsules")</f>
        <v xml:space="preserve"> Cenovis Krill Oil + Glucosamine 60 Capsules</v>
      </c>
      <c r="C166" t="s">
        <v>17</v>
      </c>
      <c r="D166" t="s">
        <v>18</v>
      </c>
    </row>
    <row r="167" spans="1:4" x14ac:dyDescent="0.25">
      <c r="B167" t="str">
        <f>HYPERLINK("https://www.chemistwarehouse.com.au/buy/76104/Cenovis-Tumeric-3100-80-Capsules"," Cenovis Tumeric 3100 80 Capsules")</f>
        <v xml:space="preserve"> Cenovis Tumeric 3100 80 Capsules</v>
      </c>
      <c r="C167" t="s">
        <v>14</v>
      </c>
      <c r="D167" t="s">
        <v>15</v>
      </c>
    </row>
    <row r="168" spans="1:4" x14ac:dyDescent="0.25">
      <c r="B168" t="str">
        <f>HYPERLINK("https://www.chemistwarehouse.com.au/buy/69781/Cenovis-Magnesium-Value-Pack-250-Tablets-Exclusive"," Cenovis Magnesium Value Pack 250 Tablets Exclusive ")</f>
        <v xml:space="preserve"> Cenovis Magnesium Value Pack 250 Tablets Exclusive </v>
      </c>
      <c r="C168" t="s">
        <v>58</v>
      </c>
      <c r="D168">
        <v>0</v>
      </c>
    </row>
    <row r="169" spans="1:4" x14ac:dyDescent="0.25">
      <c r="B169" t="str">
        <f>HYPERLINK("https://www.chemistwarehouse.com.au/buy/76101/Cenovis-Vitamin-D3-1000IU-400-Tablets-Exclusive"," Cenovis Vitamin D3 1000IU 400 Tablets Exclusive")</f>
        <v xml:space="preserve"> Cenovis Vitamin D3 1000IU 400 Tablets Exclusive</v>
      </c>
      <c r="C169" t="s">
        <v>80</v>
      </c>
      <c r="D169">
        <v>0</v>
      </c>
    </row>
    <row r="170" spans="1:4" x14ac:dyDescent="0.25">
      <c r="B170" t="str">
        <f>HYPERLINK("https://www.chemistwarehouse.com.au/buy/67204/Cenovis-Krill-Oil-Fish-Oil-60-Capsules"," Cenovis Krill Oil + Fish Oil 60 Capsules")</f>
        <v xml:space="preserve"> Cenovis Krill Oil + Fish Oil 60 Capsules</v>
      </c>
      <c r="C170" t="s">
        <v>24</v>
      </c>
      <c r="D170" t="s">
        <v>25</v>
      </c>
    </row>
    <row r="171" spans="1:4" x14ac:dyDescent="0.25">
      <c r="A171" t="s">
        <v>171</v>
      </c>
    </row>
    <row r="172" spans="1:4" x14ac:dyDescent="0.25">
      <c r="B172" t="str">
        <f>HYPERLINK("https://www.chemistwarehouse.com.au/buy/67844/Cenovis-Kids-Vita-Tingles-Multivitamin-60-Tablets"," Cenovis Kids Vita Tingles Multivitamin 60 Tablets")</f>
        <v xml:space="preserve"> Cenovis Kids Vita Tingles Multivitamin 60 Tablets</v>
      </c>
      <c r="C172" t="s">
        <v>41</v>
      </c>
      <c r="D172" t="s">
        <v>42</v>
      </c>
    </row>
    <row r="173" spans="1:4" x14ac:dyDescent="0.25">
      <c r="B173" t="str">
        <f>HYPERLINK("https://www.chemistwarehouse.com.au/buy/71392/Cenovis-Kids-Vita-Sprinkles-Multivitamin-Plain-90g"," Cenovis Kids Vita Sprinkles Multivitamin Plain 90g")</f>
        <v xml:space="preserve"> Cenovis Kids Vita Sprinkles Multivitamin Plain 90g</v>
      </c>
      <c r="C173" t="s">
        <v>41</v>
      </c>
      <c r="D173" t="s">
        <v>42</v>
      </c>
    </row>
    <row r="174" spans="1:4" x14ac:dyDescent="0.25">
      <c r="B174" t="str">
        <f>HYPERLINK("https://www.chemistwarehouse.com.au/buy/67841/Cenovis-Kids-Vita-Tingles-Vitamin-C-60-Tablets"," Cenovis Kids Vita Tingles Vitamin C 60 Tablets")</f>
        <v xml:space="preserve"> Cenovis Kids Vita Tingles Vitamin C 60 Tablets</v>
      </c>
      <c r="C174" t="s">
        <v>41</v>
      </c>
      <c r="D174" t="s">
        <v>42</v>
      </c>
    </row>
    <row r="175" spans="1:4" x14ac:dyDescent="0.25">
      <c r="B175" t="str">
        <f>HYPERLINK("https://www.chemistwarehouse.com.au/buy/69408/Cenovis-Kids-Vita-Chewies-Calcium-60-Tablets"," Cenovis Kids Vita Chewies Calcium 60 Tablets")</f>
        <v xml:space="preserve"> Cenovis Kids Vita Chewies Calcium 60 Tablets</v>
      </c>
      <c r="C175" t="s">
        <v>41</v>
      </c>
      <c r="D175" t="s">
        <v>42</v>
      </c>
    </row>
    <row r="176" spans="1:4" x14ac:dyDescent="0.25">
      <c r="A176" t="s">
        <v>172</v>
      </c>
    </row>
    <row r="177" spans="1:4" x14ac:dyDescent="0.25">
      <c r="B177" t="str">
        <f>HYPERLINK("https://www.chemistwarehouse.com.au/buy/47377/Cenovis-Vitamin-C-500mg-Sugarless-300-Tablets"," Cenovis Vitamin C 500mg Sugarless 300 Tablets")</f>
        <v xml:space="preserve"> Cenovis Vitamin C 500mg Sugarless 300 Tablets</v>
      </c>
      <c r="C177" t="s">
        <v>21</v>
      </c>
      <c r="D177" t="s">
        <v>22</v>
      </c>
    </row>
    <row r="178" spans="1:4" x14ac:dyDescent="0.25">
      <c r="B178" t="str">
        <f>HYPERLINK("https://www.chemistwarehouse.com.au/buy/69782/Cenovis-Echinacea-Garlic-Zinc-amp-C-Value-Pack-180-Tablets-Exclusive"," Cenovis Echinacea Garlic Zinc &amp; C Value Pack 180 Tablets Exclusive")</f>
        <v xml:space="preserve"> Cenovis Echinacea Garlic Zinc &amp; C Value Pack 180 Tablets Exclusive</v>
      </c>
      <c r="C178" t="s">
        <v>173</v>
      </c>
      <c r="D178">
        <v>0</v>
      </c>
    </row>
    <row r="179" spans="1:4" x14ac:dyDescent="0.25">
      <c r="B179" t="str">
        <f>HYPERLINK("https://www.chemistwarehouse.com.au/buy/55321/Cenovis-Mega-C-1000mg-60-Tablets"," Cenovis Mega C 1000mg 60 Tablets")</f>
        <v xml:space="preserve"> Cenovis Mega C 1000mg 60 Tablets</v>
      </c>
      <c r="C179" t="s">
        <v>174</v>
      </c>
      <c r="D179" t="s">
        <v>175</v>
      </c>
    </row>
    <row r="180" spans="1:4" x14ac:dyDescent="0.25">
      <c r="B180" t="str">
        <f>HYPERLINK("https://www.chemistwarehouse.com.au/buy/43211/Cenovis-Vitamin-C-500mg-Sugarless-100-Tablets"," Cenovis Vitamin C 500mg Sugarless 100 Tablets")</f>
        <v xml:space="preserve"> Cenovis Vitamin C 500mg Sugarless 100 Tablets</v>
      </c>
      <c r="C180" t="s">
        <v>176</v>
      </c>
      <c r="D180" t="s">
        <v>177</v>
      </c>
    </row>
    <row r="181" spans="1:4" x14ac:dyDescent="0.25">
      <c r="B181" t="str">
        <f>HYPERLINK("https://www.chemistwarehouse.com.au/buy/78519/Cenovis-Low-Odour-Garlic-150-Capsules"," Cenovis Low Odour Garlic 150 Capsules")</f>
        <v xml:space="preserve"> Cenovis Low Odour Garlic 150 Capsules</v>
      </c>
      <c r="C181" t="s">
        <v>178</v>
      </c>
      <c r="D181" t="s">
        <v>179</v>
      </c>
    </row>
    <row r="182" spans="1:4" x14ac:dyDescent="0.25">
      <c r="B182" t="str">
        <f>HYPERLINK("https://www.chemistwarehouse.com.au/buy/51498/Cenovis-Echinacea-5000-60-Capsules"," Cenovis Echinacea 5000 60 Capsules")</f>
        <v xml:space="preserve"> Cenovis Echinacea 5000 60 Capsules</v>
      </c>
      <c r="C182" t="s">
        <v>180</v>
      </c>
      <c r="D182" t="s">
        <v>181</v>
      </c>
    </row>
    <row r="183" spans="1:4" x14ac:dyDescent="0.25">
      <c r="B183" t="str">
        <f>HYPERLINK("https://www.chemistwarehouse.com.au/buy/57027/Cenovis-Echinacea-Garlic-Zinc-amp-C-125-Tablets"," Cenovis Echinacea Garlic Zinc &amp; C 125 Tablets")</f>
        <v xml:space="preserve"> Cenovis Echinacea Garlic Zinc &amp; C 125 Tablets</v>
      </c>
      <c r="C183" t="s">
        <v>12</v>
      </c>
      <c r="D183" t="s">
        <v>13</v>
      </c>
    </row>
    <row r="184" spans="1:4" x14ac:dyDescent="0.25">
      <c r="B184" t="str">
        <f>HYPERLINK("https://www.chemistwarehouse.com.au/buy/51146/Cenovis-Garlic-and-Horseradish-C-Complex-120-Capsules"," Cenovis Garlic and Horseradish + C Complex 120 Capsules")</f>
        <v xml:space="preserve"> Cenovis Garlic and Horseradish + C Complex 120 Capsules</v>
      </c>
      <c r="C184" t="s">
        <v>182</v>
      </c>
      <c r="D184" t="s">
        <v>183</v>
      </c>
    </row>
    <row r="185" spans="1:4" x14ac:dyDescent="0.25">
      <c r="B185" t="str">
        <f>HYPERLINK("https://www.chemistwarehouse.com.au/buy/63454/Cenovis-Cold-and-Flu-Relief-14-Tablets"," Cenovis Cold and Flu Relief 14 Tablets")</f>
        <v xml:space="preserve"> Cenovis Cold and Flu Relief 14 Tablets</v>
      </c>
      <c r="C185" t="s">
        <v>184</v>
      </c>
      <c r="D185" t="s">
        <v>185</v>
      </c>
    </row>
    <row r="186" spans="1:4" x14ac:dyDescent="0.25">
      <c r="B186" t="str">
        <f>HYPERLINK("https://www.chemistwarehouse.com.au/buy/71388/Cenovis-Cold-Sore-Complex-30-Tablets"," Cenovis Cold Sore Complex 30 Tablets")</f>
        <v xml:space="preserve"> Cenovis Cold Sore Complex 30 Tablets</v>
      </c>
      <c r="C186" t="s">
        <v>41</v>
      </c>
      <c r="D186" t="s">
        <v>42</v>
      </c>
    </row>
    <row r="187" spans="1:4" x14ac:dyDescent="0.25">
      <c r="B187" t="str">
        <f>HYPERLINK("https://www.chemistwarehouse.com.au/buy/78516/Cenovis-Vitamin-C-250mg-150-Tablets"," Cenovis Vitamin C 250mg 150 Tablets")</f>
        <v xml:space="preserve"> Cenovis Vitamin C 250mg 150 Tablets</v>
      </c>
      <c r="C187" t="s">
        <v>184</v>
      </c>
      <c r="D187" t="s">
        <v>185</v>
      </c>
    </row>
    <row r="188" spans="1:4" x14ac:dyDescent="0.25">
      <c r="A188" t="s">
        <v>186</v>
      </c>
    </row>
    <row r="189" spans="1:4" x14ac:dyDescent="0.25">
      <c r="B189" t="str">
        <f>HYPERLINK("https://www.chemistwarehouse.com.au/buy/63121/Cenovis-Prostate-Health-Saw-Palmetto-3200mg-30-Capsules"," Cenovis Prostate Health Saw Palmetto 3200mg 30 Capsules")</f>
        <v xml:space="preserve"> Cenovis Prostate Health Saw Palmetto 3200mg 30 Capsules</v>
      </c>
      <c r="C189" t="s">
        <v>73</v>
      </c>
      <c r="D189" t="s">
        <v>74</v>
      </c>
    </row>
    <row r="190" spans="1:4" x14ac:dyDescent="0.25">
      <c r="B190" t="str">
        <f>HYPERLINK("https://www.chemistwarehouse.com.au/buy/63292/Cenovis-Liver-Support-Milk-Thistle-7000-75-Tablets"," Cenovis Liver Support Milk Thistle 7000 75 Tablets")</f>
        <v xml:space="preserve"> Cenovis Liver Support Milk Thistle 7000 75 Tablets</v>
      </c>
      <c r="C190" t="s">
        <v>73</v>
      </c>
      <c r="D190" t="s">
        <v>74</v>
      </c>
    </row>
    <row r="191" spans="1:4" x14ac:dyDescent="0.25">
      <c r="B191" t="str">
        <f>HYPERLINK("https://www.chemistwarehouse.com.au/buy/71472/Cenovis-Propolis-1000mg-365-Capsules"," Cenovis Propolis 1000mg 365 Capsules")</f>
        <v xml:space="preserve"> Cenovis Propolis 1000mg 365 Capsules</v>
      </c>
      <c r="C191" t="s">
        <v>187</v>
      </c>
      <c r="D191">
        <v>0</v>
      </c>
    </row>
    <row r="192" spans="1:4" x14ac:dyDescent="0.25">
      <c r="B192" t="str">
        <f>HYPERLINK("https://www.chemistwarehouse.com.au/buy/51506/Cenovis-Vitamin-E-250mg-60-Capsules"," Cenovis Vitamin E 250mg 60 Capsules")</f>
        <v xml:space="preserve"> Cenovis Vitamin E 250mg 60 Capsules</v>
      </c>
      <c r="C192" t="s">
        <v>188</v>
      </c>
      <c r="D192" t="s">
        <v>189</v>
      </c>
    </row>
    <row r="193" spans="1:4" x14ac:dyDescent="0.25">
      <c r="B193" t="str">
        <f>HYPERLINK("https://www.chemistwarehouse.com.au/buy/78523/Cenovis-Zinc-Plus-25mg-150-Tablets"," Cenovis Zinc Plus 25mg 150 Tablets")</f>
        <v xml:space="preserve"> Cenovis Zinc Plus 25mg 150 Tablets</v>
      </c>
      <c r="C193" t="s">
        <v>26</v>
      </c>
      <c r="D193" t="s">
        <v>27</v>
      </c>
    </row>
    <row r="194" spans="1:4" x14ac:dyDescent="0.25">
      <c r="B194" t="str">
        <f>HYPERLINK("https://www.chemistwarehouse.com.au/buy/51500/Cenovis-Ginkgo-Biloba-2000-100-Tablets"," Cenovis Ginkgo Biloba 2000 100 Tablets")</f>
        <v xml:space="preserve"> Cenovis Ginkgo Biloba 2000 100 Tablets</v>
      </c>
      <c r="C194" t="s">
        <v>190</v>
      </c>
      <c r="D194" t="s">
        <v>191</v>
      </c>
    </row>
    <row r="195" spans="1:4" x14ac:dyDescent="0.25">
      <c r="B195" t="str">
        <f>HYPERLINK("https://www.chemistwarehouse.com.au/buy/55325/Cenovis-Mega-E-500mg-250-Capsules"," Cenovis Mega E 500mg 250 Capsules")</f>
        <v xml:space="preserve"> Cenovis Mega E 500mg 250 Capsules</v>
      </c>
      <c r="C195" t="s">
        <v>135</v>
      </c>
      <c r="D195" t="s">
        <v>136</v>
      </c>
    </row>
    <row r="196" spans="1:4" x14ac:dyDescent="0.25">
      <c r="B196" t="str">
        <f>HYPERLINK("https://www.chemistwarehouse.com.au/buy/76015/Cenovis-Grape-Seed-12000mg-250-Tablets-Exclusive"," Cenovis Grape Seed 12000mg 250 Tablets Exclusive")</f>
        <v xml:space="preserve"> Cenovis Grape Seed 12000mg 250 Tablets Exclusive</v>
      </c>
      <c r="C196" t="s">
        <v>58</v>
      </c>
      <c r="D196">
        <v>0</v>
      </c>
    </row>
    <row r="197" spans="1:4" x14ac:dyDescent="0.25">
      <c r="B197" t="str">
        <f>HYPERLINK("https://www.chemistwarehouse.com.au/buy/78524/Cenovis-Celery-2500-80-Capsules"," Cenovis Celery 2500 80 Capsules")</f>
        <v xml:space="preserve"> Cenovis Celery 2500 80 Capsules</v>
      </c>
      <c r="C197" t="s">
        <v>73</v>
      </c>
      <c r="D197" t="s">
        <v>74</v>
      </c>
    </row>
    <row r="198" spans="1:4" x14ac:dyDescent="0.25">
      <c r="A198" t="s">
        <v>192</v>
      </c>
    </row>
    <row r="199" spans="1:4" x14ac:dyDescent="0.25">
      <c r="B199" t="str">
        <f>HYPERLINK("https://www.chemistwarehouse.com.au/buy/81139/Cenovis-Once-Daily-Mens-Multivitamins-amp-Minerals-100-Capsules-Value-Pack"," Cenovis Once Daily Mens Multivitamins &amp; Minerals 100 Capsules Value Pack")</f>
        <v xml:space="preserve"> Cenovis Once Daily Mens Multivitamins &amp; Minerals 100 Capsules Value Pack</v>
      </c>
      <c r="C199" t="s">
        <v>193</v>
      </c>
      <c r="D199" t="s">
        <v>194</v>
      </c>
    </row>
    <row r="200" spans="1:4" x14ac:dyDescent="0.25">
      <c r="B200" t="str">
        <f>HYPERLINK("https://www.chemistwarehouse.com.au/buy/81137/Cenovis-Once-Daily-50-Multivitamin-100-Capsules"," Cenovis Once Daily 50+ Multivitamin 100 Capsules")</f>
        <v xml:space="preserve"> Cenovis Once Daily 50+ Multivitamin 100 Capsules</v>
      </c>
      <c r="C200" t="s">
        <v>193</v>
      </c>
      <c r="D200" t="s">
        <v>194</v>
      </c>
    </row>
    <row r="201" spans="1:4" x14ac:dyDescent="0.25">
      <c r="B201" t="str">
        <f>HYPERLINK("https://www.chemistwarehouse.com.au/buy/81143/Cenovis-Once-Daily-Womens-Multivitamins-amp-Minerals-100-Capsules-Value-Pack"," Cenovis Once Daily Womens Multivitamins &amp; Minerals 100 Capsules Value Pack")</f>
        <v xml:space="preserve"> Cenovis Once Daily Womens Multivitamins &amp; Minerals 100 Capsules Value Pack</v>
      </c>
      <c r="C201" t="s">
        <v>193</v>
      </c>
      <c r="D201" t="s">
        <v>194</v>
      </c>
    </row>
    <row r="202" spans="1:4" x14ac:dyDescent="0.25">
      <c r="B202" t="str">
        <f>HYPERLINK("https://www.chemistwarehouse.com.au/buy/49400/Cenovis-Multivitamin-amp-Minerals-200-Tablets"," Cenovis Multivitamin &amp; Minerals 200 Tablets")</f>
        <v xml:space="preserve"> Cenovis Multivitamin &amp; Minerals 200 Tablets</v>
      </c>
      <c r="C202" t="s">
        <v>195</v>
      </c>
      <c r="D202" t="s">
        <v>196</v>
      </c>
    </row>
    <row r="203" spans="1:4" x14ac:dyDescent="0.25">
      <c r="B203" t="str">
        <f>HYPERLINK("https://www.chemistwarehouse.com.au/buy/81144/Cenovis-Once-Daily-Womens-Multivitamins-amp-Minerals-50-Capsules"," Cenovis Once Daily Womens Multivitamins &amp; Minerals 50 Capsules")</f>
        <v xml:space="preserve"> Cenovis Once Daily Womens Multivitamins &amp; Minerals 50 Capsules</v>
      </c>
      <c r="C203" t="s">
        <v>73</v>
      </c>
      <c r="D203" t="s">
        <v>74</v>
      </c>
    </row>
    <row r="204" spans="1:4" x14ac:dyDescent="0.25">
      <c r="B204" t="str">
        <f>HYPERLINK("https://www.chemistwarehouse.com.au/buy/81142/Cenovis-Once-Daily-Womens-Multi-Energy-Boost-50-Capsules"," Cenovis Once Daily Womens Multi + Energy Boost 50 Capsules")</f>
        <v xml:space="preserve"> Cenovis Once Daily Womens Multi + Energy Boost 50 Capsules</v>
      </c>
      <c r="C204" t="s">
        <v>197</v>
      </c>
      <c r="D204" t="s">
        <v>198</v>
      </c>
    </row>
    <row r="205" spans="1:4" x14ac:dyDescent="0.25">
      <c r="B205" t="str">
        <f>HYPERLINK("https://www.chemistwarehouse.com.au/buy/81140/Cenovis-Once-Daily-Mens-Multivitamins-amp-Minerals-50-Capsules"," Cenovis Once Daily Mens Multivitamins &amp; Minerals 50 Capsules")</f>
        <v xml:space="preserve"> Cenovis Once Daily Mens Multivitamins &amp; Minerals 50 Capsules</v>
      </c>
      <c r="C205" t="s">
        <v>73</v>
      </c>
      <c r="D205" t="s">
        <v>74</v>
      </c>
    </row>
    <row r="206" spans="1:4" x14ac:dyDescent="0.25">
      <c r="B206" t="str">
        <f>HYPERLINK("https://www.chemistwarehouse.com.au/buy/81141/Cenovis-Once-Daily-Premium-Mens-Performance-50-Capsules"," Cenovis Once Daily Premium + Mens Performance 50 Capsules")</f>
        <v xml:space="preserve"> Cenovis Once Daily Premium + Mens Performance 50 Capsules</v>
      </c>
      <c r="C206" t="s">
        <v>197</v>
      </c>
      <c r="D206" t="s">
        <v>198</v>
      </c>
    </row>
    <row r="207" spans="1:4" x14ac:dyDescent="0.25">
      <c r="B207" t="str">
        <f>HYPERLINK("https://www.chemistwarehouse.com.au/buy/67845/Cenovis-Once-Daily-Multivitamin-Krill-amp-Fish-Oil-50-Capsules"," Cenovis Once Daily Multivitamin + Krill &amp; Fish Oil 50 Capsules")</f>
        <v xml:space="preserve"> Cenovis Once Daily Multivitamin + Krill &amp; Fish Oil 50 Capsules</v>
      </c>
      <c r="C207" t="s">
        <v>197</v>
      </c>
      <c r="D207" t="s">
        <v>198</v>
      </c>
    </row>
    <row r="208" spans="1:4" x14ac:dyDescent="0.25">
      <c r="B208" t="str">
        <f>HYPERLINK("https://www.chemistwarehouse.com.au/buy/81138/Cenovis-Once-Daily-50-Multivitamin-50-Capsules"," Cenovis Once Daily 50+ Multivitamin 50 Capsules")</f>
        <v xml:space="preserve"> Cenovis Once Daily 50+ Multivitamin 50 Capsules</v>
      </c>
      <c r="C208" t="s">
        <v>73</v>
      </c>
      <c r="D208" t="s">
        <v>74</v>
      </c>
    </row>
    <row r="209" spans="1:4" x14ac:dyDescent="0.25">
      <c r="A209" t="s">
        <v>199</v>
      </c>
    </row>
    <row r="210" spans="1:4" x14ac:dyDescent="0.25">
      <c r="B210" t="str">
        <f>HYPERLINK("https://www.chemistwarehouse.com.au/buy/72893/Cenovis-CoEnzyme-Q10-150mg-90-Capsules"," Cenovis CoEnzyme Q10 150mg 90 Capsules")</f>
        <v xml:space="preserve"> Cenovis CoEnzyme Q10 150mg 90 Capsules</v>
      </c>
      <c r="C210" t="s">
        <v>142</v>
      </c>
      <c r="D210" t="s">
        <v>143</v>
      </c>
    </row>
    <row r="211" spans="1:4" x14ac:dyDescent="0.25">
      <c r="B211" t="str">
        <f>HYPERLINK("https://www.chemistwarehouse.com.au/buy/78520/Cenovis-B-Complex-150-Tablets"," Cenovis B Complex 150 Tablets")</f>
        <v xml:space="preserve"> Cenovis B Complex 150 Tablets</v>
      </c>
      <c r="C211" t="s">
        <v>41</v>
      </c>
      <c r="D211" t="s">
        <v>42</v>
      </c>
    </row>
    <row r="212" spans="1:4" x14ac:dyDescent="0.25">
      <c r="B212" t="str">
        <f>HYPERLINK("https://www.chemistwarehouse.com.au/buy/20610/Cenovis-Easy-Sleep-Valerian-2000mg-30-Capsules"," Cenovis Easy Sleep Valerian 2000mg 30 Capsules")</f>
        <v xml:space="preserve"> Cenovis Easy Sleep Valerian 2000mg 30 Capsules</v>
      </c>
      <c r="C212" t="s">
        <v>200</v>
      </c>
      <c r="D212" t="s">
        <v>201</v>
      </c>
    </row>
    <row r="213" spans="1:4" x14ac:dyDescent="0.25">
      <c r="B213" t="str">
        <f>HYPERLINK("https://www.chemistwarehouse.com.au/buy/69783/Cenovis-Mega-B-Value-Pack-250-Tablets-Exclusive"," Cenovis Mega B Value Pack 250 Tablets Exclusive")</f>
        <v xml:space="preserve"> Cenovis Mega B Value Pack 250 Tablets Exclusive</v>
      </c>
      <c r="C213" t="s">
        <v>202</v>
      </c>
      <c r="D213">
        <v>0</v>
      </c>
    </row>
    <row r="214" spans="1:4" x14ac:dyDescent="0.25">
      <c r="B214" t="str">
        <f>HYPERLINK("https://www.chemistwarehouse.com.au/buy/46630/Cenovis-St-John-39-s-Wort-2000-60-Tablets"," Cenovis St John's Wort 2000 60 Tablets")</f>
        <v xml:space="preserve"> Cenovis St John's Wort 2000 60 Tablets</v>
      </c>
      <c r="C214" t="s">
        <v>203</v>
      </c>
      <c r="D214" t="s">
        <v>204</v>
      </c>
    </row>
    <row r="215" spans="1:4" x14ac:dyDescent="0.25">
      <c r="B215" t="str">
        <f>HYPERLINK("https://www.chemistwarehouse.com.au/buy/34320/Cenovis-Guarana-2000-amp-Ginseng-500-60-Tablets"," Cenovis Guarana 2000 &amp; Ginseng 500 60 Tablets")</f>
        <v xml:space="preserve"> Cenovis Guarana 2000 &amp; Ginseng 500 60 Tablets</v>
      </c>
      <c r="C215" t="s">
        <v>182</v>
      </c>
      <c r="D215" t="s">
        <v>183</v>
      </c>
    </row>
    <row r="216" spans="1:4" x14ac:dyDescent="0.25">
      <c r="B216" t="str">
        <f>HYPERLINK("https://www.chemistwarehouse.com.au/buy/78525/Cenovis-Stress-Relief-Tablets-60"," Cenovis Stress Relief Tablets 60")</f>
        <v xml:space="preserve"> Cenovis Stress Relief Tablets 60</v>
      </c>
      <c r="C216" t="s">
        <v>197</v>
      </c>
      <c r="D216" t="s">
        <v>198</v>
      </c>
    </row>
    <row r="217" spans="1:4" x14ac:dyDescent="0.25">
      <c r="A217" t="s">
        <v>205</v>
      </c>
    </row>
    <row r="218" spans="1:4" x14ac:dyDescent="0.25">
      <c r="B218" t="str">
        <f>HYPERLINK("https://www.chemistwarehouse.com.au/buy/78521/Cenovis-Iron-Plus-80-Tablets"," Cenovis Iron Plus 80 Tablets")</f>
        <v xml:space="preserve"> Cenovis Iron Plus 80 Tablets</v>
      </c>
      <c r="C218" t="s">
        <v>41</v>
      </c>
      <c r="D218" t="s">
        <v>42</v>
      </c>
    </row>
    <row r="219" spans="1:4" x14ac:dyDescent="0.25">
      <c r="B219" t="str">
        <f>HYPERLINK("https://www.chemistwarehouse.com.au/buy/78518/Cenovis-Folic-Acid-500mcg-150-Tablets"," Cenovis Folic Acid 500mcg 150 Tablets")</f>
        <v xml:space="preserve"> Cenovis Folic Acid 500mcg 150 Tablets</v>
      </c>
      <c r="C219" t="s">
        <v>178</v>
      </c>
      <c r="D219" t="s">
        <v>179</v>
      </c>
    </row>
    <row r="220" spans="1:4" x14ac:dyDescent="0.25">
      <c r="B220" t="str">
        <f>HYPERLINK("https://www.chemistwarehouse.com.au/buy/78528/Cenovis-Pregnancy-and-Breastfeed-60-Soft-Capsules"," Cenovis Pregnancy and Breastfeed 60 Soft Capsules")</f>
        <v xml:space="preserve"> Cenovis Pregnancy and Breastfeed 60 Soft Capsules</v>
      </c>
      <c r="C220" t="s">
        <v>19</v>
      </c>
      <c r="D220" t="s">
        <v>20</v>
      </c>
    </row>
    <row r="221" spans="1:4" x14ac:dyDescent="0.25">
      <c r="B221" t="str">
        <f>HYPERLINK("https://www.chemistwarehouse.com.au/buy/78522/Cenovis-Hair-Skin-and-Nails-60-Tablets"," Cenovis Hair Skin and Nails 60 Tablets")</f>
        <v xml:space="preserve"> Cenovis Hair Skin and Nails 60 Tablets</v>
      </c>
      <c r="C221" t="s">
        <v>206</v>
      </c>
      <c r="D221" t="s">
        <v>206</v>
      </c>
    </row>
    <row r="222" spans="1:4" x14ac:dyDescent="0.25">
      <c r="B222" t="str">
        <f>HYPERLINK("https://www.chemistwarehouse.com.au/buy/76100/Cenovis-Cranberry-20000mg-100-Tablets-Exclusive-Size"," Cenovis Cranberry 20000mg 100 Tablets Exclusive Size")</f>
        <v xml:space="preserve"> Cenovis Cranberry 20000mg 100 Tablets Exclusive Size</v>
      </c>
      <c r="C222" t="s">
        <v>187</v>
      </c>
      <c r="D222">
        <v>0</v>
      </c>
    </row>
    <row r="223" spans="1:4" x14ac:dyDescent="0.25">
      <c r="A223" t="s">
        <v>207</v>
      </c>
    </row>
    <row r="224" spans="1:4" x14ac:dyDescent="0.25">
      <c r="B224" t="str">
        <f>HYPERLINK("https://www.chemistwarehouse.com.au/buy/78526/Cenovis-Odourless-1500mg-Fish-Oil-200-Soft-Capsules"," Cenovis Odourless 1500mg Fish Oil 200 Soft Capsules")</f>
        <v xml:space="preserve"> Cenovis Odourless 1500mg Fish Oil 200 Soft Capsules</v>
      </c>
      <c r="C224" t="s">
        <v>14</v>
      </c>
      <c r="D224" t="s">
        <v>15</v>
      </c>
    </row>
    <row r="225" spans="1:4" x14ac:dyDescent="0.25">
      <c r="B225" t="str">
        <f>HYPERLINK("https://www.chemistwarehouse.com.au/buy/78517/Cenovis-Odourless-Cod-Liver-Oil-150-Capsules"," Cenovis Odourless Cod Liver Oil 150 Capsules")</f>
        <v xml:space="preserve"> Cenovis Odourless Cod Liver Oil 150 Capsules</v>
      </c>
      <c r="C225" t="s">
        <v>208</v>
      </c>
      <c r="D225" t="s">
        <v>209</v>
      </c>
    </row>
    <row r="226" spans="1:4" x14ac:dyDescent="0.25">
      <c r="A226" t="s">
        <v>210</v>
      </c>
    </row>
    <row r="227" spans="1:4" x14ac:dyDescent="0.25">
      <c r="B227" t="str">
        <f>HYPERLINK("https://www.chemistwarehouse.com.au/buy/72674/Blackmores-Kids-Vitamic-C-Zinc-36-Strawberry-Gummies"," Blackmores Kids Vitamic C + Zinc 36 Strawberry Gummies")</f>
        <v xml:space="preserve"> Blackmores Kids Vitamic C + Zinc 36 Strawberry Gummies</v>
      </c>
      <c r="C227" t="s">
        <v>98</v>
      </c>
      <c r="D227" t="s">
        <v>115</v>
      </c>
    </row>
    <row r="228" spans="1:4" x14ac:dyDescent="0.25">
      <c r="B228" t="str">
        <f>HYPERLINK("https://www.chemistwarehouse.com.au/buy/60191/Blackmores-Kids-Immunities-60-Capsules"," Blackmores Kids Immunities 60 Capsules")</f>
        <v xml:space="preserve"> Blackmores Kids Immunities 60 Capsules</v>
      </c>
      <c r="C228" t="s">
        <v>211</v>
      </c>
      <c r="D228" t="s">
        <v>119</v>
      </c>
    </row>
    <row r="229" spans="1:4" x14ac:dyDescent="0.25">
      <c r="B229" t="str">
        <f>HYPERLINK("https://www.chemistwarehouse.com.au/buy/56197/Blackmores-Kids-Multi-60-Tablets"," Blackmores Kids Multi 60 Tablets")</f>
        <v xml:space="preserve"> Blackmores Kids Multi 60 Tablets</v>
      </c>
      <c r="C229" t="s">
        <v>211</v>
      </c>
      <c r="D229" t="s">
        <v>119</v>
      </c>
    </row>
    <row r="230" spans="1:4" x14ac:dyDescent="0.25">
      <c r="B230" t="str">
        <f>HYPERLINK("https://www.chemistwarehouse.com.au/buy/56199/Blackmores-Kids-Mineral-Minds-60-Tablets"," Blackmores Kids Mineral Minds 60 Tablets")</f>
        <v xml:space="preserve"> Blackmores Kids Mineral Minds 60 Tablets</v>
      </c>
      <c r="C230" t="s">
        <v>212</v>
      </c>
      <c r="D230" t="s">
        <v>213</v>
      </c>
    </row>
    <row r="231" spans="1:4" x14ac:dyDescent="0.25">
      <c r="B231" t="str">
        <f>HYPERLINK("https://www.chemistwarehouse.com.au/buy/68605/Blackmores-Kaloba-50ml"," Blackmores Kaloba 50ml")</f>
        <v xml:space="preserve"> Blackmores Kaloba 50ml</v>
      </c>
      <c r="C231" t="s">
        <v>61</v>
      </c>
      <c r="D231" t="s">
        <v>115</v>
      </c>
    </row>
    <row r="232" spans="1:4" x14ac:dyDescent="0.25">
      <c r="A232" t="s">
        <v>214</v>
      </c>
    </row>
    <row r="233" spans="1:4" x14ac:dyDescent="0.25">
      <c r="B233" t="str">
        <f>HYPERLINK("https://www.chemistwarehouse.com.au/buy/68994/Blackmores-Lyprinol-Marine-Value-Pack-100-Capsules"," Blackmores Lyprinol Marine Value Pack 100 Capsules")</f>
        <v xml:space="preserve"> Blackmores Lyprinol Marine Value Pack 100 Capsules</v>
      </c>
      <c r="C233" t="s">
        <v>113</v>
      </c>
      <c r="D233" t="s">
        <v>215</v>
      </c>
    </row>
    <row r="234" spans="1:4" x14ac:dyDescent="0.25">
      <c r="B234" t="str">
        <f>HYPERLINK("https://www.chemistwarehouse.com.au/buy/69687/Blackmores-Lyprinol-Double-30"," Blackmores Lyprinol Double 30")</f>
        <v xml:space="preserve"> Blackmores Lyprinol Double 30</v>
      </c>
      <c r="C234" t="s">
        <v>216</v>
      </c>
      <c r="D234" t="s">
        <v>217</v>
      </c>
    </row>
    <row r="235" spans="1:4" x14ac:dyDescent="0.25">
      <c r="B235" t="str">
        <f>HYPERLINK("https://www.chemistwarehouse.com.au/buy/40926/Blackmores-Lyprinol-Marine-50-Capsules"," Blackmores Lyprinol Marine 50 Capsules")</f>
        <v xml:space="preserve"> Blackmores Lyprinol Marine 50 Capsules</v>
      </c>
      <c r="C235" t="s">
        <v>218</v>
      </c>
      <c r="D235" t="s">
        <v>219</v>
      </c>
    </row>
    <row r="236" spans="1:4" x14ac:dyDescent="0.25">
      <c r="A236" t="s">
        <v>220</v>
      </c>
    </row>
    <row r="237" spans="1:4" x14ac:dyDescent="0.25">
      <c r="B237" t="str">
        <f>HYPERLINK("https://www.chemistwarehouse.com.au/buy/51201/Blackmores-Omega-Brain-Health-60-Capsules"," Blackmores Omega Brain Health 60 Capsules")</f>
        <v xml:space="preserve"> Blackmores Omega Brain Health 60 Capsules</v>
      </c>
      <c r="C237" t="s">
        <v>161</v>
      </c>
      <c r="D237" t="s">
        <v>221</v>
      </c>
    </row>
    <row r="238" spans="1:4" x14ac:dyDescent="0.25">
      <c r="B238" t="str">
        <f>HYPERLINK("https://www.chemistwarehouse.com.au/buy/43164/Blackmores-Ginkgo-Forte-2000mg-80-Tablets"," Blackmores Ginkgo Forte 2000mg 80 Tablets")</f>
        <v xml:space="preserve"> Blackmores Ginkgo Forte 2000mg 80 Tablets</v>
      </c>
      <c r="C238" t="s">
        <v>123</v>
      </c>
      <c r="D238" t="s">
        <v>222</v>
      </c>
    </row>
    <row r="239" spans="1:4" x14ac:dyDescent="0.25">
      <c r="B239" t="str">
        <f>HYPERLINK("https://www.chemistwarehouse.com.au/buy/72675/Blackmores-Ginkgo-6000mg-30-Tablets"," Blackmores Ginkgo 6000mg 30 Tablets")</f>
        <v xml:space="preserve"> Blackmores Ginkgo 6000mg 30 Tablets</v>
      </c>
      <c r="C239" t="s">
        <v>111</v>
      </c>
      <c r="D239" t="s">
        <v>169</v>
      </c>
    </row>
    <row r="240" spans="1:4" x14ac:dyDescent="0.25">
      <c r="B240" t="str">
        <f>HYPERLINK("https://www.chemistwarehouse.com.au/buy/43177/Blackmores-Ginkgo-Brahmi-40-Tablets"," Blackmores Ginkgo Brahmi 40 Tablets")</f>
        <v xml:space="preserve"> Blackmores Ginkgo Brahmi 40 Tablets</v>
      </c>
      <c r="C240" t="s">
        <v>153</v>
      </c>
      <c r="D240" t="s">
        <v>223</v>
      </c>
    </row>
    <row r="241" spans="1:4" x14ac:dyDescent="0.25">
      <c r="B241" t="str">
        <f>HYPERLINK("https://www.chemistwarehouse.com.au/buy/75528/Blackmores-Energy-Focus-Multi-60-Tablets"," Blackmores Energy Focus Multi 60 Tablets")</f>
        <v xml:space="preserve"> Blackmores Energy Focus Multi 60 Tablets</v>
      </c>
      <c r="C241" t="s">
        <v>224</v>
      </c>
      <c r="D241" t="s">
        <v>225</v>
      </c>
    </row>
    <row r="242" spans="1:4" x14ac:dyDescent="0.25">
      <c r="B242" t="str">
        <f>HYPERLINK("https://www.chemistwarehouse.com.au/buy/74943/Blackmores-Brain-Active-30-Capsules"," Blackmores Brain Active 30 Capsules")</f>
        <v xml:space="preserve"> Blackmores Brain Active 30 Capsules</v>
      </c>
      <c r="C242" t="s">
        <v>173</v>
      </c>
      <c r="D242" t="s">
        <v>169</v>
      </c>
    </row>
    <row r="243" spans="1:4" x14ac:dyDescent="0.25">
      <c r="A243" t="s">
        <v>226</v>
      </c>
    </row>
    <row r="244" spans="1:4" x14ac:dyDescent="0.25">
      <c r="B244" t="str">
        <f>HYPERLINK("https://www.chemistwarehouse.com.au/buy/42930/Blackmores-Bio-C-1000mg-150-Tablets-Vitamin-C"," Blackmores Bio C 1000mg 150 Tablets Vitamin C")</f>
        <v xml:space="preserve"> Blackmores Bio C 1000mg 150 Tablets Vitamin C</v>
      </c>
      <c r="C244" t="s">
        <v>1</v>
      </c>
      <c r="D244" t="s">
        <v>227</v>
      </c>
    </row>
    <row r="245" spans="1:4" x14ac:dyDescent="0.25">
      <c r="B245" t="str">
        <f>HYPERLINK("https://www.chemistwarehouse.com.au/buy/44654/Blackmores-Garlic-Odourless-200-Tablets"," Blackmores Garlic Odourless 200 Tablets")</f>
        <v xml:space="preserve"> Blackmores Garlic Odourless 200 Tablets</v>
      </c>
      <c r="C245" t="s">
        <v>228</v>
      </c>
      <c r="D245" t="s">
        <v>229</v>
      </c>
    </row>
    <row r="246" spans="1:4" x14ac:dyDescent="0.25">
      <c r="B246" t="str">
        <f>HYPERLINK("https://www.chemistwarehouse.com.au/buy/59659/Blackmores-Immunodefence-60-Capsules"," Blackmores Immunodefence 60 Capsules")</f>
        <v xml:space="preserve"> Blackmores Immunodefence 60 Capsules</v>
      </c>
      <c r="C246" t="s">
        <v>10</v>
      </c>
      <c r="D246" t="s">
        <v>169</v>
      </c>
    </row>
    <row r="247" spans="1:4" x14ac:dyDescent="0.25">
      <c r="B247" t="str">
        <f>HYPERLINK("https://www.chemistwarehouse.com.au/buy/50366/Blackmores-Bio-C-Chewable-200-Tablets-Vitamin-C"," Blackmores Bio C Chewable 200 Tablets Vitamin C")</f>
        <v xml:space="preserve"> Blackmores Bio C Chewable 200 Tablets Vitamin C</v>
      </c>
      <c r="C247" t="s">
        <v>230</v>
      </c>
      <c r="D247" t="s">
        <v>231</v>
      </c>
    </row>
    <row r="248" spans="1:4" x14ac:dyDescent="0.25">
      <c r="B248" t="str">
        <f>HYPERLINK("https://www.chemistwarehouse.com.au/buy/57581/Blackmores-Super-Strength-Horseradish-Garlic-C-90-Tablets"," Blackmores Super Strength Horseradish Garlic + C 90 Tablets")</f>
        <v xml:space="preserve"> Blackmores Super Strength Horseradish Garlic + C 90 Tablets</v>
      </c>
      <c r="C248" t="s">
        <v>173</v>
      </c>
      <c r="D248" t="s">
        <v>232</v>
      </c>
    </row>
    <row r="249" spans="1:4" x14ac:dyDescent="0.25">
      <c r="B249" t="str">
        <f>HYPERLINK("https://www.chemistwarehouse.com.au/buy/31311/Blackmores-Echinacea-Liquid-50mL"," Blackmores Echinacea Liquid 50mL")</f>
        <v xml:space="preserve"> Blackmores Echinacea Liquid 50mL</v>
      </c>
      <c r="C249" t="s">
        <v>233</v>
      </c>
      <c r="D249" t="s">
        <v>234</v>
      </c>
    </row>
    <row r="250" spans="1:4" x14ac:dyDescent="0.25">
      <c r="B250" t="str">
        <f>HYPERLINK("https://www.chemistwarehouse.com.au/buy/40629/Blackmores-Echinacea-ACE-Zinc-60-Tablets"," Blackmores Echinacea ACE + Zinc 60 Tablets")</f>
        <v xml:space="preserve"> Blackmores Echinacea ACE + Zinc 60 Tablets</v>
      </c>
      <c r="C250" t="s">
        <v>1</v>
      </c>
      <c r="D250" t="s">
        <v>235</v>
      </c>
    </row>
    <row r="251" spans="1:4" x14ac:dyDescent="0.25">
      <c r="B251" t="str">
        <f>HYPERLINK("https://www.chemistwarehouse.com.au/buy/41309/Blackmores-Bio-C-Powder-125g-Vitamin-C"," Blackmores Bio C Powder 125g Vitamin C")</f>
        <v xml:space="preserve"> Blackmores Bio C Powder 125g Vitamin C</v>
      </c>
      <c r="C251" t="s">
        <v>117</v>
      </c>
      <c r="D251" t="s">
        <v>236</v>
      </c>
    </row>
    <row r="252" spans="1:4" x14ac:dyDescent="0.25">
      <c r="B252" t="str">
        <f>HYPERLINK("https://www.chemistwarehouse.com.au/buy/55282/Blackmores-Lyp-Sine-100-Tablets"," Blackmores Lyp-Sine 100 Tablets")</f>
        <v xml:space="preserve"> Blackmores Lyp-Sine 100 Tablets</v>
      </c>
      <c r="C252" t="s">
        <v>123</v>
      </c>
      <c r="D252" t="s">
        <v>164</v>
      </c>
    </row>
    <row r="253" spans="1:4" x14ac:dyDescent="0.25">
      <c r="B253" t="str">
        <f>HYPERLINK("https://www.chemistwarehouse.com.au/buy/59658/Blackmores-Cold-amp-Flu-Day-Night-18-6-Capsules"," Blackmores Cold &amp; Flu Day/Night 18+6 Capsules")</f>
        <v xml:space="preserve"> Blackmores Cold &amp; Flu Day/Night 18+6 Capsules</v>
      </c>
      <c r="C253" t="s">
        <v>237</v>
      </c>
      <c r="D253" t="s">
        <v>162</v>
      </c>
    </row>
    <row r="254" spans="1:4" x14ac:dyDescent="0.25">
      <c r="B254" t="str">
        <f>HYPERLINK("https://www.chemistwarehouse.com.au/buy/41311/Blackmores-Bio-C-1000mg-31-Tablets-Vitamin-C"," Blackmores Bio C 1000mg 31 Tablets Vitamin C")</f>
        <v xml:space="preserve"> Blackmores Bio C 1000mg 31 Tablets Vitamin C</v>
      </c>
      <c r="C254" t="s">
        <v>32</v>
      </c>
      <c r="D254" t="s">
        <v>238</v>
      </c>
    </row>
    <row r="255" spans="1:4" x14ac:dyDescent="0.25">
      <c r="B255" t="str">
        <f>HYPERLINK("https://www.chemistwarehouse.com.au/buy/31306/Blackmores-Bio-C-1000mg-62-Tablets-Vitamin-C"," Blackmores Bio C 1000mg 62 Tablets Vitamin C")</f>
        <v xml:space="preserve"> Blackmores Bio C 1000mg 62 Tablets Vitamin C</v>
      </c>
      <c r="C255" t="s">
        <v>58</v>
      </c>
      <c r="D255" t="s">
        <v>64</v>
      </c>
    </row>
    <row r="256" spans="1:4" x14ac:dyDescent="0.25">
      <c r="B256" t="str">
        <f>HYPERLINK("https://www.chemistwarehouse.com.au/buy/31310/Blackmores-Echinacea-Forte-3000mg-40-Tablets"," Blackmores Echinacea Forte 3000mg 40 Tablets")</f>
        <v xml:space="preserve"> Blackmores Echinacea Forte 3000mg 40 Tablets</v>
      </c>
      <c r="C256" t="s">
        <v>202</v>
      </c>
      <c r="D256" t="s">
        <v>239</v>
      </c>
    </row>
    <row r="257" spans="1:4" x14ac:dyDescent="0.25">
      <c r="B257" t="str">
        <f>HYPERLINK("https://www.chemistwarehouse.com.au/buy/31632/Blackmores-ZinvitC250-50-Tablets"," Blackmores ZinvitC250 50 Tablets")</f>
        <v xml:space="preserve"> Blackmores ZinvitC250 50 Tablets</v>
      </c>
      <c r="C257" t="s">
        <v>240</v>
      </c>
      <c r="D257" t="s">
        <v>241</v>
      </c>
    </row>
    <row r="258" spans="1:4" x14ac:dyDescent="0.25">
      <c r="B258" t="str">
        <f>HYPERLINK("https://www.chemistwarehouse.com.au/buy/41318/Blackmores-Cod-Liver-Oil-1000mg-80-Capsules"," Blackmores Cod Liver Oil 1000mg 80 Capsules")</f>
        <v xml:space="preserve"> Blackmores Cod Liver Oil 1000mg 80 Capsules</v>
      </c>
      <c r="C258" t="s">
        <v>228</v>
      </c>
      <c r="D258" t="s">
        <v>229</v>
      </c>
    </row>
    <row r="259" spans="1:4" x14ac:dyDescent="0.25">
      <c r="B259" t="str">
        <f>HYPERLINK("https://www.chemistwarehouse.com.au/buy/41308/Blackmores-Bio-C-500mg-50-Chewable-Tablets-Vitamin-C"," Blackmores Bio C 500mg 50 Chewable Tablets Vitamin C")</f>
        <v xml:space="preserve"> Blackmores Bio C 500mg 50 Chewable Tablets Vitamin C</v>
      </c>
      <c r="C259" t="s">
        <v>242</v>
      </c>
      <c r="D259" t="s">
        <v>121</v>
      </c>
    </row>
    <row r="260" spans="1:4" x14ac:dyDescent="0.25">
      <c r="B260" t="str">
        <f>HYPERLINK("https://www.chemistwarehouse.com.au/buy/55291/Blackmores-Echinacea-Forte-150-Tablets"," Blackmores Echinacea Forte 150 Tablets")</f>
        <v xml:space="preserve"> Blackmores Echinacea Forte 150 Tablets</v>
      </c>
      <c r="C260" t="s">
        <v>243</v>
      </c>
      <c r="D260" t="s">
        <v>167</v>
      </c>
    </row>
    <row r="261" spans="1:4" x14ac:dyDescent="0.25">
      <c r="B261" t="str">
        <f>HYPERLINK("https://www.chemistwarehouse.com.au/buy/55299/Blackmores-Echinacea-ACE-Zinc-30-Tablets"," Blackmores Echinacea ACE + Zinc 30 Tablets")</f>
        <v xml:space="preserve"> Blackmores Echinacea ACE + Zinc 30 Tablets</v>
      </c>
      <c r="C261" t="s">
        <v>244</v>
      </c>
      <c r="D261" t="s">
        <v>119</v>
      </c>
    </row>
    <row r="262" spans="1:4" x14ac:dyDescent="0.25">
      <c r="B262" t="str">
        <f>HYPERLINK("https://www.chemistwarehouse.com.au/buy/44920/Blackmores-Lypsine-30-Tablets"," Blackmores Lypsine 30 Tablets")</f>
        <v xml:space="preserve"> Blackmores Lypsine 30 Tablets</v>
      </c>
      <c r="C262" t="s">
        <v>32</v>
      </c>
      <c r="D262" t="s">
        <v>238</v>
      </c>
    </row>
    <row r="263" spans="1:4" x14ac:dyDescent="0.25">
      <c r="B263" t="str">
        <f>HYPERLINK("https://www.chemistwarehouse.com.au/buy/42931/Blackmores-Sustained-Release-C-200-Tablets"," Blackmores Sustained Release C 200 Tablets")</f>
        <v xml:space="preserve"> Blackmores Sustained Release C 200 Tablets</v>
      </c>
      <c r="C263" t="s">
        <v>245</v>
      </c>
      <c r="D263" t="s">
        <v>246</v>
      </c>
    </row>
    <row r="264" spans="1:4" x14ac:dyDescent="0.25">
      <c r="B264" t="str">
        <f>HYPERLINK("https://www.chemistwarehouse.com.au/buy/58371/Blackmores-Super-Strength-Horseradish-Garlic-C-50-Tablets"," Blackmores Super Strength Horseradish Garlic + C 50 Tablets")</f>
        <v xml:space="preserve"> Blackmores Super Strength Horseradish Garlic + C 50 Tablets</v>
      </c>
      <c r="C264" t="s">
        <v>187</v>
      </c>
      <c r="D264" t="s">
        <v>239</v>
      </c>
    </row>
    <row r="265" spans="1:4" x14ac:dyDescent="0.25">
      <c r="B265" t="str">
        <f>HYPERLINK("https://www.chemistwarehouse.com.au/buy/74947/Blackmores-Cold-Combat-Multi-Symptom-24-Capsules"," Blackmores Cold Combat Multi-Symptom 24 Capsules")</f>
        <v xml:space="preserve"> Blackmores Cold Combat Multi-Symptom 24 Capsules</v>
      </c>
      <c r="C265" t="s">
        <v>80</v>
      </c>
      <c r="D265" t="s">
        <v>115</v>
      </c>
    </row>
    <row r="266" spans="1:4" x14ac:dyDescent="0.25">
      <c r="A266" t="s">
        <v>247</v>
      </c>
    </row>
    <row r="267" spans="1:4" x14ac:dyDescent="0.25">
      <c r="B267" t="str">
        <f>HYPERLINK("https://www.chemistwarehouse.com.au/buy/63401/Blackmores-Digestive-Bio-Balance-30-Tablets"," Blackmores Digestive Bio Balance 30 Tablets")</f>
        <v xml:space="preserve"> Blackmores Digestive Bio Balance 30 Tablets</v>
      </c>
      <c r="C267" t="s">
        <v>248</v>
      </c>
      <c r="D267" t="s">
        <v>249</v>
      </c>
    </row>
    <row r="268" spans="1:4" x14ac:dyDescent="0.25">
      <c r="B268" t="str">
        <f>HYPERLINK("https://www.chemistwarehouse.com.au/buy/41057/Blackmores-Milk-Thistle-42-Tablets"," Blackmores Milk Thistle 42 Tablets")</f>
        <v xml:space="preserve"> Blackmores Milk Thistle 42 Tablets</v>
      </c>
      <c r="C268" t="s">
        <v>233</v>
      </c>
      <c r="D268" t="s">
        <v>250</v>
      </c>
    </row>
    <row r="269" spans="1:4" x14ac:dyDescent="0.25">
      <c r="B269" t="str">
        <f>HYPERLINK("https://www.chemistwarehouse.com.au/buy/31305/Blackmores-Acidophilus-Bifidus-90-Capsules"," Blackmores Acidophilus Bifidus 90 Capsules")</f>
        <v xml:space="preserve"> Blackmores Acidophilus Bifidus 90 Capsules</v>
      </c>
      <c r="C269" t="s">
        <v>109</v>
      </c>
      <c r="D269" t="s">
        <v>46</v>
      </c>
    </row>
    <row r="270" spans="1:4" x14ac:dyDescent="0.25">
      <c r="B270" t="str">
        <f>HYPERLINK("https://www.chemistwarehouse.com.au/buy/42978/Blackmores-Bio-Ace-Excell-150-Capsules"," Blackmores Bio Ace Excell 150 Capsules")</f>
        <v xml:space="preserve"> Blackmores Bio Ace Excell 150 Capsules</v>
      </c>
      <c r="C270" t="s">
        <v>251</v>
      </c>
      <c r="D270" t="s">
        <v>252</v>
      </c>
    </row>
    <row r="271" spans="1:4" x14ac:dyDescent="0.25">
      <c r="B271" t="str">
        <f>HYPERLINK("https://www.chemistwarehouse.com.au/buy/41317/Blackmores-Colon-Care-Herbal-Laxative-90g"," Blackmores Colon Care Herbal Laxative 90g")</f>
        <v xml:space="preserve"> Blackmores Colon Care Herbal Laxative 90g</v>
      </c>
      <c r="C271" t="s">
        <v>212</v>
      </c>
      <c r="D271" t="s">
        <v>253</v>
      </c>
    </row>
    <row r="272" spans="1:4" x14ac:dyDescent="0.25">
      <c r="B272" t="str">
        <f>HYPERLINK("https://www.chemistwarehouse.com.au/buy/31330/Blackmores-Travel-Calm-Ginger-45-Tablets"," Blackmores Travel Calm Ginger 45 Tablets")</f>
        <v xml:space="preserve"> Blackmores Travel Calm Ginger 45 Tablets</v>
      </c>
      <c r="C272" t="s">
        <v>211</v>
      </c>
      <c r="D272" t="s">
        <v>108</v>
      </c>
    </row>
    <row r="273" spans="1:4" x14ac:dyDescent="0.25">
      <c r="B273" t="str">
        <f>HYPERLINK("https://www.chemistwarehouse.com.au/buy/80234/Blackmores-Lecithin-1200-160-Capsules"," Blackmores Lecithin 1200 160 Capsules")</f>
        <v xml:space="preserve"> Blackmores Lecithin 1200 160 Capsules</v>
      </c>
      <c r="C273" t="s">
        <v>109</v>
      </c>
      <c r="D273" t="s">
        <v>164</v>
      </c>
    </row>
    <row r="274" spans="1:4" x14ac:dyDescent="0.25">
      <c r="A274" t="s">
        <v>254</v>
      </c>
    </row>
    <row r="275" spans="1:4" x14ac:dyDescent="0.25">
      <c r="B275" t="str">
        <f>HYPERLINK("https://www.chemistwarehouse.com.au/buy/31334/Blackmores-Vitamin-B12-Cyanocobalamin-100mcg-75-Tablets"," Blackmores Vitamin B12 (Cyanocobalamin) 100mcg 75 Tablets")</f>
        <v xml:space="preserve"> Blackmores Vitamin B12 (Cyanocobalamin) 100mcg 75 Tablets</v>
      </c>
      <c r="C275" t="s">
        <v>32</v>
      </c>
      <c r="D275" t="s">
        <v>238</v>
      </c>
    </row>
    <row r="276" spans="1:4" x14ac:dyDescent="0.25">
      <c r="B276" t="str">
        <f>HYPERLINK("https://www.chemistwarehouse.com.au/buy/43194/Blackmores-Mega-B-Complex-75-Tablets"," Blackmores Mega B Complex 75 Tablets")</f>
        <v xml:space="preserve"> Blackmores Mega B Complex 75 Tablets</v>
      </c>
      <c r="C276" t="s">
        <v>153</v>
      </c>
      <c r="D276" t="s">
        <v>164</v>
      </c>
    </row>
    <row r="277" spans="1:4" x14ac:dyDescent="0.25">
      <c r="B277" t="str">
        <f>HYPERLINK("https://www.chemistwarehouse.com.au/buy/43192/Blackmores-Mega-B-Complex-200-Tablets"," Blackmores Mega B Complex 200 Tablets")</f>
        <v xml:space="preserve"> Blackmores Mega B Complex 200 Tablets</v>
      </c>
      <c r="C277" t="s">
        <v>255</v>
      </c>
      <c r="D277" t="s">
        <v>112</v>
      </c>
    </row>
    <row r="278" spans="1:4" x14ac:dyDescent="0.25">
      <c r="B278" t="str">
        <f>HYPERLINK("https://www.chemistwarehouse.com.au/buy/79158/Blackmores-B12-Rapi-Melt-1000mcg"," Blackmores B12 Rapi-Melt 1000mcg")</f>
        <v xml:space="preserve"> Blackmores B12 Rapi-Melt 1000mcg</v>
      </c>
      <c r="C278" t="s">
        <v>187</v>
      </c>
      <c r="D278" t="s">
        <v>162</v>
      </c>
    </row>
    <row r="279" spans="1:4" x14ac:dyDescent="0.25">
      <c r="B279" t="str">
        <f>HYPERLINK("https://www.chemistwarehouse.com.au/buy/51602/Blackmores-Mega-B-Complex-31-Tablets"," Blackmores Mega B Complex 31 Tablets")</f>
        <v xml:space="preserve"> Blackmores Mega B Complex 31 Tablets</v>
      </c>
      <c r="C279" t="s">
        <v>80</v>
      </c>
      <c r="D279" t="s">
        <v>115</v>
      </c>
    </row>
    <row r="280" spans="1:4" x14ac:dyDescent="0.25">
      <c r="A280" t="s">
        <v>256</v>
      </c>
    </row>
    <row r="281" spans="1:4" x14ac:dyDescent="0.25">
      <c r="B281" t="str">
        <f>HYPERLINK("https://www.chemistwarehouse.com.au/buy/43171/Blackmores-Magmin-500mg-250-Tablets"," Blackmores Magmin 500mg 250 Tablets")</f>
        <v xml:space="preserve"> Blackmores Magmin 500mg 250 Tablets</v>
      </c>
      <c r="C281" t="s">
        <v>163</v>
      </c>
      <c r="D281" t="s">
        <v>257</v>
      </c>
    </row>
    <row r="282" spans="1:4" x14ac:dyDescent="0.25">
      <c r="B282" t="str">
        <f>HYPERLINK("https://www.chemistwarehouse.com.au/buy/76854/Blackmores-Royal-Jelly-365-Capsules"," Blackmores Royal Jelly 365 Capsules")</f>
        <v xml:space="preserve"> Blackmores Royal Jelly 365 Capsules</v>
      </c>
      <c r="C282" t="s">
        <v>258</v>
      </c>
      <c r="D282" t="s">
        <v>217</v>
      </c>
    </row>
    <row r="283" spans="1:4" x14ac:dyDescent="0.25">
      <c r="B283" t="str">
        <f>HYPERLINK("https://www.chemistwarehouse.com.au/buy/69688/Blackmores-REME-D-Migraine-Headache-60"," Blackmores REME-D Migraine Headache 60")</f>
        <v xml:space="preserve"> Blackmores REME-D Migraine Headache 60</v>
      </c>
      <c r="C283" t="s">
        <v>1</v>
      </c>
      <c r="D283" t="s">
        <v>46</v>
      </c>
    </row>
    <row r="284" spans="1:4" x14ac:dyDescent="0.25">
      <c r="B284" t="str">
        <f>HYPERLINK("https://www.chemistwarehouse.com.au/buy/31323/Blackmores-Sustained-Release-Multi-Antioxidants-75-Tablets"," Blackmores Sustained Release Multi + Antioxidants 75 Tablets")</f>
        <v xml:space="preserve"> Blackmores Sustained Release Multi + Antioxidants 75 Tablets</v>
      </c>
      <c r="C284" t="s">
        <v>125</v>
      </c>
      <c r="D284" t="s">
        <v>222</v>
      </c>
    </row>
    <row r="285" spans="1:4" x14ac:dyDescent="0.25">
      <c r="B285" t="str">
        <f>HYPERLINK("https://www.chemistwarehouse.com.au/buy/40884/Blackmores-Sustained-Release-Multi-Antioxidants-180-Tablets"," Blackmores Sustained Release Multi + Antioxidants 180 Tablets")</f>
        <v xml:space="preserve"> Blackmores Sustained Release Multi + Antioxidants 180 Tablets</v>
      </c>
      <c r="C285" t="s">
        <v>259</v>
      </c>
      <c r="D285" t="s">
        <v>260</v>
      </c>
    </row>
    <row r="286" spans="1:4" x14ac:dyDescent="0.25">
      <c r="B286" t="str">
        <f>HYPERLINK("https://www.chemistwarehouse.com.au/buy/8303/Blackmores-Selemite-B-100-Tablets"," Blackmores Selemite B 100 Tablets")</f>
        <v xml:space="preserve"> Blackmores Selemite B 100 Tablets</v>
      </c>
      <c r="C286" t="s">
        <v>105</v>
      </c>
      <c r="D286" t="s">
        <v>250</v>
      </c>
    </row>
    <row r="287" spans="1:4" x14ac:dyDescent="0.25">
      <c r="B287" t="str">
        <f>HYPERLINK("https://www.chemistwarehouse.com.au/buy/55281/Blackmores-Proactive-Multi-for-50-100-Capsules"," Blackmores Proactive Multi for 50+ 100 Capsules")</f>
        <v xml:space="preserve"> Blackmores Proactive Multi for 50+ 100 Capsules</v>
      </c>
      <c r="C287" t="s">
        <v>163</v>
      </c>
      <c r="D287" t="s">
        <v>167</v>
      </c>
    </row>
    <row r="288" spans="1:4" x14ac:dyDescent="0.25">
      <c r="B288" t="str">
        <f>HYPERLINK("https://www.chemistwarehouse.com.au/buy/40649/Blackmores-Magmin-500mg-100-Tablets"," Blackmores Magmin 500mg 100 Tablets")</f>
        <v xml:space="preserve"> Blackmores Magmin 500mg 100 Tablets</v>
      </c>
      <c r="C288" t="s">
        <v>1</v>
      </c>
      <c r="D288" t="s">
        <v>261</v>
      </c>
    </row>
    <row r="289" spans="1:4" x14ac:dyDescent="0.25">
      <c r="B289" t="str">
        <f>HYPERLINK("https://www.chemistwarehouse.com.au/buy/42720/Blackmores-Grape-Seed-Forte-12000mg-30-Tablets"," Blackmores Grape Seed Forte 12000mg 30 Tablets")</f>
        <v xml:space="preserve"> Blackmores Grape Seed Forte 12000mg 30 Tablets</v>
      </c>
      <c r="C289" t="s">
        <v>262</v>
      </c>
      <c r="D289" t="s">
        <v>263</v>
      </c>
    </row>
    <row r="290" spans="1:4" x14ac:dyDescent="0.25">
      <c r="B290" t="str">
        <f>HYPERLINK("https://www.chemistwarehouse.com.au/buy/47745/Blackmores-Magmin-500mg-50-Tablets"," Blackmores Magmin 500mg 50 Tablets")</f>
        <v xml:space="preserve"> Blackmores Magmin 500mg 50 Tablets</v>
      </c>
      <c r="C290" t="s">
        <v>244</v>
      </c>
      <c r="D290" t="s">
        <v>264</v>
      </c>
    </row>
    <row r="291" spans="1:4" x14ac:dyDescent="0.25">
      <c r="B291" t="str">
        <f>HYPERLINK("https://www.chemistwarehouse.com.au/buy/73359/Blackmores-Grape-Seed-Forte-120-Tablets-Exclusive-Size"," Blackmores Grape Seed Forte 120 Tablets Exclusive Size")</f>
        <v xml:space="preserve"> Blackmores Grape Seed Forte 120 Tablets Exclusive Size</v>
      </c>
      <c r="C291" t="s">
        <v>216</v>
      </c>
      <c r="D291">
        <v>0</v>
      </c>
    </row>
    <row r="292" spans="1:4" x14ac:dyDescent="0.25">
      <c r="B292" t="str">
        <f>HYPERLINK("https://www.chemistwarehouse.com.au/buy/75531/Blackmores-Exercise-Multi-60-Tablets"," Blackmores Exercise Multi 60 Tablets")</f>
        <v xml:space="preserve"> Blackmores Exercise Multi 60 Tablets</v>
      </c>
      <c r="C292" t="s">
        <v>224</v>
      </c>
      <c r="D292" t="s">
        <v>225</v>
      </c>
    </row>
    <row r="293" spans="1:4" x14ac:dyDescent="0.25">
      <c r="B293" t="str">
        <f>HYPERLINK("https://www.chemistwarehouse.com.au/buy/76853/Blackmores-Propolis-1000mg-220-Capsules"," Blackmores Propolis 1000mg 220 Capsules")</f>
        <v xml:space="preserve"> Blackmores Propolis 1000mg 220 Capsules</v>
      </c>
      <c r="C293" t="s">
        <v>161</v>
      </c>
      <c r="D293" t="s">
        <v>164</v>
      </c>
    </row>
    <row r="294" spans="1:4" x14ac:dyDescent="0.25">
      <c r="B294" t="str">
        <f>HYPERLINK("https://www.chemistwarehouse.com.au/buy/78067/Blackmores-Insolar-60-Tablets"," Blackmores Insolar 60 Tablets")</f>
        <v xml:space="preserve"> Blackmores Insolar 60 Tablets</v>
      </c>
      <c r="C294" t="s">
        <v>80</v>
      </c>
      <c r="D294" t="s">
        <v>104</v>
      </c>
    </row>
    <row r="295" spans="1:4" x14ac:dyDescent="0.25">
      <c r="A295" t="s">
        <v>265</v>
      </c>
    </row>
    <row r="296" spans="1:4" x14ac:dyDescent="0.25">
      <c r="B296" t="str">
        <f>HYPERLINK("https://www.chemistwarehouse.com.au/buy/70120/Blackmores-Lutein-Defence-60-Tablets"," Blackmores Lutein Defence 60 Tablets")</f>
        <v xml:space="preserve"> Blackmores Lutein Defence 60 Tablets</v>
      </c>
      <c r="C296" t="s">
        <v>266</v>
      </c>
      <c r="D296" t="s">
        <v>164</v>
      </c>
    </row>
    <row r="297" spans="1:4" x14ac:dyDescent="0.25">
      <c r="B297" t="str">
        <f>HYPERLINK("https://www.chemistwarehouse.com.au/buy/50982/Blackmores-Macu-Vision-150-Tablets"," Blackmores Macu-Vision 150 Tablets")</f>
        <v xml:space="preserve"> Blackmores Macu-Vision 150 Tablets</v>
      </c>
      <c r="C297" t="s">
        <v>6</v>
      </c>
      <c r="D297" t="s">
        <v>110</v>
      </c>
    </row>
    <row r="298" spans="1:4" x14ac:dyDescent="0.25">
      <c r="B298" t="str">
        <f>HYPERLINK("https://www.chemistwarehouse.com.au/buy/55286/Blackmores-Lutein-Vision-Advanced-60-Capsules"," Blackmores Lutein-Vision Advanced 60 Capsules")</f>
        <v xml:space="preserve"> Blackmores Lutein-Vision Advanced 60 Capsules</v>
      </c>
      <c r="C298" t="s">
        <v>267</v>
      </c>
      <c r="D298" t="s">
        <v>268</v>
      </c>
    </row>
    <row r="299" spans="1:4" x14ac:dyDescent="0.25">
      <c r="B299" t="str">
        <f>HYPERLINK("https://www.chemistwarehouse.com.au/buy/55298/Blackmores-Bilberry-Eye-Strain-30-Tablets"," Blackmores Bilberry Eye Strain 30 Tablets")</f>
        <v xml:space="preserve"> Blackmores Bilberry Eye Strain 30 Tablets</v>
      </c>
      <c r="C299" t="s">
        <v>269</v>
      </c>
      <c r="D299" t="s">
        <v>270</v>
      </c>
    </row>
    <row r="300" spans="1:4" x14ac:dyDescent="0.25">
      <c r="B300" t="str">
        <f>HYPERLINK("https://www.chemistwarehouse.com.au/buy/70119/Blackmores-Macu-Vision-Plus-60-Tablets"," Blackmores Macu-Vision Plus 60 Tablets")</f>
        <v xml:space="preserve"> Blackmores Macu-Vision Plus 60 Tablets</v>
      </c>
      <c r="C300" t="s">
        <v>271</v>
      </c>
      <c r="D300" t="s">
        <v>225</v>
      </c>
    </row>
    <row r="301" spans="1:4" x14ac:dyDescent="0.25">
      <c r="B301" t="str">
        <f>HYPERLINK("https://www.chemistwarehouse.com.au/buy/55297/Blackmores-Vitamin-A-5000IU-150-Capsules"," Blackmores Vitamin A 5000IU 150 Capsules")</f>
        <v xml:space="preserve"> Blackmores Vitamin A 5000IU 150 Capsules</v>
      </c>
      <c r="C301" t="s">
        <v>237</v>
      </c>
      <c r="D301" t="s">
        <v>272</v>
      </c>
    </row>
    <row r="302" spans="1:4" x14ac:dyDescent="0.25">
      <c r="B302" t="str">
        <f>HYPERLINK("https://www.chemistwarehouse.com.au/buy/43135/Blackmores-Macu-Vision-90-Tablets"," Blackmores Macu-Vision 90 Tablets")</f>
        <v xml:space="preserve"> Blackmores Macu-Vision 90 Tablets</v>
      </c>
      <c r="C302" t="s">
        <v>273</v>
      </c>
      <c r="D302" t="s">
        <v>274</v>
      </c>
    </row>
    <row r="303" spans="1:4" x14ac:dyDescent="0.25">
      <c r="A303" t="s">
        <v>275</v>
      </c>
    </row>
    <row r="304" spans="1:4" x14ac:dyDescent="0.25">
      <c r="B304" t="str">
        <f>HYPERLINK("https://www.chemistwarehouse.com.au/buy/73360/Blackmores-CoQ10-150mg-125-Capsules-Exclusive-Size"," Blackmores CoQ10 150mg 125 Capsules Exclusive Size")</f>
        <v xml:space="preserve"> Blackmores CoQ10 150mg 125 Capsules Exclusive Size</v>
      </c>
      <c r="C304" t="s">
        <v>276</v>
      </c>
      <c r="D304">
        <v>0</v>
      </c>
    </row>
    <row r="305" spans="1:4" x14ac:dyDescent="0.25">
      <c r="B305" t="str">
        <f>HYPERLINK("https://www.chemistwarehouse.com.au/buy/44656/Blackmores-Natural-Vitamin-E-500IU-150-Capsules"," Blackmores Natural Vitamin E 500IU 150 Capsules")</f>
        <v xml:space="preserve"> Blackmores Natural Vitamin E 500IU 150 Capsules</v>
      </c>
      <c r="C305" t="s">
        <v>277</v>
      </c>
      <c r="D305" t="s">
        <v>246</v>
      </c>
    </row>
    <row r="306" spans="1:4" x14ac:dyDescent="0.25">
      <c r="B306" t="str">
        <f>HYPERLINK("https://www.chemistwarehouse.com.au/buy/57980/Blackmores-Cholesterol-Health-60-Capsules"," Blackmores Cholesterol Health 60 Capsules")</f>
        <v xml:space="preserve"> Blackmores Cholesterol Health 60 Capsules</v>
      </c>
      <c r="C306" t="s">
        <v>123</v>
      </c>
      <c r="D306" t="s">
        <v>46</v>
      </c>
    </row>
    <row r="307" spans="1:4" x14ac:dyDescent="0.25">
      <c r="B307" t="str">
        <f>HYPERLINK("https://www.chemistwarehouse.com.au/buy/41356/Blackmores-Natural-Vitamin-E-1000IU-100-Capsules"," Blackmores Natural Vitamin E 1000IU 100 Capsules")</f>
        <v xml:space="preserve"> Blackmores Natural Vitamin E 1000IU 100 Capsules</v>
      </c>
      <c r="C307" t="s">
        <v>259</v>
      </c>
      <c r="D307" t="s">
        <v>278</v>
      </c>
    </row>
    <row r="308" spans="1:4" x14ac:dyDescent="0.25">
      <c r="B308" t="str">
        <f>HYPERLINK("https://www.chemistwarehouse.com.au/buy/79159/Blackmores-Smart-Heart-300g"," Blackmores Smart Heart 300g")</f>
        <v xml:space="preserve"> Blackmores Smart Heart 300g</v>
      </c>
      <c r="C308" t="s">
        <v>1</v>
      </c>
      <c r="D308" t="s">
        <v>164</v>
      </c>
    </row>
    <row r="309" spans="1:4" x14ac:dyDescent="0.25">
      <c r="B309" t="str">
        <f>HYPERLINK("https://www.chemistwarehouse.com.au/buy/81856/Blackmores-Super-Strength-CoQ10-300mg-90-Tablets-Exclusive-Size"," Blackmores Super Strength CoQ10 300mg 90 Tablets Exclusive Size")</f>
        <v xml:space="preserve"> Blackmores Super Strength CoQ10 300mg 90 Tablets Exclusive Size</v>
      </c>
      <c r="C309" t="s">
        <v>113</v>
      </c>
      <c r="D309" t="s">
        <v>46</v>
      </c>
    </row>
    <row r="310" spans="1:4" x14ac:dyDescent="0.25">
      <c r="B310" t="str">
        <f>HYPERLINK("https://www.chemistwarehouse.com.au/buy/58007/Blackmores-CoQ10-75mg-90-Capsules"," Blackmores CoQ10 75mg 90 Capsules")</f>
        <v xml:space="preserve"> Blackmores CoQ10 75mg 90 Capsules</v>
      </c>
      <c r="C310" t="s">
        <v>279</v>
      </c>
      <c r="D310" t="s">
        <v>280</v>
      </c>
    </row>
    <row r="311" spans="1:4" x14ac:dyDescent="0.25">
      <c r="B311" t="str">
        <f>HYPERLINK("https://www.chemistwarehouse.com.au/buy/49704/Blackmores-Flaxseed-Oil-1000mg-100-Vegetarian-Capsules"," Blackmores Flaxseed Oil 1000mg 100 Vegetarian Capsules")</f>
        <v xml:space="preserve"> Blackmores Flaxseed Oil 1000mg 100 Vegetarian Capsules</v>
      </c>
      <c r="C311" t="s">
        <v>269</v>
      </c>
      <c r="D311" t="s">
        <v>206</v>
      </c>
    </row>
    <row r="312" spans="1:4" x14ac:dyDescent="0.25">
      <c r="B312" t="str">
        <f>HYPERLINK("https://www.chemistwarehouse.com.au/buy/51821/Blackmores-CoQ10-150mg-High-Potency-30-Capsules"," Blackmores CoQ10 150mg High Potency 30 Capsules")</f>
        <v xml:space="preserve"> Blackmores CoQ10 150mg High Potency 30 Capsules</v>
      </c>
      <c r="C312" t="s">
        <v>248</v>
      </c>
      <c r="D312" t="s">
        <v>270</v>
      </c>
    </row>
    <row r="313" spans="1:4" x14ac:dyDescent="0.25">
      <c r="B313" t="str">
        <f>HYPERLINK("https://www.chemistwarehouse.com.au/buy/44373/Blackmores-Natural-Vitamin-E-100IU-42-Capsules"," Blackmores Natural Vitamin E 100IU 42 Capsules")</f>
        <v xml:space="preserve"> Blackmores Natural Vitamin E 100IU 42 Capsules</v>
      </c>
      <c r="C313" t="s">
        <v>92</v>
      </c>
      <c r="D313" t="s">
        <v>281</v>
      </c>
    </row>
    <row r="314" spans="1:4" x14ac:dyDescent="0.25">
      <c r="B314" t="str">
        <f>HYPERLINK("https://www.chemistwarehouse.com.au/buy/31332/Blackmores-Natural-Vitamin-E-250IU-50-Capsules"," Blackmores Natural Vitamin E 250IU 50 Capsules")</f>
        <v xml:space="preserve"> Blackmores Natural Vitamin E 250IU 50 Capsules</v>
      </c>
      <c r="C314" t="s">
        <v>237</v>
      </c>
      <c r="D314" t="s">
        <v>272</v>
      </c>
    </row>
    <row r="315" spans="1:4" x14ac:dyDescent="0.25">
      <c r="B315" t="str">
        <f>HYPERLINK("https://www.chemistwarehouse.com.au/buy/82135/Blackmores-Heart-Defence-100-Capsules"," Blackmores Heart Defence 100 Capsules")</f>
        <v xml:space="preserve"> Blackmores Heart Defence 100 Capsules</v>
      </c>
      <c r="C315" t="s">
        <v>282</v>
      </c>
      <c r="D315" t="s">
        <v>106</v>
      </c>
    </row>
    <row r="316" spans="1:4" x14ac:dyDescent="0.25">
      <c r="B316" t="str">
        <f>HYPERLINK("https://www.chemistwarehouse.com.au/buy/81855/Blackmores-Super-Strength-CoQ10-300mg-30-Tablets"," Blackmores Super Strength CoQ10 300mg 30 Tablets")</f>
        <v xml:space="preserve"> Blackmores Super Strength CoQ10 300mg 30 Tablets</v>
      </c>
      <c r="C316" t="s">
        <v>10</v>
      </c>
      <c r="D316" t="s">
        <v>283</v>
      </c>
    </row>
    <row r="317" spans="1:4" x14ac:dyDescent="0.25">
      <c r="B317" t="str">
        <f>HYPERLINK("https://www.chemistwarehouse.com.au/buy/58005/Blackmores-CoQ10-75mg-30-Tablets"," Blackmores CoQ10 75mg 30 Tablets")</f>
        <v xml:space="preserve"> Blackmores CoQ10 75mg 30 Tablets</v>
      </c>
      <c r="C317" t="s">
        <v>162</v>
      </c>
      <c r="D317" t="s">
        <v>80</v>
      </c>
    </row>
    <row r="318" spans="1:4" x14ac:dyDescent="0.25">
      <c r="B318" t="str">
        <f>HYPERLINK("https://www.chemistwarehouse.com.au/buy/57979/Blackmores-Cardiwell-Omega-Q10-60-Capsules"," Blackmores Cardiwell Omega Q10 60 Capsules")</f>
        <v xml:space="preserve"> Blackmores Cardiwell Omega Q10 60 Capsules</v>
      </c>
      <c r="C318" t="s">
        <v>167</v>
      </c>
      <c r="D318" t="s">
        <v>284</v>
      </c>
    </row>
    <row r="319" spans="1:4" x14ac:dyDescent="0.25">
      <c r="B319" t="str">
        <f>HYPERLINK("https://www.chemistwarehouse.com.au/buy/40030/Blackmores-Natural-Vitamin-E-1000IU-30-Capsules"," Blackmores Natural Vitamin E 1000IU 30 Capsules")</f>
        <v xml:space="preserve"> Blackmores Natural Vitamin E 1000IU 30 Capsules</v>
      </c>
      <c r="C319" t="s">
        <v>233</v>
      </c>
      <c r="D319" t="s">
        <v>250</v>
      </c>
    </row>
    <row r="320" spans="1:4" x14ac:dyDescent="0.25">
      <c r="A320" t="s">
        <v>285</v>
      </c>
    </row>
    <row r="321" spans="1:4" x14ac:dyDescent="0.25">
      <c r="B321" t="str">
        <f>HYPERLINK("https://www.chemistwarehouse.com.au/buy/55293/Blackmores-Prostate-Health-Formula-60-Capsules"," Blackmores Prostate Health Formula 60 Capsules")</f>
        <v xml:space="preserve"> Blackmores Prostate Health Formula 60 Capsules</v>
      </c>
      <c r="C321" t="s">
        <v>286</v>
      </c>
      <c r="D321" t="s">
        <v>287</v>
      </c>
    </row>
    <row r="322" spans="1:4" x14ac:dyDescent="0.25">
      <c r="B322" t="str">
        <f>HYPERLINK("https://www.chemistwarehouse.com.au/buy/42135/Blackmores-Men-39-s-Performance-Multi-50-Tablets"," Blackmores Men's Performance Multi 50 Tablets")</f>
        <v xml:space="preserve"> Blackmores Men's Performance Multi 50 Tablets</v>
      </c>
      <c r="C322" t="s">
        <v>173</v>
      </c>
      <c r="D322" t="s">
        <v>223</v>
      </c>
    </row>
    <row r="323" spans="1:4" x14ac:dyDescent="0.25">
      <c r="B323" t="str">
        <f>HYPERLINK("https://www.chemistwarehouse.com.au/buy/66422/Blackmores-Men-39-s-Performance-Multi-Bulk-Pack-150-Tablets"," Blackmores Men's Performance Multi Bulk Pack 150 Tablets")</f>
        <v xml:space="preserve"> Blackmores Men's Performance Multi Bulk Pack 150 Tablets</v>
      </c>
      <c r="C323" t="s">
        <v>258</v>
      </c>
      <c r="D323">
        <v>0</v>
      </c>
    </row>
    <row r="324" spans="1:4" x14ac:dyDescent="0.25">
      <c r="B324" t="str">
        <f>HYPERLINK("https://www.chemistwarehouse.com.au/buy/42745/Blackmores-Proseren-Prostate-Support-120-Capsules"," Blackmores Proseren Prostate Support 120 Capsules")</f>
        <v xml:space="preserve"> Blackmores Proseren Prostate Support 120 Capsules</v>
      </c>
      <c r="C324" t="s">
        <v>288</v>
      </c>
      <c r="D324" t="s">
        <v>217</v>
      </c>
    </row>
    <row r="325" spans="1:4" x14ac:dyDescent="0.25">
      <c r="B325" t="str">
        <f>HYPERLINK("https://www.chemistwarehouse.com.au/buy/75527/Blackmores-Conceive-Well-Men-28-Capsules"," Blackmores Conceive Well Men 28 Capsules")</f>
        <v xml:space="preserve"> Blackmores Conceive Well Men 28 Capsules</v>
      </c>
      <c r="C325" t="s">
        <v>8</v>
      </c>
      <c r="D325" t="s">
        <v>46</v>
      </c>
    </row>
    <row r="326" spans="1:4" x14ac:dyDescent="0.25">
      <c r="B326" t="str">
        <f>HYPERLINK("https://www.chemistwarehouse.com.au/buy/78683/Blackmores-Alive-Mens-Multi-60-tablets"," Blackmores Alive Mens Multi 60 tablets")</f>
        <v xml:space="preserve"> Blackmores Alive Mens Multi 60 tablets</v>
      </c>
      <c r="C326" t="s">
        <v>8</v>
      </c>
      <c r="D326" t="s">
        <v>280</v>
      </c>
    </row>
    <row r="327" spans="1:4" x14ac:dyDescent="0.25">
      <c r="A327" t="s">
        <v>289</v>
      </c>
    </row>
    <row r="328" spans="1:4" x14ac:dyDescent="0.25">
      <c r="B328" t="str">
        <f>HYPERLINK("https://www.chemistwarehouse.com.au/buy/55294/Blackmores-Vitamin-E-Cream-50G"," Blackmores Vitamin E Cream 50G")</f>
        <v xml:space="preserve"> Blackmores Vitamin E Cream 50G</v>
      </c>
      <c r="C328" t="s">
        <v>290</v>
      </c>
      <c r="D328" t="s">
        <v>291</v>
      </c>
    </row>
    <row r="329" spans="1:4" x14ac:dyDescent="0.25">
      <c r="B329" t="str">
        <f>HYPERLINK("https://www.chemistwarehouse.com.au/buy/40910/Blackmores-Bio-Zinc-168-Tablets"," Blackmores Bio Zinc 168 Tablets")</f>
        <v xml:space="preserve"> Blackmores Bio Zinc 168 Tablets</v>
      </c>
      <c r="C329" t="s">
        <v>6</v>
      </c>
      <c r="D329" t="s">
        <v>46</v>
      </c>
    </row>
    <row r="330" spans="1:4" x14ac:dyDescent="0.25">
      <c r="B330" t="str">
        <f>HYPERLINK("https://www.chemistwarehouse.com.au/buy/49248/Blackmores-Nails-Hair-amp-Skin-60-Tablets"," Blackmores Nails Hair &amp; Skin 60 Tablets")</f>
        <v xml:space="preserve"> Blackmores Nails Hair &amp; Skin 60 Tablets</v>
      </c>
      <c r="C330" t="s">
        <v>292</v>
      </c>
      <c r="D330" t="s">
        <v>293</v>
      </c>
    </row>
    <row r="331" spans="1:4" x14ac:dyDescent="0.25">
      <c r="B331" t="str">
        <f>HYPERLINK("https://www.chemistwarehouse.com.au/buy/41037/Blackmores-Bio-Zinc-84-Tablets"," Blackmores Bio Zinc 84 Tablets")</f>
        <v xml:space="preserve"> Blackmores Bio Zinc 84 Tablets</v>
      </c>
      <c r="C331" t="s">
        <v>8</v>
      </c>
      <c r="D331" t="s">
        <v>239</v>
      </c>
    </row>
    <row r="332" spans="1:4" x14ac:dyDescent="0.25">
      <c r="B332" t="str">
        <f>HYPERLINK("https://www.chemistwarehouse.com.au/buy/78378/Blackmores-Nail-Hair-and-Skin-Liquid-500mL"," Blackmores Nail Hair and Skin Liquid 500mL")</f>
        <v xml:space="preserve"> Blackmores Nail Hair and Skin Liquid 500mL</v>
      </c>
      <c r="C332" t="s">
        <v>125</v>
      </c>
      <c r="D332" t="s">
        <v>217</v>
      </c>
    </row>
    <row r="333" spans="1:4" x14ac:dyDescent="0.25">
      <c r="B333" t="str">
        <f>HYPERLINK("https://www.chemistwarehouse.com.au/buy/80183/Blackmores-Natural-Vitamin-E-Cream-Firm-amp-Smooth-50g"," Blackmores Natural Vitamin E Cream  Firm &amp; Smooth 50g")</f>
        <v xml:space="preserve"> Blackmores Natural Vitamin E Cream  Firm &amp; Smooth 50g</v>
      </c>
      <c r="C333" t="s">
        <v>228</v>
      </c>
      <c r="D333" t="s">
        <v>119</v>
      </c>
    </row>
    <row r="334" spans="1:4" x14ac:dyDescent="0.25">
      <c r="B334" t="str">
        <f>HYPERLINK("https://www.chemistwarehouse.com.au/buy/80184/Blackmores-Natural-Vitamin-E-Cream-Skin-Barrier-50g"," Blackmores Natural Vitamin E Cream Skin Barrier 50g")</f>
        <v xml:space="preserve"> Blackmores Natural Vitamin E Cream Skin Barrier 50g</v>
      </c>
      <c r="C334" t="s">
        <v>228</v>
      </c>
      <c r="D334" t="s">
        <v>119</v>
      </c>
    </row>
    <row r="335" spans="1:4" x14ac:dyDescent="0.25">
      <c r="A335" t="s">
        <v>294</v>
      </c>
    </row>
    <row r="336" spans="1:4" x14ac:dyDescent="0.25">
      <c r="B336" t="str">
        <f>HYPERLINK("https://www.chemistwarehouse.com.au/buy/50010/Blackmores-Fish-Oil-1000mg-400-Capsules"," Blackmores Fish Oil 1000mg 400 Capsules")</f>
        <v xml:space="preserve"> Blackmores Fish Oil 1000mg 400 Capsules</v>
      </c>
      <c r="C336" t="s">
        <v>109</v>
      </c>
      <c r="D336" t="s">
        <v>295</v>
      </c>
    </row>
    <row r="337" spans="1:4" x14ac:dyDescent="0.25">
      <c r="B337" t="str">
        <f>HYPERLINK("https://www.chemistwarehouse.com.au/buy/66423/Blackmores-Odourless-Fish-Oil-1000mg-Bulk-Pack-500-Capsules"," Blackmores Odourless Fish Oil 1000mg Bulk Pack 500 Capsules")</f>
        <v xml:space="preserve"> Blackmores Odourless Fish Oil 1000mg Bulk Pack 500 Capsules</v>
      </c>
      <c r="C337" t="s">
        <v>10</v>
      </c>
      <c r="D337">
        <v>0</v>
      </c>
    </row>
    <row r="338" spans="1:4" x14ac:dyDescent="0.25">
      <c r="B338" t="str">
        <f>HYPERLINK("https://www.chemistwarehouse.com.au/buy/65960/Blackmores-Omega-Triple-Concentration-Fish-Oil-150-Capsules"," Blackmores Omega Triple Concentration Fish Oil 150 Capsules")</f>
        <v xml:space="preserve"> Blackmores Omega Triple Concentration Fish Oil 150 Capsules</v>
      </c>
      <c r="C338" t="s">
        <v>6</v>
      </c>
      <c r="D338" t="s">
        <v>296</v>
      </c>
    </row>
    <row r="339" spans="1:4" x14ac:dyDescent="0.25">
      <c r="B339" t="str">
        <f>HYPERLINK("https://www.chemistwarehouse.com.au/buy/54175/Blackmores-Odourless-Fish-Oil-1000mg-200-Capsules"," Blackmores Odourless Fish Oil 1000mg 200 Capsules")</f>
        <v xml:space="preserve"> Blackmores Odourless Fish Oil 1000mg 200 Capsules</v>
      </c>
      <c r="C339" t="s">
        <v>105</v>
      </c>
      <c r="D339" t="s">
        <v>232</v>
      </c>
    </row>
    <row r="340" spans="1:4" x14ac:dyDescent="0.25">
      <c r="B340" t="str">
        <f>HYPERLINK("https://www.chemistwarehouse.com.au/buy/42904/Blackmores-Fish-Oil-1000mg-200-Capsules"," Blackmores Fish Oil 1000mg 200 Capsules")</f>
        <v xml:space="preserve"> Blackmores Fish Oil 1000mg 200 Capsules</v>
      </c>
      <c r="C340" t="s">
        <v>58</v>
      </c>
      <c r="D340" t="s">
        <v>169</v>
      </c>
    </row>
    <row r="341" spans="1:4" x14ac:dyDescent="0.25">
      <c r="B341" t="str">
        <f>HYPERLINK("https://www.chemistwarehouse.com.au/buy/65476/Blackmores-Omega-Daily-200-Capsules"," Blackmores Omega Daily 200 Capsules")</f>
        <v xml:space="preserve"> Blackmores Omega Daily 200 Capsules</v>
      </c>
      <c r="C341" t="s">
        <v>113</v>
      </c>
      <c r="D341" t="s">
        <v>164</v>
      </c>
    </row>
    <row r="342" spans="1:4" x14ac:dyDescent="0.25">
      <c r="B342" t="str">
        <f>HYPERLINK("https://www.chemistwarehouse.com.au/buy/55300/Blackmores-Odourless-Fish-Oil-1000mg-400-Capsules"," Blackmores Odourless Fish Oil 1000mg 400 Capsules")</f>
        <v xml:space="preserve"> Blackmores Odourless Fish Oil 1000mg 400 Capsules</v>
      </c>
      <c r="C342" t="s">
        <v>297</v>
      </c>
      <c r="D342" t="s">
        <v>217</v>
      </c>
    </row>
    <row r="343" spans="1:4" x14ac:dyDescent="0.25">
      <c r="B343" t="str">
        <f>HYPERLINK("https://www.chemistwarehouse.com.au/buy/55284/Blackmores-Omega-Daily-90-Capsules"," Blackmores Omega Daily 90 Capsules")</f>
        <v xml:space="preserve"> Blackmores Omega Daily 90 Capsules</v>
      </c>
      <c r="C343" t="s">
        <v>298</v>
      </c>
      <c r="D343" t="s">
        <v>221</v>
      </c>
    </row>
    <row r="344" spans="1:4" x14ac:dyDescent="0.25">
      <c r="B344" t="str">
        <f>HYPERLINK("https://www.chemistwarehouse.com.au/buy/75530/Blackmores-Odourless-Fish-Oil-200-Mini-Capsules"," Blackmores Odourless Fish Oil 200 Mini Capsules")</f>
        <v xml:space="preserve"> Blackmores Odourless Fish Oil 200 Mini Capsules</v>
      </c>
      <c r="C344" t="s">
        <v>63</v>
      </c>
      <c r="D344" t="s">
        <v>235</v>
      </c>
    </row>
    <row r="345" spans="1:4" x14ac:dyDescent="0.25">
      <c r="B345" t="str">
        <f>HYPERLINK("https://www.chemistwarehouse.com.au/buy/75526/Blackmores-Odourless-Fish-Oil-400-Mini-Capsules"," Blackmores Odourless Fish Oil 400 Mini Capsules")</f>
        <v xml:space="preserve"> Blackmores Odourless Fish Oil 400 Mini Capsules</v>
      </c>
      <c r="C345" t="s">
        <v>266</v>
      </c>
      <c r="D345" t="s">
        <v>299</v>
      </c>
    </row>
    <row r="346" spans="1:4" x14ac:dyDescent="0.25">
      <c r="B346" t="str">
        <f>HYPERLINK("https://www.chemistwarehouse.com.au/buy/63399/Blackmores-Odourless-Fish-Oil-Vitamin-D3-200-Capsules"," Blackmores Odourless Fish Oil + Vitamin D3 200 Capsules")</f>
        <v xml:space="preserve"> Blackmores Odourless Fish Oil + Vitamin D3 200 Capsules</v>
      </c>
      <c r="C346" t="s">
        <v>167</v>
      </c>
      <c r="D346" t="s">
        <v>1</v>
      </c>
    </row>
    <row r="347" spans="1:4" x14ac:dyDescent="0.25">
      <c r="A347" t="s">
        <v>300</v>
      </c>
    </row>
    <row r="348" spans="1:4" x14ac:dyDescent="0.25">
      <c r="B348" t="str">
        <f>HYPERLINK("https://www.chemistwarehouse.com.au/buy/66420/Blackmores-Executive-B-Bulk-Pack-250-Tablets"," Blackmores Executive B Bulk Pack 250 Tablets")</f>
        <v xml:space="preserve"> Blackmores Executive B Bulk Pack 250 Tablets</v>
      </c>
      <c r="C348" t="s">
        <v>168</v>
      </c>
      <c r="D348">
        <v>0</v>
      </c>
    </row>
    <row r="349" spans="1:4" x14ac:dyDescent="0.25">
      <c r="B349" t="str">
        <f>HYPERLINK("https://www.chemistwarehouse.com.au/buy/60412/Blackmores-Tranquil-Night-60-Tablets"," Blackmores Tranquil Night 60 Tablets")</f>
        <v xml:space="preserve"> Blackmores Tranquil Night 60 Tablets</v>
      </c>
      <c r="C349" t="s">
        <v>301</v>
      </c>
      <c r="D349" t="s">
        <v>302</v>
      </c>
    </row>
    <row r="350" spans="1:4" x14ac:dyDescent="0.25">
      <c r="B350" t="str">
        <f>HYPERLINK("https://www.chemistwarehouse.com.au/buy/39791/Blackmores-Executive-B-Stress-Formula-62-Tablets"," Blackmores Executive B Stress Formula 62 Tablets")</f>
        <v xml:space="preserve"> Blackmores Executive B Stress Formula 62 Tablets</v>
      </c>
      <c r="C350" t="s">
        <v>117</v>
      </c>
      <c r="D350" t="s">
        <v>118</v>
      </c>
    </row>
    <row r="351" spans="1:4" x14ac:dyDescent="0.25">
      <c r="B351" t="str">
        <f>HYPERLINK("https://www.chemistwarehouse.com.au/buy/31331/Blackmores-Valerian-Forte-2000mg-30-Tablets"," Blackmores Valerian Forte 2000mg 30 Tablets")</f>
        <v xml:space="preserve"> Blackmores Valerian Forte 2000mg 30 Tablets</v>
      </c>
      <c r="C351" t="s">
        <v>187</v>
      </c>
      <c r="D351" t="s">
        <v>64</v>
      </c>
    </row>
    <row r="352" spans="1:4" x14ac:dyDescent="0.25">
      <c r="B352" t="str">
        <f>HYPERLINK("https://www.chemistwarehouse.com.au/buy/40883/Blackmores-Executive-B-Stress-Formula-175-Tablets"," Blackmores Executive B Stress Formula 175 Tablets")</f>
        <v xml:space="preserve"> Blackmores Executive B Stress Formula 175 Tablets</v>
      </c>
      <c r="C352" t="s">
        <v>258</v>
      </c>
      <c r="D352" t="s">
        <v>303</v>
      </c>
    </row>
    <row r="353" spans="1:4" x14ac:dyDescent="0.25">
      <c r="B353" t="str">
        <f>HYPERLINK("https://www.chemistwarehouse.com.au/buy/72274/Blackmores-Sleep-Sound-60-Tablets"," Blackmores Sleep Sound 60 Tablets")</f>
        <v xml:space="preserve"> Blackmores Sleep Sound 60 Tablets</v>
      </c>
      <c r="C353" t="s">
        <v>111</v>
      </c>
      <c r="D353" t="s">
        <v>280</v>
      </c>
    </row>
    <row r="354" spans="1:4" x14ac:dyDescent="0.25">
      <c r="B354" t="str">
        <f>HYPERLINK("https://www.chemistwarehouse.com.au/buy/42578/Blackmores-Executive-B-Stress-Formula-28-Tablets"," Blackmores Executive B Stress Formula 28 Tablets")</f>
        <v xml:space="preserve"> Blackmores Executive B Stress Formula 28 Tablets</v>
      </c>
      <c r="C354" t="s">
        <v>80</v>
      </c>
      <c r="D354" t="s">
        <v>238</v>
      </c>
    </row>
    <row r="355" spans="1:4" x14ac:dyDescent="0.25">
      <c r="B355" t="str">
        <f>HYPERLINK("https://www.chemistwarehouse.com.au/buy/58799/Blackmores-Executive-B-Sleep-Formula-28-Tablets"," Blackmores Executive B Sleep Formula 28 Tablets")</f>
        <v xml:space="preserve"> Blackmores Executive B Sleep Formula 28 Tablets</v>
      </c>
      <c r="C355" t="s">
        <v>304</v>
      </c>
      <c r="D355" t="s">
        <v>305</v>
      </c>
    </row>
    <row r="356" spans="1:4" x14ac:dyDescent="0.25">
      <c r="B356" t="str">
        <f>HYPERLINK("https://www.chemistwarehouse.com.au/buy/60192/Blackmores-Sleep-Sound-Formula-30-Tablets"," Blackmores Sleep Sound Formula 30 Tablets")</f>
        <v xml:space="preserve"> Blackmores Sleep Sound Formula 30 Tablets</v>
      </c>
      <c r="C356" t="s">
        <v>8</v>
      </c>
      <c r="D356" t="s">
        <v>169</v>
      </c>
    </row>
    <row r="357" spans="1:4" x14ac:dyDescent="0.25">
      <c r="B357" t="str">
        <f>HYPERLINK("https://www.chemistwarehouse.com.au/buy/34324/Blackmores-Valerian-Forte-2000mg-60-Tablets"," Blackmores Valerian Forte 2000mg 60 Tablets")</f>
        <v xml:space="preserve"> Blackmores Valerian Forte 2000mg 60 Tablets</v>
      </c>
      <c r="C357" t="s">
        <v>109</v>
      </c>
      <c r="D357" t="s">
        <v>222</v>
      </c>
    </row>
    <row r="358" spans="1:4" x14ac:dyDescent="0.25">
      <c r="B358" t="str">
        <f>HYPERLINK("https://www.chemistwarehouse.com.au/buy/39952/Blackmores-Hyperiforte-St-John-39-s-Wort-1800mg-90-Tablets"," Blackmores Hyperiforte St John's Wort 1800mg 90 Tablets")</f>
        <v xml:space="preserve"> Blackmores Hyperiforte St John's Wort 1800mg 90 Tablets</v>
      </c>
      <c r="C358" t="s">
        <v>166</v>
      </c>
      <c r="D358" t="s">
        <v>299</v>
      </c>
    </row>
    <row r="359" spans="1:4" x14ac:dyDescent="0.25">
      <c r="B359" t="str">
        <f>HYPERLINK("https://www.chemistwarehouse.com.au/buy/48678/Blackmores-Women-39-s-D-Stress-60-Tablets"," Blackmores Women's D Stress 60 Tablets")</f>
        <v xml:space="preserve"> Blackmores Women's D Stress 60 Tablets</v>
      </c>
      <c r="C359" t="s">
        <v>167</v>
      </c>
      <c r="D359" t="s">
        <v>187</v>
      </c>
    </row>
    <row r="360" spans="1:4" x14ac:dyDescent="0.25">
      <c r="A360" t="s">
        <v>306</v>
      </c>
    </row>
    <row r="361" spans="1:4" x14ac:dyDescent="0.25">
      <c r="B361" t="str">
        <f>HYPERLINK("https://www.chemistwarehouse.com.au/buy/58244/Blackmores-Teen-Multi-Brain-Nutrients-for-Girls-60-Capsules"," Blackmores Teen Multi + Brain Nutrients for Girls 60 Capsules")</f>
        <v xml:space="preserve"> Blackmores Teen Multi + Brain Nutrients for Girls 60 Capsules</v>
      </c>
      <c r="C361" t="s">
        <v>1</v>
      </c>
      <c r="D361" t="s">
        <v>235</v>
      </c>
    </row>
    <row r="362" spans="1:4" x14ac:dyDescent="0.25">
      <c r="A362" t="s">
        <v>307</v>
      </c>
    </row>
    <row r="363" spans="1:4" x14ac:dyDescent="0.25">
      <c r="B363" t="str">
        <f>HYPERLINK("https://www.chemistwarehouse.com.au/buy/61715/Blackmores-Sugar-Balance-90-Tablets"," Blackmores Sugar Balance 90 Tablets")</f>
        <v xml:space="preserve"> Blackmores Sugar Balance 90 Tablets</v>
      </c>
      <c r="C363" t="s">
        <v>80</v>
      </c>
      <c r="D363" t="s">
        <v>46</v>
      </c>
    </row>
    <row r="364" spans="1:4" x14ac:dyDescent="0.25">
      <c r="A364" t="s">
        <v>308</v>
      </c>
    </row>
    <row r="365" spans="1:4" x14ac:dyDescent="0.25">
      <c r="B365" t="str">
        <f>HYPERLINK("https://www.chemistwarehouse.com.au/buy/53030/Blackmores-Evening-Primrose-Oil-190-Capsules"," Blackmores Evening Primrose Oil 190 Capsules")</f>
        <v xml:space="preserve"> Blackmores Evening Primrose Oil 190 Capsules</v>
      </c>
      <c r="C365" t="s">
        <v>8</v>
      </c>
      <c r="D365" t="s">
        <v>309</v>
      </c>
    </row>
    <row r="366" spans="1:4" x14ac:dyDescent="0.25">
      <c r="B366" t="str">
        <f>HYPERLINK("https://www.chemistwarehouse.com.au/buy/50953/Blackmores-Pregnancy-and-Breastfeeding-Gold-180-Capsules"," Blackmores Pregnancy and Breastfeeding Gold 180 Capsules")</f>
        <v xml:space="preserve"> Blackmores Pregnancy and Breastfeeding Gold 180 Capsules</v>
      </c>
      <c r="C366" t="s">
        <v>6</v>
      </c>
      <c r="D366" t="s">
        <v>310</v>
      </c>
    </row>
    <row r="367" spans="1:4" x14ac:dyDescent="0.25">
      <c r="B367" t="str">
        <f>HYPERLINK("https://www.chemistwarehouse.com.au/buy/52100/Blackmores-Conceive-Well-Gold-56-Tablets-28-Tablets-28-Capsules"," Blackmores Conceive Well Gold 56 Tablets (28 Tablets + 28 Capsules)")</f>
        <v xml:space="preserve"> Blackmores Conceive Well Gold 56 Tablets (28 Tablets + 28 Capsules)</v>
      </c>
      <c r="C367" t="s">
        <v>125</v>
      </c>
      <c r="D367" t="s">
        <v>311</v>
      </c>
    </row>
    <row r="368" spans="1:4" x14ac:dyDescent="0.25">
      <c r="B368" t="str">
        <f>HYPERLINK("https://www.chemistwarehouse.com.au/buy/66421/Blackmores-Women-39-s-Vitality-Multi-Bulk-Pack-150"," Blackmores Women's Vitality Multi Bulk Pack 150")</f>
        <v xml:space="preserve"> Blackmores Women's Vitality Multi Bulk Pack 150</v>
      </c>
      <c r="C368" t="s">
        <v>258</v>
      </c>
      <c r="D368">
        <v>0</v>
      </c>
    </row>
    <row r="369" spans="1:4" x14ac:dyDescent="0.25">
      <c r="B369" t="str">
        <f>HYPERLINK("https://www.chemistwarehouse.com.au/buy/44786/Blackmores-Vitex-Angus-Castus-40-Tablets"," Blackmores Vitex Angus Castus 40 Tablets")</f>
        <v xml:space="preserve"> Blackmores Vitex Angus Castus 40 Tablets</v>
      </c>
      <c r="C369" t="s">
        <v>58</v>
      </c>
      <c r="D369" t="s">
        <v>104</v>
      </c>
    </row>
    <row r="370" spans="1:4" x14ac:dyDescent="0.25">
      <c r="B370" t="str">
        <f>HYPERLINK("https://www.chemistwarehouse.com.au/buy/31299/Blackmores-Folate-500mcg-90-Tablets"," Blackmores Folate 500mcg 90 Tablets")</f>
        <v xml:space="preserve"> Blackmores Folate 500mcg 90 Tablets</v>
      </c>
      <c r="C370" t="s">
        <v>92</v>
      </c>
      <c r="D370" t="s">
        <v>312</v>
      </c>
    </row>
    <row r="371" spans="1:4" x14ac:dyDescent="0.25">
      <c r="B371" t="str">
        <f>HYPERLINK("https://www.chemistwarehouse.com.au/buy/48078/Blackmores-Women-39-s-Vitality-Multi-50-Tablets"," Blackmores Women's Vitality Multi 50 Tablets")</f>
        <v xml:space="preserve"> Blackmores Women's Vitality Multi 50 Tablets</v>
      </c>
      <c r="C371" t="s">
        <v>173</v>
      </c>
      <c r="D371" t="s">
        <v>223</v>
      </c>
    </row>
    <row r="372" spans="1:4" x14ac:dyDescent="0.25">
      <c r="B372" t="str">
        <f>HYPERLINK("https://www.chemistwarehouse.com.au/buy/53338/Blackmores-Cranberry-15000mg-60-Capsules"," Blackmores Cranberry 15000mg 60 Capsules")</f>
        <v xml:space="preserve"> Blackmores Cranberry 15000mg 60 Capsules</v>
      </c>
      <c r="C372" t="s">
        <v>313</v>
      </c>
      <c r="D372" t="s">
        <v>231</v>
      </c>
    </row>
    <row r="373" spans="1:4" x14ac:dyDescent="0.25">
      <c r="B373" t="str">
        <f>HYPERLINK("https://www.chemistwarehouse.com.au/buy/72598/Blackmores-Menopause-Day-and-Night-Relief-60-Tablets"," Blackmores Menopause Day and Night Relief 60 Tablets")</f>
        <v xml:space="preserve"> Blackmores Menopause Day and Night Relief 60 Tablets</v>
      </c>
      <c r="C373" t="s">
        <v>273</v>
      </c>
      <c r="D373" t="s">
        <v>274</v>
      </c>
    </row>
    <row r="374" spans="1:4" x14ac:dyDescent="0.25">
      <c r="B374" t="str">
        <f>HYPERLINK("https://www.chemistwarehouse.com.au/buy/48035/Blackmores-PMS-Support-Vitamin-B6-240mg-42-Tablets"," Blackmores PMS Support Vitamin B6 240mg 42 Tablets")</f>
        <v xml:space="preserve"> Blackmores PMS Support Vitamin B6 240mg 42 Tablets</v>
      </c>
      <c r="C374" t="s">
        <v>98</v>
      </c>
      <c r="D374" t="s">
        <v>314</v>
      </c>
    </row>
    <row r="375" spans="1:4" x14ac:dyDescent="0.25">
      <c r="B375" t="str">
        <f>HYPERLINK("https://www.chemistwarehouse.com.au/buy/42540/Blackmores-Evening-Primrose-Oil-Fish-Oil-1000mg-100-Capsules"," Blackmores Evening Primrose Oil + Fish Oil 1000mg 100 Capsules")</f>
        <v xml:space="preserve"> Blackmores Evening Primrose Oil + Fish Oil 1000mg 100 Capsules</v>
      </c>
      <c r="C375" t="s">
        <v>218</v>
      </c>
      <c r="D375" t="s">
        <v>315</v>
      </c>
    </row>
    <row r="376" spans="1:4" x14ac:dyDescent="0.25">
      <c r="B376" t="str">
        <f>HYPERLINK("https://www.chemistwarehouse.com.au/buy/49751/Blackmores-I-Folic-150-Tablets"," Blackmores I-Folic 150 Tablets")</f>
        <v xml:space="preserve"> Blackmores I-Folic 150 Tablets</v>
      </c>
      <c r="C376" t="s">
        <v>105</v>
      </c>
      <c r="D376" t="s">
        <v>250</v>
      </c>
    </row>
    <row r="377" spans="1:4" x14ac:dyDescent="0.25">
      <c r="B377" t="str">
        <f>HYPERLINK("https://www.chemistwarehouse.com.au/buy/50409/Blackmores-Pregnancy-and-Breastfeeding-Gold-60-Capsules"," Blackmores Pregnancy and Breastfeeding Gold 60 Capsules")</f>
        <v xml:space="preserve"> Blackmores Pregnancy and Breastfeeding Gold 60 Capsules</v>
      </c>
      <c r="C377" t="s">
        <v>248</v>
      </c>
      <c r="D377" t="s">
        <v>249</v>
      </c>
    </row>
    <row r="378" spans="1:4" x14ac:dyDescent="0.25">
      <c r="B378" t="str">
        <f>HYPERLINK("https://www.chemistwarehouse.com.au/buy/51324/Blackmores-Pregnancy-and-Breastfeeding-Gold-120-Capsules"," Blackmores Pregnancy and Breastfeeding Gold 120 Capsules")</f>
        <v xml:space="preserve"> Blackmores Pregnancy and Breastfeeding Gold 120 Capsules</v>
      </c>
      <c r="C378" t="s">
        <v>216</v>
      </c>
      <c r="D378" t="s">
        <v>295</v>
      </c>
    </row>
    <row r="379" spans="1:4" x14ac:dyDescent="0.25">
      <c r="B379" t="str">
        <f>HYPERLINK("https://www.chemistwarehouse.com.au/buy/74942/Blackmores-Bio-Iron-Advanced-30-Tablets"," Blackmores Bio Iron Advanced 30 Tablets")</f>
        <v xml:space="preserve"> Blackmores Bio Iron Advanced 30 Tablets</v>
      </c>
      <c r="C379" t="s">
        <v>237</v>
      </c>
      <c r="D379" t="s">
        <v>104</v>
      </c>
    </row>
    <row r="380" spans="1:4" x14ac:dyDescent="0.25">
      <c r="B380" t="str">
        <f>HYPERLINK("https://www.chemistwarehouse.com.au/buy/78376/Blackmores-Ultra-Cranberry-50000mg-Liquid-200ml"," Blackmores Ultra Cranberry 50000mg Liquid 200ml")</f>
        <v xml:space="preserve"> Blackmores Ultra Cranberry 50000mg Liquid 200ml</v>
      </c>
      <c r="C380" t="s">
        <v>153</v>
      </c>
      <c r="D380" t="s">
        <v>164</v>
      </c>
    </row>
    <row r="381" spans="1:4" x14ac:dyDescent="0.25">
      <c r="B381" t="str">
        <f>HYPERLINK("https://www.chemistwarehouse.com.au/buy/62589/Blackmores-Women-39-s-Bio-Balance-30-Capsules"," Blackmores Women's Bio Balance 30 Capsules")</f>
        <v xml:space="preserve"> Blackmores Women's Bio Balance 30 Capsules</v>
      </c>
      <c r="C381" t="s">
        <v>316</v>
      </c>
      <c r="D381" t="s">
        <v>118</v>
      </c>
    </row>
    <row r="382" spans="1:4" x14ac:dyDescent="0.25">
      <c r="B382" t="str">
        <f>HYPERLINK("https://www.chemistwarehouse.com.au/buy/70735/Blackmores-Pregnancy-Iron-30-Tablets"," Blackmores Pregnancy Iron 30 Tablets")</f>
        <v xml:space="preserve"> Blackmores Pregnancy Iron 30 Tablets</v>
      </c>
      <c r="C382" t="s">
        <v>317</v>
      </c>
      <c r="D382" t="s">
        <v>318</v>
      </c>
    </row>
    <row r="383" spans="1:4" x14ac:dyDescent="0.25">
      <c r="A383" t="s">
        <v>319</v>
      </c>
    </row>
    <row r="384" spans="1:4" x14ac:dyDescent="0.25">
      <c r="B384" t="str">
        <f>HYPERLINK("https://www.chemistwarehouse.com.au/buy/77815/Blackmores-Superfood-Powder-Matcha-Green-Tea-Nature-Boost-Vitamin-B-70g"," Blackmores Superfood Powder Matcha Green Tea + Nature Boost  Vitamin B 70g")</f>
        <v xml:space="preserve"> Blackmores Superfood Powder Matcha Green Tea + Nature Boost  Vitamin B 70g</v>
      </c>
      <c r="C384" t="s">
        <v>187</v>
      </c>
      <c r="D384" t="s">
        <v>162</v>
      </c>
    </row>
    <row r="385" spans="1:4" x14ac:dyDescent="0.25">
      <c r="B385" t="str">
        <f>HYPERLINK("https://www.chemistwarehouse.com.au/buy/77818/Blackmores-Superfood-Powder-Vitality-Super-Greens-Nature-Boost-Antioxidants-100g"," Blackmores Superfood Powder Vitality Super Greens + Nature Boost Antioxidants 100g")</f>
        <v xml:space="preserve"> Blackmores Superfood Powder Vitality Super Greens + Nature Boost Antioxidants 100g</v>
      </c>
      <c r="C385" t="s">
        <v>63</v>
      </c>
      <c r="D385" t="s">
        <v>104</v>
      </c>
    </row>
    <row r="386" spans="1:4" x14ac:dyDescent="0.25">
      <c r="B386" t="str">
        <f>HYPERLINK("https://www.chemistwarehouse.com.au/buy/77819/Blackmores-Superfood-Powder-Wild-Blueberry-Blend-Nature-Boost-Vitamin-C-90g"," Blackmores Superfood Powder Wild Blueberry Blend + Nature Boost Vitamin C  90g")</f>
        <v xml:space="preserve"> Blackmores Superfood Powder Wild Blueberry Blend + Nature Boost Vitamin C  90g</v>
      </c>
      <c r="C386" t="s">
        <v>187</v>
      </c>
      <c r="D386" t="s">
        <v>162</v>
      </c>
    </row>
    <row r="387" spans="1:4" x14ac:dyDescent="0.25">
      <c r="B387" t="str">
        <f>HYPERLINK("https://www.chemistwarehouse.com.au/buy/77816/Blackmores-Superfood-Powder-Organic-Cacao-Nature-Boost-Prebiotics-and-Probiotics-100g"," Blackmores Superfood Powder Organic Cacao + Nature Boost Prebiotics and Probiotics 100g")</f>
        <v xml:space="preserve"> Blackmores Superfood Powder Organic Cacao + Nature Boost Prebiotics and Probiotics 100g</v>
      </c>
      <c r="C387" t="s">
        <v>317</v>
      </c>
      <c r="D387" t="s">
        <v>291</v>
      </c>
    </row>
    <row r="388" spans="1:4" x14ac:dyDescent="0.25">
      <c r="B388" t="str">
        <f>HYPERLINK("https://www.chemistwarehouse.com.au/buy/77817/Blackmores-Superfood-Powder-Raw-Chia-Vital-Nutrients-100g"," Blackmores Superfood Powder Raw Chia Vital Nutrients 100g")</f>
        <v xml:space="preserve"> Blackmores Superfood Powder Raw Chia Vital Nutrients 100g</v>
      </c>
      <c r="C388" t="s">
        <v>317</v>
      </c>
      <c r="D388" t="s">
        <v>291</v>
      </c>
    </row>
    <row r="389" spans="1:4" x14ac:dyDescent="0.25">
      <c r="B389" t="str">
        <f>HYPERLINK("https://www.chemistwarehouse.com.au/buy/77814/Blackmores-Superfood-Powder-Coconut-Water-Nature-Boost-Magnesium-90g"," Blackmores Superfood Powder Coconut Water + Nature Boost Magnesium 90g")</f>
        <v xml:space="preserve"> Blackmores Superfood Powder Coconut Water + Nature Boost Magnesium 90g</v>
      </c>
      <c r="C389" t="s">
        <v>187</v>
      </c>
      <c r="D389" t="s">
        <v>162</v>
      </c>
    </row>
    <row r="390" spans="1:4" x14ac:dyDescent="0.25">
      <c r="A390" t="s">
        <v>320</v>
      </c>
    </row>
    <row r="391" spans="1:4" x14ac:dyDescent="0.25">
      <c r="B391" t="str">
        <f>HYPERLINK("https://www.chemistwarehouse.com.au/buy/82129/Blackmores-Probiotics-Adults-Daily-90-Capsules"," Blackmores Probiotics+ Adults Daily 90 Capsules")</f>
        <v xml:space="preserve"> Blackmores Probiotics+ Adults Daily 90 Capsules</v>
      </c>
      <c r="C391" t="s">
        <v>321</v>
      </c>
      <c r="D391" t="s">
        <v>322</v>
      </c>
    </row>
    <row r="392" spans="1:4" x14ac:dyDescent="0.25">
      <c r="B392" t="str">
        <f>HYPERLINK("https://www.chemistwarehouse.com.au/buy/82130/Blackmores-Probiotics-Bowel-Support-30-x-5g-Sachets"," Blackmores Probiotics+ Bowel Support 30 x 5g Sachets")</f>
        <v xml:space="preserve"> Blackmores Probiotics+ Bowel Support 30 x 5g Sachets</v>
      </c>
      <c r="C392" t="s">
        <v>153</v>
      </c>
      <c r="D392" t="s">
        <v>299</v>
      </c>
    </row>
    <row r="393" spans="1:4" x14ac:dyDescent="0.25">
      <c r="B393" t="str">
        <f>HYPERLINK("https://www.chemistwarehouse.com.au/buy/82131/Blackmores-Probiotics-Eczema-30-Capsules"," Blackmores Probiotics+ Eczema 30 Capsules")</f>
        <v xml:space="preserve"> Blackmores Probiotics+ Eczema 30 Capsules</v>
      </c>
      <c r="C393" t="s">
        <v>63</v>
      </c>
      <c r="D393" t="s">
        <v>274</v>
      </c>
    </row>
    <row r="394" spans="1:4" x14ac:dyDescent="0.25">
      <c r="B394" t="str">
        <f>HYPERLINK("https://www.chemistwarehouse.com.au/buy/82132/Blackmores-Probiotics-Immunity-30-Capsules"," Blackmores Probiotics+ Immunity 30 Capsules")</f>
        <v xml:space="preserve"> Blackmores Probiotics+ Immunity 30 Capsules</v>
      </c>
      <c r="C394" t="s">
        <v>63</v>
      </c>
      <c r="D394" t="s">
        <v>274</v>
      </c>
    </row>
    <row r="395" spans="1:4" x14ac:dyDescent="0.25">
      <c r="B395" t="str">
        <f>HYPERLINK("https://www.chemistwarehouse.com.au/buy/82133/Blackmores-Probiotics-Kids-Daily-30-x-1-3g-Oral-Powder-Sachets"," Blackmores Probiotics+ Kids Daily 30 x 1.3g Oral Powder Sachets")</f>
        <v xml:space="preserve"> Blackmores Probiotics+ Kids Daily 30 x 1.3g Oral Powder Sachets</v>
      </c>
      <c r="C395" t="s">
        <v>61</v>
      </c>
      <c r="D395" t="s">
        <v>164</v>
      </c>
    </row>
    <row r="396" spans="1:4" x14ac:dyDescent="0.25">
      <c r="B396" t="str">
        <f>HYPERLINK("https://www.chemistwarehouse.com.au/buy/82134/Blackmores-Probiotics-Womens-Flora-Balance-30-Capsules"," Blackmores Probiotics+ Womens Flora Balance 30 Capsules")</f>
        <v xml:space="preserve"> Blackmores Probiotics+ Womens Flora Balance 30 Capsules</v>
      </c>
      <c r="C396" t="s">
        <v>1</v>
      </c>
      <c r="D396" t="s">
        <v>299</v>
      </c>
    </row>
    <row r="397" spans="1:4" x14ac:dyDescent="0.25">
      <c r="A397" t="s">
        <v>323</v>
      </c>
    </row>
    <row r="398" spans="1:4" x14ac:dyDescent="0.25">
      <c r="B398" t="str">
        <f>HYPERLINK("https://www.chemistwarehouse.com.au/buy/75990/Healtheries-Milk-Bites-Vanilla-50-Bites-190g"," Healtheries Milk Bites Vanilla 50 Bites 190g")</f>
        <v xml:space="preserve"> Healtheries Milk Bites Vanilla 50 Bites 190g</v>
      </c>
      <c r="C398" t="s">
        <v>324</v>
      </c>
      <c r="D398" t="s">
        <v>325</v>
      </c>
    </row>
    <row r="399" spans="1:4" x14ac:dyDescent="0.25">
      <c r="B399" t="str">
        <f>HYPERLINK("https://www.chemistwarehouse.com.au/buy/75988/Healtheries-Milk-Biscuits-Vanilla-10-Pack-210g"," Healtheries Milk Biscuits Vanilla 10 Pack 210g")</f>
        <v xml:space="preserve"> Healtheries Milk Biscuits Vanilla 10 Pack 210g</v>
      </c>
      <c r="C399" t="s">
        <v>326</v>
      </c>
      <c r="D399" t="s">
        <v>327</v>
      </c>
    </row>
    <row r="400" spans="1:4" x14ac:dyDescent="0.25">
      <c r="B400" t="str">
        <f>HYPERLINK("https://www.chemistwarehouse.com.au/buy/75989/Healtheries-Milk-Bites-Strawberry-50-Bites-190g"," Healtheries Milk Bites Strawberry 50 Bites 190g")</f>
        <v xml:space="preserve"> Healtheries Milk Bites Strawberry 50 Bites 190g</v>
      </c>
      <c r="C400" t="s">
        <v>324</v>
      </c>
      <c r="D400" t="s">
        <v>325</v>
      </c>
    </row>
    <row r="401" spans="2:4" x14ac:dyDescent="0.25">
      <c r="B401" t="str">
        <f>HYPERLINK("https://www.chemistwarehouse.com.au/buy/79303/Healtheries-Milk-Bites-Banana-50-Bites-190g"," Healtheries Milk Bites Banana 50 Bites 190g")</f>
        <v xml:space="preserve"> Healtheries Milk Bites Banana 50 Bites 190g</v>
      </c>
      <c r="C401" t="s">
        <v>324</v>
      </c>
      <c r="D401" t="s">
        <v>325</v>
      </c>
    </row>
    <row r="402" spans="2:4" x14ac:dyDescent="0.25">
      <c r="B402" t="str">
        <f>HYPERLINK("https://www.chemistwarehouse.com.au/buy/79304/Healtheries-Milk-Bites-New-Zealand-Honey-50-Bites-190g-Online-Only"," Healtheries Milk Bites New Zealand Honey 50 Bites 190g Online Only")</f>
        <v xml:space="preserve"> Healtheries Milk Bites New Zealand Honey 50 Bites 190g Online Only</v>
      </c>
      <c r="C402" t="s">
        <v>324</v>
      </c>
      <c r="D402" t="s">
        <v>325</v>
      </c>
    </row>
    <row r="403" spans="2:4" x14ac:dyDescent="0.25">
      <c r="B403" t="str">
        <f>HYPERLINK("https://www.chemistwarehouse.com.au/buy/75585/Healtheries-Pacific-Ocean-Shark-Cartilage-750mg-250-Capsules"," Healtheries Pacific Ocean Shark Cartilage 750mg 250 Capsules")</f>
        <v xml:space="preserve"> Healtheries Pacific Ocean Shark Cartilage 750mg 250 Capsules</v>
      </c>
      <c r="C403" t="s">
        <v>328</v>
      </c>
      <c r="D403" t="s">
        <v>93</v>
      </c>
    </row>
    <row r="404" spans="2:4" x14ac:dyDescent="0.25">
      <c r="B404" t="str">
        <f>HYPERLINK("https://www.chemistwarehouse.com.au/buy/75986/Healtheries-Milk-Biscuits-Banana-10-Pack-210g"," Healtheries Milk Biscuits Banana 10 Pack 210g")</f>
        <v xml:space="preserve"> Healtheries Milk Biscuits Banana 10 Pack 210g</v>
      </c>
      <c r="C404" t="s">
        <v>326</v>
      </c>
      <c r="D404" t="s">
        <v>327</v>
      </c>
    </row>
    <row r="405" spans="2:4" x14ac:dyDescent="0.25">
      <c r="B405" t="str">
        <f>HYPERLINK("https://www.chemistwarehouse.com.au/buy/75987/Healtheries-Milk-Biscuits-Chocolate-10-Pack-210g"," Healtheries Milk Biscuits Chocolate 10 Pack 210g")</f>
        <v xml:space="preserve"> Healtheries Milk Biscuits Chocolate 10 Pack 210g</v>
      </c>
      <c r="C405" t="s">
        <v>326</v>
      </c>
      <c r="D405" t="s">
        <v>327</v>
      </c>
    </row>
    <row r="406" spans="2:4" x14ac:dyDescent="0.25">
      <c r="B406" t="str">
        <f>HYPERLINK("https://www.chemistwarehouse.com.au/buy/75586/Healtheries-Triple-Strength-Omega-3-150-Capsules"," Healtheries Triple Strength Omega 3 150 Capsules")</f>
        <v xml:space="preserve"> Healtheries Triple Strength Omega 3 150 Capsules</v>
      </c>
      <c r="C406" t="s">
        <v>258</v>
      </c>
      <c r="D406" t="s">
        <v>165</v>
      </c>
    </row>
    <row r="407" spans="2:4" x14ac:dyDescent="0.25">
      <c r="B407" t="str">
        <f>HYPERLINK("https://www.chemistwarehouse.com.au/buy/75991/Healtheries-Goats-Milk-Powder-450g"," Healtheries Goats Milk Powder 450g")</f>
        <v xml:space="preserve"> Healtheries Goats Milk Powder 450g</v>
      </c>
      <c r="C407" t="s">
        <v>10</v>
      </c>
      <c r="D407" t="s">
        <v>145</v>
      </c>
    </row>
    <row r="408" spans="2:4" x14ac:dyDescent="0.25">
      <c r="B408" t="str">
        <f>HYPERLINK("https://www.chemistwarehouse.com.au/buy/75577/Healtheries-Evening-Primrose-Oil-1000mg-180-Capsules"," Healtheries Evening Primrose Oil 1000mg 180 Capsules")</f>
        <v xml:space="preserve"> Healtheries Evening Primrose Oil 1000mg 180 Capsules</v>
      </c>
      <c r="C408" t="s">
        <v>298</v>
      </c>
      <c r="D408" t="s">
        <v>329</v>
      </c>
    </row>
    <row r="409" spans="2:4" x14ac:dyDescent="0.25">
      <c r="B409" t="str">
        <f>HYPERLINK("https://www.chemistwarehouse.com.au/buy/75579/Healtheries-Glucosamine-1500-Condroitin-MSM-180-Tablets"," Healtheries Glucosamine 1500 Condroitin MSM 180 Tablets")</f>
        <v xml:space="preserve"> Healtheries Glucosamine 1500 Condroitin MSM 180 Tablets</v>
      </c>
      <c r="C409" t="s">
        <v>330</v>
      </c>
      <c r="D409" t="s">
        <v>155</v>
      </c>
    </row>
    <row r="410" spans="2:4" x14ac:dyDescent="0.25">
      <c r="B410" t="str">
        <f>HYPERLINK("https://www.chemistwarehouse.com.au/buy/75580/Healtheries-Grape-Seed-50000-Max-120-Capsules"," Healtheries Grape Seed 50000 Max 120 Capsules")</f>
        <v xml:space="preserve"> Healtheries Grape Seed 50000 Max 120 Capsules</v>
      </c>
      <c r="C410" t="s">
        <v>331</v>
      </c>
      <c r="D410" t="s">
        <v>332</v>
      </c>
    </row>
    <row r="411" spans="2:4" x14ac:dyDescent="0.25">
      <c r="B411" t="str">
        <f>HYPERLINK("https://www.chemistwarehouse.com.au/buy/75581/Healtheries-High-Strength-Royal-Jelly-220-Capsules"," Healtheries High Strength Royal Jelly 220 Capsules")</f>
        <v xml:space="preserve"> Healtheries High Strength Royal Jelly 220 Capsules</v>
      </c>
      <c r="C411" t="s">
        <v>333</v>
      </c>
      <c r="D411" t="s">
        <v>157</v>
      </c>
    </row>
    <row r="412" spans="2:4" x14ac:dyDescent="0.25">
      <c r="B412" t="str">
        <f>HYPERLINK("https://www.chemistwarehouse.com.au/buy/75583/Healtheries-Liver-Guard-35000-Complex-100-Capsules"," Healtheries Liver Guard 35000 Complex 100 Capsules")</f>
        <v xml:space="preserve"> Healtheries Liver Guard 35000 Complex 100 Capsules</v>
      </c>
      <c r="C412" t="s">
        <v>334</v>
      </c>
      <c r="D412" t="s">
        <v>157</v>
      </c>
    </row>
    <row r="413" spans="2:4" x14ac:dyDescent="0.25">
      <c r="B413" t="str">
        <f>HYPERLINK("https://www.chemistwarehouse.com.au/buy/75584/Healtheries-New-Zealand-Squalene-Forte-1200-120-Capsules"," Healtheries New Zealand Squalene Forte 1200 120 Capsules")</f>
        <v xml:space="preserve"> Healtheries New Zealand Squalene Forte 1200 120 Capsules</v>
      </c>
      <c r="C413" t="s">
        <v>335</v>
      </c>
      <c r="D413" t="s">
        <v>336</v>
      </c>
    </row>
    <row r="414" spans="2:4" x14ac:dyDescent="0.25">
      <c r="B414" t="str">
        <f>HYPERLINK("https://www.chemistwarehouse.com.au/buy/75574/Healtheries-Bilberry-10000-Complex-Advanced-60-Tablets"," Healtheries Bilberry 10000 Complex Advanced 60 Tablets")</f>
        <v xml:space="preserve"> Healtheries Bilberry 10000 Complex Advanced 60 Tablets</v>
      </c>
      <c r="C414" t="s">
        <v>110</v>
      </c>
      <c r="D414" t="s">
        <v>337</v>
      </c>
    </row>
    <row r="415" spans="2:4" x14ac:dyDescent="0.25">
      <c r="B415" t="str">
        <f>HYPERLINK("https://www.chemistwarehouse.com.au/buy/75576/Healtheries-Deer-Velvet-amp-Siberian-Ginseng-60-Capsules"," Healtheries Deer Velvet &amp; Siberian Ginseng 60 Capsules")</f>
        <v xml:space="preserve"> Healtheries Deer Velvet &amp; Siberian Ginseng 60 Capsules</v>
      </c>
      <c r="C415" t="s">
        <v>258</v>
      </c>
      <c r="D415" t="s">
        <v>165</v>
      </c>
    </row>
    <row r="416" spans="2:4" x14ac:dyDescent="0.25">
      <c r="B416" t="str">
        <f>HYPERLINK("https://www.chemistwarehouse.com.au/buy/75582/Healtheries-Lecithin-1500mg-Max-200-Capsules"," Healtheries Lecithin 1500mg Max 200 Capsules")</f>
        <v xml:space="preserve"> Healtheries Lecithin 1500mg Max 200 Capsules</v>
      </c>
      <c r="C416" t="s">
        <v>338</v>
      </c>
      <c r="D416" t="s">
        <v>152</v>
      </c>
    </row>
    <row r="417" spans="1:4" x14ac:dyDescent="0.25">
      <c r="A417" t="s">
        <v>339</v>
      </c>
    </row>
    <row r="418" spans="1:4" x14ac:dyDescent="0.25">
      <c r="B418" t="str">
        <f>HYPERLINK("https://www.chemistwarehouse.com.au/buy/64168/Ethical-Nutrients-Gastro-Relief-30-Capsules"," Ethical Nutrients Gastro Relief 30 Capsules")</f>
        <v xml:space="preserve"> Ethical Nutrients Gastro Relief 30 Capsules</v>
      </c>
      <c r="C418" t="s">
        <v>227</v>
      </c>
      <c r="D418" t="s">
        <v>340</v>
      </c>
    </row>
    <row r="419" spans="1:4" x14ac:dyDescent="0.25">
      <c r="B419" t="str">
        <f>HYPERLINK("https://www.chemistwarehouse.com.au/buy/64174/Ethical-Nutrients-Travel-Bug-30-Capsules"," Ethical Nutrients Travel Bug 30 Capsules")</f>
        <v xml:space="preserve"> Ethical Nutrients Travel Bug 30 Capsules</v>
      </c>
      <c r="C419" t="s">
        <v>161</v>
      </c>
      <c r="D419" t="s">
        <v>93</v>
      </c>
    </row>
    <row r="420" spans="1:4" x14ac:dyDescent="0.25">
      <c r="B420" t="str">
        <f>HYPERLINK("https://www.chemistwarehouse.com.au/buy/65059/Ethical-Nutrients-Eczema-Relief-60-Capsules"," Ethical Nutrients Eczema Relief 60 Capsules")</f>
        <v xml:space="preserve"> Ethical Nutrients Eczema Relief 60 Capsules</v>
      </c>
      <c r="C420" t="s">
        <v>163</v>
      </c>
      <c r="D420" t="s">
        <v>341</v>
      </c>
    </row>
    <row r="421" spans="1:4" x14ac:dyDescent="0.25">
      <c r="B421" t="str">
        <f>HYPERLINK("https://www.chemistwarehouse.com.au/buy/49531/Ethical-Nutrients-IBS-Support-30-Capsules"," Ethical Nutrients IBS Support 30 Capsules")</f>
        <v xml:space="preserve"> Ethical Nutrients IBS Support 30 Capsules</v>
      </c>
      <c r="C421" t="s">
        <v>10</v>
      </c>
      <c r="D421" t="s">
        <v>93</v>
      </c>
    </row>
    <row r="422" spans="1:4" x14ac:dyDescent="0.25">
      <c r="B422" t="str">
        <f>HYPERLINK("https://www.chemistwarehouse.com.au/buy/51479/Ethical-Nutrients-IBS-Support-90-Capsules"," Ethical Nutrients IBS Support 90 Capsules")</f>
        <v xml:space="preserve"> Ethical Nutrients IBS Support 90 Capsules</v>
      </c>
      <c r="C422" t="s">
        <v>288</v>
      </c>
      <c r="D422" t="s">
        <v>342</v>
      </c>
    </row>
    <row r="423" spans="1:4" x14ac:dyDescent="0.25">
      <c r="B423" t="str">
        <f>HYPERLINK("https://www.chemistwarehouse.com.au/buy/60575/Ethical-Nutrients-Eczema-Shield-100g-Powder"," Ethical Nutrients Eczema Shield 100g Powder")</f>
        <v xml:space="preserve"> Ethical Nutrients Eczema Shield 100g Powder</v>
      </c>
      <c r="C423" t="s">
        <v>6</v>
      </c>
      <c r="D423" t="s">
        <v>343</v>
      </c>
    </row>
    <row r="424" spans="1:4" x14ac:dyDescent="0.25">
      <c r="A424" t="s">
        <v>344</v>
      </c>
    </row>
    <row r="425" spans="1:4" x14ac:dyDescent="0.25">
      <c r="B425" t="str">
        <f>HYPERLINK("https://www.chemistwarehouse.com.au/buy/61295/Ethical-Nutrients-Hi-Strength-Liquid-Fish-Oil-280mL"," Ethical Nutrients Hi Strength Liquid Fish Oil 280mL")</f>
        <v xml:space="preserve"> Ethical Nutrients Hi Strength Liquid Fish Oil 280mL</v>
      </c>
      <c r="C425" t="s">
        <v>345</v>
      </c>
      <c r="D425" t="s">
        <v>346</v>
      </c>
    </row>
    <row r="426" spans="1:4" x14ac:dyDescent="0.25">
      <c r="B426" t="str">
        <f>HYPERLINK("https://www.chemistwarehouse.com.au/buy/60237/Ethical-Nutrients-Hi-Strength-Fish-Oil-120-Capsules"," Ethical Nutrients Hi Strength Fish Oil 120 Capsules")</f>
        <v xml:space="preserve"> Ethical Nutrients Hi Strength Fish Oil 120 Capsules</v>
      </c>
      <c r="C426" t="s">
        <v>258</v>
      </c>
      <c r="D426" t="s">
        <v>347</v>
      </c>
    </row>
    <row r="427" spans="1:4" x14ac:dyDescent="0.25">
      <c r="B427" t="str">
        <f>HYPERLINK("https://www.chemistwarehouse.com.au/buy/66214/Ethical-Nutrients-Hi-Strength-Liquid-Fish-Oil-Fresh-Mint-280ml"," Ethical Nutrients Hi Strength Liquid Fish Oil Fresh Mint 280ml")</f>
        <v xml:space="preserve"> Ethical Nutrients Hi Strength Liquid Fish Oil Fresh Mint 280ml</v>
      </c>
      <c r="C427" t="s">
        <v>345</v>
      </c>
      <c r="D427" t="s">
        <v>346</v>
      </c>
    </row>
    <row r="428" spans="1:4" x14ac:dyDescent="0.25">
      <c r="B428" t="str">
        <f>HYPERLINK("https://www.chemistwarehouse.com.au/buy/66858/Ethical-Nutrients-Hi-Strength-Liquid-Fish-Oil-Fresh-Mint-170ml"," Ethical Nutrients Hi Strength Liquid Fish Oil Fresh Mint 170ml")</f>
        <v xml:space="preserve"> Ethical Nutrients Hi Strength Liquid Fish Oil Fresh Mint 170ml</v>
      </c>
      <c r="C428" t="s">
        <v>273</v>
      </c>
      <c r="D428" t="s">
        <v>81</v>
      </c>
    </row>
    <row r="429" spans="1:4" x14ac:dyDescent="0.25">
      <c r="B429" t="str">
        <f>HYPERLINK("https://www.chemistwarehouse.com.au/buy/80472/Ethical-Nutrients-Hi-Strength-Fish-Oil-220-Capsules"," Ethical Nutrients Hi Strength Fish Oil 220 Capsules")</f>
        <v xml:space="preserve"> Ethical Nutrients Hi Strength Fish Oil 220 Capsules</v>
      </c>
      <c r="C429" t="s">
        <v>330</v>
      </c>
      <c r="D429" t="s">
        <v>71</v>
      </c>
    </row>
    <row r="430" spans="1:4" x14ac:dyDescent="0.25">
      <c r="B430" t="str">
        <f>HYPERLINK("https://www.chemistwarehouse.com.au/buy/56504/Ethical-Nutrients-Hi-Strength-Liquid-Fish-Oil-170ml"," Ethical Nutrients Hi Strength Liquid Fish Oil 170ml")</f>
        <v xml:space="preserve"> Ethical Nutrients Hi Strength Liquid Fish Oil 170ml</v>
      </c>
      <c r="C430" t="s">
        <v>273</v>
      </c>
      <c r="D430" t="s">
        <v>81</v>
      </c>
    </row>
    <row r="431" spans="1:4" x14ac:dyDescent="0.25">
      <c r="A431" t="s">
        <v>348</v>
      </c>
    </row>
    <row r="432" spans="1:4" x14ac:dyDescent="0.25">
      <c r="B432" t="str">
        <f>HYPERLINK("https://www.chemistwarehouse.com.au/buy/54179/Ethical-Nutrients-Zinc-Maintain-60-Tablets"," Ethical Nutrients Zinc Maintain 60 Tablets")</f>
        <v xml:space="preserve"> Ethical Nutrients Zinc Maintain 60 Tablets</v>
      </c>
      <c r="C432" t="s">
        <v>202</v>
      </c>
      <c r="D432" t="s">
        <v>349</v>
      </c>
    </row>
    <row r="433" spans="1:4" x14ac:dyDescent="0.25">
      <c r="B433" t="str">
        <f>HYPERLINK("https://www.chemistwarehouse.com.au/buy/71440/Ethical-Nutrients-Daily-D-90-Capsules"," Ethical Nutrients Daily D 90 Capsules")</f>
        <v xml:space="preserve"> Ethical Nutrients Daily D 90 Capsules</v>
      </c>
      <c r="C433" t="s">
        <v>80</v>
      </c>
      <c r="D433" t="s">
        <v>145</v>
      </c>
    </row>
    <row r="434" spans="1:4" x14ac:dyDescent="0.25">
      <c r="B434" t="str">
        <f>HYPERLINK("https://www.chemistwarehouse.com.au/buy/64173/Ethical-Nutrients-Iron-Max-30-Capsules"," Ethical Nutrients Iron Max 30 Capsules")</f>
        <v xml:space="preserve"> Ethical Nutrients Iron Max 30 Capsules</v>
      </c>
      <c r="C434" t="s">
        <v>98</v>
      </c>
      <c r="D434" t="s">
        <v>154</v>
      </c>
    </row>
    <row r="435" spans="1:4" x14ac:dyDescent="0.25">
      <c r="B435" t="str">
        <f>HYPERLINK("https://www.chemistwarehouse.com.au/buy/62973/Ethical-Nutrients-Ethi-Cal-Bone-Builder-with-Vitamin-D-Powder-150g"," Ethical Nutrients Ethi Cal Bone Builder with Vitamin D Powder 150g")</f>
        <v xml:space="preserve"> Ethical Nutrients Ethi Cal Bone Builder with Vitamin D Powder 150g</v>
      </c>
      <c r="C435" t="s">
        <v>161</v>
      </c>
      <c r="D435" t="s">
        <v>93</v>
      </c>
    </row>
    <row r="436" spans="1:4" x14ac:dyDescent="0.25">
      <c r="B436" t="str">
        <f>HYPERLINK("https://www.chemistwarehouse.com.au/buy/63386/Ethical-Nutrients-Zinc-Fix-Raspberry-95g-Powder"," Ethical Nutrients Zinc Fix Raspberry 95g Powder")</f>
        <v xml:space="preserve"> Ethical Nutrients Zinc Fix Raspberry 95g Powder</v>
      </c>
      <c r="C436" t="s">
        <v>8</v>
      </c>
      <c r="D436" t="s">
        <v>350</v>
      </c>
    </row>
    <row r="437" spans="1:4" x14ac:dyDescent="0.25">
      <c r="B437" t="str">
        <f>HYPERLINK("https://www.chemistwarehouse.com.au/buy/62833/Ethical-Nutrients-Ethi-Cal-Bone-Builder-with-Vitamin-D-120-Tablets"," Ethical Nutrients Ethi Cal Bone Builder with Vitamin D 120 Tablets")</f>
        <v xml:space="preserve"> Ethical Nutrients Ethi Cal Bone Builder with Vitamin D 120 Tablets</v>
      </c>
      <c r="C437" t="s">
        <v>216</v>
      </c>
      <c r="D437" t="s">
        <v>341</v>
      </c>
    </row>
    <row r="438" spans="1:4" x14ac:dyDescent="0.25">
      <c r="B438" t="str">
        <f>HYPERLINK("https://www.chemistwarehouse.com.au/buy/42722/Ethical-Nutrients-Zinc-Fix-Orange-95g-Powder"," Ethical Nutrients Zinc Fix Orange 95g Powder")</f>
        <v xml:space="preserve"> Ethical Nutrients Zinc Fix Orange 95g Powder</v>
      </c>
      <c r="C438" t="s">
        <v>8</v>
      </c>
      <c r="D438" t="s">
        <v>350</v>
      </c>
    </row>
    <row r="439" spans="1:4" x14ac:dyDescent="0.25">
      <c r="A439" t="s">
        <v>351</v>
      </c>
    </row>
    <row r="440" spans="1:4" x14ac:dyDescent="0.25">
      <c r="B440" t="str">
        <f>HYPERLINK("https://www.chemistwarehouse.com.au/buy/80473/Ethical-Nutrients-Immune-Defence-60-Tablets"," Ethical Nutrients Immune Defence 60 Tablets")</f>
        <v xml:space="preserve"> Ethical Nutrients Immune Defence 60 Tablets</v>
      </c>
      <c r="C440" t="s">
        <v>111</v>
      </c>
      <c r="D440" t="s">
        <v>347</v>
      </c>
    </row>
    <row r="441" spans="1:4" x14ac:dyDescent="0.25">
      <c r="B441" t="str">
        <f>HYPERLINK("https://www.chemistwarehouse.com.au/buy/63387/Ethical-Nutrients-Lysine-Viral-Cold-Sore-Defence-60-Tablets"," Ethical Nutrients Lysine Viral Cold Sore Defence 60 Tablets")</f>
        <v xml:space="preserve"> Ethical Nutrients Lysine Viral Cold Sore Defence 60 Tablets</v>
      </c>
      <c r="C441" t="s">
        <v>279</v>
      </c>
      <c r="D441" t="s">
        <v>352</v>
      </c>
    </row>
    <row r="442" spans="1:4" x14ac:dyDescent="0.25">
      <c r="B442" t="str">
        <f>HYPERLINK("https://www.chemistwarehouse.com.au/buy/63394/Ethical-Nutrients-Lysine-Viral-Cold-Sore-Defence-30-Tablets"," Ethical Nutrients Lysine Viral Cold Sore Defence 30 Tablets")</f>
        <v xml:space="preserve"> Ethical Nutrients Lysine Viral Cold Sore Defence 30 Tablets</v>
      </c>
      <c r="C442" t="s">
        <v>202</v>
      </c>
      <c r="D442" t="s">
        <v>349</v>
      </c>
    </row>
    <row r="443" spans="1:4" x14ac:dyDescent="0.25">
      <c r="B443" t="str">
        <f>HYPERLINK("https://www.chemistwarehouse.com.au/buy/72663/Ethical-Nutrients-Extra-C-Zingles"," Ethical Nutrients Extra C Zingles")</f>
        <v xml:space="preserve"> Ethical Nutrients Extra C Zingles</v>
      </c>
      <c r="C443" t="s">
        <v>187</v>
      </c>
      <c r="D443" t="s">
        <v>157</v>
      </c>
    </row>
    <row r="444" spans="1:4" x14ac:dyDescent="0.25">
      <c r="B444" t="str">
        <f>HYPERLINK("https://www.chemistwarehouse.com.au/buy/80469/Ethical-Nutrients-Extra-C-100g-Powder"," Ethical Nutrients Extra C 100g Powder")</f>
        <v xml:space="preserve"> Ethical Nutrients Extra C 100g Powder</v>
      </c>
      <c r="C444" t="s">
        <v>303</v>
      </c>
      <c r="D444" t="s">
        <v>235</v>
      </c>
    </row>
    <row r="445" spans="1:4" x14ac:dyDescent="0.25">
      <c r="B445" t="str">
        <f>HYPERLINK("https://www.chemistwarehouse.com.au/buy/80470/Ethical-Nutrients-Extra-C-60-Tablets"," Ethical Nutrients Extra C 60 Tablets")</f>
        <v xml:space="preserve"> Ethical Nutrients Extra C 60 Tablets</v>
      </c>
      <c r="C445" t="s">
        <v>309</v>
      </c>
      <c r="D445" t="s">
        <v>353</v>
      </c>
    </row>
    <row r="446" spans="1:4" x14ac:dyDescent="0.25">
      <c r="B446" t="str">
        <f>HYPERLINK("https://www.chemistwarehouse.com.au/buy/80474/Ethical-Nutrients-Sinus-and-Hayfever-Relief-60-Capsules"," Ethical Nutrients Sinus and Hayfever Relief 60 Capsules")</f>
        <v xml:space="preserve"> Ethical Nutrients Sinus and Hayfever Relief 60 Capsules</v>
      </c>
      <c r="C446" t="s">
        <v>227</v>
      </c>
      <c r="D446" t="s">
        <v>223</v>
      </c>
    </row>
    <row r="447" spans="1:4" x14ac:dyDescent="0.25">
      <c r="B447" t="str">
        <f>HYPERLINK("https://www.chemistwarehouse.com.au/buy/80475/Ethical-Nutrients-Super-Multi-Plus-30"," Ethical Nutrients Super Multi Plus 30")</f>
        <v xml:space="preserve"> Ethical Nutrients Super Multi Plus 30</v>
      </c>
      <c r="C447" t="s">
        <v>167</v>
      </c>
      <c r="D447" t="s">
        <v>191</v>
      </c>
    </row>
    <row r="448" spans="1:4" x14ac:dyDescent="0.25">
      <c r="B448" t="str">
        <f>HYPERLINK("https://www.chemistwarehouse.com.au/buy/80476/Ethical-Nutrients-Zinc-Maintain-120-Tablets"," Ethical Nutrients Zinc Maintain 120 Tablets")</f>
        <v xml:space="preserve"> Ethical Nutrients Zinc Maintain 120 Tablets</v>
      </c>
      <c r="C448" t="s">
        <v>125</v>
      </c>
      <c r="D448" t="s">
        <v>354</v>
      </c>
    </row>
    <row r="449" spans="1:4" x14ac:dyDescent="0.25">
      <c r="B449" t="str">
        <f>HYPERLINK("https://www.chemistwarehouse.com.au/buy/80477/Ethical-Nutrients-Zinc-Test-Liquid-100mL"," Ethical Nutrients Zinc Test Liquid 100mL")</f>
        <v xml:space="preserve"> Ethical Nutrients Zinc Test Liquid 100mL</v>
      </c>
      <c r="C449" t="s">
        <v>167</v>
      </c>
      <c r="D449" t="s">
        <v>355</v>
      </c>
    </row>
    <row r="450" spans="1:4" x14ac:dyDescent="0.25">
      <c r="B450" t="str">
        <f>HYPERLINK("https://www.chemistwarehouse.com.au/buy/60461/Ethical-Nutrients-Immune-Defence-Cough-amp-Cold-Relief-30-Tablets"," Ethical Nutrients Immune Defence Cough &amp; Cold Relief 30 Tablets")</f>
        <v xml:space="preserve"> Ethical Nutrients Immune Defence Cough &amp; Cold Relief 30 Tablets</v>
      </c>
      <c r="C450" t="s">
        <v>298</v>
      </c>
      <c r="D450" t="s">
        <v>356</v>
      </c>
    </row>
    <row r="451" spans="1:4" x14ac:dyDescent="0.25">
      <c r="A451" t="s">
        <v>357</v>
      </c>
    </row>
    <row r="452" spans="1:4" x14ac:dyDescent="0.25">
      <c r="B452" t="str">
        <f>HYPERLINK("https://www.chemistwarehouse.com.au/buy/67923/Ethical-Nutrients-Cholestrienol-30-Capsules"," Ethical Nutrients Cholestrienol 30 Capsules")</f>
        <v xml:space="preserve"> Ethical Nutrients Cholestrienol 30 Capsules</v>
      </c>
      <c r="C452" t="s">
        <v>279</v>
      </c>
      <c r="D452" t="s">
        <v>352</v>
      </c>
    </row>
    <row r="453" spans="1:4" x14ac:dyDescent="0.25">
      <c r="B453" t="str">
        <f>HYPERLINK("https://www.chemistwarehouse.com.au/buy/71443/Ethical-Nutrients-Q10-Absorb-150mg-60-Capsules"," Ethical Nutrients Q10 Absorb 150mg 60 Capsules")</f>
        <v xml:space="preserve"> Ethical Nutrients Q10 Absorb 150mg 60 Capsules</v>
      </c>
      <c r="C453" t="s">
        <v>258</v>
      </c>
      <c r="D453" t="s">
        <v>347</v>
      </c>
    </row>
    <row r="454" spans="1:4" x14ac:dyDescent="0.25">
      <c r="B454" t="str">
        <f>HYPERLINK("https://www.chemistwarehouse.com.au/buy/67811/Ethical-Nutrients-Recharge-amp-Relax-250g"," Ethical Nutrients Recharge &amp; Relax 250g")</f>
        <v xml:space="preserve"> Ethical Nutrients Recharge &amp; Relax 250g</v>
      </c>
      <c r="C454" t="s">
        <v>273</v>
      </c>
      <c r="D454" t="s">
        <v>81</v>
      </c>
    </row>
    <row r="455" spans="1:4" x14ac:dyDescent="0.25">
      <c r="A455" t="s">
        <v>358</v>
      </c>
    </row>
    <row r="456" spans="1:4" x14ac:dyDescent="0.25">
      <c r="B456" t="str">
        <f>HYPERLINK("https://www.chemistwarehouse.com.au/buy/64797/Ethical-Nutrients-Super-B-Daily-Stress-60-Tablets"," Ethical Nutrients Super B Daily Stress + 60 Tablets")</f>
        <v xml:space="preserve"> Ethical Nutrients Super B Daily Stress + 60 Tablets</v>
      </c>
      <c r="C456" t="s">
        <v>279</v>
      </c>
      <c r="D456" t="s">
        <v>352</v>
      </c>
    </row>
    <row r="457" spans="1:4" x14ac:dyDescent="0.25">
      <c r="B457" t="str">
        <f>HYPERLINK("https://www.chemistwarehouse.com.au/buy/80471/Ethical-Nutrients-Ginseng-5-Exhaustion-Relief-60-Capsules"," Ethical Nutrients Ginseng-5 Exhaustion Relief 60 Capsules")</f>
        <v xml:space="preserve"> Ethical Nutrients Ginseng-5 Exhaustion Relief 60 Capsules</v>
      </c>
      <c r="C457" t="s">
        <v>110</v>
      </c>
      <c r="D457" t="s">
        <v>359</v>
      </c>
    </row>
    <row r="458" spans="1:4" x14ac:dyDescent="0.25">
      <c r="A458" t="s">
        <v>360</v>
      </c>
    </row>
    <row r="459" spans="1:4" x14ac:dyDescent="0.25">
      <c r="B459" t="str">
        <f>HYPERLINK("https://www.chemistwarehouse.com.au/buy/55065/Ethical-Nutrients-Digestion-Plus-90-Tablets"," Ethical Nutrients Digestion Plus 90 Tablets")</f>
        <v xml:space="preserve"> Ethical Nutrients Digestion Plus 90 Tablets</v>
      </c>
      <c r="C459" t="s">
        <v>303</v>
      </c>
      <c r="D459" t="s">
        <v>235</v>
      </c>
    </row>
    <row r="460" spans="1:4" x14ac:dyDescent="0.25">
      <c r="B460" t="str">
        <f>HYPERLINK("https://www.chemistwarehouse.com.au/buy/63395/Ethical-Nutrients-Chromium-Sugar-Balance-60-Capsules"," Ethical Nutrients Chromium Sugar Balance 60 Capsules")</f>
        <v xml:space="preserve"> Ethical Nutrients Chromium Sugar Balance 60 Capsules</v>
      </c>
      <c r="C460" t="s">
        <v>153</v>
      </c>
      <c r="D460" t="s">
        <v>361</v>
      </c>
    </row>
    <row r="461" spans="1:4" x14ac:dyDescent="0.25">
      <c r="B461" t="str">
        <f>HYPERLINK("https://www.chemistwarehouse.com.au/buy/64795/Ethical-Nutrients-Liver-Detox-amp-Support-30-Tablets"," Ethical Nutrients Liver Detox &amp; Support 30 Tablets")</f>
        <v xml:space="preserve"> Ethical Nutrients Liver Detox &amp; Support 30 Tablets</v>
      </c>
      <c r="C461" t="s">
        <v>153</v>
      </c>
      <c r="D461" t="s">
        <v>361</v>
      </c>
    </row>
    <row r="462" spans="1:4" x14ac:dyDescent="0.25">
      <c r="A462" t="s">
        <v>362</v>
      </c>
    </row>
    <row r="463" spans="1:4" x14ac:dyDescent="0.25">
      <c r="B463" t="str">
        <f>HYPERLINK("https://www.chemistwarehouse.com.au/buy/63392/Ethical-Nutrients-Super-Multi-Plus-60-Tablets"," Ethical Nutrients Super Multi Plus 60 Tablets")</f>
        <v xml:space="preserve"> Ethical Nutrients Super Multi Plus 60 Tablets</v>
      </c>
      <c r="C463" t="s">
        <v>279</v>
      </c>
      <c r="D463" t="s">
        <v>93</v>
      </c>
    </row>
    <row r="464" spans="1:4" x14ac:dyDescent="0.25">
      <c r="B464" t="str">
        <f>HYPERLINK("https://www.chemistwarehouse.com.au/buy/64175/Ethical-Nutrients-Resveratrol-Age-Defence-30-Tablets"," Ethical Nutrients Resveratrol Age Defence 30 Tablets")</f>
        <v xml:space="preserve"> Ethical Nutrients Resveratrol Age Defence 30 Tablets</v>
      </c>
      <c r="C464" t="s">
        <v>163</v>
      </c>
      <c r="D464" t="s">
        <v>363</v>
      </c>
    </row>
    <row r="465" spans="1:4" x14ac:dyDescent="0.25">
      <c r="A465" t="s">
        <v>364</v>
      </c>
    </row>
    <row r="466" spans="1:4" x14ac:dyDescent="0.25">
      <c r="B466" t="str">
        <f>HYPERLINK("https://www.chemistwarehouse.com.au/buy/49521/Ethical-Nutrients-Urinary-Tract-Support-Tablets-90"," Ethical Nutrients Urinary Tract Support Tablets 90")</f>
        <v xml:space="preserve"> Ethical Nutrients Urinary Tract Support Tablets 90</v>
      </c>
      <c r="C466" t="s">
        <v>365</v>
      </c>
      <c r="D466" t="s">
        <v>356</v>
      </c>
    </row>
    <row r="467" spans="1:4" x14ac:dyDescent="0.25">
      <c r="B467" t="str">
        <f>HYPERLINK("https://www.chemistwarehouse.com.au/buy/50609/Ethical-Nutrients-Urinary-Tract-Support-180-Tablets"," Ethical Nutrients Urinary Tract Support 180 Tablets")</f>
        <v xml:space="preserve"> Ethical Nutrients Urinary Tract Support 180 Tablets</v>
      </c>
      <c r="C467" t="s">
        <v>166</v>
      </c>
      <c r="D467" t="s">
        <v>81</v>
      </c>
    </row>
    <row r="468" spans="1:4" x14ac:dyDescent="0.25">
      <c r="B468" t="str">
        <f>HYPERLINK("https://www.chemistwarehouse.com.au/buy/59428/Ethical-Nutrients-Hot-Flush-Fix-60-Tablets"," Ethical Nutrients Hot Flush Fix 60 Tablets")</f>
        <v xml:space="preserve"> Ethical Nutrients Hot Flush Fix 60 Tablets</v>
      </c>
      <c r="C468" t="s">
        <v>163</v>
      </c>
      <c r="D468" t="s">
        <v>363</v>
      </c>
    </row>
    <row r="469" spans="1:4" x14ac:dyDescent="0.25">
      <c r="B469" t="str">
        <f>HYPERLINK("https://www.chemistwarehouse.com.au/buy/64798/Ethical-Nutrients-Tribulus-Male-Performance-120-Capsules"," Ethical Nutrients Tribulus Male Performance 120 Capsules")</f>
        <v xml:space="preserve"> Ethical Nutrients Tribulus Male Performance 120 Capsules</v>
      </c>
      <c r="C469" t="s">
        <v>6</v>
      </c>
      <c r="D469" t="s">
        <v>343</v>
      </c>
    </row>
    <row r="470" spans="1:4" x14ac:dyDescent="0.25">
      <c r="A470" t="s">
        <v>366</v>
      </c>
    </row>
    <row r="471" spans="1:4" x14ac:dyDescent="0.25">
      <c r="B471" t="str">
        <f>HYPERLINK("https://www.chemistwarehouse.com.au/buy/80215/Ethical-Nutrients-Mega-Magnesium-240-Tablets"," Ethical Nutrients Mega Magnesium 240 Tablets")</f>
        <v xml:space="preserve"> Ethical Nutrients Mega Magnesium 240 Tablets</v>
      </c>
      <c r="C471" t="s">
        <v>255</v>
      </c>
      <c r="D471" t="s">
        <v>9</v>
      </c>
    </row>
    <row r="472" spans="1:4" x14ac:dyDescent="0.25">
      <c r="B472" t="str">
        <f>HYPERLINK("https://www.chemistwarehouse.com.au/buy/66826/Ethical-Nutrients-Mega-Magnesium-60-Tablets"," Ethical Nutrients Mega Magnesium 60 Tablets")</f>
        <v xml:space="preserve"> Ethical Nutrients Mega Magnesium 60 Tablets</v>
      </c>
      <c r="C472" t="s">
        <v>63</v>
      </c>
      <c r="D472" t="s">
        <v>157</v>
      </c>
    </row>
    <row r="473" spans="1:4" x14ac:dyDescent="0.25">
      <c r="B473" t="str">
        <f>HYPERLINK("https://www.chemistwarehouse.com.au/buy/71441/Ethical-Nutrients-Mega-Magnesium-120-Tablets"," Ethical Nutrients Mega Magnesium 120 Tablets ")</f>
        <v xml:space="preserve"> Ethical Nutrients Mega Magnesium 120 Tablets </v>
      </c>
      <c r="C473" t="s">
        <v>6</v>
      </c>
      <c r="D473" t="s">
        <v>367</v>
      </c>
    </row>
    <row r="474" spans="1:4" x14ac:dyDescent="0.25">
      <c r="B474" t="str">
        <f>HYPERLINK("https://www.chemistwarehouse.com.au/buy/63382/Ethical-Nutrients-Mega-Magnesium-200g-Powder"," Ethical Nutrients Mega Magnesium 200g Powder")</f>
        <v xml:space="preserve"> Ethical Nutrients Mega Magnesium 200g Powder</v>
      </c>
      <c r="C474" t="s">
        <v>6</v>
      </c>
      <c r="D474" t="s">
        <v>368</v>
      </c>
    </row>
    <row r="475" spans="1:4" x14ac:dyDescent="0.25">
      <c r="B475" t="str">
        <f>HYPERLINK("https://www.chemistwarehouse.com.au/buy/80217/Ethical-Nutrients-Mega-Magnesium-Powder-Raspberry-450g"," Ethical Nutrients Mega Magnesium Powder Raspberry 450g")</f>
        <v xml:space="preserve"> Ethical Nutrients Mega Magnesium Powder Raspberry 450g</v>
      </c>
      <c r="C475" t="s">
        <v>276</v>
      </c>
      <c r="D475" t="s">
        <v>369</v>
      </c>
    </row>
    <row r="476" spans="1:4" x14ac:dyDescent="0.25">
      <c r="B476" t="str">
        <f>HYPERLINK("https://www.chemistwarehouse.com.au/buy/72517/Ethical-Nutrients-Mega-Magnesium-Powder-Citrus-200g"," Ethical Nutrients Mega Magnesium Powder Citrus 200g")</f>
        <v xml:space="preserve"> Ethical Nutrients Mega Magnesium Powder Citrus 200g</v>
      </c>
      <c r="C476" t="s">
        <v>6</v>
      </c>
      <c r="D476" t="s">
        <v>368</v>
      </c>
    </row>
    <row r="477" spans="1:4" x14ac:dyDescent="0.25">
      <c r="B477" t="str">
        <f>HYPERLINK("https://www.chemistwarehouse.com.au/buy/80216/Ethical-Nutrients-Mega-Magnesium-Powder-Citrus-450g"," Ethical Nutrients Mega Magnesium Powder Citrus 450g")</f>
        <v xml:space="preserve"> Ethical Nutrients Mega Magnesium Powder Citrus 450g</v>
      </c>
      <c r="C477" t="s">
        <v>276</v>
      </c>
      <c r="D477" t="s">
        <v>369</v>
      </c>
    </row>
    <row r="478" spans="1:4" x14ac:dyDescent="0.25">
      <c r="A478" t="s">
        <v>370</v>
      </c>
    </row>
    <row r="479" spans="1:4" x14ac:dyDescent="0.25">
      <c r="B479" t="str">
        <f>HYPERLINK("https://www.chemistwarehouse.com.au/buy/64197/Centrum-Advance-50-100-Tablets"," Centrum Advance 50+ 100 Tablets")</f>
        <v xml:space="preserve"> Centrum Advance 50+ 100 Tablets</v>
      </c>
      <c r="C479" t="s">
        <v>63</v>
      </c>
      <c r="D479" t="s">
        <v>64</v>
      </c>
    </row>
    <row r="480" spans="1:4" x14ac:dyDescent="0.25">
      <c r="B480" t="str">
        <f>HYPERLINK("https://www.chemistwarehouse.com.au/buy/70081/Centrum-Advance-50-200-Tablets"," Centrum Advance 50+ 200 Tablets")</f>
        <v xml:space="preserve"> Centrum Advance 50+ 200 Tablets</v>
      </c>
      <c r="C480" t="s">
        <v>6</v>
      </c>
      <c r="D480" t="s">
        <v>93</v>
      </c>
    </row>
    <row r="481" spans="1:4" x14ac:dyDescent="0.25">
      <c r="B481" t="str">
        <f>HYPERLINK("https://www.chemistwarehouse.com.au/buy/70080/Centrum-Advance-200-Tablets"," Centrum Advance 200 Tablets")</f>
        <v xml:space="preserve"> Centrum Advance 200 Tablets</v>
      </c>
      <c r="C481" t="s">
        <v>6</v>
      </c>
      <c r="D481" t="s">
        <v>93</v>
      </c>
    </row>
    <row r="482" spans="1:4" x14ac:dyDescent="0.25">
      <c r="B482" t="str">
        <f>HYPERLINK("https://www.chemistwarehouse.com.au/buy/40585/Centrum-Kids-Multi-Vitamin-60-Strawberry-Tablets"," Centrum Kids Multi Vitamin 60 Strawberry Tablets")</f>
        <v xml:space="preserve"> Centrum Kids Multi Vitamin 60 Strawberry Tablets</v>
      </c>
      <c r="C482" t="s">
        <v>80</v>
      </c>
      <c r="D482" t="s">
        <v>371</v>
      </c>
    </row>
    <row r="483" spans="1:4" x14ac:dyDescent="0.25">
      <c r="B483" t="str">
        <f>HYPERLINK("https://www.chemistwarehouse.com.au/buy/68513/Centrum-For-Men-90-Tablets-Exclusive-Size"," Centrum For Men 90 Tablets Exclusive Size ")</f>
        <v xml:space="preserve"> Centrum For Men 90 Tablets Exclusive Size </v>
      </c>
      <c r="C483" t="s">
        <v>61</v>
      </c>
      <c r="D483">
        <v>0</v>
      </c>
    </row>
    <row r="484" spans="1:4" x14ac:dyDescent="0.25">
      <c r="B484" t="str">
        <f>HYPERLINK("https://www.chemistwarehouse.com.au/buy/64196/Centrum-Advance-100-Tablets"," Centrum Advance 100 Tablets")</f>
        <v xml:space="preserve"> Centrum Advance 100 Tablets</v>
      </c>
      <c r="C484" t="s">
        <v>63</v>
      </c>
      <c r="D484" t="s">
        <v>64</v>
      </c>
    </row>
    <row r="485" spans="1:4" x14ac:dyDescent="0.25">
      <c r="B485" t="str">
        <f>HYPERLINK("https://www.chemistwarehouse.com.au/buy/70121/Centrum-For-Women-50-90-Tablets"," Centrum For Women 50+ 90 Tablets")</f>
        <v xml:space="preserve"> Centrum For Women 50+ 90 Tablets</v>
      </c>
      <c r="C485" t="s">
        <v>61</v>
      </c>
      <c r="D485" t="s">
        <v>283</v>
      </c>
    </row>
    <row r="486" spans="1:4" x14ac:dyDescent="0.25">
      <c r="B486" t="str">
        <f>HYPERLINK("https://www.chemistwarehouse.com.au/buy/68514/Centrum-For-Women-90-Tablets-Exclusive-Size"," Centrum For Women 90 Tablets Exclusive Size ")</f>
        <v xml:space="preserve"> Centrum For Women 90 Tablets Exclusive Size </v>
      </c>
      <c r="C486" t="s">
        <v>61</v>
      </c>
      <c r="D486">
        <v>0</v>
      </c>
    </row>
    <row r="487" spans="1:4" x14ac:dyDescent="0.25">
      <c r="B487" t="str">
        <f>HYPERLINK("https://www.chemistwarehouse.com.au/buy/74916/Centrum-Specialist-Energy-60-Tables"," Centrum Specialist Energy 60 Tables")</f>
        <v xml:space="preserve"> Centrum Specialist Energy 60 Tables</v>
      </c>
      <c r="C487" t="s">
        <v>1</v>
      </c>
      <c r="D487" t="s">
        <v>115</v>
      </c>
    </row>
    <row r="488" spans="1:4" x14ac:dyDescent="0.25">
      <c r="B488" t="str">
        <f>HYPERLINK("https://www.chemistwarehouse.com.au/buy/82105/Centrum-Vitamints-120"," Centrum Vitamints 120")</f>
        <v xml:space="preserve"> Centrum Vitamints 120</v>
      </c>
      <c r="C488" t="s">
        <v>237</v>
      </c>
      <c r="D488" t="s">
        <v>169</v>
      </c>
    </row>
    <row r="489" spans="1:4" x14ac:dyDescent="0.25">
      <c r="B489" t="str">
        <f>HYPERLINK("https://www.chemistwarehouse.com.au/buy/82106/Centrum-Vitamints-60"," Centrum Vitamints 60")</f>
        <v xml:space="preserve"> Centrum Vitamints 60</v>
      </c>
      <c r="C489" t="s">
        <v>45</v>
      </c>
      <c r="D489" t="s">
        <v>115</v>
      </c>
    </row>
    <row r="490" spans="1:4" x14ac:dyDescent="0.25">
      <c r="B490" t="str">
        <f>HYPERLINK("https://www.chemistwarehouse.com.au/buy/64161/Centrum-Advance-30-Tablets"," Centrum Advance 30 Tablets")</f>
        <v xml:space="preserve"> Centrum Advance 30 Tablets</v>
      </c>
      <c r="C490" t="s">
        <v>32</v>
      </c>
      <c r="D490" t="s">
        <v>371</v>
      </c>
    </row>
    <row r="491" spans="1:4" x14ac:dyDescent="0.25">
      <c r="B491" t="str">
        <f>HYPERLINK("https://www.chemistwarehouse.com.au/buy/64162/Centrum-Advance-50-30-Tablets"," Centrum Advance 50+ 30 Tablets")</f>
        <v xml:space="preserve"> Centrum Advance 50+ 30 Tablets</v>
      </c>
      <c r="C491" t="s">
        <v>32</v>
      </c>
      <c r="D491" t="s">
        <v>371</v>
      </c>
    </row>
    <row r="492" spans="1:4" x14ac:dyDescent="0.25">
      <c r="B492" t="str">
        <f>HYPERLINK("https://www.chemistwarehouse.com.au/buy/70122/Centrum-For-Men-50-90-Tablets"," Centrum For Men 50+ 90 Tablets")</f>
        <v xml:space="preserve"> Centrum For Men 50+ 90 Tablets</v>
      </c>
      <c r="C492" t="s">
        <v>61</v>
      </c>
      <c r="D492" t="s">
        <v>283</v>
      </c>
    </row>
    <row r="493" spans="1:4" x14ac:dyDescent="0.25">
      <c r="B493" t="str">
        <f>HYPERLINK("https://www.chemistwarehouse.com.au/buy/78931/Centrum-Multi-Gummies-Adult-150-Gummies"," Centrum Multi Gummies Adult 150 Gummies")</f>
        <v xml:space="preserve"> Centrum Multi Gummies Adult 150 Gummies</v>
      </c>
      <c r="C493" t="s">
        <v>46</v>
      </c>
      <c r="D493">
        <v>0</v>
      </c>
    </row>
    <row r="494" spans="1:4" x14ac:dyDescent="0.25">
      <c r="B494" t="str">
        <f>HYPERLINK("https://www.chemistwarehouse.com.au/buy/75644/Centrum-Specialist-Vision-60-Tablets"," Centrum Specialist Vision 60 Tablets")</f>
        <v xml:space="preserve"> Centrum Specialist Vision 60 Tablets</v>
      </c>
      <c r="C494" t="s">
        <v>112</v>
      </c>
      <c r="D494" t="s">
        <v>116</v>
      </c>
    </row>
    <row r="495" spans="1:4" x14ac:dyDescent="0.25">
      <c r="A495" t="s">
        <v>372</v>
      </c>
    </row>
    <row r="496" spans="1:4" x14ac:dyDescent="0.25">
      <c r="B496" t="str">
        <f>HYPERLINK("https://www.chemistwarehouse.com.au/buy/67035/Bioglan-Active-Magnesium-1000mg-150-Tablets"," Bioglan Active Magnesium 1000mg 150 Tablets")</f>
        <v xml:space="preserve"> Bioglan Active Magnesium 1000mg 150 Tablets</v>
      </c>
      <c r="C496" t="s">
        <v>1</v>
      </c>
      <c r="D496" t="s">
        <v>160</v>
      </c>
    </row>
    <row r="497" spans="1:4" x14ac:dyDescent="0.25">
      <c r="B497" t="str">
        <f>HYPERLINK("https://www.chemistwarehouse.com.au/buy/58922/Bioglan-Glucosamine-1500mg-200-tablets"," Bioglan Glucosamine 1500mg 200 tablets ")</f>
        <v xml:space="preserve"> Bioglan Glucosamine 1500mg 200 tablets </v>
      </c>
      <c r="C497" t="s">
        <v>61</v>
      </c>
      <c r="D497" t="s">
        <v>373</v>
      </c>
    </row>
    <row r="498" spans="1:4" x14ac:dyDescent="0.25">
      <c r="B498" t="str">
        <f>HYPERLINK("https://www.chemistwarehouse.com.au/buy/77620/Bioglan-Glucosamine-Chondroitin-Turmeric-120-Tablets"," Bioglan Glucosamine + Chondroitin + Turmeric 120 Tablets")</f>
        <v xml:space="preserve"> Bioglan Glucosamine + Chondroitin + Turmeric 120 Tablets</v>
      </c>
      <c r="C498" t="s">
        <v>166</v>
      </c>
      <c r="D498" t="s">
        <v>167</v>
      </c>
    </row>
    <row r="499" spans="1:4" x14ac:dyDescent="0.25">
      <c r="B499" t="str">
        <f>HYPERLINK("https://www.chemistwarehouse.com.au/buy/81318/Bioglan-Zinc-Plus-Magnesium-90-Capsules"," Bioglan Zinc Plus Magnesium 90 Capsules")</f>
        <v xml:space="preserve"> Bioglan Zinc Plus Magnesium 90 Capsules</v>
      </c>
      <c r="C499" t="s">
        <v>279</v>
      </c>
      <c r="D499" t="s">
        <v>343</v>
      </c>
    </row>
    <row r="500" spans="1:4" x14ac:dyDescent="0.25">
      <c r="B500" t="str">
        <f>HYPERLINK("https://www.chemistwarehouse.com.au/buy/81569/Bioglan-Tart-Cherry-2500mg-100-Tablets"," Bioglan Tart Cherry 2500mg 100 Tablets")</f>
        <v xml:space="preserve"> Bioglan Tart Cherry 2500mg 100 Tablets</v>
      </c>
      <c r="C500" t="s">
        <v>202</v>
      </c>
      <c r="D500" t="s">
        <v>157</v>
      </c>
    </row>
    <row r="501" spans="1:4" x14ac:dyDescent="0.25">
      <c r="A501" t="s">
        <v>374</v>
      </c>
    </row>
    <row r="502" spans="1:4" x14ac:dyDescent="0.25">
      <c r="B502" t="str">
        <f>HYPERLINK("https://www.chemistwarehouse.com.au/buy/55309/Bioglan-One-A-Day-Vitamin-C-1000mg-50-Tablets"," Bioglan One-A-Day Vitamin C 1000mg 50 Tablets")</f>
        <v xml:space="preserve"> Bioglan One-A-Day Vitamin C 1000mg 50 Tablets</v>
      </c>
      <c r="C502" t="s">
        <v>212</v>
      </c>
      <c r="D502" t="s">
        <v>332</v>
      </c>
    </row>
    <row r="503" spans="1:4" x14ac:dyDescent="0.25">
      <c r="B503" t="str">
        <f>HYPERLINK("https://www.chemistwarehouse.com.au/buy/54427/Bioglan-Throat-Clear-Honey-amp-Lemon-20-Lozenges"," Bioglan Throat Clear Honey &amp; Lemon 20 Lozenges")</f>
        <v xml:space="preserve"> Bioglan Throat Clear Honey &amp; Lemon 20 Lozenges</v>
      </c>
      <c r="C503" t="s">
        <v>375</v>
      </c>
      <c r="D503" t="s">
        <v>376</v>
      </c>
    </row>
    <row r="504" spans="1:4" x14ac:dyDescent="0.25">
      <c r="B504" t="str">
        <f>HYPERLINK("https://www.chemistwarehouse.com.au/buy/41080/Bioglan-Throat-Clear-20-Lozenges"," Bioglan Throat Clear 20 Lozenges")</f>
        <v xml:space="preserve"> Bioglan Throat Clear 20 Lozenges</v>
      </c>
      <c r="C504" t="s">
        <v>375</v>
      </c>
      <c r="D504" t="s">
        <v>376</v>
      </c>
    </row>
    <row r="505" spans="1:4" x14ac:dyDescent="0.25">
      <c r="B505" t="str">
        <f>HYPERLINK("https://www.chemistwarehouse.com.au/buy/81261/Bioglan-Immunity-Gummies-140-Gummies"," Bioglan Immunity Gummies 140 Gummies")</f>
        <v xml:space="preserve"> Bioglan Immunity Gummies 140 Gummies</v>
      </c>
      <c r="C505" t="s">
        <v>8</v>
      </c>
      <c r="D505" t="s">
        <v>155</v>
      </c>
    </row>
    <row r="506" spans="1:4" x14ac:dyDescent="0.25">
      <c r="A506" t="s">
        <v>377</v>
      </c>
    </row>
    <row r="507" spans="1:4" x14ac:dyDescent="0.25">
      <c r="B507" t="str">
        <f>HYPERLINK("https://www.chemistwarehouse.com.au/buy/77299/Bioglan-Bio-Happy-Liver-Detox-120-Tablets"," Bioglan Bio Happy Liver Detox 120 Tablets")</f>
        <v xml:space="preserve"> Bioglan Bio Happy Liver Detox 120 Tablets</v>
      </c>
      <c r="C507" t="s">
        <v>187</v>
      </c>
      <c r="D507" t="s">
        <v>378</v>
      </c>
    </row>
    <row r="508" spans="1:4" x14ac:dyDescent="0.25">
      <c r="B508" t="str">
        <f>HYPERLINK("https://www.chemistwarehouse.com.au/buy/59558/Bioglan-Bio-Happy-IBS-Support-50-Tablets"," Bioglan Bio Happy IBS Support 50 Tablets")</f>
        <v xml:space="preserve"> Bioglan Bio Happy IBS Support 50 Tablets</v>
      </c>
      <c r="C508" t="s">
        <v>161</v>
      </c>
      <c r="D508" t="s">
        <v>155</v>
      </c>
    </row>
    <row r="509" spans="1:4" x14ac:dyDescent="0.25">
      <c r="B509" t="str">
        <f>HYPERLINK("https://www.chemistwarehouse.com.au/buy/77303/Bioglan-Bio-Happy-100B-30-Capsules"," Bioglan Bio Happy 100B 30 Capsules")</f>
        <v xml:space="preserve"> Bioglan Bio Happy 100B 30 Capsules</v>
      </c>
      <c r="C509" t="s">
        <v>276</v>
      </c>
      <c r="D509" t="s">
        <v>341</v>
      </c>
    </row>
    <row r="510" spans="1:4" x14ac:dyDescent="0.25">
      <c r="B510" t="str">
        <f>HYPERLINK("https://www.chemistwarehouse.com.au/buy/64865/Bioglan-Digest-Eze-40-Capsules"," Bioglan Digest Eze 40 Capsules")</f>
        <v xml:space="preserve"> Bioglan Digest Eze 40 Capsules</v>
      </c>
      <c r="C510" t="s">
        <v>58</v>
      </c>
      <c r="D510" t="s">
        <v>159</v>
      </c>
    </row>
    <row r="511" spans="1:4" x14ac:dyDescent="0.25">
      <c r="B511" t="str">
        <f>HYPERLINK("https://www.chemistwarehouse.com.au/buy/66768/Bioglan-Bio-Happy-Probiotic-25B-30-Capsules"," Bioglan Bio Happy Probiotic 25B 30 Capsules")</f>
        <v xml:space="preserve"> Bioglan Bio Happy Probiotic 25B 30 Capsules</v>
      </c>
      <c r="C511" t="s">
        <v>1</v>
      </c>
      <c r="D511" t="s">
        <v>160</v>
      </c>
    </row>
    <row r="512" spans="1:4" x14ac:dyDescent="0.25">
      <c r="B512" t="str">
        <f>HYPERLINK("https://www.chemistwarehouse.com.au/buy/63402/Bioglan-Bio-Happy-Probiotic-50B-30-Capsules"," Bioglan Bio Happy Probiotic 50B 30 Capsules")</f>
        <v xml:space="preserve"> Bioglan Bio Happy Probiotic 50B 30 Capsules</v>
      </c>
      <c r="C512" t="s">
        <v>10</v>
      </c>
      <c r="D512" t="s">
        <v>378</v>
      </c>
    </row>
    <row r="513" spans="1:4" x14ac:dyDescent="0.25">
      <c r="B513" t="str">
        <f>HYPERLINK("https://www.chemistwarehouse.com.au/buy/81263/Bioglan-Digestion-Gummies-90-Gummies"," Bioglan Digestion Gummies 90 Gummies")</f>
        <v xml:space="preserve"> Bioglan Digestion Gummies 90 Gummies</v>
      </c>
      <c r="C513" t="s">
        <v>8</v>
      </c>
      <c r="D513" t="s">
        <v>155</v>
      </c>
    </row>
    <row r="514" spans="1:4" x14ac:dyDescent="0.25">
      <c r="B514" t="str">
        <f>HYPERLINK("https://www.chemistwarehouse.com.au/buy/77305/Bioglan-Bio-Happy-Prebiotic-Fibre-200g"," Bioglan Bio Happy Prebiotic Fibre 200g")</f>
        <v xml:space="preserve"> Bioglan Bio Happy Prebiotic Fibre 200g</v>
      </c>
      <c r="C514" t="s">
        <v>379</v>
      </c>
      <c r="D514" t="s">
        <v>380</v>
      </c>
    </row>
    <row r="515" spans="1:4" x14ac:dyDescent="0.25">
      <c r="A515" t="s">
        <v>381</v>
      </c>
    </row>
    <row r="516" spans="1:4" x14ac:dyDescent="0.25">
      <c r="B516" t="str">
        <f>HYPERLINK("https://www.chemistwarehouse.com.au/buy/69707/Bioglan-Red-Krill-Oil-1000mg-60-Capsules"," Bioglan Red Krill Oil 1000mg 60 Capsules")</f>
        <v xml:space="preserve"> Bioglan Red Krill Oil 1000mg 60 Capsules</v>
      </c>
      <c r="C516" t="s">
        <v>6</v>
      </c>
      <c r="D516" t="s">
        <v>382</v>
      </c>
    </row>
    <row r="517" spans="1:4" x14ac:dyDescent="0.25">
      <c r="B517" t="str">
        <f>HYPERLINK("https://www.chemistwarehouse.com.au/buy/75456/Bioglan-Super-Fish-Oil-2000mg-200-Capsules"," Bioglan Super Fish Oil 2000mg 200 Capsules")</f>
        <v xml:space="preserve"> Bioglan Super Fish Oil 2000mg 200 Capsules</v>
      </c>
      <c r="C517" t="s">
        <v>237</v>
      </c>
      <c r="D517" t="s">
        <v>296</v>
      </c>
    </row>
    <row r="518" spans="1:4" x14ac:dyDescent="0.25">
      <c r="B518" t="str">
        <f>HYPERLINK("https://www.chemistwarehouse.com.au/buy/69708/Bioglan-Red-Krill-Oil-500mg-120-Capsules"," Bioglan Red Krill Oil 500mg 120 Capsules")</f>
        <v xml:space="preserve"> Bioglan Red Krill Oil 500mg 120 Capsules</v>
      </c>
      <c r="C518" t="s">
        <v>123</v>
      </c>
      <c r="D518" t="s">
        <v>383</v>
      </c>
    </row>
    <row r="519" spans="1:4" x14ac:dyDescent="0.25">
      <c r="B519" t="str">
        <f>HYPERLINK("https://www.chemistwarehouse.com.au/buy/75524/Bioglan-Super-Odourless-Fish-Oil-1000-500mg-200-Capsules"," Bioglan Super Odourless Fish Oil 1000/500mg 200 Capsules")</f>
        <v xml:space="preserve"> Bioglan Super Odourless Fish Oil 1000/500mg 200 Capsules</v>
      </c>
      <c r="C519" t="s">
        <v>8</v>
      </c>
      <c r="D519" t="s">
        <v>93</v>
      </c>
    </row>
    <row r="520" spans="1:4" x14ac:dyDescent="0.25">
      <c r="B520" t="str">
        <f>HYPERLINK("https://www.chemistwarehouse.com.au/buy/77293/Bioglan-Calamari-Gold-Krill-50-30-20-Capsules"," Bioglan Calamari Gold + Krill 50 30 + 20 Capsules")</f>
        <v xml:space="preserve"> Bioglan Calamari Gold + Krill 50 30 + 20 Capsules</v>
      </c>
      <c r="C520" t="s">
        <v>167</v>
      </c>
      <c r="D520" t="s">
        <v>384</v>
      </c>
    </row>
    <row r="521" spans="1:4" x14ac:dyDescent="0.25">
      <c r="B521" t="str">
        <f>HYPERLINK("https://www.chemistwarehouse.com.au/buy/77294/Bioglan-Calamari-Gold-1000mg-50-30-20-Capsules"," Bioglan Calamari Gold 1000mg 50 30 + 20 Capsules")</f>
        <v xml:space="preserve"> Bioglan Calamari Gold 1000mg 50 30 + 20 Capsules</v>
      </c>
      <c r="C521" t="s">
        <v>125</v>
      </c>
      <c r="D521" t="s">
        <v>385</v>
      </c>
    </row>
    <row r="522" spans="1:4" x14ac:dyDescent="0.25">
      <c r="B522" t="str">
        <f>HYPERLINK("https://www.chemistwarehouse.com.au/buy/74503/Bioglan-Red-Krill-Oil-Active-Joints-Plus-90-Capsules"," Bioglan Red Krill Oil Active Joints Plus 90 Capsules")</f>
        <v xml:space="preserve"> Bioglan Red Krill Oil Active Joints Plus 90 Capsules</v>
      </c>
      <c r="C522" t="s">
        <v>279</v>
      </c>
      <c r="D522" t="s">
        <v>386</v>
      </c>
    </row>
    <row r="523" spans="1:4" x14ac:dyDescent="0.25">
      <c r="B523" t="str">
        <f>HYPERLINK("https://www.chemistwarehouse.com.au/buy/80492/Bioglan-Red-Krill-Plus-Curcumin-60-Capsules"," Bioglan Red Krill Plus Curcumin 60 Capsules")</f>
        <v xml:space="preserve"> Bioglan Red Krill Plus Curcumin 60 Capsules</v>
      </c>
      <c r="C523" t="s">
        <v>161</v>
      </c>
      <c r="D523" t="s">
        <v>369</v>
      </c>
    </row>
    <row r="524" spans="1:4" x14ac:dyDescent="0.25">
      <c r="B524" t="str">
        <f>HYPERLINK("https://www.chemistwarehouse.com.au/buy/67391/Bioglan-Red-Krill-Oil-Active-Joints-60-Soft-Capsules"," Bioglan Red Krill Oil Active Joints 60 Soft Capsules")</f>
        <v xml:space="preserve"> Bioglan Red Krill Oil Active Joints 60 Soft Capsules</v>
      </c>
      <c r="C524" t="s">
        <v>387</v>
      </c>
      <c r="D524" t="s">
        <v>388</v>
      </c>
    </row>
    <row r="525" spans="1:4" x14ac:dyDescent="0.25">
      <c r="A525" t="s">
        <v>389</v>
      </c>
    </row>
    <row r="526" spans="1:4" x14ac:dyDescent="0.25">
      <c r="B526" t="str">
        <f>HYPERLINK("https://www.chemistwarehouse.com.au/buy/74254/Bioglan-Clinical-Curcumin-60-Tablets"," Bioglan Clinical Curcumin 60 Tablets")</f>
        <v xml:space="preserve"> Bioglan Clinical Curcumin 60 Tablets</v>
      </c>
      <c r="C526" t="s">
        <v>10</v>
      </c>
      <c r="D526" t="s">
        <v>390</v>
      </c>
    </row>
    <row r="527" spans="1:4" x14ac:dyDescent="0.25">
      <c r="B527" t="str">
        <f>HYPERLINK("https://www.chemistwarehouse.com.au/buy/75455/Bioglan-Resveratox-200-50-Tablets"," Bioglan Resveratox 200 50 Tablets")</f>
        <v xml:space="preserve"> Bioglan Resveratox 200 50 Tablets</v>
      </c>
      <c r="C527" t="s">
        <v>10</v>
      </c>
      <c r="D527" t="s">
        <v>341</v>
      </c>
    </row>
    <row r="528" spans="1:4" x14ac:dyDescent="0.25">
      <c r="B528" t="str">
        <f>HYPERLINK("https://www.chemistwarehouse.com.au/buy/76186/Bioglan-Grape-Seed-20000mg-200-Capsules"," Bioglan Grape Seed 20000mg 200 Capsules")</f>
        <v xml:space="preserve"> Bioglan Grape Seed 20000mg 200 Capsules</v>
      </c>
      <c r="C528" t="s">
        <v>187</v>
      </c>
      <c r="D528" t="s">
        <v>391</v>
      </c>
    </row>
    <row r="529" spans="1:4" x14ac:dyDescent="0.25">
      <c r="B529" t="str">
        <f>HYPERLINK("https://www.chemistwarehouse.com.au/buy/80491/Bioglan-Executive-B-Plus-Maca-60-Tablets"," Bioglan Executive B Plus Maca 60 Tablets")</f>
        <v xml:space="preserve"> Bioglan Executive B Plus Maca 60 Tablets</v>
      </c>
      <c r="C529" t="s">
        <v>173</v>
      </c>
      <c r="D529" t="s">
        <v>93</v>
      </c>
    </row>
    <row r="530" spans="1:4" x14ac:dyDescent="0.25">
      <c r="B530" t="str">
        <f>HYPERLINK("https://www.chemistwarehouse.com.au/buy/79234/Bioglan-Natural-Iron-30-Tablets"," Bioglan Natural Iron 30 Tablets")</f>
        <v xml:space="preserve"> Bioglan Natural Iron 30 Tablets</v>
      </c>
      <c r="C530" t="s">
        <v>202</v>
      </c>
      <c r="D530" t="s">
        <v>157</v>
      </c>
    </row>
    <row r="531" spans="1:4" x14ac:dyDescent="0.25">
      <c r="B531" t="str">
        <f>HYPERLINK("https://www.chemistwarehouse.com.au/buy/80490/Bioglan-Curcumin-Plus-Pain-Relief-50-Tablets"," Bioglan Curcumin Plus Pain Relief 50 Tablets")</f>
        <v xml:space="preserve"> Bioglan Curcumin Plus Pain Relief 50 Tablets</v>
      </c>
      <c r="C531" t="s">
        <v>166</v>
      </c>
      <c r="D531" t="s">
        <v>341</v>
      </c>
    </row>
    <row r="532" spans="1:4" x14ac:dyDescent="0.25">
      <c r="B532" t="str">
        <f>HYPERLINK("https://www.chemistwarehouse.com.au/buy/81260/Bioglan-Energy-Multi-Gummies-140-Gummies"," Bioglan Energy Multi Gummies 140 Gummies")</f>
        <v xml:space="preserve"> Bioglan Energy Multi Gummies 140 Gummies</v>
      </c>
      <c r="C532" t="s">
        <v>8</v>
      </c>
      <c r="D532" t="s">
        <v>155</v>
      </c>
    </row>
    <row r="533" spans="1:4" x14ac:dyDescent="0.25">
      <c r="B533" t="str">
        <f>HYPERLINK("https://www.chemistwarehouse.com.au/buy/81262/Bioglan-Beauty-Gummies-70-Gummies"," Bioglan Beauty Gummies 70 Gummies")</f>
        <v xml:space="preserve"> Bioglan Beauty Gummies 70 Gummies</v>
      </c>
      <c r="C533" t="s">
        <v>8</v>
      </c>
      <c r="D533" t="s">
        <v>155</v>
      </c>
    </row>
    <row r="534" spans="1:4" x14ac:dyDescent="0.25">
      <c r="B534" t="str">
        <f>HYPERLINK("https://www.chemistwarehouse.com.au/buy/77619/Bioglan-Lung-Clear-60-Tablets"," Bioglan Lung Clear 60 Tablets")</f>
        <v xml:space="preserve"> Bioglan Lung Clear 60 Tablets</v>
      </c>
      <c r="C534" t="s">
        <v>63</v>
      </c>
      <c r="D534" t="s">
        <v>392</v>
      </c>
    </row>
    <row r="535" spans="1:4" x14ac:dyDescent="0.25">
      <c r="B535" t="str">
        <f>HYPERLINK("https://www.chemistwarehouse.com.au/buy/77301/Bioglan-Bio-Happy-Celery-Seed-Cleanse-60-Capsules"," Bioglan Bio Happy Celery Seed Cleanse 60 Capsules")</f>
        <v xml:space="preserve"> Bioglan Bio Happy Celery Seed Cleanse 60 Capsules</v>
      </c>
      <c r="C535" t="s">
        <v>295</v>
      </c>
      <c r="D535" t="s">
        <v>393</v>
      </c>
    </row>
    <row r="536" spans="1:4" x14ac:dyDescent="0.25">
      <c r="B536" t="str">
        <f>HYPERLINK("https://www.chemistwarehouse.com.au/buy/77302/Bioglan-Bio-Happy-Celery-Seed-Concentrate-750ml"," Bioglan Bio Happy Celery Seed Concentrate 750ml")</f>
        <v xml:space="preserve"> Bioglan Bio Happy Celery Seed Concentrate 750ml</v>
      </c>
      <c r="C536" t="s">
        <v>280</v>
      </c>
      <c r="D536" t="s">
        <v>394</v>
      </c>
    </row>
    <row r="537" spans="1:4" x14ac:dyDescent="0.25">
      <c r="A537" t="s">
        <v>395</v>
      </c>
    </row>
    <row r="538" spans="1:4" x14ac:dyDescent="0.25">
      <c r="B538" t="str">
        <f>HYPERLINK("https://www.chemistwarehouse.com.au/buy/58988/Bioglan-CoQ10-50mg-200-Capsules"," Bioglan CoQ10 50mg 200 Capsules")</f>
        <v xml:space="preserve"> Bioglan CoQ10 50mg 200 Capsules</v>
      </c>
      <c r="C538" t="s">
        <v>279</v>
      </c>
      <c r="D538" t="s">
        <v>155</v>
      </c>
    </row>
    <row r="539" spans="1:4" x14ac:dyDescent="0.25">
      <c r="B539" t="str">
        <f>HYPERLINK("https://www.chemistwarehouse.com.au/buy/82229/Bioglan-Stat-Guard-Forte-60-Capsules"," Bioglan Stat Guard Forte 60 Capsules")</f>
        <v xml:space="preserve"> Bioglan Stat Guard Forte 60 Capsules</v>
      </c>
      <c r="C539" t="s">
        <v>6</v>
      </c>
      <c r="D539" t="s">
        <v>390</v>
      </c>
    </row>
    <row r="540" spans="1:4" x14ac:dyDescent="0.25">
      <c r="A540" t="s">
        <v>396</v>
      </c>
    </row>
    <row r="541" spans="1:4" x14ac:dyDescent="0.25">
      <c r="B541" t="str">
        <f>HYPERLINK("https://www.chemistwarehouse.com.au/buy/65050/Bioglan-Gummies-Girls-Multivitamins-60-Gummies"," Bioglan Gummies Girls Multivitamins 60 Gummies")</f>
        <v xml:space="preserve"> Bioglan Gummies Girls Multivitamins 60 Gummies</v>
      </c>
      <c r="C541" t="s">
        <v>80</v>
      </c>
      <c r="D541" t="s">
        <v>397</v>
      </c>
    </row>
    <row r="542" spans="1:4" x14ac:dyDescent="0.25">
      <c r="B542" t="str">
        <f>HYPERLINK("https://www.chemistwarehouse.com.au/buy/65051/Bioglan-Gummies-Omega-3-Fish-Oil-60-Gummies"," Bioglan Gummies Omega 3 Fish Oil 60 Gummies")</f>
        <v xml:space="preserve"> Bioglan Gummies Omega 3 Fish Oil 60 Gummies</v>
      </c>
      <c r="C542" t="s">
        <v>80</v>
      </c>
      <c r="D542" t="s">
        <v>397</v>
      </c>
    </row>
    <row r="543" spans="1:4" x14ac:dyDescent="0.25">
      <c r="B543" t="str">
        <f>HYPERLINK("https://www.chemistwarehouse.com.au/buy/80303/Bioglan-Kids-Eye-Guard-Chewable-50-Tablets"," Bioglan Kids Eye Guard Chewable 50 Tablets")</f>
        <v xml:space="preserve"> Bioglan Kids Eye Guard Chewable 50 Tablets</v>
      </c>
      <c r="C543" t="s">
        <v>45</v>
      </c>
      <c r="D543" t="s">
        <v>155</v>
      </c>
    </row>
    <row r="544" spans="1:4" x14ac:dyDescent="0.25">
      <c r="B544" t="str">
        <f>HYPERLINK("https://www.chemistwarehouse.com.au/buy/80489/Bioglan-Biohappy-Kids-Probiotic-50g"," Bioglan Biohappy Kids Probiotic 50g")</f>
        <v xml:space="preserve"> Bioglan Biohappy Kids Probiotic 50g</v>
      </c>
      <c r="C544" t="s">
        <v>1</v>
      </c>
      <c r="D544" t="s">
        <v>378</v>
      </c>
    </row>
    <row r="545" spans="1:4" x14ac:dyDescent="0.25">
      <c r="B545" t="str">
        <f>HYPERLINK("https://www.chemistwarehouse.com.au/buy/77323/Bioglan-Kids-Probiotic-Youghurt-Balls-50"," Bioglan Kids Probiotic Youghurt Balls 50")</f>
        <v xml:space="preserve"> Bioglan Kids Probiotic Youghurt Balls 50</v>
      </c>
      <c r="C545" t="s">
        <v>80</v>
      </c>
      <c r="D545" t="s">
        <v>397</v>
      </c>
    </row>
    <row r="546" spans="1:4" x14ac:dyDescent="0.25">
      <c r="B546" t="str">
        <f>HYPERLINK("https://www.chemistwarehouse.com.au/buy/65049/Bioglan-Gummies-Boys-Multivitamins-60-Gummies"," Bioglan Gummies Boys Multivitamins 60 Gummies")</f>
        <v xml:space="preserve"> Bioglan Gummies Boys Multivitamins 60 Gummies</v>
      </c>
      <c r="C546" t="s">
        <v>80</v>
      </c>
      <c r="D546" t="s">
        <v>397</v>
      </c>
    </row>
    <row r="547" spans="1:4" x14ac:dyDescent="0.25">
      <c r="B547" t="str">
        <f>HYPERLINK("https://www.chemistwarehouse.com.au/buy/80488/Bioglan-Biohappy-Baby-Probiotic-50g"," Bioglan Biohappy Baby Probiotic 50g")</f>
        <v xml:space="preserve"> Bioglan Biohappy Baby Probiotic 50g</v>
      </c>
      <c r="C547" t="s">
        <v>1</v>
      </c>
      <c r="D547" t="s">
        <v>378</v>
      </c>
    </row>
    <row r="548" spans="1:4" x14ac:dyDescent="0.25">
      <c r="B548" t="str">
        <f>HYPERLINK("https://www.chemistwarehouse.com.au/buy/65052/Bioglan-Gummies-Probiotic-50-Chocolate-Balls"," Bioglan Gummies Probiotic 50 Chocolate Balls")</f>
        <v xml:space="preserve"> Bioglan Gummies Probiotic 50 Chocolate Balls</v>
      </c>
      <c r="C548" t="s">
        <v>80</v>
      </c>
      <c r="D548" t="s">
        <v>397</v>
      </c>
    </row>
    <row r="549" spans="1:4" x14ac:dyDescent="0.25">
      <c r="A549" t="s">
        <v>398</v>
      </c>
    </row>
    <row r="550" spans="1:4" x14ac:dyDescent="0.25">
      <c r="B550" t="str">
        <f>HYPERLINK("https://www.chemistwarehouse.com.au/buy/77566/Bioglan-Superfoods-Organic-Turmeric-1000mg-100-Tablets"," Bioglan Superfoods Organic Turmeric 1000mg 100 Tablets")</f>
        <v xml:space="preserve"> Bioglan Superfoods Organic Turmeric 1000mg 100 Tablets</v>
      </c>
      <c r="C550" t="s">
        <v>187</v>
      </c>
      <c r="D550" t="s">
        <v>160</v>
      </c>
    </row>
    <row r="551" spans="1:4" x14ac:dyDescent="0.25">
      <c r="B551" t="str">
        <f>HYPERLINK("https://www.chemistwarehouse.com.au/buy/66770/Bioglan-Organic-Chia-Seeds-250g"," Bioglan Organic Chia Seeds 250g")</f>
        <v xml:space="preserve"> Bioglan Organic Chia Seeds 250g</v>
      </c>
      <c r="C551" t="s">
        <v>116</v>
      </c>
      <c r="D551" t="s">
        <v>155</v>
      </c>
    </row>
    <row r="552" spans="1:4" x14ac:dyDescent="0.25">
      <c r="B552" t="str">
        <f>HYPERLINK("https://www.chemistwarehouse.com.au/buy/72899/Bioglan-Superfoods-Maca-100-Tablets"," Bioglan Superfoods Maca 100 Tablets")</f>
        <v xml:space="preserve"> Bioglan Superfoods Maca 100 Tablets</v>
      </c>
      <c r="C552" t="s">
        <v>173</v>
      </c>
      <c r="D552" t="s">
        <v>93</v>
      </c>
    </row>
    <row r="553" spans="1:4" x14ac:dyDescent="0.25">
      <c r="B553" t="str">
        <f>HYPERLINK("https://www.chemistwarehouse.com.au/buy/69398/Bioglan-Organic-Chia-Seeds-500g"," Bioglan Organic Chia Seeds 500g")</f>
        <v xml:space="preserve"> Bioglan Organic Chia Seeds 500g</v>
      </c>
      <c r="C553" t="s">
        <v>45</v>
      </c>
      <c r="D553">
        <v>0</v>
      </c>
    </row>
    <row r="554" spans="1:4" x14ac:dyDescent="0.25">
      <c r="B554" t="str">
        <f>HYPERLINK("https://www.chemistwarehouse.com.au/buy/77311/Bioglan-Superfoods-Coconut-and-Cacao-Bites-48g"," Bioglan Superfoods Coconut and Cacao Bites 48g")</f>
        <v xml:space="preserve"> Bioglan Superfoods Coconut and Cacao Bites 48g</v>
      </c>
      <c r="C554" t="s">
        <v>399</v>
      </c>
      <c r="D554" t="s">
        <v>400</v>
      </c>
    </row>
    <row r="555" spans="1:4" x14ac:dyDescent="0.25">
      <c r="B555" t="str">
        <f>HYPERLINK("https://www.chemistwarehouse.com.au/buy/81977/Bioglan-Superfoods-Organic-Coconut-Oil-1-Litre"," Bioglan Superfoods Organic Coconut Oil 1 Litre")</f>
        <v xml:space="preserve"> Bioglan Superfoods Organic Coconut Oil 1 Litre</v>
      </c>
      <c r="C555" t="s">
        <v>401</v>
      </c>
      <c r="D555" t="s">
        <v>402</v>
      </c>
    </row>
    <row r="556" spans="1:4" x14ac:dyDescent="0.25">
      <c r="B556" t="str">
        <f>HYPERLINK("https://www.chemistwarehouse.com.au/buy/79233/Bioglan-Superfoods-Shot-Turmeric-Plus-500ml"," Bioglan Superfoods Shot Turmeric Plus 500ml")</f>
        <v xml:space="preserve"> Bioglan Superfoods Shot Turmeric Plus 500ml</v>
      </c>
      <c r="C556" t="s">
        <v>8</v>
      </c>
      <c r="D556" t="s">
        <v>155</v>
      </c>
    </row>
    <row r="557" spans="1:4" x14ac:dyDescent="0.25">
      <c r="B557" t="str">
        <f>HYPERLINK("https://www.chemistwarehouse.com.au/buy/72902/Bioglan-Superfoods-Beetroot-100-Tablets"," Bioglan Superfoods Beetroot 100 Tablets")</f>
        <v xml:space="preserve"> Bioglan Superfoods Beetroot 100 Tablets</v>
      </c>
      <c r="C557" t="s">
        <v>167</v>
      </c>
      <c r="D557" t="s">
        <v>340</v>
      </c>
    </row>
    <row r="558" spans="1:4" x14ac:dyDescent="0.25">
      <c r="B558" t="str">
        <f>HYPERLINK("https://www.chemistwarehouse.com.au/buy/72900/Bioglan-Superfoods-Coconut-Oil-100-Capsules"," Bioglan Superfoods Coconut Oil 100 Capsules")</f>
        <v xml:space="preserve"> Bioglan Superfoods Coconut Oil 100 Capsules</v>
      </c>
      <c r="C558" t="s">
        <v>173</v>
      </c>
      <c r="D558" t="s">
        <v>93</v>
      </c>
    </row>
    <row r="559" spans="1:4" x14ac:dyDescent="0.25">
      <c r="B559" t="str">
        <f>HYPERLINK("https://www.chemistwarehouse.com.au/buy/68932/Bioglan-Organic-Coconut-Oil-300g"," Bioglan Organic Coconut Oil 300g")</f>
        <v xml:space="preserve"> Bioglan Organic Coconut Oil 300g</v>
      </c>
      <c r="C559" t="s">
        <v>32</v>
      </c>
      <c r="D559" t="s">
        <v>403</v>
      </c>
    </row>
    <row r="560" spans="1:4" x14ac:dyDescent="0.25">
      <c r="B560" t="str">
        <f>HYPERLINK("https://www.chemistwarehouse.com.au/buy/68933/Bioglan-Superfoods-Shake-10-x-20g"," Bioglan Superfoods Shake 10 x 20g")</f>
        <v xml:space="preserve"> Bioglan Superfoods Shake 10 x 20g</v>
      </c>
      <c r="C560" t="s">
        <v>404</v>
      </c>
      <c r="D560" t="s">
        <v>405</v>
      </c>
    </row>
    <row r="561" spans="1:4" x14ac:dyDescent="0.25">
      <c r="B561" t="str">
        <f>HYPERLINK("https://www.chemistwarehouse.com.au/buy/69394/Bioglan-Organic-Maca-Powder-100g"," Bioglan Organic Maca Powder 100g")</f>
        <v xml:space="preserve"> Bioglan Organic Maca Powder 100g</v>
      </c>
      <c r="C561" t="s">
        <v>92</v>
      </c>
      <c r="D561" t="s">
        <v>397</v>
      </c>
    </row>
    <row r="562" spans="1:4" x14ac:dyDescent="0.25">
      <c r="B562" t="str">
        <f>HYPERLINK("https://www.chemistwarehouse.com.au/buy/69395/Bioglan-Organic-Cacao-Powder-100g"," Bioglan Organic Cacao Powder 100g")</f>
        <v xml:space="preserve"> Bioglan Organic Cacao Powder 100g</v>
      </c>
      <c r="C562" t="s">
        <v>92</v>
      </c>
      <c r="D562" t="s">
        <v>397</v>
      </c>
    </row>
    <row r="563" spans="1:4" x14ac:dyDescent="0.25">
      <c r="B563" t="str">
        <f>HYPERLINK("https://www.chemistwarehouse.com.au/buy/69396/Bioglan-Organic-Beetroot-Powder-100g"," Bioglan Organic Beetroot Powder 100g")</f>
        <v xml:space="preserve"> Bioglan Organic Beetroot Powder 100g</v>
      </c>
      <c r="C563" t="s">
        <v>105</v>
      </c>
      <c r="D563" t="s">
        <v>406</v>
      </c>
    </row>
    <row r="564" spans="1:4" x14ac:dyDescent="0.25">
      <c r="B564" t="str">
        <f>HYPERLINK("https://www.chemistwarehouse.com.au/buy/69401/Bioglan-Organic-Camu-Powder-100g"," Bioglan Organic Camu Powder 100g")</f>
        <v xml:space="preserve"> Bioglan Organic Camu Powder 100g</v>
      </c>
      <c r="C564" t="s">
        <v>167</v>
      </c>
      <c r="D564" t="s">
        <v>359</v>
      </c>
    </row>
    <row r="565" spans="1:4" x14ac:dyDescent="0.25">
      <c r="B565" t="str">
        <f>HYPERLINK("https://www.chemistwarehouse.com.au/buy/69402/Bioglan-Superfoods-Acai-Berry-Powder-100g"," Bioglan Superfoods Acai + Berry Powder 100g")</f>
        <v xml:space="preserve"> Bioglan Superfoods Acai + Berry Powder 100g</v>
      </c>
      <c r="C565" t="s">
        <v>63</v>
      </c>
      <c r="D565">
        <v>0</v>
      </c>
    </row>
    <row r="566" spans="1:4" x14ac:dyDescent="0.25">
      <c r="B566" t="str">
        <f>HYPERLINK("https://www.chemistwarehouse.com.au/buy/72569/Bioglan-Superfoods-Kale-Powder-120g"," Bioglan Superfoods Kale Powder 120g")</f>
        <v xml:space="preserve"> Bioglan Superfoods Kale Powder 120g</v>
      </c>
      <c r="C566" t="s">
        <v>164</v>
      </c>
      <c r="D566" t="s">
        <v>353</v>
      </c>
    </row>
    <row r="567" spans="1:4" x14ac:dyDescent="0.25">
      <c r="B567" t="str">
        <f>HYPERLINK("https://www.chemistwarehouse.com.au/buy/66772/Bioglan-Organic-Spirulina-100g"," Bioglan Organic Spirulina 100g")</f>
        <v xml:space="preserve"> Bioglan Organic Spirulina 100g</v>
      </c>
      <c r="C567" t="s">
        <v>407</v>
      </c>
      <c r="D567" t="s">
        <v>408</v>
      </c>
    </row>
    <row r="568" spans="1:4" x14ac:dyDescent="0.25">
      <c r="B568" t="str">
        <f>HYPERLINK("https://www.chemistwarehouse.com.au/buy/72577/Bioglan-Superfoods-Wholefood-Smoothie-Vanilla-10x20g-Sachets"," Bioglan Superfoods Wholefood Smoothie Vanilla 10x20g Sachets")</f>
        <v xml:space="preserve"> Bioglan Superfoods Wholefood Smoothie Vanilla 10x20g Sachets</v>
      </c>
      <c r="C568" t="s">
        <v>404</v>
      </c>
      <c r="D568" t="s">
        <v>405</v>
      </c>
    </row>
    <row r="569" spans="1:4" x14ac:dyDescent="0.25">
      <c r="B569" t="str">
        <f>HYPERLINK("https://www.chemistwarehouse.com.au/buy/77567/Bioglan-Superfoods-Spirulina-1000mg-200-Tablets"," Bioglan Superfoods Spirulina 1000mg 200 Tablets")</f>
        <v xml:space="preserve"> Bioglan Superfoods Spirulina 1000mg 200 Tablets</v>
      </c>
      <c r="C569" t="s">
        <v>161</v>
      </c>
      <c r="D569" t="s">
        <v>155</v>
      </c>
    </row>
    <row r="570" spans="1:4" x14ac:dyDescent="0.25">
      <c r="B570" t="str">
        <f>HYPERLINK("https://www.chemistwarehouse.com.au/buy/77618/Bioglan-Bee-Pollen-100-Capsules"," Bioglan Bee Pollen 100 Capsules")</f>
        <v xml:space="preserve"> Bioglan Bee Pollen 100 Capsules</v>
      </c>
      <c r="C570" t="s">
        <v>237</v>
      </c>
      <c r="D570" t="s">
        <v>369</v>
      </c>
    </row>
    <row r="571" spans="1:4" x14ac:dyDescent="0.25">
      <c r="B571" t="str">
        <f>HYPERLINK("https://www.chemistwarehouse.com.au/buy/79236/Bioglan-Superfoods-Shot-Maca-Plus-500ml"," Bioglan Superfoods Shot Maca Plus 500ml")</f>
        <v xml:space="preserve"> Bioglan Superfoods Shot Maca Plus 500ml</v>
      </c>
      <c r="C571" t="s">
        <v>8</v>
      </c>
      <c r="D571" t="s">
        <v>155</v>
      </c>
    </row>
    <row r="572" spans="1:4" x14ac:dyDescent="0.25">
      <c r="B572" t="str">
        <f>HYPERLINK("https://www.chemistwarehouse.com.au/buy/72576/Bioglan-Superfoods-Raaw-Juice-Powder-Veggie-Power-7x7g-Sachets"," Bioglan Superfoods Raaw Juice Powder Veggie Power 7x7g Sachets")</f>
        <v xml:space="preserve"> Bioglan Superfoods Raaw Juice Powder Veggie Power 7x7g Sachets</v>
      </c>
      <c r="C572" t="s">
        <v>46</v>
      </c>
      <c r="D572" t="s">
        <v>409</v>
      </c>
    </row>
    <row r="573" spans="1:4" x14ac:dyDescent="0.25">
      <c r="A573" t="s">
        <v>410</v>
      </c>
    </row>
    <row r="574" spans="1:4" x14ac:dyDescent="0.25">
      <c r="B574" t="str">
        <f>HYPERLINK("https://www.chemistwarehouse.com.au/buy/43002/Bioglan-Brahmi-PS-Ginkgo-Focus-50-Capsules"," Bioglan Brahmi + PS + Ginkgo Focus 50 Capsules")</f>
        <v xml:space="preserve"> Bioglan Brahmi + PS + Ginkgo Focus 50 Capsules</v>
      </c>
      <c r="C574" t="s">
        <v>10</v>
      </c>
      <c r="D574" t="s">
        <v>390</v>
      </c>
    </row>
    <row r="575" spans="1:4" x14ac:dyDescent="0.25">
      <c r="B575" t="str">
        <f>HYPERLINK("https://www.chemistwarehouse.com.au/buy/49121/Bioglan-Ginkgo-Biloba-2000mg-100-Tablets"," Bioglan Ginkgo Biloba 2000mg 100 Tablets")</f>
        <v xml:space="preserve"> Bioglan Ginkgo Biloba 2000mg 100 Tablets</v>
      </c>
      <c r="C575" t="s">
        <v>237</v>
      </c>
      <c r="D575" t="s">
        <v>93</v>
      </c>
    </row>
    <row r="576" spans="1:4" x14ac:dyDescent="0.25">
      <c r="A576" t="s">
        <v>411</v>
      </c>
    </row>
    <row r="577" spans="1:4" x14ac:dyDescent="0.25">
      <c r="B577" t="str">
        <f>HYPERLINK("https://www.chemistwarehouse.com.au/buy/31051/Bioglan-Melatonin-90-Tablets-Homeopathic-Formula"," Bioglan Melatonin 90 Tablets (Homeopathic Formula)")</f>
        <v xml:space="preserve"> Bioglan Melatonin 90 Tablets (Homeopathic Formula)</v>
      </c>
      <c r="C577" t="s">
        <v>202</v>
      </c>
      <c r="D577" t="s">
        <v>385</v>
      </c>
    </row>
    <row r="578" spans="1:4" x14ac:dyDescent="0.25">
      <c r="B578" t="str">
        <f>HYPERLINK("https://www.chemistwarehouse.com.au/buy/75282/Bioglan-Melatonin-Spray-50ml"," Bioglan Melatonin Spray 50ml")</f>
        <v xml:space="preserve"> Bioglan Melatonin Spray 50ml</v>
      </c>
      <c r="C578" t="s">
        <v>202</v>
      </c>
      <c r="D578" t="s">
        <v>385</v>
      </c>
    </row>
    <row r="579" spans="1:4" x14ac:dyDescent="0.25">
      <c r="A579" t="s">
        <v>412</v>
      </c>
    </row>
    <row r="580" spans="1:4" x14ac:dyDescent="0.25">
      <c r="B580" t="str">
        <f>HYPERLINK("https://www.chemistwarehouse.com.au/buy/49992/Bioglan-One-a-Day-Multi-Vision-50-Tablets"," Bioglan One-a-Day Multi Vision 50 Tablets")</f>
        <v xml:space="preserve"> Bioglan One-a-Day Multi Vision 50 Tablets</v>
      </c>
      <c r="C580" t="s">
        <v>167</v>
      </c>
      <c r="D580" t="s">
        <v>413</v>
      </c>
    </row>
    <row r="581" spans="1:4" x14ac:dyDescent="0.25">
      <c r="A581" t="s">
        <v>414</v>
      </c>
    </row>
    <row r="582" spans="1:4" x14ac:dyDescent="0.25">
      <c r="B582" t="str">
        <f>HYPERLINK("https://www.chemistwarehouse.com.au/buy/80494/Bioglan-Nutrislim-Low-Sugar-VLCD-Vanilla-525g-Tub-Exclusive-Size"," Bioglan Nutrislim Low Sugar VLCD Vanilla 525g Tub Exclusive Size")</f>
        <v xml:space="preserve"> Bioglan Nutrislim Low Sugar VLCD Vanilla 525g Tub Exclusive Size</v>
      </c>
      <c r="C582" t="s">
        <v>1</v>
      </c>
      <c r="D582" t="s">
        <v>162</v>
      </c>
    </row>
    <row r="583" spans="1:4" x14ac:dyDescent="0.25">
      <c r="B583" t="str">
        <f>HYPERLINK("https://www.chemistwarehouse.com.au/buy/80495/Bioglan-Nutrislim-Low-Sugar-VLCD-Chocolate-525g-Tub-Exclusive-Size"," Bioglan Nutrislim Low Sugar VLCD Chocolate 525g Tub Exclusive Size")</f>
        <v xml:space="preserve"> Bioglan Nutrislim Low Sugar VLCD Chocolate 525g Tub Exclusive Size</v>
      </c>
      <c r="C583" t="s">
        <v>1</v>
      </c>
      <c r="D583" t="s">
        <v>162</v>
      </c>
    </row>
    <row r="584" spans="1:4" x14ac:dyDescent="0.25">
      <c r="A584" t="s">
        <v>415</v>
      </c>
    </row>
    <row r="585" spans="1:4" x14ac:dyDescent="0.25">
      <c r="B585" t="str">
        <f>HYPERLINK("https://www.chemistwarehouse.com.au/buy/50970/Herron-Vita-Minis-Multi-Vitamin-amp-Mineral-Raspberry-100-Tablets"," Herron Vita Minis Multi Vitamin &amp; Mineral Raspberry 100 Tablets")</f>
        <v xml:space="preserve"> Herron Vita Minis Multi Vitamin &amp; Mineral Raspberry 100 Tablets</v>
      </c>
      <c r="C585" t="s">
        <v>98</v>
      </c>
      <c r="D585" t="s">
        <v>416</v>
      </c>
    </row>
    <row r="586" spans="1:4" x14ac:dyDescent="0.25">
      <c r="B586" t="str">
        <f>HYPERLINK("https://www.chemistwarehouse.com.au/buy/56196/Herron-Osteo-Eze-Active-Plus-MSM-120-Tablets"," Herron Osteo Eze Active Plus MSM 120 Tablets")</f>
        <v xml:space="preserve"> Herron Osteo Eze Active Plus MSM 120 Tablets</v>
      </c>
      <c r="C586" t="s">
        <v>166</v>
      </c>
      <c r="D586" t="s">
        <v>167</v>
      </c>
    </row>
    <row r="587" spans="1:4" x14ac:dyDescent="0.25">
      <c r="B587" t="str">
        <f>HYPERLINK("https://www.chemistwarehouse.com.au/buy/74299/Herron-Vitaminis-Sugar-Free-Omega-3-50-Pack"," Herron Vitaminis Sugar Free Omega 3 50 Pack")</f>
        <v xml:space="preserve"> Herron Vitaminis Sugar Free Omega 3 50 Pack</v>
      </c>
      <c r="C587" t="s">
        <v>46</v>
      </c>
      <c r="D587" t="s">
        <v>417</v>
      </c>
    </row>
    <row r="588" spans="1:4" x14ac:dyDescent="0.25">
      <c r="A588" t="s">
        <v>418</v>
      </c>
    </row>
    <row r="589" spans="1:4" x14ac:dyDescent="0.25">
      <c r="B589" t="str">
        <f>HYPERLINK("https://www.chemistwarehouse.com.au/buy/61428/Naturopathica-GastroHealth-90-Capsules"," Naturopathica GastroHealth 90 Capsules")</f>
        <v xml:space="preserve"> Naturopathica GastroHealth 90 Capsules</v>
      </c>
      <c r="C589" t="s">
        <v>6</v>
      </c>
      <c r="D589" t="s">
        <v>419</v>
      </c>
    </row>
    <row r="590" spans="1:4" x14ac:dyDescent="0.25">
      <c r="B590" t="str">
        <f>HYPERLINK("https://www.chemistwarehouse.com.au/buy/39901/Naturopathica-Horny-Goat-Weed-for-Him-50-Tablets"," Naturopathica Horny Goat Weed for Him 50 Tablets")</f>
        <v xml:space="preserve"> Naturopathica Horny Goat Weed for Him 50 Tablets</v>
      </c>
      <c r="C590" t="s">
        <v>6</v>
      </c>
      <c r="D590" t="s">
        <v>160</v>
      </c>
    </row>
    <row r="591" spans="1:4" x14ac:dyDescent="0.25">
      <c r="B591" t="str">
        <f>HYPERLINK("https://www.chemistwarehouse.com.au/buy/56530/Resveratrol-Max-30-Tablets"," Resveratrol Max 30 Tablets")</f>
        <v xml:space="preserve"> Resveratrol Max 30 Tablets</v>
      </c>
      <c r="C591" t="s">
        <v>8</v>
      </c>
      <c r="D591" t="s">
        <v>223</v>
      </c>
    </row>
    <row r="592" spans="1:4" x14ac:dyDescent="0.25">
      <c r="B592" t="str">
        <f>HYPERLINK("https://www.chemistwarehouse.com.au/buy/80689/Naturopathica-Gastrohealth-Probiotic-Adult-50-30-Capsules"," Naturopathica Gastrohealth Probiotic Adult 50+ 30 Capsules")</f>
        <v xml:space="preserve"> Naturopathica Gastrohealth Probiotic Adult 50+ 30 Capsules</v>
      </c>
      <c r="C592" t="s">
        <v>61</v>
      </c>
      <c r="D592" t="s">
        <v>159</v>
      </c>
    </row>
    <row r="593" spans="1:4" x14ac:dyDescent="0.25">
      <c r="B593" t="str">
        <f>HYPERLINK("https://www.chemistwarehouse.com.au/buy/80690/Naturopathica-Gastrohealth-Probiotic-Womens-30-Capsules"," Naturopathica Gastrohealth Probiotic Womens 30 Capsules")</f>
        <v xml:space="preserve"> Naturopathica Gastrohealth Probiotic Womens 30 Capsules</v>
      </c>
      <c r="C593" t="s">
        <v>61</v>
      </c>
      <c r="D593" t="s">
        <v>159</v>
      </c>
    </row>
    <row r="594" spans="1:4" x14ac:dyDescent="0.25">
      <c r="B594" t="str">
        <f>HYPERLINK("https://www.chemistwarehouse.com.au/buy/80688/Naturopathica-Gastrohealth-Dairy-Free-50-Billion-30-Capsules"," Naturopathica Gastrohealth Dairy Free 50 Billion 30 Capsules")</f>
        <v xml:space="preserve"> Naturopathica Gastrohealth Dairy Free 50 Billion 30 Capsules</v>
      </c>
      <c r="C594" t="s">
        <v>279</v>
      </c>
      <c r="D594" t="s">
        <v>341</v>
      </c>
    </row>
    <row r="595" spans="1:4" x14ac:dyDescent="0.25">
      <c r="B595" t="str">
        <f>HYPERLINK("https://www.chemistwarehouse.com.au/buy/52779/Naturopathica-Gastrohealth-30-Capsules"," Naturopathica Gastrohealth 30 Capsules")</f>
        <v xml:space="preserve"> Naturopathica Gastrohealth 30 Capsules</v>
      </c>
      <c r="C595" t="s">
        <v>1</v>
      </c>
      <c r="D595" t="s">
        <v>154</v>
      </c>
    </row>
    <row r="596" spans="1:4" x14ac:dyDescent="0.25">
      <c r="B596" t="str">
        <f>HYPERLINK("https://www.chemistwarehouse.com.au/buy/39962/Horny-Goat-Weed-for-Women-50"," Horny Goat Weed for Women 50")</f>
        <v xml:space="preserve"> Horny Goat Weed for Women 50</v>
      </c>
      <c r="C596" t="s">
        <v>6</v>
      </c>
      <c r="D596" t="s">
        <v>160</v>
      </c>
    </row>
    <row r="597" spans="1:4" x14ac:dyDescent="0.25">
      <c r="B597" t="str">
        <f>HYPERLINK("https://www.chemistwarehouse.com.au/buy/63648/Naturopathica-Gastro-Health-Dairy-Free-30-Capsules"," Naturopathica Gastro Health Dairy Free 30 Capsules")</f>
        <v xml:space="preserve"> Naturopathica Gastro Health Dairy Free 30 Capsules</v>
      </c>
      <c r="C597" t="s">
        <v>1</v>
      </c>
      <c r="D597" t="s">
        <v>154</v>
      </c>
    </row>
    <row r="598" spans="1:4" x14ac:dyDescent="0.25">
      <c r="B598" t="str">
        <f>HYPERLINK("https://www.chemistwarehouse.com.au/buy/80686/Naturopathica-Gastrohealth-Daily-Extra-Care-50-Billion-30-Capsules"," Naturopathica Gastrohealth Daily Extra Care 50 Billion 30 Capsules")</f>
        <v xml:space="preserve"> Naturopathica Gastrohealth Daily Extra Care 50 Billion 30 Capsules</v>
      </c>
      <c r="C598" t="s">
        <v>279</v>
      </c>
      <c r="D598" t="s">
        <v>341</v>
      </c>
    </row>
    <row r="599" spans="1:4" x14ac:dyDescent="0.25">
      <c r="B599" t="str">
        <f>HYPERLINK("https://www.chemistwarehouse.com.au/buy/80687/Naturopathica-Gastrohealth-Daily-Ultimate-Care-100-Billion-30-Capsules"," Naturopathica Gastrohealth Daily Ultimate Care 100 Billion 30 Capsules")</f>
        <v xml:space="preserve"> Naturopathica Gastrohealth Daily Ultimate Care 100 Billion 30 Capsules</v>
      </c>
      <c r="C599" t="s">
        <v>258</v>
      </c>
      <c r="D599" t="s">
        <v>420</v>
      </c>
    </row>
    <row r="600" spans="1:4" x14ac:dyDescent="0.25">
      <c r="B600" t="str">
        <f>HYPERLINK("https://www.chemistwarehouse.com.au/buy/48965/Naturopathica-FatBlaster-Diuret-60-Tablets"," Naturopathica FatBlaster Diuret 60 Tablets")</f>
        <v xml:space="preserve"> Naturopathica FatBlaster Diuret 60 Tablets</v>
      </c>
      <c r="C600" t="s">
        <v>113</v>
      </c>
      <c r="D600" t="s">
        <v>257</v>
      </c>
    </row>
    <row r="601" spans="1:4" x14ac:dyDescent="0.25">
      <c r="A601" t="s">
        <v>421</v>
      </c>
    </row>
    <row r="602" spans="1:4" x14ac:dyDescent="0.25">
      <c r="B602" t="str">
        <f>HYPERLINK("https://www.chemistwarehouse.com.au/buy/67499/Swisse-High-Strength-Organic-Spirulina-1000mg-200-Tablets"," Swisse High Strength Organic Spirulina 1000mg 200 Tablets")</f>
        <v xml:space="preserve"> Swisse High Strength Organic Spirulina 1000mg 200 Tablets</v>
      </c>
      <c r="C602" t="s">
        <v>216</v>
      </c>
      <c r="D602" t="s">
        <v>422</v>
      </c>
    </row>
    <row r="603" spans="1:4" x14ac:dyDescent="0.25">
      <c r="B603" t="str">
        <f>HYPERLINK("https://www.chemistwarehouse.com.au/buy/67492/Swisse-High-Strength-Chlorophyll-1000mg-200-Tablets"," Swisse High Strength Chlorophyll+ 1000mg 200 Tablets")</f>
        <v xml:space="preserve"> Swisse High Strength Chlorophyll+ 1000mg 200 Tablets</v>
      </c>
      <c r="C603" t="s">
        <v>279</v>
      </c>
      <c r="D603" t="s">
        <v>11</v>
      </c>
    </row>
    <row r="604" spans="1:4" x14ac:dyDescent="0.25">
      <c r="B604" t="str">
        <f>HYPERLINK("https://www.chemistwarehouse.com.au/buy/67493/Swisse-Chlorophyll-Mixed-Berry-500ml"," Swisse Chlorophyll Mixed Berry 500ml")</f>
        <v xml:space="preserve"> Swisse Chlorophyll Mixed Berry 500ml</v>
      </c>
      <c r="C604" t="s">
        <v>58</v>
      </c>
      <c r="D604" t="s">
        <v>283</v>
      </c>
    </row>
    <row r="605" spans="1:4" x14ac:dyDescent="0.25">
      <c r="B605" t="str">
        <f>HYPERLINK("https://www.chemistwarehouse.com.au/buy/58504/Swisse-Chlorophyll-Spearmint-500ml"," Swisse Chlorophyll Spearmint 500ml")</f>
        <v xml:space="preserve"> Swisse Chlorophyll Spearmint 500ml</v>
      </c>
      <c r="C605" t="s">
        <v>58</v>
      </c>
      <c r="D605" t="s">
        <v>283</v>
      </c>
    </row>
    <row r="606" spans="1:4" x14ac:dyDescent="0.25">
      <c r="B606" t="str">
        <f>HYPERLINK("https://www.chemistwarehouse.com.au/buy/63081/Swisse-Organic-Spirulina-100-Tablets"," Swisse Organic Spirulina 100 Tablets ")</f>
        <v xml:space="preserve"> Swisse Organic Spirulina 100 Tablets </v>
      </c>
      <c r="C606" t="s">
        <v>202</v>
      </c>
      <c r="D606" t="s">
        <v>157</v>
      </c>
    </row>
    <row r="607" spans="1:4" x14ac:dyDescent="0.25">
      <c r="B607" t="str">
        <f>HYPERLINK("https://www.chemistwarehouse.com.au/buy/63448/Swisse-Chlorophyll-100-Tablets"," Swisse Chlorophyll+ 100 Tablets ")</f>
        <v xml:space="preserve"> Swisse Chlorophyll+ 100 Tablets </v>
      </c>
      <c r="C607" t="s">
        <v>63</v>
      </c>
      <c r="D607" t="s">
        <v>423</v>
      </c>
    </row>
    <row r="608" spans="1:4" x14ac:dyDescent="0.25">
      <c r="B608" t="str">
        <f>HYPERLINK("https://www.chemistwarehouse.com.au/buy/73561/Swisse-Leafy-Greens-Superfood-Powder-100g"," Swisse Leafy Greens Superfood Powder 100g")</f>
        <v xml:space="preserve"> Swisse Leafy Greens Superfood Powder 100g</v>
      </c>
      <c r="C608" t="s">
        <v>45</v>
      </c>
      <c r="D608" t="s">
        <v>46</v>
      </c>
    </row>
    <row r="609" spans="1:4" x14ac:dyDescent="0.25">
      <c r="B609" t="str">
        <f>HYPERLINK("https://www.chemistwarehouse.com.au/buy/76581/Swisse-Organic-Spirulina-Superfood-Powder-100g"," Swisse Organic Spirulina Superfood Powder 100g")</f>
        <v xml:space="preserve"> Swisse Organic Spirulina Superfood Powder 100g</v>
      </c>
      <c r="C609" t="s">
        <v>45</v>
      </c>
      <c r="D609" t="s">
        <v>46</v>
      </c>
    </row>
    <row r="610" spans="1:4" x14ac:dyDescent="0.25">
      <c r="B610" t="str">
        <f>HYPERLINK("https://www.chemistwarehouse.com.au/buy/77528/Swisse-Wholegrain-Teff-Superfood-Powder-250g"," Swisse Wholegrain Teff Superfood Powder 250g")</f>
        <v xml:space="preserve"> Swisse Wholegrain Teff Superfood Powder 250g</v>
      </c>
      <c r="C610" t="s">
        <v>103</v>
      </c>
      <c r="D610" t="s">
        <v>280</v>
      </c>
    </row>
    <row r="611" spans="1:4" x14ac:dyDescent="0.25">
      <c r="B611" t="str">
        <f>HYPERLINK("https://www.chemistwarehouse.com.au/buy/76580/Swisse-Chlorophyll-Superfood-Powder-100g"," Swisse Chlorophyll Superfood Powder 100g")</f>
        <v xml:space="preserve"> Swisse Chlorophyll Superfood Powder 100g</v>
      </c>
      <c r="C611" t="s">
        <v>46</v>
      </c>
      <c r="D611" t="s">
        <v>187</v>
      </c>
    </row>
    <row r="612" spans="1:4" x14ac:dyDescent="0.25">
      <c r="B612" t="str">
        <f>HYPERLINK("https://www.chemistwarehouse.com.au/buy/73560/Swisse-Acai-Berry-Superfood-Powder-50g"," Swisse Acai Berry Superfood Powder 50g")</f>
        <v xml:space="preserve"> Swisse Acai Berry Superfood Powder 50g</v>
      </c>
      <c r="C612" t="s">
        <v>46</v>
      </c>
      <c r="D612" t="s">
        <v>103</v>
      </c>
    </row>
    <row r="613" spans="1:4" x14ac:dyDescent="0.25">
      <c r="A613" t="s">
        <v>424</v>
      </c>
    </row>
    <row r="614" spans="1:4" x14ac:dyDescent="0.25">
      <c r="B614" t="str">
        <f>HYPERLINK("https://www.chemistwarehouse.com.au/buy/52658/Swisse-Women-39-s-Ultivite-120-Tablets"," Swisse Women's Ultivite 120 Tablets")</f>
        <v xml:space="preserve"> Swisse Women's Ultivite 120 Tablets</v>
      </c>
      <c r="C614" t="s">
        <v>166</v>
      </c>
      <c r="D614" t="s">
        <v>71</v>
      </c>
    </row>
    <row r="615" spans="1:4" x14ac:dyDescent="0.25">
      <c r="B615" t="str">
        <f>HYPERLINK("https://www.chemistwarehouse.com.au/buy/70258/Swisse-Ultiboost-Evening-Primrose-Oil-200-Capsules"," Swisse Ultiboost Evening Primrose Oil 200 Capsules")</f>
        <v xml:space="preserve"> Swisse Ultiboost Evening Primrose Oil 200 Capsules</v>
      </c>
      <c r="C615" t="s">
        <v>187</v>
      </c>
      <c r="D615" t="s">
        <v>227</v>
      </c>
    </row>
    <row r="616" spans="1:4" x14ac:dyDescent="0.25">
      <c r="B616" t="str">
        <f>HYPERLINK("https://www.chemistwarehouse.com.au/buy/70153/Swisse-Ultiboost-Menopause-Balance-60-Tablets"," Swisse Ultiboost Menopause Balance 60 Tablets")</f>
        <v xml:space="preserve"> Swisse Ultiboost Menopause Balance 60 Tablets</v>
      </c>
      <c r="C616" t="s">
        <v>279</v>
      </c>
      <c r="D616" t="s">
        <v>280</v>
      </c>
    </row>
    <row r="617" spans="1:4" x14ac:dyDescent="0.25">
      <c r="B617" t="str">
        <f>HYPERLINK("https://www.chemistwarehouse.com.au/buy/79793/Swisse-Ultiboost-Liquid-Iron-500ml"," Swisse Ultiboost Liquid Iron 500ml")</f>
        <v xml:space="preserve"> Swisse Ultiboost Liquid Iron 500ml</v>
      </c>
      <c r="C617" t="s">
        <v>161</v>
      </c>
      <c r="D617" t="s">
        <v>139</v>
      </c>
    </row>
    <row r="618" spans="1:4" x14ac:dyDescent="0.25">
      <c r="B618" t="str">
        <f>HYPERLINK("https://www.chemistwarehouse.com.au/buy/78702/Swisse-Ultiboost-High-Strength-Organic-Vitex-1500mg-60-Tabs"," Swisse Ultiboost High Strength Organic Vitex 1500mg 60 Tabs")</f>
        <v xml:space="preserve"> Swisse Ultiboost High Strength Organic Vitex 1500mg 60 Tabs</v>
      </c>
      <c r="C618" t="s">
        <v>153</v>
      </c>
      <c r="D618" t="s">
        <v>64</v>
      </c>
    </row>
    <row r="619" spans="1:4" x14ac:dyDescent="0.25">
      <c r="B619" t="str">
        <f>HYPERLINK("https://www.chemistwarehouse.com.au/buy/58346/Swisse-Women-39-s-Ultivite-50-90-Tablets"," Swisse Women's Ultivite 50+ 90 Tablets")</f>
        <v xml:space="preserve"> Swisse Women's Ultivite 50+ 90 Tablets</v>
      </c>
      <c r="C619" t="s">
        <v>266</v>
      </c>
      <c r="D619" t="s">
        <v>373</v>
      </c>
    </row>
    <row r="620" spans="1:4" x14ac:dyDescent="0.25">
      <c r="B620" t="str">
        <f>HYPERLINK("https://www.chemistwarehouse.com.au/buy/31587/Swisse-Women-39-s-Ultivite-60-Tablets"," Swisse Women's Ultivite 60 Tablets")</f>
        <v xml:space="preserve"> Swisse Women's Ultivite 60 Tablets</v>
      </c>
      <c r="C620" t="s">
        <v>1</v>
      </c>
      <c r="D620" t="s">
        <v>378</v>
      </c>
    </row>
    <row r="621" spans="1:4" x14ac:dyDescent="0.25">
      <c r="B621" t="str">
        <f>HYPERLINK("https://www.chemistwarehouse.com.au/buy/63125/Swisse-Women-39-s-Ultivite-65-60-Tablets"," Swisse Women's Ultivite 65+ 60 Tablets")</f>
        <v xml:space="preserve"> Swisse Women's Ultivite 65+ 60 Tablets</v>
      </c>
      <c r="C621" t="s">
        <v>273</v>
      </c>
      <c r="D621" t="s">
        <v>159</v>
      </c>
    </row>
    <row r="622" spans="1:4" x14ac:dyDescent="0.25">
      <c r="B622" t="str">
        <f>HYPERLINK("https://www.chemistwarehouse.com.au/buy/66551/Swisse-Pregnancy-Ultivite-90-Capsules"," Swisse Pregnancy + Ultivite 90 Capsules")</f>
        <v xml:space="preserve"> Swisse Pregnancy + Ultivite 90 Capsules</v>
      </c>
      <c r="C622" t="s">
        <v>316</v>
      </c>
      <c r="D622" t="s">
        <v>425</v>
      </c>
    </row>
    <row r="623" spans="1:4" x14ac:dyDescent="0.25">
      <c r="B623" t="str">
        <f>HYPERLINK("https://www.chemistwarehouse.com.au/buy/52044/Swisse-Women-39-s-Ultivite-50-60-Tablets"," Swisse Women's Ultivite 50+ 60 Tablets")</f>
        <v xml:space="preserve"> Swisse Women's Ultivite 50+ 60 Tablets</v>
      </c>
      <c r="C623" t="s">
        <v>273</v>
      </c>
      <c r="D623" t="s">
        <v>159</v>
      </c>
    </row>
    <row r="624" spans="1:4" x14ac:dyDescent="0.25">
      <c r="B624" t="str">
        <f>HYPERLINK("https://www.chemistwarehouse.com.au/buy/71946/Swisse-Women-39-s-Ultivite-Power-40-Tablets"," Swisse Women's Ultivite Power 40 Tablets")</f>
        <v xml:space="preserve"> Swisse Women's Ultivite Power 40 Tablets</v>
      </c>
      <c r="C624" t="s">
        <v>125</v>
      </c>
      <c r="D624" t="s">
        <v>160</v>
      </c>
    </row>
    <row r="625" spans="1:4" x14ac:dyDescent="0.25">
      <c r="B625" t="str">
        <f>HYPERLINK("https://www.chemistwarehouse.com.au/buy/79794/Swisse-Ultiboost-Cranberry-Concentrate-90000mg-300ml"," Swisse Ultiboost Cranberry Concentrate 90000mg 300ml")</f>
        <v xml:space="preserve"> Swisse Ultiboost Cranberry Concentrate 90000mg 300ml</v>
      </c>
      <c r="C625" t="s">
        <v>173</v>
      </c>
      <c r="D625" t="s">
        <v>9</v>
      </c>
    </row>
    <row r="626" spans="1:4" x14ac:dyDescent="0.25">
      <c r="B626" t="str">
        <f>HYPERLINK("https://www.chemistwarehouse.com.au/buy/80261/Swisse-Womens-Ultivite-150-Tablets-Plus-Swisse-Ultiboost-Sleep-60-Tablets-Exclusive-Size"," Swisse Womens Ultivite 150 Tablets Plus Swisse Ultiboost Sleep 60 Tablets Exclusive Size")</f>
        <v xml:space="preserve"> Swisse Womens Ultivite 150 Tablets Plus Swisse Ultiboost Sleep 60 Tablets Exclusive Size</v>
      </c>
      <c r="C626" t="s">
        <v>321</v>
      </c>
      <c r="D626" t="s">
        <v>169</v>
      </c>
    </row>
    <row r="627" spans="1:4" x14ac:dyDescent="0.25">
      <c r="A627" t="s">
        <v>426</v>
      </c>
    </row>
    <row r="628" spans="1:4" x14ac:dyDescent="0.25">
      <c r="B628" t="str">
        <f>HYPERLINK("https://www.chemistwarehouse.com.au/buy/55511/Swisse-Men-39-s-Ultivite-120-Tablets"," Swisse Men's Ultivite 120 Tablets")</f>
        <v xml:space="preserve"> Swisse Men's Ultivite 120 Tablets</v>
      </c>
      <c r="C628" t="s">
        <v>166</v>
      </c>
      <c r="D628" t="s">
        <v>71</v>
      </c>
    </row>
    <row r="629" spans="1:4" x14ac:dyDescent="0.25">
      <c r="B629" t="str">
        <f>HYPERLINK("https://www.chemistwarehouse.com.au/buy/58347/Swisse-Men-39-s-Ultivite-50-90-Tablets"," Swisse Men's Ultivite 50+ 90 Tablets")</f>
        <v xml:space="preserve"> Swisse Men's Ultivite 50+ 90 Tablets</v>
      </c>
      <c r="C629" t="s">
        <v>266</v>
      </c>
      <c r="D629" t="s">
        <v>373</v>
      </c>
    </row>
    <row r="630" spans="1:4" x14ac:dyDescent="0.25">
      <c r="B630" t="str">
        <f>HYPERLINK("https://www.chemistwarehouse.com.au/buy/63126/Swisse-Men-39-s-Ultivite-65-60-Tablets"," Swisse Men's Ultivite 65+ 60 Tablets")</f>
        <v xml:space="preserve"> Swisse Men's Ultivite 65+ 60 Tablets</v>
      </c>
      <c r="C630" t="s">
        <v>273</v>
      </c>
      <c r="D630" t="s">
        <v>159</v>
      </c>
    </row>
    <row r="631" spans="1:4" x14ac:dyDescent="0.25">
      <c r="B631" t="str">
        <f>HYPERLINK("https://www.chemistwarehouse.com.au/buy/31581/Swisse-Men-39-s-Ultivite-60-Tablets"," Swisse Men's Ultivite 60 Tablets")</f>
        <v xml:space="preserve"> Swisse Men's Ultivite 60 Tablets</v>
      </c>
      <c r="C631" t="s">
        <v>1</v>
      </c>
      <c r="D631" t="s">
        <v>378</v>
      </c>
    </row>
    <row r="632" spans="1:4" x14ac:dyDescent="0.25">
      <c r="B632" t="str">
        <f>HYPERLINK("https://www.chemistwarehouse.com.au/buy/71947/Swisse-Men-39-s-Ultivite-Power-40-Tablets"," Swisse Men's Ultivite Power 40 Tablets")</f>
        <v xml:space="preserve"> Swisse Men's Ultivite Power 40 Tablets</v>
      </c>
      <c r="C632" t="s">
        <v>125</v>
      </c>
      <c r="D632" t="s">
        <v>160</v>
      </c>
    </row>
    <row r="633" spans="1:4" x14ac:dyDescent="0.25">
      <c r="B633" t="str">
        <f>HYPERLINK("https://www.chemistwarehouse.com.au/buy/80260/Swisse-Men-39-s-Ultivite-150-Tablets-Plus-Swisse-Ultiboost-Sleep-60-Tablets-Exclusive-Size"," Swisse Men's Ultivite 150 Tablets Plus Swisse Ultiboost Sleep 60 Tablets Exclusive Size")</f>
        <v xml:space="preserve"> Swisse Men's Ultivite 150 Tablets Plus Swisse Ultiboost Sleep 60 Tablets Exclusive Size</v>
      </c>
      <c r="C633" t="s">
        <v>321</v>
      </c>
      <c r="D633" t="s">
        <v>169</v>
      </c>
    </row>
    <row r="634" spans="1:4" x14ac:dyDescent="0.25">
      <c r="B634" t="str">
        <f>HYPERLINK("https://www.chemistwarehouse.com.au/buy/52043/Swisse-Men-39-s-Ultivite-50-60-Tablets"," Swisse Men's Ultivite 50+ 60 Tablets")</f>
        <v xml:space="preserve"> Swisse Men's Ultivite 50+ 60 Tablets</v>
      </c>
      <c r="C634" t="s">
        <v>273</v>
      </c>
      <c r="D634" t="s">
        <v>159</v>
      </c>
    </row>
    <row r="635" spans="1:4" x14ac:dyDescent="0.25">
      <c r="B635" t="str">
        <f>HYPERLINK("https://www.chemistwarehouse.com.au/buy/56439/Swisse-Ultiboost-Prostate-50-Tablets"," Swisse Ultiboost Prostate 50 Tablets")</f>
        <v xml:space="preserve"> Swisse Ultiboost Prostate 50 Tablets</v>
      </c>
      <c r="C635" t="s">
        <v>161</v>
      </c>
      <c r="D635" t="s">
        <v>303</v>
      </c>
    </row>
    <row r="636" spans="1:4" x14ac:dyDescent="0.25">
      <c r="A636" t="s">
        <v>427</v>
      </c>
    </row>
    <row r="637" spans="1:4" x14ac:dyDescent="0.25">
      <c r="B637" t="str">
        <f>HYPERLINK("https://www.chemistwarehouse.com.au/buy/66553/Swisse-Children-39-s-Ultivite-120-Tablets"," Swisse Children's Ultivite 120 Tablets")</f>
        <v xml:space="preserve"> Swisse Children's Ultivite 120 Tablets</v>
      </c>
      <c r="C637" t="s">
        <v>45</v>
      </c>
      <c r="D637" t="s">
        <v>428</v>
      </c>
    </row>
    <row r="638" spans="1:4" x14ac:dyDescent="0.25">
      <c r="B638" t="str">
        <f>HYPERLINK("https://www.chemistwarehouse.com.au/buy/79443/Swisse-Kids-Multivitamin-50-Chewable-Tablets"," Swisse Kids Multivitamin 50 Chewable Tablets")</f>
        <v xml:space="preserve"> Swisse Kids Multivitamin 50 Chewable Tablets</v>
      </c>
      <c r="C638" t="s">
        <v>202</v>
      </c>
      <c r="D638" t="s">
        <v>274</v>
      </c>
    </row>
    <row r="639" spans="1:4" x14ac:dyDescent="0.25">
      <c r="B639" t="str">
        <f>HYPERLINK("https://www.chemistwarehouse.com.au/buy/65702/Swisse-Ultiboost-Children-39-s-Smart-Fish-Oil-90-Capsules"," Swisse Ultiboost Children's Smart Fish Oil 90 Capsules")</f>
        <v xml:space="preserve"> Swisse Ultiboost Children's Smart Fish Oil 90 Capsules</v>
      </c>
      <c r="C639" t="s">
        <v>212</v>
      </c>
      <c r="D639" t="s">
        <v>332</v>
      </c>
    </row>
    <row r="640" spans="1:4" x14ac:dyDescent="0.25">
      <c r="B640" t="str">
        <f>HYPERLINK("https://www.chemistwarehouse.com.au/buy/52039/Swisse-Teenage-Ultivite-Women-39-s-60-Tablets"," Swisse Teenage Ultivite Women's 60 Tablets")</f>
        <v xml:space="preserve"> Swisse Teenage Ultivite Women's 60 Tablets</v>
      </c>
      <c r="C640" t="s">
        <v>298</v>
      </c>
      <c r="D640" t="s">
        <v>429</v>
      </c>
    </row>
    <row r="641" spans="1:4" x14ac:dyDescent="0.25">
      <c r="B641" t="str">
        <f>HYPERLINK("https://www.chemistwarehouse.com.au/buy/52040/Swisse-Teenage-Men-39-s-Ultivite-60-Tablets"," Swisse Teenage Men's Ultivite 60 Tablets")</f>
        <v xml:space="preserve"> Swisse Teenage Men's Ultivite 60 Tablets</v>
      </c>
      <c r="C641" t="s">
        <v>298</v>
      </c>
      <c r="D641" t="s">
        <v>429</v>
      </c>
    </row>
    <row r="642" spans="1:4" x14ac:dyDescent="0.25">
      <c r="B642" t="str">
        <f>HYPERLINK("https://www.chemistwarehouse.com.au/buy/79445/Swisse-Kids-Calcium-D3-50-Burstlets"," Swisse Kids Calcium + D3 50 Burstlets")</f>
        <v xml:space="preserve"> Swisse Kids Calcium + D3 50 Burstlets</v>
      </c>
      <c r="C642" t="s">
        <v>202</v>
      </c>
      <c r="D642" t="s">
        <v>274</v>
      </c>
    </row>
    <row r="643" spans="1:4" x14ac:dyDescent="0.25">
      <c r="B643" t="str">
        <f>HYPERLINK("https://www.chemistwarehouse.com.au/buy/79446/Swisse-Kids-Probiotic-40-Chewable-Tablets"," Swisse Kids Probiotic 40 Chewable Tablets")</f>
        <v xml:space="preserve"> Swisse Kids Probiotic 40 Chewable Tablets</v>
      </c>
      <c r="C643" t="s">
        <v>202</v>
      </c>
      <c r="D643" t="s">
        <v>274</v>
      </c>
    </row>
    <row r="644" spans="1:4" x14ac:dyDescent="0.25">
      <c r="B644" t="str">
        <f>HYPERLINK("https://www.chemistwarehouse.com.au/buy/60196/Swisse-Children-39-s-Ultivite-60-Tablets"," Swisse Children's Ultivite 60 Tablets")</f>
        <v xml:space="preserve"> Swisse Children's Ultivite 60 Tablets</v>
      </c>
      <c r="C644" t="s">
        <v>430</v>
      </c>
      <c r="D644" t="s">
        <v>376</v>
      </c>
    </row>
    <row r="645" spans="1:4" x14ac:dyDescent="0.25">
      <c r="B645" t="str">
        <f>HYPERLINK("https://www.chemistwarehouse.com.au/buy/79444/Swisse-Kids-Fish-Oil-50-Burstlets"," Swisse Kids Fish Oil 50 Burstlets")</f>
        <v xml:space="preserve"> Swisse Kids Fish Oil 50 Burstlets</v>
      </c>
      <c r="C645" t="s">
        <v>202</v>
      </c>
      <c r="D645" t="s">
        <v>274</v>
      </c>
    </row>
    <row r="646" spans="1:4" x14ac:dyDescent="0.25">
      <c r="B646" t="str">
        <f>HYPERLINK("https://www.chemistwarehouse.com.au/buy/79447/Swisse-Kids-Vitamin-C-Zinc-50-Chewable-Tablets"," Swisse Kids Vitamin C + Zinc 50 Chewable Tablets")</f>
        <v xml:space="preserve"> Swisse Kids Vitamin C + Zinc 50 Chewable Tablets</v>
      </c>
      <c r="C646" t="s">
        <v>202</v>
      </c>
      <c r="D646" t="s">
        <v>274</v>
      </c>
    </row>
    <row r="647" spans="1:4" x14ac:dyDescent="0.25">
      <c r="A647" t="s">
        <v>431</v>
      </c>
    </row>
    <row r="648" spans="1:4" x14ac:dyDescent="0.25">
      <c r="B648" t="str">
        <f>HYPERLINK("https://www.chemistwarehouse.com.au/buy/73682/Swisse-Ultiboost-High-Strength-Propolis-2000mg-210-Tablets"," Swisse Ultiboost High Strength Propolis 2000mg 210 Tablets")</f>
        <v xml:space="preserve"> Swisse Ultiboost High Strength Propolis 2000mg 210 Tablets</v>
      </c>
      <c r="C648" t="s">
        <v>161</v>
      </c>
      <c r="D648" t="s">
        <v>139</v>
      </c>
    </row>
    <row r="649" spans="1:4" x14ac:dyDescent="0.25">
      <c r="B649" t="str">
        <f>HYPERLINK("https://www.chemistwarehouse.com.au/buy/72686/Swisse-Ultiboost-Odourless-Wild-Fish-Oil-1000mg-500-Capsules-Exclusive-Size"," Swisse Ultiboost Odourless Wild Fish Oil 1000mg 500 Capsules Exclusive Size")</f>
        <v xml:space="preserve"> Swisse Ultiboost Odourless Wild Fish Oil 1000mg 500 Capsules Exclusive Size</v>
      </c>
      <c r="C649" t="s">
        <v>1</v>
      </c>
      <c r="D649">
        <v>0</v>
      </c>
    </row>
    <row r="650" spans="1:4" x14ac:dyDescent="0.25">
      <c r="B650" t="str">
        <f>HYPERLINK("https://www.chemistwarehouse.com.au/buy/80462/Swisse-Ultiboost-High-Strength-Propolis-2000mg-300-Capsules"," Swisse Ultiboost High Strength Propolis 2000mg 300 Capsules")</f>
        <v xml:space="preserve"> Swisse Ultiboost High Strength Propolis 2000mg 300 Capsules</v>
      </c>
      <c r="C650" t="s">
        <v>161</v>
      </c>
      <c r="D650" t="s">
        <v>310</v>
      </c>
    </row>
    <row r="651" spans="1:4" x14ac:dyDescent="0.25">
      <c r="B651" t="str">
        <f>HYPERLINK("https://www.chemistwarehouse.com.au/buy/67489/Swisse-Ultiboost-Odourless-High-Strength-Wild-Fish-Oil-Odourless-1500mg-400-Capsules"," Swisse Ultiboost Odourless High Strength Wild Fish Oil Odourless 1500mg 400 Capsules")</f>
        <v xml:space="preserve"> Swisse Ultiboost Odourless High Strength Wild Fish Oil Odourless 1500mg 400 Capsules</v>
      </c>
      <c r="C651" t="s">
        <v>1</v>
      </c>
      <c r="D651" t="s">
        <v>390</v>
      </c>
    </row>
    <row r="652" spans="1:4" x14ac:dyDescent="0.25">
      <c r="B652" t="str">
        <f>HYPERLINK("https://www.chemistwarehouse.com.au/buy/67494/Swisse-Ultiboost-High-Strength-Deep-Sea-Krill-Oil-1000mg-60-Capsules-Exclusive-Size"," Swisse Ultiboost High Strength Deep Sea Krill Oil 1000mg 60 Capsules Exclusive Size")</f>
        <v xml:space="preserve"> Swisse Ultiboost High Strength Deep Sea Krill Oil 1000mg 60 Capsules Exclusive Size</v>
      </c>
      <c r="C652" t="s">
        <v>6</v>
      </c>
      <c r="D652">
        <v>0</v>
      </c>
    </row>
    <row r="653" spans="1:4" x14ac:dyDescent="0.25">
      <c r="B653" t="str">
        <f>HYPERLINK("https://www.chemistwarehouse.com.au/buy/66521/Swisse-Ultiboost-Deep-Sea-Krill-Oil-500mg-60-Capsules"," Swisse Ultiboost Deep Sea Krill Oil 500mg 60 Capsules")</f>
        <v xml:space="preserve"> Swisse Ultiboost Deep Sea Krill Oil 500mg 60 Capsules</v>
      </c>
      <c r="C653" t="s">
        <v>173</v>
      </c>
      <c r="D653" t="s">
        <v>391</v>
      </c>
    </row>
    <row r="654" spans="1:4" x14ac:dyDescent="0.25">
      <c r="B654" t="str">
        <f>HYPERLINK("https://www.chemistwarehouse.com.au/buy/71941/Swisse-Ultiboost-4-x-Strength-Wild-Fish-Oil-Concentrate-60-Capsules"," Swisse Ultiboost 4 x Strength Wild Fish Oil Concentrate 60 Capsules")</f>
        <v xml:space="preserve"> Swisse Ultiboost 4 x Strength Wild Fish Oil Concentrate 60 Capsules</v>
      </c>
      <c r="C654" t="s">
        <v>63</v>
      </c>
      <c r="D654" t="s">
        <v>217</v>
      </c>
    </row>
    <row r="655" spans="1:4" x14ac:dyDescent="0.25">
      <c r="B655" t="str">
        <f>HYPERLINK("https://www.chemistwarehouse.com.au/buy/63582/Swisse-Ultiboost-Odourless-High-Strength-Wild-Fish-Oil-1500mg-200-Capsules"," Swisse Ultiboost Odourless High Strength Wild Fish Oil 1500mg 200 Capsules")</f>
        <v xml:space="preserve"> Swisse Ultiboost Odourless High Strength Wild Fish Oil 1500mg 200 Capsules</v>
      </c>
      <c r="C655" t="s">
        <v>432</v>
      </c>
      <c r="D655" t="s">
        <v>429</v>
      </c>
    </row>
    <row r="656" spans="1:4" x14ac:dyDescent="0.25">
      <c r="B656" t="str">
        <f>HYPERLINK("https://www.chemistwarehouse.com.au/buy/77525/Swisse-Ultiboost-Super-Strength-Deep-Sea-Krill-1500mg-30-Capsules"," Swisse Ultiboost Super Strength Deep Sea Krill 1500mg 30 Capsules")</f>
        <v xml:space="preserve"> Swisse Ultiboost Super Strength Deep Sea Krill 1500mg 30 Capsules</v>
      </c>
      <c r="C656" t="s">
        <v>6</v>
      </c>
      <c r="D656" t="s">
        <v>110</v>
      </c>
    </row>
    <row r="657" spans="1:4" x14ac:dyDescent="0.25">
      <c r="B657" t="str">
        <f>HYPERLINK("https://www.chemistwarehouse.com.au/buy/71530/Swisse-Ultiboost-Odourless-Super-Strength-Wild-Fish-Oil-2000mg-300-Capsules"," Swisse Ultiboost Odourless Super Strength Wild Fish Oil 2000mg 300 Capsules")</f>
        <v xml:space="preserve"> Swisse Ultiboost Odourless Super Strength Wild Fish Oil 2000mg 300 Capsules</v>
      </c>
      <c r="C657" t="s">
        <v>161</v>
      </c>
      <c r="D657">
        <v>0</v>
      </c>
    </row>
    <row r="658" spans="1:4" x14ac:dyDescent="0.25">
      <c r="A658" t="s">
        <v>433</v>
      </c>
    </row>
    <row r="659" spans="1:4" x14ac:dyDescent="0.25">
      <c r="B659" t="str">
        <f>HYPERLINK("https://www.chemistwarehouse.com.au/buy/58108/Swisse-Ultiboost-Sleep-100-Tablets"," Swisse Ultiboost Sleep 100 Tablets")</f>
        <v xml:space="preserve"> Swisse Ultiboost Sleep 100 Tablets</v>
      </c>
      <c r="C659" t="s">
        <v>1</v>
      </c>
      <c r="D659" t="s">
        <v>378</v>
      </c>
    </row>
    <row r="660" spans="1:4" x14ac:dyDescent="0.25">
      <c r="B660" t="str">
        <f>HYPERLINK("https://www.chemistwarehouse.com.au/buy/57049/Swisse-Ultiboost-Memory-Focus-50-Tablets"," Swisse Ultiboost Memory + Focus 50 Tablets")</f>
        <v xml:space="preserve"> Swisse Ultiboost Memory + Focus 50 Tablets</v>
      </c>
      <c r="C660" t="s">
        <v>187</v>
      </c>
      <c r="D660" t="s">
        <v>341</v>
      </c>
    </row>
    <row r="661" spans="1:4" x14ac:dyDescent="0.25">
      <c r="B661" t="str">
        <f>HYPERLINK("https://www.chemistwarehouse.com.au/buy/71935/Swisse-Ultiboost-High-Strength-Vitamin-B12-60-Tablets"," Swisse Ultiboost High Strength Vitamin B12 60 Tablets")</f>
        <v xml:space="preserve"> Swisse Ultiboost High Strength Vitamin B12 60 Tablets</v>
      </c>
      <c r="C661" t="s">
        <v>98</v>
      </c>
      <c r="D661" t="s">
        <v>169</v>
      </c>
    </row>
    <row r="662" spans="1:4" x14ac:dyDescent="0.25">
      <c r="B662" t="str">
        <f>HYPERLINK("https://www.chemistwarehouse.com.au/buy/67970/Swisse-Ultiboost-Relax-amp-Sleep-60-Tablets"," Swisse Ultiboost Relax &amp; Sleep 60 Tablets")</f>
        <v xml:space="preserve"> Swisse Ultiboost Relax &amp; Sleep 60 Tablets</v>
      </c>
      <c r="C662" t="s">
        <v>161</v>
      </c>
      <c r="D662" t="s">
        <v>155</v>
      </c>
    </row>
    <row r="663" spans="1:4" x14ac:dyDescent="0.25">
      <c r="B663" t="str">
        <f>HYPERLINK("https://www.chemistwarehouse.com.au/buy/66392/Swisse-Ultiboost-Mood-100-Tablets"," Swisse Ultiboost Mood 100 Tablets")</f>
        <v xml:space="preserve"> Swisse Ultiboost Mood 100 Tablets</v>
      </c>
      <c r="C663" t="s">
        <v>163</v>
      </c>
      <c r="D663" t="s">
        <v>347</v>
      </c>
    </row>
    <row r="664" spans="1:4" x14ac:dyDescent="0.25">
      <c r="B664" t="str">
        <f>HYPERLINK("https://www.chemistwarehouse.com.au/buy/81466/Swisse-Ultiboost-Ginkgo-Biloba-60-Tablets"," Swisse Ultiboost Ginkgo Biloba 60 Tablets")</f>
        <v xml:space="preserve"> Swisse Ultiboost Ginkgo Biloba 60 Tablets</v>
      </c>
      <c r="C664" t="s">
        <v>161</v>
      </c>
      <c r="D664" t="s">
        <v>112</v>
      </c>
    </row>
    <row r="665" spans="1:4" x14ac:dyDescent="0.25">
      <c r="B665" t="str">
        <f>HYPERLINK("https://www.chemistwarehouse.com.au/buy/80459/Swisse-Ultiboost-High-Strength-Maca-60-Tablets"," Swisse Ultiboost High Strength Maca 60 Tablets")</f>
        <v xml:space="preserve"> Swisse Ultiboost High Strength Maca 60 Tablets</v>
      </c>
      <c r="C665" t="s">
        <v>10</v>
      </c>
      <c r="D665" t="s">
        <v>390</v>
      </c>
    </row>
    <row r="666" spans="1:4" x14ac:dyDescent="0.25">
      <c r="B666" t="str">
        <f>HYPERLINK("https://www.chemistwarehouse.com.au/buy/81462/Swisse-Ultiboost-Valerian-60-Tablets"," Swisse Ultiboost Valerian 60 Tablets")</f>
        <v xml:space="preserve"> Swisse Ultiboost Valerian 60 Tablets</v>
      </c>
      <c r="C666" t="s">
        <v>1</v>
      </c>
      <c r="D666" t="s">
        <v>167</v>
      </c>
    </row>
    <row r="667" spans="1:4" x14ac:dyDescent="0.25">
      <c r="B667" t="str">
        <f>HYPERLINK("https://www.chemistwarehouse.com.au/buy/67429/Swisse-Ultiboost-Mega-B-30-Tablets"," Swisse Ultiboost Mega B + 30 Tablets")</f>
        <v xml:space="preserve"> Swisse Ultiboost Mega B + 30 Tablets</v>
      </c>
      <c r="C667" t="s">
        <v>167</v>
      </c>
      <c r="D667" t="s">
        <v>434</v>
      </c>
    </row>
    <row r="668" spans="1:4" x14ac:dyDescent="0.25">
      <c r="B668" t="str">
        <f>HYPERLINK("https://www.chemistwarehouse.com.au/buy/67490/Swisse-Ultiboost-Mega-B-60-Tablets"," Swisse Ultiboost Mega B + 60 Tablets")</f>
        <v xml:space="preserve"> Swisse Ultiboost Mega B + 60 Tablets</v>
      </c>
      <c r="C668" t="s">
        <v>153</v>
      </c>
      <c r="D668" t="s">
        <v>435</v>
      </c>
    </row>
    <row r="669" spans="1:4" x14ac:dyDescent="0.25">
      <c r="B669" t="str">
        <f>HYPERLINK("https://www.chemistwarehouse.com.au/buy/56692/Swisse-Ultiboost-Sleep-60-Tablets"," Swisse Ultiboost Sleep 60 Tablets")</f>
        <v xml:space="preserve"> Swisse Ultiboost Sleep 60 Tablets</v>
      </c>
      <c r="C669" t="s">
        <v>61</v>
      </c>
      <c r="D669" t="s">
        <v>436</v>
      </c>
    </row>
    <row r="670" spans="1:4" x14ac:dyDescent="0.25">
      <c r="B670" t="str">
        <f>HYPERLINK("https://www.chemistwarehouse.com.au/buy/56715/Swisse-Ultiboost-Mood-50-Tablets"," Swisse Ultiboost Mood 50 Tablets")</f>
        <v xml:space="preserve"> Swisse Ultiboost Mood 50 Tablets</v>
      </c>
      <c r="C670" t="s">
        <v>316</v>
      </c>
      <c r="D670" t="s">
        <v>437</v>
      </c>
    </row>
    <row r="671" spans="1:4" x14ac:dyDescent="0.25">
      <c r="B671" t="str">
        <f>HYPERLINK("https://www.chemistwarehouse.com.au/buy/81468/Swisse-Ultivite-Multivitamin-Effervescent-60-Tablets"," Swisse Ultivite Multivitamin Effervescent 60 Tablets")</f>
        <v xml:space="preserve"> Swisse Ultivite Multivitamin Effervescent 60 Tablets</v>
      </c>
      <c r="C671" t="s">
        <v>161</v>
      </c>
      <c r="D671" t="s">
        <v>155</v>
      </c>
    </row>
    <row r="672" spans="1:4" x14ac:dyDescent="0.25">
      <c r="A672" t="s">
        <v>438</v>
      </c>
    </row>
    <row r="673" spans="1:4" x14ac:dyDescent="0.25">
      <c r="B673" t="str">
        <f>HYPERLINK("https://www.chemistwarehouse.com.au/buy/74651/Swisse-Ultiboost-High-Strength-Vitamin-C-60-Effervescent-Tablets"," Swisse Ultiboost High Strength Vitamin C 60 Effervescent Tablets")</f>
        <v xml:space="preserve"> Swisse Ultiboost High Strength Vitamin C 60 Effervescent Tablets</v>
      </c>
      <c r="C673" t="s">
        <v>1</v>
      </c>
      <c r="D673" t="s">
        <v>154</v>
      </c>
    </row>
    <row r="674" spans="1:4" x14ac:dyDescent="0.25">
      <c r="B674" t="str">
        <f>HYPERLINK("https://www.chemistwarehouse.com.au/buy/56888/Swisse-Ultiboost-Immune-60-Tablets"," Swisse Ultiboost Immune 60 Tablets")</f>
        <v xml:space="preserve"> Swisse Ultiboost Immune 60 Tablets</v>
      </c>
      <c r="C674" t="s">
        <v>233</v>
      </c>
      <c r="D674" t="s">
        <v>332</v>
      </c>
    </row>
    <row r="675" spans="1:4" x14ac:dyDescent="0.25">
      <c r="B675" t="str">
        <f>HYPERLINK("https://www.chemistwarehouse.com.au/buy/64872/Swisse-Ultiboost-Zinc-60-Tablets"," Swisse Ultiboost Zinc+ 60 Tablets")</f>
        <v xml:space="preserve"> Swisse Ultiboost Zinc+ 60 Tablets</v>
      </c>
      <c r="C675" t="s">
        <v>45</v>
      </c>
      <c r="D675" t="s">
        <v>157</v>
      </c>
    </row>
    <row r="676" spans="1:4" x14ac:dyDescent="0.25">
      <c r="B676" t="str">
        <f>HYPERLINK("https://www.chemistwarehouse.com.au/buy/66120/Swisse-Ultiboost-High-Strength-Horseradish-Garlic-Vitamin-C-60-Tablets"," Swisse Ultiboost High Strength Horseradish + Garlic + Vitamin C 60 Tablets")</f>
        <v xml:space="preserve"> Swisse Ultiboost High Strength Horseradish + Garlic + Vitamin C 60 Tablets</v>
      </c>
      <c r="C676" t="s">
        <v>187</v>
      </c>
      <c r="D676" t="s">
        <v>352</v>
      </c>
    </row>
    <row r="677" spans="1:4" x14ac:dyDescent="0.25">
      <c r="B677" t="str">
        <f>HYPERLINK("https://www.chemistwarehouse.com.au/buy/71937/Swisse-Ultiboost-Zinc-Vitamin-C-Garlic-60-Tablets"," Swisse Ultiboost Zinc + Vitamin C + Garlic 60 Tablets")</f>
        <v xml:space="preserve"> Swisse Ultiboost Zinc + Vitamin C + Garlic 60 Tablets</v>
      </c>
      <c r="C677" t="s">
        <v>45</v>
      </c>
      <c r="D677" t="s">
        <v>46</v>
      </c>
    </row>
    <row r="678" spans="1:4" x14ac:dyDescent="0.25">
      <c r="B678" t="str">
        <f>HYPERLINK("https://www.chemistwarehouse.com.au/buy/76017/Swisse-Ultiboost-High-Strength-C-1000mg-150-Tablets"," Swisse Ultiboost High Strength C 1000mg 150 Tablets")</f>
        <v xml:space="preserve"> Swisse Ultiboost High Strength C 1000mg 150 Tablets</v>
      </c>
      <c r="C678" t="s">
        <v>6</v>
      </c>
      <c r="D678" t="s">
        <v>46</v>
      </c>
    </row>
    <row r="679" spans="1:4" x14ac:dyDescent="0.25">
      <c r="B679" t="str">
        <f>HYPERLINK("https://www.chemistwarehouse.com.au/buy/81465/Swisse-Ultiboost-Bilberry-30-Tablets"," Swisse Ultiboost Bilberry 30 Tablets")</f>
        <v xml:space="preserve"> Swisse Ultiboost Bilberry 30 Tablets</v>
      </c>
      <c r="C679" t="s">
        <v>187</v>
      </c>
      <c r="D679" t="s">
        <v>303</v>
      </c>
    </row>
    <row r="680" spans="1:4" x14ac:dyDescent="0.25">
      <c r="B680" t="str">
        <f>HYPERLINK("https://www.chemistwarehouse.com.au/buy/81858/Swisse-Ultiboost-Vitamin-C-Manuka-Honey-120-Tablets"," Swisse Ultiboost Vitamin C + Manuka Honey 120 Tablets")</f>
        <v xml:space="preserve"> Swisse Ultiboost Vitamin C + Manuka Honey 120 Tablets</v>
      </c>
      <c r="C680" t="s">
        <v>8</v>
      </c>
      <c r="D680" t="s">
        <v>280</v>
      </c>
    </row>
    <row r="681" spans="1:4" x14ac:dyDescent="0.25">
      <c r="B681" t="str">
        <f>HYPERLINK("https://www.chemistwarehouse.com.au/buy/77527/Swisse-Ultiboost-Mushroom-80-Tablets"," Swisse Ultiboost Mushroom+ 80 Tablets")</f>
        <v xml:space="preserve"> Swisse Ultiboost Mushroom+ 80 Tablets</v>
      </c>
      <c r="C681" t="s">
        <v>1</v>
      </c>
      <c r="D681" t="s">
        <v>439</v>
      </c>
    </row>
    <row r="682" spans="1:4" x14ac:dyDescent="0.25">
      <c r="B682" t="str">
        <f>HYPERLINK("https://www.chemistwarehouse.com.au/buy/77526/Swisse-Ultiboost-Lung-Health-Support-90-Tablets"," Swisse Ultiboost Lung Health Support 90 Tablets")</f>
        <v xml:space="preserve"> Swisse Ultiboost Lung Health Support 90 Tablets</v>
      </c>
      <c r="C682" t="s">
        <v>161</v>
      </c>
      <c r="D682" t="s">
        <v>440</v>
      </c>
    </row>
    <row r="683" spans="1:4" x14ac:dyDescent="0.25">
      <c r="B683" t="str">
        <f>HYPERLINK("https://www.chemistwarehouse.com.au/buy/58109/Swisse-Ultiboost-High-Strength-C-60-Tablets"," Swisse Ultiboost High Strength C 60 Tablets")</f>
        <v xml:space="preserve"> Swisse Ultiboost High Strength C 60 Tablets</v>
      </c>
      <c r="C683" t="s">
        <v>233</v>
      </c>
      <c r="D683" t="s">
        <v>441</v>
      </c>
    </row>
    <row r="684" spans="1:4" x14ac:dyDescent="0.25">
      <c r="A684" t="s">
        <v>442</v>
      </c>
    </row>
    <row r="685" spans="1:4" x14ac:dyDescent="0.25">
      <c r="B685" t="str">
        <f>HYPERLINK("https://www.chemistwarehouse.com.au/buy/67491/Swisse-Ultiboost-Calcium-Vitamin-D-150-Tablets"," Swisse Ultiboost Calcium + Vitamin D 150 Tablets")</f>
        <v xml:space="preserve"> Swisse Ultiboost Calcium + Vitamin D 150 Tablets</v>
      </c>
      <c r="C685" t="s">
        <v>443</v>
      </c>
      <c r="D685" t="s">
        <v>106</v>
      </c>
    </row>
    <row r="686" spans="1:4" x14ac:dyDescent="0.25">
      <c r="B686" t="str">
        <f>HYPERLINK("https://www.chemistwarehouse.com.au/buy/74932/Swisse-Ultiboost-High-Strength-Celery-5000-mg-50-Caps"," Swisse Ultiboost High Strength Celery 5000 mg 50 Caps")</f>
        <v xml:space="preserve"> Swisse Ultiboost High Strength Celery 5000 mg 50 Caps</v>
      </c>
      <c r="C686" t="s">
        <v>237</v>
      </c>
      <c r="D686" t="s">
        <v>280</v>
      </c>
    </row>
    <row r="687" spans="1:4" x14ac:dyDescent="0.25">
      <c r="B687" t="str">
        <f>HYPERLINK("https://www.chemistwarehouse.com.au/buy/66485/Swisse-Ultiboost-Co-Enzyme-Q10-150mg-50-Capsules"," Swisse Ultiboost Co-Enzyme Q10 150mg 50 Capsules")</f>
        <v xml:space="preserve"> Swisse Ultiboost Co-Enzyme Q10 150mg 50 Capsules</v>
      </c>
      <c r="C687" t="s">
        <v>1</v>
      </c>
      <c r="D687" t="s">
        <v>72</v>
      </c>
    </row>
    <row r="688" spans="1:4" x14ac:dyDescent="0.25">
      <c r="B688" t="str">
        <f>HYPERLINK("https://www.chemistwarehouse.com.au/buy/79795/Swisse-Ultiboost-Co-Enzyme-Q10-150mg-180-Capsules"," Swisse Ultiboost Co Enzyme Q10 150mg 180 Capsules")</f>
        <v xml:space="preserve"> Swisse Ultiboost Co Enzyme Q10 150mg 180 Capsules</v>
      </c>
      <c r="C688" t="s">
        <v>6</v>
      </c>
      <c r="D688" t="s">
        <v>444</v>
      </c>
    </row>
    <row r="689" spans="2:4" x14ac:dyDescent="0.25">
      <c r="B689" t="str">
        <f>HYPERLINK("https://www.chemistwarehouse.com.au/buy/66393/Swisse-Ultiboost-Magnesium-120-Tablets"," Swisse Ultiboost Magnesium 120 Tablets")</f>
        <v xml:space="preserve"> Swisse Ultiboost Magnesium 120 Tablets</v>
      </c>
      <c r="C689" t="s">
        <v>445</v>
      </c>
      <c r="D689" t="s">
        <v>446</v>
      </c>
    </row>
    <row r="690" spans="2:4" x14ac:dyDescent="0.25">
      <c r="B690" t="str">
        <f>HYPERLINK("https://www.chemistwarehouse.com.au/buy/75063/Swisse-Ultiboost-Glucosamine-Sulfate-1500mg-180-Tabs"," Swisse Ultiboost Glucosamine Sulfate 1500mg 180 Tabs")</f>
        <v xml:space="preserve"> Swisse Ultiboost Glucosamine Sulfate 1500mg 180 Tabs</v>
      </c>
      <c r="C690" t="s">
        <v>6</v>
      </c>
      <c r="D690" t="s">
        <v>110</v>
      </c>
    </row>
    <row r="691" spans="2:4" x14ac:dyDescent="0.25">
      <c r="B691" t="str">
        <f>HYPERLINK("https://www.chemistwarehouse.com.au/buy/71933/Swisse-Ultiboost-Joint-Repair-90-Tablets"," Swisse Ultiboost Joint Repair 90 Tablets")</f>
        <v xml:space="preserve"> Swisse Ultiboost Joint Repair 90 Tablets</v>
      </c>
      <c r="C691" t="s">
        <v>6</v>
      </c>
      <c r="D691" t="s">
        <v>447</v>
      </c>
    </row>
    <row r="692" spans="2:4" x14ac:dyDescent="0.25">
      <c r="B692" t="str">
        <f>HYPERLINK("https://www.chemistwarehouse.com.au/buy/69162/Swisse-Ultiboost-Vitamin-D-400-Capsules"," Swisse Ultiboost Vitamin D 400 Capsules")</f>
        <v xml:space="preserve"> Swisse Ultiboost Vitamin D 400 Capsules</v>
      </c>
      <c r="C692" t="s">
        <v>448</v>
      </c>
      <c r="D692" t="s">
        <v>425</v>
      </c>
    </row>
    <row r="693" spans="2:4" x14ac:dyDescent="0.25">
      <c r="B693" t="str">
        <f>HYPERLINK("https://www.chemistwarehouse.com.au/buy/81469/Swisse-Ultiboost-Calcium-VItamin-D-Effervescent-60-Tablets"," Swisse Ultiboost Calcium + VItamin D Effervescent 60 Tablets")</f>
        <v xml:space="preserve"> Swisse Ultiboost Calcium + VItamin D Effervescent 60 Tablets</v>
      </c>
      <c r="C693" t="s">
        <v>161</v>
      </c>
      <c r="D693" t="s">
        <v>155</v>
      </c>
    </row>
    <row r="694" spans="2:4" x14ac:dyDescent="0.25">
      <c r="B694" t="str">
        <f>HYPERLINK("https://www.chemistwarehouse.com.au/buy/71529/Swisse-Ultiboost-Glucosamine-HCL-1500mg-250-Tablets-Exclusive-Size"," Swisse Ultiboost Glucosamine HCL 1500mg 250 Tablets Exclusive Size")</f>
        <v xml:space="preserve"> Swisse Ultiboost Glucosamine HCL 1500mg 250 Tablets Exclusive Size</v>
      </c>
      <c r="C694" t="s">
        <v>1</v>
      </c>
      <c r="D694">
        <v>0</v>
      </c>
    </row>
    <row r="695" spans="2:4" x14ac:dyDescent="0.25">
      <c r="B695" t="str">
        <f>HYPERLINK("https://www.chemistwarehouse.com.au/buy/71934/Swisse-Ultiboost-Joint-Pain-Relief-90-Tablets"," Swisse Ultiboost Joint Pain Relief 90 Tablets")</f>
        <v xml:space="preserve"> Swisse Ultiboost Joint Pain Relief 90 Tablets</v>
      </c>
      <c r="C695" t="s">
        <v>1</v>
      </c>
      <c r="D695" t="s">
        <v>164</v>
      </c>
    </row>
    <row r="696" spans="2:4" x14ac:dyDescent="0.25">
      <c r="B696" t="str">
        <f>HYPERLINK("https://www.chemistwarehouse.com.au/buy/70260/Swisse-Ultiboost-Magnesium-180G-Powder"," Swisse Ultiboost Magnesium+ 180G Powder")</f>
        <v xml:space="preserve"> Swisse Ultiboost Magnesium+ 180G Powder</v>
      </c>
      <c r="C696" t="s">
        <v>161</v>
      </c>
      <c r="D696" t="s">
        <v>169</v>
      </c>
    </row>
    <row r="697" spans="2:4" x14ac:dyDescent="0.25">
      <c r="B697" t="str">
        <f>HYPERLINK("https://www.chemistwarehouse.com.au/buy/69163/Swisse-Ultiboost-Magnesium-200-Tablets-Exclusive-Size"," Swisse Ultiboost Magnesium 200 Tablets Exclusive Size")</f>
        <v xml:space="preserve"> Swisse Ultiboost Magnesium 200 Tablets Exclusive Size</v>
      </c>
      <c r="C697" t="s">
        <v>161</v>
      </c>
      <c r="D697">
        <v>0</v>
      </c>
    </row>
    <row r="698" spans="2:4" x14ac:dyDescent="0.25">
      <c r="B698" t="str">
        <f>HYPERLINK("https://www.chemistwarehouse.com.au/buy/67966/Swisse-Ultiboost-Absorb-Well-Co-Enzyme-Q10-45-Capsules"," Swisse Ultiboost Absorb Well Co-Enzyme Q10 45 Capsules")</f>
        <v xml:space="preserve"> Swisse Ultiboost Absorb Well Co-Enzyme Q10 45 Capsules</v>
      </c>
      <c r="C698" t="s">
        <v>6</v>
      </c>
      <c r="D698" t="s">
        <v>160</v>
      </c>
    </row>
    <row r="699" spans="2:4" x14ac:dyDescent="0.25">
      <c r="B699" t="str">
        <f>HYPERLINK("https://www.chemistwarehouse.com.au/buy/59771/Swisse-Ultiboost-Vitamin-D-60-Capsules"," Swisse Ultiboost Vitamin D 60 Capsules")</f>
        <v xml:space="preserve"> Swisse Ultiboost Vitamin D 60 Capsules</v>
      </c>
      <c r="C699" t="s">
        <v>103</v>
      </c>
      <c r="D699" t="s">
        <v>397</v>
      </c>
    </row>
    <row r="700" spans="2:4" x14ac:dyDescent="0.25">
      <c r="B700" t="str">
        <f>HYPERLINK("https://www.chemistwarehouse.com.au/buy/70259/Swisse-Ultiboost-Magnesium-Calcium-Vitamin-D-120-Tablets"," Swisse Ultiboost Magnesium Calcium + Vitamin D 120 Tablets")</f>
        <v xml:space="preserve"> Swisse Ultiboost Magnesium Calcium + Vitamin D 120 Tablets</v>
      </c>
      <c r="C700" t="s">
        <v>401</v>
      </c>
      <c r="D700" t="s">
        <v>449</v>
      </c>
    </row>
    <row r="701" spans="2:4" x14ac:dyDescent="0.25">
      <c r="B701" t="str">
        <f>HYPERLINK("https://www.chemistwarehouse.com.au/buy/73681/Swisse-Ultiboost-Bones-90-Tablets"," Swisse Ultiboost Bones 90 Tablets")</f>
        <v xml:space="preserve"> Swisse Ultiboost Bones 90 Tablets</v>
      </c>
      <c r="C701" t="s">
        <v>450</v>
      </c>
      <c r="D701" t="s">
        <v>451</v>
      </c>
    </row>
    <row r="702" spans="2:4" x14ac:dyDescent="0.25">
      <c r="B702" t="str">
        <f>HYPERLINK("https://www.chemistwarehouse.com.au/buy/59772/Swisse-Ultiboost-Magnesium-60-Tablets"," Swisse Ultiboost Magnesium 60 Tablets")</f>
        <v xml:space="preserve"> Swisse Ultiboost Magnesium 60 Tablets</v>
      </c>
      <c r="C702" t="s">
        <v>269</v>
      </c>
      <c r="D702" t="s">
        <v>452</v>
      </c>
    </row>
    <row r="703" spans="2:4" x14ac:dyDescent="0.25">
      <c r="B703" t="str">
        <f>HYPERLINK("https://www.chemistwarehouse.com.au/buy/63243/Swisse-Ultiboost-Vitamin-D-250-Capsules"," Swisse Ultiboost Vitamin D 250 Capsules")</f>
        <v xml:space="preserve"> Swisse Ultiboost Vitamin D 250 Capsules</v>
      </c>
      <c r="C703" t="s">
        <v>63</v>
      </c>
      <c r="D703" t="s">
        <v>350</v>
      </c>
    </row>
    <row r="704" spans="2:4" x14ac:dyDescent="0.25">
      <c r="B704" t="str">
        <f>HYPERLINK("https://www.chemistwarehouse.com.au/buy/66044/Swisse-Ultiboost-Magnesium-300mg-60-Effervescent-Tablets"," Swisse Ultiboost Magnesium 300mg 60 Effervescent Tablets")</f>
        <v xml:space="preserve"> Swisse Ultiboost Magnesium 300mg 60 Effervescent Tablets</v>
      </c>
      <c r="C704" t="s">
        <v>1</v>
      </c>
      <c r="D704" t="s">
        <v>154</v>
      </c>
    </row>
    <row r="705" spans="1:4" x14ac:dyDescent="0.25">
      <c r="B705" t="str">
        <f>HYPERLINK("https://www.chemistwarehouse.com.au/buy/79448/Swisse-Ultiboost-Curcumin-30-Capsules"," Swisse Ultiboost Curcumin 30 Capsules")</f>
        <v xml:space="preserve"> Swisse Ultiboost Curcumin 30 Capsules</v>
      </c>
      <c r="C705" t="s">
        <v>63</v>
      </c>
      <c r="D705" t="s">
        <v>453</v>
      </c>
    </row>
    <row r="706" spans="1:4" x14ac:dyDescent="0.25">
      <c r="B706" t="str">
        <f>HYPERLINK("https://www.chemistwarehouse.com.au/buy/81269/Swisse-Ultiboost-Vitamin-D-400-Capsules-Magnesium-60-Tablets-Exclusive-Size"," Swisse Ultiboost Vitamin D 400 Capsules + Magnesium 60 Tablets Exclusive Size")</f>
        <v xml:space="preserve"> Swisse Ultiboost Vitamin D 400 Capsules + Magnesium 60 Tablets Exclusive Size</v>
      </c>
      <c r="C706" t="s">
        <v>63</v>
      </c>
      <c r="D706" t="s">
        <v>454</v>
      </c>
    </row>
    <row r="707" spans="1:4" x14ac:dyDescent="0.25">
      <c r="B707" t="str">
        <f>HYPERLINK("https://www.chemistwarehouse.com.au/buy/81857/Swisse-Ultiboost-Milk-Calcium-90-Tablets"," Swisse Ultiboost Milk Calcium 90 Tablets")</f>
        <v xml:space="preserve"> Swisse Ultiboost Milk Calcium 90 Tablets</v>
      </c>
      <c r="C707" t="s">
        <v>8</v>
      </c>
      <c r="D707" t="s">
        <v>280</v>
      </c>
    </row>
    <row r="708" spans="1:4" x14ac:dyDescent="0.25">
      <c r="B708" t="str">
        <f>HYPERLINK("https://www.chemistwarehouse.com.au/buy/73683/Swisse-Ultiboost-Vitamin-K2-D3-60-Capsules"," Swisse Ultiboost Vitamin K2 + D3 60 Capsules")</f>
        <v xml:space="preserve"> Swisse Ultiboost Vitamin K2 + D3 60 Capsules</v>
      </c>
      <c r="C708" t="s">
        <v>167</v>
      </c>
      <c r="D708" t="s">
        <v>187</v>
      </c>
    </row>
    <row r="709" spans="1:4" x14ac:dyDescent="0.25">
      <c r="A709" t="s">
        <v>455</v>
      </c>
    </row>
    <row r="710" spans="1:4" x14ac:dyDescent="0.25">
      <c r="B710" t="str">
        <f>HYPERLINK("https://www.chemistwarehouse.com.au/buy/66552/Swisse-Ultiboost-Liver-Detox-120-Tablets"," Swisse Ultiboost Liver Detox 120 Tablets")</f>
        <v xml:space="preserve"> Swisse Ultiboost Liver Detox 120 Tablets</v>
      </c>
      <c r="C710" t="s">
        <v>1</v>
      </c>
      <c r="D710" t="s">
        <v>299</v>
      </c>
    </row>
    <row r="711" spans="1:4" x14ac:dyDescent="0.25">
      <c r="B711" t="str">
        <f>HYPERLINK("https://www.chemistwarehouse.com.au/buy/80460/Swisse-Ultiboost-Liver-Detox-200-Tablets"," Swisse Ultiboost Liver Detox 200 Tablets")</f>
        <v xml:space="preserve"> Swisse Ultiboost Liver Detox 200 Tablets</v>
      </c>
      <c r="C711" t="s">
        <v>1</v>
      </c>
      <c r="D711" t="s">
        <v>9</v>
      </c>
    </row>
    <row r="712" spans="1:4" x14ac:dyDescent="0.25">
      <c r="B712" t="str">
        <f>HYPERLINK("https://www.chemistwarehouse.com.au/buy/80463/Swisse-Ultiboost-Lecithin-1200mg-300-Capsules"," Swisse Ultiboost Lecithin 1200mg 300 Capsules")</f>
        <v xml:space="preserve"> Swisse Ultiboost Lecithin 1200mg 300 Capsules</v>
      </c>
      <c r="C712" t="s">
        <v>161</v>
      </c>
      <c r="D712" t="s">
        <v>456</v>
      </c>
    </row>
    <row r="713" spans="1:4" x14ac:dyDescent="0.25">
      <c r="B713" t="str">
        <f>HYPERLINK("https://www.chemistwarehouse.com.au/buy/74931/Swisse-Ultiboost-Lecithin-1200mg-150-Caps"," Swisse Ultiboost Lecithin 1200mg 150 Caps")</f>
        <v xml:space="preserve"> Swisse Ultiboost Lecithin 1200mg 150 Caps</v>
      </c>
      <c r="C713" t="s">
        <v>61</v>
      </c>
      <c r="D713" t="s">
        <v>379</v>
      </c>
    </row>
    <row r="714" spans="1:4" x14ac:dyDescent="0.25">
      <c r="B714" t="str">
        <f>HYPERLINK("https://www.chemistwarehouse.com.au/buy/71942/Swisse-Ultiboost-Probiotic-Shelf-Stable-35-Billion-30-Capsules"," Swisse Ultiboost Probiotic Shelf Stable 35 Billion 30 Capsules")</f>
        <v xml:space="preserve"> Swisse Ultiboost Probiotic Shelf Stable 35 Billion 30 Capsules</v>
      </c>
      <c r="C714" t="s">
        <v>457</v>
      </c>
      <c r="D714" t="s">
        <v>458</v>
      </c>
    </row>
    <row r="715" spans="1:4" x14ac:dyDescent="0.25">
      <c r="B715" t="str">
        <f>HYPERLINK("https://www.chemistwarehouse.com.au/buy/59769/Swisse-Ultiboost-Liver-Detox-60-Tablets"," Swisse Ultiboost Liver Detox 60 Tablets")</f>
        <v xml:space="preserve"> Swisse Ultiboost Liver Detox 60 Tablets</v>
      </c>
      <c r="C715" t="s">
        <v>187</v>
      </c>
      <c r="D715" t="s">
        <v>64</v>
      </c>
    </row>
    <row r="716" spans="1:4" x14ac:dyDescent="0.25">
      <c r="B716" t="str">
        <f>HYPERLINK("https://www.chemistwarehouse.com.au/buy/61713/Swisse-Ultiboost-Inner-Balance-Probiotic-26-Billion-30-Capsules-Fridge"," Swisse Ultiboost Inner Balance Probiotic 26 Billion 30 Capsules (Fridge)")</f>
        <v xml:space="preserve"> Swisse Ultiboost Inner Balance Probiotic 26 Billion 30 Capsules (Fridge)</v>
      </c>
      <c r="C716" t="s">
        <v>153</v>
      </c>
      <c r="D716" t="s">
        <v>155</v>
      </c>
    </row>
    <row r="717" spans="1:4" x14ac:dyDescent="0.25">
      <c r="B717" t="str">
        <f>HYPERLINK("https://www.chemistwarehouse.com.au/buy/61714/Swisse-Ultiboost-Inner-Balance-Probiotic-26-Billion-90-Capsules-Fridge"," Swisse Ultiboost Inner Balance Probiotic 26 Billion 90 Capsules (Fridge)")</f>
        <v xml:space="preserve"> Swisse Ultiboost Inner Balance Probiotic 26 Billion 90 Capsules (Fridge)</v>
      </c>
      <c r="C717" t="s">
        <v>258</v>
      </c>
      <c r="D717" t="s">
        <v>435</v>
      </c>
    </row>
    <row r="718" spans="1:4" x14ac:dyDescent="0.25">
      <c r="B718" t="str">
        <f>HYPERLINK("https://www.chemistwarehouse.com.au/buy/67606/Swisse-Ultiboost-Inner-Balance-120-Capsules-Exclusive-Fridge"," Swisse Ultiboost Inner Balance 120 Capsules Exclusive (Fridge)")</f>
        <v xml:space="preserve"> Swisse Ultiboost Inner Balance 120 Capsules Exclusive (Fridge)</v>
      </c>
      <c r="C718" t="s">
        <v>276</v>
      </c>
      <c r="D718">
        <v>0</v>
      </c>
    </row>
    <row r="719" spans="1:4" x14ac:dyDescent="0.25">
      <c r="B719" t="str">
        <f>HYPERLINK("https://www.chemistwarehouse.com.au/buy/77529/Swisse-Ultiboost-Sugar-Metabolism-Support-30-Capsules"," Swisse Ultiboost Sugar Metabolism Support 30 Capsules")</f>
        <v xml:space="preserve"> Swisse Ultiboost Sugar Metabolism Support 30 Capsules</v>
      </c>
      <c r="C719" t="s">
        <v>187</v>
      </c>
      <c r="D719" t="s">
        <v>162</v>
      </c>
    </row>
    <row r="720" spans="1:4" x14ac:dyDescent="0.25">
      <c r="B720" t="str">
        <f>HYPERLINK("https://www.chemistwarehouse.com.au/buy/81463/Swisse-Ultiboost-Globe-Artichoke-60-Tablets"," Swisse Ultiboost Globe Artichoke 60 Tablets")</f>
        <v xml:space="preserve"> Swisse Ultiboost Globe Artichoke 60 Tablets</v>
      </c>
      <c r="C720" t="s">
        <v>61</v>
      </c>
      <c r="D720" t="s">
        <v>299</v>
      </c>
    </row>
    <row r="721" spans="1:4" x14ac:dyDescent="0.25">
      <c r="B721" t="str">
        <f>HYPERLINK("https://www.chemistwarehouse.com.au/buy/81464/Swisse-Ultiboost-Milk-Thistle-60-Tablets"," Swisse Ultiboost Milk Thistle 60 Tablets")</f>
        <v xml:space="preserve"> Swisse Ultiboost Milk Thistle 60 Tablets</v>
      </c>
      <c r="C721" t="s">
        <v>1</v>
      </c>
      <c r="D721" t="s">
        <v>167</v>
      </c>
    </row>
    <row r="722" spans="1:4" x14ac:dyDescent="0.25">
      <c r="B722" t="str">
        <f>HYPERLINK("https://www.chemistwarehouse.com.au/buy/71945/Swisse-Ultiboost-Cinnamon-50-Tablets"," Swisse Ultiboost Cinnamon 50 Tablets")</f>
        <v xml:space="preserve"> Swisse Ultiboost Cinnamon 50 Tablets</v>
      </c>
      <c r="C722" t="s">
        <v>248</v>
      </c>
      <c r="D722" t="s">
        <v>405</v>
      </c>
    </row>
    <row r="723" spans="1:4" x14ac:dyDescent="0.25">
      <c r="A723" t="s">
        <v>459</v>
      </c>
    </row>
    <row r="724" spans="1:4" x14ac:dyDescent="0.25">
      <c r="B724" t="str">
        <f>HYPERLINK("https://www.chemistwarehouse.com.au/buy/72946/Swisse-Green-Coffee-Bean-60-Capsules"," Swisse Green Coffee Bean 60 Capsules")</f>
        <v xml:space="preserve"> Swisse Green Coffee Bean 60 Capsules</v>
      </c>
      <c r="C724" t="s">
        <v>45</v>
      </c>
      <c r="D724" t="s">
        <v>167</v>
      </c>
    </row>
    <row r="725" spans="1:4" x14ac:dyDescent="0.25">
      <c r="B725" t="str">
        <f>HYPERLINK("https://www.chemistwarehouse.com.au/buy/61582/Swisse-Ultiboost-Hunger-Control-30-Tablets"," Swisse Ultiboost Hunger Control 30 Tablets")</f>
        <v xml:space="preserve"> Swisse Ultiboost Hunger Control 30 Tablets</v>
      </c>
      <c r="C725" t="s">
        <v>8</v>
      </c>
      <c r="D725" t="s">
        <v>392</v>
      </c>
    </row>
    <row r="726" spans="1:4" x14ac:dyDescent="0.25">
      <c r="B726" t="str">
        <f>HYPERLINK("https://www.chemistwarehouse.com.au/buy/66537/Swisse-Ultiboost-Hunger-Control-50-Tablets"," Swisse Ultiboost Hunger Control 50 Tablets")</f>
        <v xml:space="preserve"> Swisse Ultiboost Hunger Control 50 Tablets</v>
      </c>
      <c r="C726" t="s">
        <v>163</v>
      </c>
      <c r="D726" t="s">
        <v>341</v>
      </c>
    </row>
    <row r="727" spans="1:4" x14ac:dyDescent="0.25">
      <c r="B727" t="str">
        <f>HYPERLINK("https://www.chemistwarehouse.com.au/buy/71944/Swisse-Ultiboost-Green-Tea-50-Tablets"," Swisse Ultiboost Green Tea 50 Tablets")</f>
        <v xml:space="preserve"> Swisse Ultiboost Green Tea 50 Tablets</v>
      </c>
      <c r="C727" t="s">
        <v>161</v>
      </c>
      <c r="D727" t="s">
        <v>422</v>
      </c>
    </row>
    <row r="728" spans="1:4" x14ac:dyDescent="0.25">
      <c r="B728" t="str">
        <f>HYPERLINK("https://www.chemistwarehouse.com.au/buy/72947/Swisse-Raspberry-Ketones-60-Capsules"," Swisse Raspberry Ketones 60 Capsules")</f>
        <v xml:space="preserve"> Swisse Raspberry Ketones 60 Capsules</v>
      </c>
      <c r="C728" t="s">
        <v>45</v>
      </c>
      <c r="D728" t="s">
        <v>167</v>
      </c>
    </row>
    <row r="729" spans="1:4" x14ac:dyDescent="0.25">
      <c r="A729" t="s">
        <v>460</v>
      </c>
    </row>
    <row r="730" spans="1:4" x14ac:dyDescent="0.25">
      <c r="B730" t="str">
        <f>HYPERLINK("https://www.chemistwarehouse.com.au/buy/66394/Swisse-Ultiboost-Inner-Balance-Probiotic-100-Billion-40-Capsules"," Swisse Ultiboost Inner Balance Probiotic 100 Billion 40 Capsules")</f>
        <v xml:space="preserve"> Swisse Ultiboost Inner Balance Probiotic 100 Billion 40 Capsules</v>
      </c>
      <c r="C730" t="s">
        <v>166</v>
      </c>
      <c r="D730" t="s">
        <v>93</v>
      </c>
    </row>
    <row r="731" spans="1:4" x14ac:dyDescent="0.25">
      <c r="A731" t="s">
        <v>461</v>
      </c>
    </row>
    <row r="732" spans="1:4" x14ac:dyDescent="0.25">
      <c r="B732" t="str">
        <f>HYPERLINK("https://www.chemistwarehouse.com.au/buy/80611/Swisse-Ultiboost-High-Strength-Cranberry-90-Capsules"," Swisse Ultiboost High Strength Cranberry 90 Capsules")</f>
        <v xml:space="preserve"> Swisse Ultiboost High Strength Cranberry 90 Capsules</v>
      </c>
      <c r="C732" t="s">
        <v>111</v>
      </c>
      <c r="D732" t="s">
        <v>227</v>
      </c>
    </row>
    <row r="733" spans="1:4" x14ac:dyDescent="0.25">
      <c r="B733" t="str">
        <f>HYPERLINK("https://www.chemistwarehouse.com.au/buy/67497/Swisse-Ultiboost-High-Strength-Cranberry-25,000mg-30-Capsules"," Swisse Ultiboost High Strength Cranberry 25,000mg 30 Capsules")</f>
        <v xml:space="preserve"> Swisse Ultiboost High Strength Cranberry 25,000mg 30 Capsules</v>
      </c>
      <c r="C733" t="s">
        <v>228</v>
      </c>
      <c r="D733" t="s">
        <v>458</v>
      </c>
    </row>
    <row r="734" spans="1:4" x14ac:dyDescent="0.25">
      <c r="B734" t="str">
        <f>HYPERLINK("https://www.chemistwarehouse.com.au/buy/63080/Swisse-Ultiboost-Hair-Skin-Nails-500ml"," Swisse Ultiboost Hair Skin Nails 500ml")</f>
        <v xml:space="preserve"> Swisse Ultiboost Hair Skin Nails 500ml</v>
      </c>
      <c r="C734" t="s">
        <v>298</v>
      </c>
      <c r="D734" t="s">
        <v>462</v>
      </c>
    </row>
    <row r="735" spans="1:4" x14ac:dyDescent="0.25">
      <c r="B735" t="str">
        <f>HYPERLINK("https://www.chemistwarehouse.com.au/buy/73685/Swisse-Ultiboost-Grape-Seed-14,250mg-180-Tablets"," Swisse Ultiboost Grape Seed 14,250mg 180 Tablets")</f>
        <v xml:space="preserve"> Swisse Ultiboost Grape Seed 14,250mg 180 Tablets</v>
      </c>
      <c r="C735" t="s">
        <v>8</v>
      </c>
      <c r="D735" t="s">
        <v>139</v>
      </c>
    </row>
    <row r="736" spans="1:4" x14ac:dyDescent="0.25">
      <c r="B736" t="str">
        <f>HYPERLINK("https://www.chemistwarehouse.com.au/buy/58348/Swisse-Ultiboost-Hair-Skin-Nails-100-Tablets"," Swisse Ultiboost Hair Skin Nails+ 100 Tablets")</f>
        <v xml:space="preserve"> Swisse Ultiboost Hair Skin Nails+ 100 Tablets</v>
      </c>
      <c r="C736" t="s">
        <v>1</v>
      </c>
      <c r="D736" t="s">
        <v>81</v>
      </c>
    </row>
    <row r="737" spans="1:4" x14ac:dyDescent="0.25">
      <c r="B737" t="str">
        <f>HYPERLINK("https://www.chemistwarehouse.com.au/buy/67495/Swisse-Ultiboost-Hair-Skin-Nails-180-Tablets-Exclusive-Size"," Swisse Ultiboost Hair Skin Nails+ 180 Tablets Exclusive Size")</f>
        <v xml:space="preserve"> Swisse Ultiboost Hair Skin Nails+ 180 Tablets Exclusive Size</v>
      </c>
      <c r="C737" t="s">
        <v>10</v>
      </c>
      <c r="D737">
        <v>0</v>
      </c>
    </row>
    <row r="738" spans="1:4" x14ac:dyDescent="0.25">
      <c r="B738" t="str">
        <f>HYPERLINK("https://www.chemistwarehouse.com.au/buy/67496/Swisse-Ultiboost-Hair-Skin-Nails-Liquid-1-Litre-Exclusive-Size"," Swisse Ultiboost Hair Skin Nails Liquid 1 Litre Exclusive Size")</f>
        <v xml:space="preserve"> Swisse Ultiboost Hair Skin Nails Liquid 1 Litre Exclusive Size</v>
      </c>
      <c r="C738" t="s">
        <v>161</v>
      </c>
      <c r="D738">
        <v>0</v>
      </c>
    </row>
    <row r="739" spans="1:4" x14ac:dyDescent="0.25">
      <c r="B739" t="str">
        <f>HYPERLINK("https://www.chemistwarehouse.com.au/buy/81467/Swisse-Ultiboost-Cranberry-Effervescent-60-Tablets"," Swisse Ultiboost Cranberry Effervescent 60 Tablets")</f>
        <v xml:space="preserve"> Swisse Ultiboost Cranberry Effervescent 60 Tablets</v>
      </c>
      <c r="C739" t="s">
        <v>161</v>
      </c>
      <c r="D739" t="s">
        <v>155</v>
      </c>
    </row>
    <row r="740" spans="1:4" x14ac:dyDescent="0.25">
      <c r="B740" t="str">
        <f>HYPERLINK("https://www.chemistwarehouse.com.au/buy/59774/Swisse-Ultiboost-Iron-30-Tablets"," Swisse Ultiboost Iron 30 Tablets")</f>
        <v xml:space="preserve"> Swisse Ultiboost Iron 30 Tablets</v>
      </c>
      <c r="C740" t="s">
        <v>116</v>
      </c>
      <c r="D740" t="s">
        <v>157</v>
      </c>
    </row>
    <row r="741" spans="1:4" x14ac:dyDescent="0.25">
      <c r="B741" t="str">
        <f>HYPERLINK("https://www.chemistwarehouse.com.au/buy/76016/Swisse-Ultiboost-High-Strength-Natural-Vitamin-E-1000UI-90-Capsules"," Swisse Ultiboost High Strength Natural Vitamin E 1000UI 90 Capsules")</f>
        <v xml:space="preserve"> Swisse Ultiboost High Strength Natural Vitamin E 1000UI 90 Capsules</v>
      </c>
      <c r="C741" t="s">
        <v>113</v>
      </c>
      <c r="D741" t="s">
        <v>167</v>
      </c>
    </row>
    <row r="742" spans="1:4" x14ac:dyDescent="0.25">
      <c r="B742" t="str">
        <f>HYPERLINK("https://www.chemistwarehouse.com.au/buy/71936/Swisse-Ultiboost-Grape-Seed-14,250mg-60-Tablets"," Swisse Ultiboost Grape Seed 14,250mg 60 Tablets")</f>
        <v xml:space="preserve"> Swisse Ultiboost Grape Seed 14,250mg 60 Tablets</v>
      </c>
      <c r="C742" t="s">
        <v>8</v>
      </c>
      <c r="D742" t="s">
        <v>169</v>
      </c>
    </row>
    <row r="743" spans="1:4" x14ac:dyDescent="0.25">
      <c r="B743" t="str">
        <f>HYPERLINK("https://www.chemistwarehouse.com.au/buy/57048/Swisse-Ultiboost-Hair-Skin-Nails-60-Tablets"," Swisse Ultiboost Hair Skin Nails+ 60 Tablets")</f>
        <v xml:space="preserve"> Swisse Ultiboost Hair Skin Nails+ 60 Tablets</v>
      </c>
      <c r="C743" t="s">
        <v>8</v>
      </c>
      <c r="D743" t="s">
        <v>93</v>
      </c>
    </row>
    <row r="744" spans="1:4" x14ac:dyDescent="0.25">
      <c r="B744" t="str">
        <f>HYPERLINK("https://www.chemistwarehouse.com.au/buy/80461/Swisse-Ultiboost-Grape-Seed-14250mg-300-Tablets"," Swisse Ultiboost Grape Seed 14250mg 300 Tablets")</f>
        <v xml:space="preserve"> Swisse Ultiboost Grape Seed 14250mg 300 Tablets</v>
      </c>
      <c r="C744" t="s">
        <v>6</v>
      </c>
      <c r="D744" t="s">
        <v>110</v>
      </c>
    </row>
    <row r="745" spans="1:4" x14ac:dyDescent="0.25">
      <c r="B745" t="str">
        <f>HYPERLINK("https://www.chemistwarehouse.com.au/buy/81268/Swisse-Ultiboost-Hair-Skin-Nails-180-Tablets-Kakadu-Plum-Serum-30ml-Exclusive-Size"," Swisse Ultiboost Hair Skin Nails 180 Tablets + Kakadu Plum Serum 30ml Exclusive Size")</f>
        <v xml:space="preserve"> Swisse Ultiboost Hair Skin Nails 180 Tablets + Kakadu Plum Serum 30ml Exclusive Size</v>
      </c>
      <c r="C745" t="s">
        <v>273</v>
      </c>
      <c r="D745">
        <v>0</v>
      </c>
    </row>
    <row r="746" spans="1:4" x14ac:dyDescent="0.25">
      <c r="B746" t="str">
        <f>HYPERLINK("https://www.chemistwarehouse.com.au/buy/61279/Swisse-Ultiboost-Liquid-Iron-200mL"," Swisse Ultiboost Liquid Iron 200mL")</f>
        <v xml:space="preserve"> Swisse Ultiboost Liquid Iron 200mL</v>
      </c>
      <c r="C746" t="s">
        <v>299</v>
      </c>
      <c r="D746" t="s">
        <v>353</v>
      </c>
    </row>
    <row r="747" spans="1:4" x14ac:dyDescent="0.25">
      <c r="A747" t="s">
        <v>463</v>
      </c>
    </row>
    <row r="748" spans="1:4" x14ac:dyDescent="0.25">
      <c r="B748" t="str">
        <f>HYPERLINK("https://www.chemistwarehouse.com.au/buy/78445/Berocca-Fizzy-Melts-Berry-14"," Berocca Fizzy Melts Berry 14")</f>
        <v xml:space="preserve"> Berocca Fizzy Melts Berry 14</v>
      </c>
      <c r="C748" t="s">
        <v>92</v>
      </c>
      <c r="D748" t="s">
        <v>115</v>
      </c>
    </row>
    <row r="749" spans="1:4" x14ac:dyDescent="0.25">
      <c r="B749" t="str">
        <f>HYPERLINK("https://www.chemistwarehouse.com.au/buy/78444/Berocca-Fizzy-Melts-Orange-14"," Berocca Fizzy Melts Orange 14")</f>
        <v xml:space="preserve"> Berocca Fizzy Melts Orange 14</v>
      </c>
      <c r="C749" t="s">
        <v>92</v>
      </c>
      <c r="D749" t="s">
        <v>115</v>
      </c>
    </row>
    <row r="750" spans="1:4" x14ac:dyDescent="0.25">
      <c r="B750" t="str">
        <f>HYPERLINK("https://www.chemistwarehouse.com.au/buy/79106/Berocca-Value-Orange-45-Plus-Fizzy-Melt-Orange"," Berocca Value Orange 45 Plus Fizzy Melt Orange")</f>
        <v xml:space="preserve"> Berocca Value Orange 45 Plus Fizzy Melt Orange</v>
      </c>
      <c r="C750" t="s">
        <v>1</v>
      </c>
      <c r="D750" t="s">
        <v>312</v>
      </c>
    </row>
    <row r="751" spans="1:4" x14ac:dyDescent="0.25">
      <c r="A751" t="s">
        <v>464</v>
      </c>
    </row>
    <row r="752" spans="1:4" x14ac:dyDescent="0.25">
      <c r="B752" t="str">
        <f>HYPERLINK("https://www.chemistwarehouse.com.au/buy/62748/Martin-amp-Pleasance-Tissue-Salts-Calc-Fluor-Elasticity-125-Tablets"," Martin &amp; Pleasance Tissue Salts Calc Fluor Elasticity 125 Tablets")</f>
        <v xml:space="preserve"> Martin &amp; Pleasance Tissue Salts Calc Fluor Elasticity 125 Tablets</v>
      </c>
      <c r="C752" t="s">
        <v>98</v>
      </c>
      <c r="D752" t="s">
        <v>465</v>
      </c>
    </row>
    <row r="753" spans="1:4" x14ac:dyDescent="0.25">
      <c r="B753" t="str">
        <f>HYPERLINK("https://www.chemistwarehouse.com.au/buy/62749/Martin-amp-Pleasance-Tissue-Salts-Comb-12-General-Tonic-125-Tablets"," Martin &amp; Pleasance Tissue Salts Comb 12 General Tonic 125 Tablets")</f>
        <v xml:space="preserve"> Martin &amp; Pleasance Tissue Salts Comb 12 General Tonic 125 Tablets</v>
      </c>
      <c r="C753" t="s">
        <v>103</v>
      </c>
      <c r="D753" t="s">
        <v>466</v>
      </c>
    </row>
    <row r="754" spans="1:4" x14ac:dyDescent="0.25">
      <c r="B754" t="str">
        <f>HYPERLINK("https://www.chemistwarehouse.com.au/buy/62750/Martin-amp-Pleasance-Tissue-Salts-Comb-5-Nerve-Tonic-125-Tablets"," Martin &amp; Pleasance Tissue Salts Comb 5 Nerve Tonic 125 Tablets")</f>
        <v xml:space="preserve"> Martin &amp; Pleasance Tissue Salts Comb 5 Nerve Tonic 125 Tablets</v>
      </c>
      <c r="C754" t="s">
        <v>98</v>
      </c>
      <c r="D754" t="s">
        <v>467</v>
      </c>
    </row>
    <row r="755" spans="1:4" x14ac:dyDescent="0.25">
      <c r="B755" t="str">
        <f>HYPERLINK("https://www.chemistwarehouse.com.au/buy/62752/Martin-amp-Pleasance-Tissue-Salts-Comb-Q-Sinus-125-Tablets"," Martin &amp; Pleasance Tissue Salts Comb Q Sinus 125 Tablets")</f>
        <v xml:space="preserve"> Martin &amp; Pleasance Tissue Salts Comb Q Sinus 125 Tablets</v>
      </c>
      <c r="C755" t="s">
        <v>98</v>
      </c>
      <c r="D755" t="s">
        <v>467</v>
      </c>
    </row>
    <row r="756" spans="1:4" x14ac:dyDescent="0.25">
      <c r="B756" t="str">
        <f>HYPERLINK("https://www.chemistwarehouse.com.au/buy/62754/Martin-amp-Pleasance-Tissue-Salts-Mag-Phos-Muscle-Relaxant-125-Tablets"," Martin &amp; Pleasance Tissue Salts Mag Phos Muscle Relaxant 125 Tablets")</f>
        <v xml:space="preserve"> Martin &amp; Pleasance Tissue Salts Mag Phos Muscle Relaxant 125 Tablets</v>
      </c>
      <c r="C756" t="s">
        <v>103</v>
      </c>
      <c r="D756" t="s">
        <v>466</v>
      </c>
    </row>
    <row r="757" spans="1:4" x14ac:dyDescent="0.25">
      <c r="B757" t="str">
        <f>HYPERLINK("https://www.chemistwarehouse.com.au/buy/62757/Martin-amp-Pleasance-Tissue-Salts-Silica-Cleanser-amp-Conditioner"," Martin &amp; Pleasance Tissue Salts Silica Cleanser &amp; Conditioner ")</f>
        <v xml:space="preserve"> Martin &amp; Pleasance Tissue Salts Silica Cleanser &amp; Conditioner </v>
      </c>
      <c r="C757" t="s">
        <v>103</v>
      </c>
      <c r="D757" t="s">
        <v>466</v>
      </c>
    </row>
    <row r="758" spans="1:4" x14ac:dyDescent="0.25">
      <c r="A758" t="s">
        <v>468</v>
      </c>
    </row>
    <row r="759" spans="1:4" x14ac:dyDescent="0.25">
      <c r="B759" t="str">
        <f>HYPERLINK("https://www.chemistwarehouse.com.au/buy/67901/Nature-39-s-Way-Kids-Smart-Vita-Gummies-Immunity-60-Pastilles"," Nature's Way Kids Smart Vita Gummies Immunity 60 Pastilles")</f>
        <v xml:space="preserve"> Nature's Way Kids Smart Vita Gummies Immunity 60 Pastilles</v>
      </c>
      <c r="C759" t="s">
        <v>32</v>
      </c>
      <c r="D759" t="s">
        <v>349</v>
      </c>
    </row>
    <row r="760" spans="1:4" x14ac:dyDescent="0.25">
      <c r="B760" t="str">
        <f>HYPERLINK("https://www.chemistwarehouse.com.au/buy/64965/Nature-39-s-Way-Kids-Smart-Vita-Gummies-Calcium-60-Pastilles"," Nature's Way Kids Smart Vita Gummies Calcium 60 Pastilles")</f>
        <v xml:space="preserve"> Nature's Way Kids Smart Vita Gummies Calcium 60 Pastilles</v>
      </c>
      <c r="C760" t="s">
        <v>32</v>
      </c>
      <c r="D760" t="s">
        <v>349</v>
      </c>
    </row>
    <row r="761" spans="1:4" x14ac:dyDescent="0.25">
      <c r="B761" t="str">
        <f>HYPERLINK("https://www.chemistwarehouse.com.au/buy/62714/Nature-39-s-Way-Kids-Smart-Vita-Gummies-Multi-Vitamin-amp-Vegies-60-Gummies"," Nature's Way Kids Smart Vita Gummies Multi Vitamin &amp; Vegies 60 Gummies")</f>
        <v xml:space="preserve"> Nature's Way Kids Smart Vita Gummies Multi Vitamin &amp; Vegies 60 Gummies</v>
      </c>
      <c r="C761" t="s">
        <v>32</v>
      </c>
      <c r="D761" t="s">
        <v>349</v>
      </c>
    </row>
    <row r="762" spans="1:4" x14ac:dyDescent="0.25">
      <c r="B762" t="str">
        <f>HYPERLINK("https://www.chemistwarehouse.com.au/buy/62713/Nature-39-s-Way-Kids-Smart-Vita-Gummies-Vitamin-C-60-Gummies"," Nature's Way Kids Smart Vita Gummies Vitamin C 60 Gummies")</f>
        <v xml:space="preserve"> Nature's Way Kids Smart Vita Gummies Vitamin C 60 Gummies</v>
      </c>
      <c r="C762" t="s">
        <v>32</v>
      </c>
      <c r="D762" t="s">
        <v>349</v>
      </c>
    </row>
    <row r="763" spans="1:4" x14ac:dyDescent="0.25">
      <c r="B763" t="str">
        <f>HYPERLINK("https://www.chemistwarehouse.com.au/buy/71325/Nature-39-s-Way-Kids-Smart-Vita-Gummies-Multi-Omega-50-Pastilles"," Nature's Way Kids Smart Vita Gummies Multi + Omega 50 Pastilles")</f>
        <v xml:space="preserve"> Nature's Way Kids Smart Vita Gummies Multi + Omega 50 Pastilles</v>
      </c>
      <c r="C763" t="s">
        <v>32</v>
      </c>
      <c r="D763" t="s">
        <v>349</v>
      </c>
    </row>
    <row r="764" spans="1:4" x14ac:dyDescent="0.25">
      <c r="B764" t="str">
        <f>HYPERLINK("https://www.chemistwarehouse.com.au/buy/62712/Nature-39-s-Way-Kids-Smart-Vita-Gummies-Omega-3-Fish-Oil-60"," Nature's Way Kids Smart Vita Gummies Omega 3 Fish Oil 60")</f>
        <v xml:space="preserve"> Nature's Way Kids Smart Vita Gummies Omega 3 Fish Oil 60</v>
      </c>
      <c r="C764" t="s">
        <v>32</v>
      </c>
      <c r="D764" t="s">
        <v>349</v>
      </c>
    </row>
    <row r="765" spans="1:4" x14ac:dyDescent="0.25">
      <c r="B765" t="str">
        <f>HYPERLINK("https://www.chemistwarehouse.com.au/buy/52588/Nature-39-s-Way-Kids-Calcium-Strawberry-Milkshake-Burstlets-50"," Nature's Way Kids Calcium Strawberry Milkshake Burstlets 50")</f>
        <v xml:space="preserve"> Nature's Way Kids Calcium Strawberry Milkshake Burstlets 50</v>
      </c>
      <c r="C765" t="s">
        <v>98</v>
      </c>
      <c r="D765" t="s">
        <v>165</v>
      </c>
    </row>
    <row r="766" spans="1:4" x14ac:dyDescent="0.25">
      <c r="B766" t="str">
        <f>HYPERLINK("https://www.chemistwarehouse.com.au/buy/64966/Nature-39-s-Way-Kids-Smart-Vita-Gummies-Multi-Vitamin-for-Fussy-Eaters-60-Pastilles"," Nature's Way Kids Smart Vita Gummies Multi Vitamin for Fussy Eaters 60 Pastilles")</f>
        <v xml:space="preserve"> Nature's Way Kids Smart Vita Gummies Multi Vitamin for Fussy Eaters 60 Pastilles</v>
      </c>
      <c r="C766" t="s">
        <v>32</v>
      </c>
      <c r="D766" t="s">
        <v>349</v>
      </c>
    </row>
    <row r="767" spans="1:4" x14ac:dyDescent="0.25">
      <c r="B767" t="str">
        <f>HYPERLINK("https://www.chemistwarehouse.com.au/buy/59657/Nature-39-s-Way-Kids-Smart-Omega-3-Fish-Oil-Trio-180-Capsules"," Nature's Way Kids Smart Omega 3 Fish Oil Trio 180 Capsules")</f>
        <v xml:space="preserve"> Nature's Way Kids Smart Omega 3 Fish Oil Trio 180 Capsules</v>
      </c>
      <c r="C767" t="s">
        <v>469</v>
      </c>
      <c r="D767" t="s">
        <v>425</v>
      </c>
    </row>
    <row r="768" spans="1:4" x14ac:dyDescent="0.25">
      <c r="B768" t="str">
        <f>HYPERLINK("https://www.chemistwarehouse.com.au/buy/66542/Nature-39-s-Way-Kids-Probiotic-Balls-50"," Nature's Way Kids Probiotic Balls 50")</f>
        <v xml:space="preserve"> Nature's Way Kids Probiotic Balls 50</v>
      </c>
      <c r="C768" t="s">
        <v>202</v>
      </c>
      <c r="D768" t="s">
        <v>150</v>
      </c>
    </row>
    <row r="769" spans="1:4" x14ac:dyDescent="0.25">
      <c r="B769" t="str">
        <f>HYPERLINK("https://www.chemistwarehouse.com.au/buy/80269/Nature-39-s-Way-Kids-Smart-Milk-Buttons-with-DHA-Vanilla-150-Chewable-Buttons"," Nature's Way Kids Smart Milk Buttons with DHA Vanilla 150 Chewable Buttons")</f>
        <v xml:space="preserve"> Nature's Way Kids Smart Milk Buttons with DHA Vanilla 150 Chewable Buttons</v>
      </c>
      <c r="C769" t="s">
        <v>80</v>
      </c>
      <c r="D769" t="s">
        <v>104</v>
      </c>
    </row>
    <row r="770" spans="1:4" x14ac:dyDescent="0.25">
      <c r="B770" t="str">
        <f>HYPERLINK("https://www.chemistwarehouse.com.au/buy/80272/Nature-39-s-Way-Kids-Smart-Triple-Strength-DHA-300mg-50-Soft-Capsules"," Nature's Way Kids Smart Triple Strength DHA 300mg 50 Soft Capsules")</f>
        <v xml:space="preserve"> Nature's Way Kids Smart Triple Strength DHA 300mg 50 Soft Capsules</v>
      </c>
      <c r="C770" t="s">
        <v>58</v>
      </c>
      <c r="D770" t="s">
        <v>64</v>
      </c>
    </row>
    <row r="771" spans="1:4" x14ac:dyDescent="0.25">
      <c r="B771" t="str">
        <f>HYPERLINK("https://www.chemistwarehouse.com.au/buy/80487/Nature-39-s-Way-Kids-Smart-Vita-Gummies-Fussy-Eaters-150-Pastilles-Exclusive-Size"," Nature's Way Kids Smart Vita Gummies Fussy Eaters 150 Pastilles Exclusive Size")</f>
        <v xml:space="preserve"> Nature's Way Kids Smart Vita Gummies Fussy Eaters 150 Pastilles Exclusive Size</v>
      </c>
      <c r="C771" t="s">
        <v>8</v>
      </c>
      <c r="D771">
        <v>0</v>
      </c>
    </row>
    <row r="772" spans="1:4" x14ac:dyDescent="0.25">
      <c r="B772" t="str">
        <f>HYPERLINK("https://www.chemistwarehouse.com.au/buy/80270/Nature-39-s-Way-Kids-Smart-Milk-Buttons-with-Probiotics-150-Chewable-Buttons"," Nature's Way Kids Smart Milk Buttons with Probiotics 150 Chewable Buttons")</f>
        <v xml:space="preserve"> Nature's Way Kids Smart Milk Buttons with Probiotics 150 Chewable Buttons</v>
      </c>
      <c r="C772" t="s">
        <v>80</v>
      </c>
      <c r="D772" t="s">
        <v>104</v>
      </c>
    </row>
    <row r="773" spans="1:4" x14ac:dyDescent="0.25">
      <c r="B773" t="str">
        <f>HYPERLINK("https://www.chemistwarehouse.com.au/buy/80271/Nature-39-s-Way-Kids-Smart-Milk-Buttons-with-Manuka-Honey-150-Chewable-Buttons"," Nature's Way Kids Smart Milk Buttons with Manuka Honey 150 Chewable Buttons")</f>
        <v xml:space="preserve"> Nature's Way Kids Smart Milk Buttons with Manuka Honey 150 Chewable Buttons</v>
      </c>
      <c r="C773" t="s">
        <v>80</v>
      </c>
      <c r="D773" t="s">
        <v>104</v>
      </c>
    </row>
    <row r="774" spans="1:4" x14ac:dyDescent="0.25">
      <c r="B774" t="str">
        <f>HYPERLINK("https://www.chemistwarehouse.com.au/buy/77890/Nature-39-s-Way-Kids-Smart-Yoghurt-Balls-50s"," Nature's Way Kids Smart Yoghurt Balls 50s")</f>
        <v xml:space="preserve"> Nature's Way Kids Smart Yoghurt Balls 50s</v>
      </c>
      <c r="C774" t="s">
        <v>202</v>
      </c>
      <c r="D774" t="s">
        <v>150</v>
      </c>
    </row>
    <row r="775" spans="1:4" x14ac:dyDescent="0.25">
      <c r="B775" t="str">
        <f>HYPERLINK("https://www.chemistwarehouse.com.au/buy/80266/Nature-39-s-Way-Kids-Smart-Drops-DHA-20ml"," Nature's Way Kids Smart Drops DHA 20ml")</f>
        <v xml:space="preserve"> Nature's Way Kids Smart Drops DHA 20ml</v>
      </c>
      <c r="C775" t="s">
        <v>80</v>
      </c>
      <c r="D775" t="s">
        <v>104</v>
      </c>
    </row>
    <row r="776" spans="1:4" x14ac:dyDescent="0.25">
      <c r="B776" t="str">
        <f>HYPERLINK("https://www.chemistwarehouse.com.au/buy/62967/Nature-39-s-Way-Kids-Smart-Complete-Multi-Vitamin-amp-Fish-Oil-100-Capsules"," Nature's Way Kids Smart Complete Multi Vitamin &amp; Fish Oil 100 Capsules")</f>
        <v xml:space="preserve"> Nature's Way Kids Smart Complete Multi Vitamin &amp; Fish Oil 100 Capsules</v>
      </c>
      <c r="C776" t="s">
        <v>123</v>
      </c>
      <c r="D776" t="s">
        <v>154</v>
      </c>
    </row>
    <row r="777" spans="1:4" x14ac:dyDescent="0.25">
      <c r="B777" t="str">
        <f>HYPERLINK("https://www.chemistwarehouse.com.au/buy/50074/Nature-39-s-Way-Kids-Smart-Omega-3-Fish-Oil-Fruity-Chewable-Burstlets-50"," Nature's Way Kids Smart Omega-3 Fish Oil Fruity Chewable Burstlets 50")</f>
        <v xml:space="preserve"> Nature's Way Kids Smart Omega-3 Fish Oil Fruity Chewable Burstlets 50</v>
      </c>
      <c r="C777" t="s">
        <v>202</v>
      </c>
      <c r="D777" t="s">
        <v>312</v>
      </c>
    </row>
    <row r="778" spans="1:4" x14ac:dyDescent="0.25">
      <c r="B778" t="str">
        <f>HYPERLINK("https://www.chemistwarehouse.com.au/buy/56442/Nature-39-s-Way-Kids-Smart-Omega-3-Fish-Oil-Strawberry-50-Capsules"," Nature's Way Kids Smart Omega 3 Fish Oil Strawberry 50 Capsules")</f>
        <v xml:space="preserve"> Nature's Way Kids Smart Omega 3 Fish Oil Strawberry 50 Capsules</v>
      </c>
      <c r="C778" t="s">
        <v>202</v>
      </c>
      <c r="D778" t="s">
        <v>312</v>
      </c>
    </row>
    <row r="779" spans="1:4" x14ac:dyDescent="0.25">
      <c r="B779" t="str">
        <f>HYPERLINK("https://www.chemistwarehouse.com.au/buy/57246/Nature-39-s-Way-Kids-Smart-Complete-Multi-Vitamin-amp-Fish-Oil-50-Capsules"," Nature's Way Kids Smart Complete Multi Vitamin &amp; Fish Oil 50 Capsules")</f>
        <v xml:space="preserve"> Nature's Way Kids Smart Complete Multi Vitamin &amp; Fish Oil 50 Capsules</v>
      </c>
      <c r="C779" t="s">
        <v>237</v>
      </c>
      <c r="D779" t="s">
        <v>157</v>
      </c>
    </row>
    <row r="780" spans="1:4" x14ac:dyDescent="0.25">
      <c r="B780" t="str">
        <f>HYPERLINK("https://www.chemistwarehouse.com.au/buy/80267/Nature-39-s-Way-Kids-Smart-Drops-Probiotic-20ml"," Nature's Way Kids Smart Drops Probiotic 20ml")</f>
        <v xml:space="preserve"> Nature's Way Kids Smart Drops Probiotic 20ml</v>
      </c>
      <c r="C780" t="s">
        <v>187</v>
      </c>
      <c r="D780" t="s">
        <v>162</v>
      </c>
    </row>
    <row r="781" spans="1:4" x14ac:dyDescent="0.25">
      <c r="B781" t="str">
        <f>HYPERLINK("https://www.chemistwarehouse.com.au/buy/80268/Nature-39-s-Way-Kids-Smart-Drops-Vitamin-D-20ml"," Nature's Way Kids Smart Drops Vitamin D 20ml")</f>
        <v xml:space="preserve"> Nature's Way Kids Smart Drops Vitamin D 20ml</v>
      </c>
      <c r="C781" t="s">
        <v>32</v>
      </c>
      <c r="D781" t="s">
        <v>169</v>
      </c>
    </row>
    <row r="782" spans="1:4" x14ac:dyDescent="0.25">
      <c r="A782" t="s">
        <v>470</v>
      </c>
    </row>
    <row r="783" spans="1:4" x14ac:dyDescent="0.25">
      <c r="B783" t="str">
        <f>HYPERLINK("https://www.chemistwarehouse.com.au/buy/54646/Nature-39-s-Way-Ginkgo-Biloba-2000MG-100-20-Tablets"," Nature's Way Ginkgo Biloba 2000MG 100+20 Tablets")</f>
        <v xml:space="preserve"> Nature's Way Ginkgo Biloba 2000MG 100+20 Tablets</v>
      </c>
      <c r="C783" t="s">
        <v>237</v>
      </c>
      <c r="D783" t="s">
        <v>145</v>
      </c>
    </row>
    <row r="784" spans="1:4" x14ac:dyDescent="0.25">
      <c r="A784" t="s">
        <v>471</v>
      </c>
    </row>
    <row r="785" spans="1:4" x14ac:dyDescent="0.25">
      <c r="B785" t="str">
        <f>HYPERLINK("https://www.chemistwarehouse.com.au/buy/82281/Nature-39-s-Way-Trinovin-90-Tablets"," Nature's Way Trinovin 90 Tablets")</f>
        <v xml:space="preserve"> Nature's Way Trinovin 90 Tablets</v>
      </c>
      <c r="C785" t="s">
        <v>472</v>
      </c>
      <c r="D785" t="s">
        <v>473</v>
      </c>
    </row>
    <row r="786" spans="1:4" x14ac:dyDescent="0.25">
      <c r="B786" t="str">
        <f>HYPERLINK("https://www.chemistwarehouse.com.au/buy/60201/Nature-39-s-Way-Protein-Vanilla-375g"," Nature's Way Protein Vanilla 375g")</f>
        <v xml:space="preserve"> Nature's Way Protein Vanilla 375g</v>
      </c>
      <c r="C786" t="s">
        <v>202</v>
      </c>
      <c r="D786" t="s">
        <v>155</v>
      </c>
    </row>
    <row r="787" spans="1:4" x14ac:dyDescent="0.25">
      <c r="B787" t="str">
        <f>HYPERLINK("https://www.chemistwarehouse.com.au/buy/49295/Nature-39-s-Way-Choc-Protein-Powder-375g"," Nature's Way Choc Protein Powder 375g")</f>
        <v xml:space="preserve"> Nature's Way Choc Protein Powder 375g</v>
      </c>
      <c r="C787" t="s">
        <v>202</v>
      </c>
      <c r="D787" t="s">
        <v>155</v>
      </c>
    </row>
    <row r="788" spans="1:4" x14ac:dyDescent="0.25">
      <c r="A788" t="s">
        <v>474</v>
      </c>
    </row>
    <row r="789" spans="1:4" x14ac:dyDescent="0.25">
      <c r="B789" t="str">
        <f>HYPERLINK("https://www.chemistwarehouse.com.au/buy/63112/Nature-39-s-Way-Rest-and-Restore-Anti-Stress-Night-Multivitamin-for-Women-60-Tablets"," Nature's Way Rest and Restore Anti-Stress Night Multivitamin for Women 60 Tablets ")</f>
        <v xml:space="preserve"> Nature's Way Rest and Restore Anti-Stress Night Multivitamin for Women 60 Tablets </v>
      </c>
      <c r="C789" t="s">
        <v>237</v>
      </c>
      <c r="D789" t="s">
        <v>169</v>
      </c>
    </row>
    <row r="790" spans="1:4" x14ac:dyDescent="0.25">
      <c r="B790" t="str">
        <f>HYPERLINK("https://www.chemistwarehouse.com.au/buy/50192/Nature-39-s-Way-Vitamin-C-500mg-300-Tablets"," Nature's Way Vitamin C 500mg 300 Tablets")</f>
        <v xml:space="preserve"> Nature's Way Vitamin C 500mg 300 Tablets</v>
      </c>
      <c r="C790" t="s">
        <v>58</v>
      </c>
      <c r="D790" t="s">
        <v>145</v>
      </c>
    </row>
    <row r="791" spans="1:4" x14ac:dyDescent="0.25">
      <c r="B791" t="str">
        <f>HYPERLINK("https://www.chemistwarehouse.com.au/buy/50497/Nature-39-s-Way-Evening-Primrose-Oil-200-Capsules"," Nature's Way Evening Primrose Oil 200 Capsules")</f>
        <v xml:space="preserve"> Nature's Way Evening Primrose Oil 200 Capsules</v>
      </c>
      <c r="C791" t="s">
        <v>58</v>
      </c>
      <c r="D791" t="s">
        <v>104</v>
      </c>
    </row>
    <row r="792" spans="1:4" x14ac:dyDescent="0.25">
      <c r="B792" t="str">
        <f>HYPERLINK("https://www.chemistwarehouse.com.au/buy/77759/Nature-39-s-Way-Magnesium-Chelate-1000mg-100-Tablets"," Nature's Way Magnesium Chelate 1000mg 100 Tablets")</f>
        <v xml:space="preserve"> Nature's Way Magnesium Chelate 1000mg 100 Tablets</v>
      </c>
      <c r="C792" t="s">
        <v>58</v>
      </c>
      <c r="D792" t="s">
        <v>283</v>
      </c>
    </row>
    <row r="793" spans="1:4" x14ac:dyDescent="0.25">
      <c r="B793" t="str">
        <f>HYPERLINK("https://www.chemistwarehouse.com.au/buy/77760/Nature-39-s-Way-Beauty-Collagen-60-Tablets"," Nature's Way Beauty Collagen 60 Tablets")</f>
        <v xml:space="preserve"> Nature's Way Beauty Collagen 60 Tablets</v>
      </c>
      <c r="C793" t="s">
        <v>153</v>
      </c>
      <c r="D793" t="s">
        <v>164</v>
      </c>
    </row>
    <row r="794" spans="1:4" x14ac:dyDescent="0.25">
      <c r="B794" t="str">
        <f>HYPERLINK("https://www.chemistwarehouse.com.au/buy/31523/Nature-39-s-Way-Garlic-C-amp-Horseradish-200-Tablets"," Nature's Way Garlic + C &amp; Horseradish 200 Tablets")</f>
        <v xml:space="preserve"> Nature's Way Garlic + C &amp; Horseradish 200 Tablets</v>
      </c>
      <c r="C794" t="s">
        <v>58</v>
      </c>
      <c r="D794" t="s">
        <v>104</v>
      </c>
    </row>
    <row r="795" spans="1:4" x14ac:dyDescent="0.25">
      <c r="B795" t="str">
        <f>HYPERLINK("https://www.chemistwarehouse.com.au/buy/77889/Nature-39-s-Way-Activated-Curcumin-30-Tablets"," Nature's Way Activated Curcumin 30 Tablets")</f>
        <v xml:space="preserve"> Nature's Way Activated Curcumin 30 Tablets</v>
      </c>
      <c r="C795" t="s">
        <v>61</v>
      </c>
      <c r="D795" t="s">
        <v>46</v>
      </c>
    </row>
    <row r="796" spans="1:4" x14ac:dyDescent="0.25">
      <c r="B796" t="str">
        <f>HYPERLINK("https://www.chemistwarehouse.com.au/buy/80275/Nature-39-s-Way-Beauty-Collagen-40-Gummies"," Nature's Way Beauty Collagen 40 Gummies")</f>
        <v xml:space="preserve"> Nature's Way Beauty Collagen 40 Gummies</v>
      </c>
      <c r="C796" t="s">
        <v>269</v>
      </c>
      <c r="D796" t="s">
        <v>119</v>
      </c>
    </row>
    <row r="797" spans="1:4" x14ac:dyDescent="0.25">
      <c r="B797" t="str">
        <f>HYPERLINK("https://www.chemistwarehouse.com.au/buy/80276/Nature-39-s-Way-Beauty-Collagen-Liquid-500ml"," Nature's Way Beauty Collagen Liquid 500ml")</f>
        <v xml:space="preserve"> Nature's Way Beauty Collagen Liquid 500ml</v>
      </c>
      <c r="C797" t="s">
        <v>153</v>
      </c>
      <c r="D797" t="s">
        <v>164</v>
      </c>
    </row>
    <row r="798" spans="1:4" x14ac:dyDescent="0.25">
      <c r="A798" t="s">
        <v>475</v>
      </c>
    </row>
    <row r="799" spans="1:4" x14ac:dyDescent="0.25">
      <c r="B799" t="str">
        <f>HYPERLINK("https://www.chemistwarehouse.com.au/buy/73731/Nature-39-s-Way-OSTEO-K-Vitamin-K2-180mcg-30-Caps"," Nature's Way OSTEO K Vitamin K2 180mcg 30 Caps")</f>
        <v xml:space="preserve"> Nature's Way OSTEO K Vitamin K2 180mcg 30 Caps</v>
      </c>
      <c r="C799" t="s">
        <v>237</v>
      </c>
      <c r="D799" t="s">
        <v>169</v>
      </c>
    </row>
    <row r="800" spans="1:4" x14ac:dyDescent="0.25">
      <c r="B800" t="str">
        <f>HYPERLINK("https://www.chemistwarehouse.com.au/buy/49399/Nature-39-s-Way-Glucosamine-500mg-amp-Fish-Oil-500mg-200-Capsules"," Nature's Way Glucosamine 500mg &amp; Fish Oil 500mg 200 Capsules")</f>
        <v xml:space="preserve"> Nature's Way Glucosamine 500mg &amp; Fish Oil 500mg 200 Capsules</v>
      </c>
      <c r="C800" t="s">
        <v>1</v>
      </c>
      <c r="D800" t="s">
        <v>46</v>
      </c>
    </row>
    <row r="801" spans="1:4" x14ac:dyDescent="0.25">
      <c r="B801" t="str">
        <f>HYPERLINK("https://www.chemistwarehouse.com.au/buy/62966/Nature-39-s-Way-Joint-Restore-Triple-Action-120-Tablets"," Nature's Way Joint Restore Triple Action 120 Tablets")</f>
        <v xml:space="preserve"> Nature's Way Joint Restore Triple Action 120 Tablets</v>
      </c>
      <c r="C801" t="s">
        <v>6</v>
      </c>
      <c r="D801" t="s">
        <v>303</v>
      </c>
    </row>
    <row r="802" spans="1:4" x14ac:dyDescent="0.25">
      <c r="B802" t="str">
        <f>HYPERLINK("https://www.chemistwarehouse.com.au/buy/80274/Nature-39-s-Way-Magnesium-Turmeric-150-Tablets"," Nature's Way Magnesium + Turmeric 150 Tablets")</f>
        <v xml:space="preserve"> Nature's Way Magnesium + Turmeric 150 Tablets</v>
      </c>
      <c r="C802" t="s">
        <v>10</v>
      </c>
      <c r="D802" t="s">
        <v>167</v>
      </c>
    </row>
    <row r="803" spans="1:4" x14ac:dyDescent="0.25">
      <c r="B803" t="str">
        <f>HYPERLINK("https://www.chemistwarehouse.com.au/buy/66517/Nature-39-s-Way-Joint-Restore-Osteo-Krill-50caps"," Nature's Way Joint Restore Osteo Krill 50caps ")</f>
        <v xml:space="preserve"> Nature's Way Joint Restore Osteo Krill 50caps </v>
      </c>
      <c r="C803" t="s">
        <v>161</v>
      </c>
      <c r="D803" t="s">
        <v>169</v>
      </c>
    </row>
    <row r="804" spans="1:4" x14ac:dyDescent="0.25">
      <c r="B804" t="str">
        <f>HYPERLINK("https://www.chemistwarehouse.com.au/buy/56576/Nature-39-s-Way-Glucosamine-1500mg-180-20-Bonus-Tablets"," Nature's Way Glucosamine 1500mg 180 + 20 Bonus Tablets")</f>
        <v xml:space="preserve"> Nature's Way Glucosamine 1500mg 180 + 20 Bonus Tablets</v>
      </c>
      <c r="C804" t="s">
        <v>1</v>
      </c>
      <c r="D804" t="s">
        <v>303</v>
      </c>
    </row>
    <row r="805" spans="1:4" x14ac:dyDescent="0.25">
      <c r="B805" t="str">
        <f>HYPERLINK("https://www.chemistwarehouse.com.au/buy/82791/Nature-39-s-Way-Magnesium-Gummies-250mg-60-Tablets"," Nature's Way Magnesium Gummies 250mg 60 Tablets")</f>
        <v xml:space="preserve"> Nature's Way Magnesium Gummies 250mg 60 Tablets</v>
      </c>
      <c r="C805" t="s">
        <v>202</v>
      </c>
      <c r="D805" t="s">
        <v>312</v>
      </c>
    </row>
    <row r="806" spans="1:4" x14ac:dyDescent="0.25">
      <c r="B806" t="str">
        <f>HYPERLINK("https://www.chemistwarehouse.com.au/buy/82792/Nature-39-s-Way-Activated-Curcumin-Gummies-50"," Nature's Way Activated Curcumin Gummies 50")</f>
        <v xml:space="preserve"> Nature's Way Activated Curcumin Gummies 50</v>
      </c>
      <c r="C806" t="s">
        <v>187</v>
      </c>
      <c r="D806" t="s">
        <v>162</v>
      </c>
    </row>
    <row r="807" spans="1:4" x14ac:dyDescent="0.25">
      <c r="B807" t="str">
        <f>HYPERLINK("https://www.chemistwarehouse.com.au/buy/82794/Nature-39-s-Way-Joint-Restore-7-Day-Formula-60-Tablets"," Nature's Way Joint Restore 7 Day Formula 60 Tablets")</f>
        <v xml:space="preserve"> Nature's Way Joint Restore 7 Day Formula 60 Tablets</v>
      </c>
      <c r="C807" t="s">
        <v>6</v>
      </c>
      <c r="D807" t="s">
        <v>46</v>
      </c>
    </row>
    <row r="808" spans="1:4" x14ac:dyDescent="0.25">
      <c r="A808" t="s">
        <v>476</v>
      </c>
    </row>
    <row r="809" spans="1:4" x14ac:dyDescent="0.25">
      <c r="B809" t="str">
        <f>HYPERLINK("https://www.chemistwarehouse.com.au/buy/62711/Nature-39-s-Way-Multivitamin-Plus-Spirulina-200-Tablets"," Nature's Way Multivitamin Plus Spirulina 200 Tablets")</f>
        <v xml:space="preserve"> Nature's Way Multivitamin Plus Spirulina 200 Tablets</v>
      </c>
      <c r="C809" t="s">
        <v>45</v>
      </c>
      <c r="D809" t="s">
        <v>162</v>
      </c>
    </row>
    <row r="810" spans="1:4" x14ac:dyDescent="0.25">
      <c r="A810" t="s">
        <v>477</v>
      </c>
    </row>
    <row r="811" spans="1:4" x14ac:dyDescent="0.25">
      <c r="B811" t="str">
        <f>HYPERLINK("https://www.chemistwarehouse.com.au/buy/67897/Nature-39-s-Way-Super-Krill-Oil-Plus-500mg-Krill-330mg-Fish-Oil-30-Capsules"," Nature's Way Super Krill Oil Plus 500mg Krill + 330mg Fish Oil 30 Capsules")</f>
        <v xml:space="preserve"> Nature's Way Super Krill Oil Plus 500mg Krill + 330mg Fish Oil 30 Capsules</v>
      </c>
      <c r="C811" t="s">
        <v>237</v>
      </c>
      <c r="D811" t="s">
        <v>169</v>
      </c>
    </row>
    <row r="812" spans="1:4" x14ac:dyDescent="0.25">
      <c r="B812" t="str">
        <f>HYPERLINK("https://www.chemistwarehouse.com.au/buy/60491/Nature-39-s-Way-Fish-Oil-1000mg-200-Capsules"," Nature's Way Fish Oil 1000mg 200 Capsules")</f>
        <v xml:space="preserve"> Nature's Way Fish Oil 1000mg 200 Capsules</v>
      </c>
      <c r="C812" t="s">
        <v>32</v>
      </c>
      <c r="D812" t="s">
        <v>64</v>
      </c>
    </row>
    <row r="813" spans="1:4" x14ac:dyDescent="0.25">
      <c r="B813" t="str">
        <f>HYPERLINK("https://www.chemistwarehouse.com.au/buy/63113/Nature-39-s-Way-Advanced-Omega-Triple-Strength-Fish-Oil-60-Capsules"," Nature's Way Advanced Omega Triple Strength Fish Oil 60 Capsules")</f>
        <v xml:space="preserve"> Nature's Way Advanced Omega Triple Strength Fish Oil 60 Capsules</v>
      </c>
      <c r="C813" t="s">
        <v>61</v>
      </c>
      <c r="D813" t="s">
        <v>115</v>
      </c>
    </row>
    <row r="814" spans="1:4" x14ac:dyDescent="0.25">
      <c r="A814" t="s">
        <v>478</v>
      </c>
    </row>
    <row r="815" spans="1:4" x14ac:dyDescent="0.25">
      <c r="B815" t="str">
        <f>HYPERLINK("https://www.chemistwarehouse.com.au/buy/71916/Nature-39-s-Way-Restore-Bowel-amp-Colon-Health-Probiotic-30-Capsules"," Nature's Way Restore Bowel &amp; Colon Health Probiotic 30 Capsules")</f>
        <v xml:space="preserve"> Nature's Way Restore Bowel &amp; Colon Health Probiotic 30 Capsules</v>
      </c>
      <c r="C815" t="s">
        <v>8</v>
      </c>
      <c r="D815" t="s">
        <v>280</v>
      </c>
    </row>
    <row r="816" spans="1:4" x14ac:dyDescent="0.25">
      <c r="B816" t="str">
        <f>HYPERLINK("https://www.chemistwarehouse.com.au/buy/70251/Nature-39-s-Way-Restore-90-Capsules"," Nature's Way Restore 90 Capsules")</f>
        <v xml:space="preserve"> Nature's Way Restore 90 Capsules</v>
      </c>
      <c r="C816" t="s">
        <v>297</v>
      </c>
      <c r="D816" t="s">
        <v>453</v>
      </c>
    </row>
    <row r="817" spans="1:4" x14ac:dyDescent="0.25">
      <c r="B817" t="str">
        <f>HYPERLINK("https://www.chemistwarehouse.com.au/buy/77762/Nature-39-s-Way-Restore-100-Billion-30-Capsules"," Nature's Way Restore 100 Billion 30 Capsules")</f>
        <v xml:space="preserve"> Nature's Way Restore 100 Billion 30 Capsules</v>
      </c>
      <c r="C817" t="s">
        <v>479</v>
      </c>
      <c r="D817" t="s">
        <v>219</v>
      </c>
    </row>
    <row r="818" spans="1:4" x14ac:dyDescent="0.25">
      <c r="B818" t="str">
        <f>HYPERLINK("https://www.chemistwarehouse.com.au/buy/61560/Nature-39-s-Way-Digestive-Health-Restore-Daily-Probiotic-28-Capsules"," Nature's Way Digestive Health Restore Daily Probiotic 28 Capsules")</f>
        <v xml:space="preserve"> Nature's Way Digestive Health Restore Daily Probiotic 28 Capsules</v>
      </c>
      <c r="C818" t="s">
        <v>187</v>
      </c>
      <c r="D818" t="s">
        <v>162</v>
      </c>
    </row>
    <row r="819" spans="1:4" x14ac:dyDescent="0.25">
      <c r="B819" t="str">
        <f>HYPERLINK("https://www.chemistwarehouse.com.au/buy/65979/Nature-39-s-Way-Restore-Probiotic-Chocolate-Balls-60"," Nature's Way Restore Probiotic Chocolate Balls 60")</f>
        <v xml:space="preserve"> Nature's Way Restore Probiotic Chocolate Balls 60</v>
      </c>
      <c r="C819" t="s">
        <v>187</v>
      </c>
      <c r="D819" t="s">
        <v>162</v>
      </c>
    </row>
    <row r="820" spans="1:4" x14ac:dyDescent="0.25">
      <c r="B820" t="str">
        <f>HYPERLINK("https://www.chemistwarehouse.com.au/buy/71917/Nature-39-s-Way-Restore-Probiotic-30-Billion-30-Capsules"," Nature's Way Restore Probiotic 30 Billion 30 Capsules")</f>
        <v xml:space="preserve"> Nature's Way Restore Probiotic 30 Billion 30 Capsules</v>
      </c>
      <c r="C820" t="s">
        <v>8</v>
      </c>
      <c r="D820" t="s">
        <v>280</v>
      </c>
    </row>
    <row r="821" spans="1:4" x14ac:dyDescent="0.25">
      <c r="A821" t="s">
        <v>480</v>
      </c>
    </row>
    <row r="822" spans="1:4" x14ac:dyDescent="0.25">
      <c r="B822" t="str">
        <f>HYPERLINK("https://www.chemistwarehouse.com.au/buy/65054/Nature-39-s-Way-Vita-Gummies-Family-Vitamin-C-120-Gummies"," Nature's Way Vita Gummies Family Vitamin C 120 Gummies")</f>
        <v xml:space="preserve"> Nature's Way Vita Gummies Family Vitamin C 120 Gummies</v>
      </c>
      <c r="C822" t="s">
        <v>269</v>
      </c>
      <c r="D822" t="s">
        <v>336</v>
      </c>
    </row>
    <row r="823" spans="1:4" x14ac:dyDescent="0.25">
      <c r="B823" t="str">
        <f>HYPERLINK("https://www.chemistwarehouse.com.au/buy/65055/Nature-39-s-Way-Vita-Gummies-Daily-Multi-Vitamin-for-all-the-Family-120-Pastilles"," Nature's Way Vita Gummies Daily Multi Vitamin for all the Family 120 Pastilles")</f>
        <v xml:space="preserve"> Nature's Way Vita Gummies Daily Multi Vitamin for all the Family 120 Pastilles</v>
      </c>
      <c r="C823" t="s">
        <v>269</v>
      </c>
      <c r="D823" t="s">
        <v>336</v>
      </c>
    </row>
    <row r="824" spans="1:4" x14ac:dyDescent="0.25">
      <c r="B824" t="str">
        <f>HYPERLINK("https://www.chemistwarehouse.com.au/buy/75453/Nature-39-s-Way-Vita-Gummies-Adult-Womens-Multivitamin-100"," Nature's Way Vita Gummies Adult Womens Multivitamin 100")</f>
        <v xml:space="preserve"> Nature's Way Vita Gummies Adult Womens Multivitamin 100</v>
      </c>
      <c r="C824" t="s">
        <v>269</v>
      </c>
      <c r="D824" t="s">
        <v>336</v>
      </c>
    </row>
    <row r="825" spans="1:4" x14ac:dyDescent="0.25">
      <c r="B825" t="str">
        <f>HYPERLINK("https://www.chemistwarehouse.com.au/buy/75454/Nature-39-s-Way-Vita-Gummies-Adult-Mens-Multivitamin-100"," Nature's Way Vita Gummies Adult Mens Multivitamin 100")</f>
        <v xml:space="preserve"> Nature's Way Vita Gummies Adult Mens Multivitamin 100</v>
      </c>
      <c r="C825" t="s">
        <v>269</v>
      </c>
      <c r="D825" t="s">
        <v>336</v>
      </c>
    </row>
    <row r="826" spans="1:4" x14ac:dyDescent="0.25">
      <c r="B826" t="str">
        <f>HYPERLINK("https://www.chemistwarehouse.com.au/buy/77366/Nature-39-s-Way-Adult-Vita-Gummies-Hair-Skin-Nail-60"," Nature's Way Adult Vita Gummies Hair Skin Nail 60")</f>
        <v xml:space="preserve"> Nature's Way Adult Vita Gummies Hair Skin Nail 60</v>
      </c>
      <c r="C826" t="s">
        <v>269</v>
      </c>
      <c r="D826" t="s">
        <v>336</v>
      </c>
    </row>
    <row r="827" spans="1:4" x14ac:dyDescent="0.25">
      <c r="B827" t="str">
        <f>HYPERLINK("https://www.chemistwarehouse.com.au/buy/77367/Nature-39-s-Way-Adult-Vita-Gummies-Cranberry-50-Gummies"," Nature's Way Adult Vita Gummies Cranberry 50 Gummies")</f>
        <v xml:space="preserve"> Nature's Way Adult Vita Gummies Cranberry 50 Gummies</v>
      </c>
      <c r="C827" t="s">
        <v>269</v>
      </c>
      <c r="D827" t="s">
        <v>336</v>
      </c>
    </row>
    <row r="828" spans="1:4" x14ac:dyDescent="0.25">
      <c r="B828" t="str">
        <f>HYPERLINK("https://www.chemistwarehouse.com.au/buy/65056/Nature-39-s-Way-Vita-Gummies-Daily-Omega-3-For-All-the-Family-110-Pastilles"," Nature's Way Vita Gummies Daily Omega-3 For All the Family 110 Pastilles")</f>
        <v xml:space="preserve"> Nature's Way Vita Gummies Daily Omega-3 For All the Family 110 Pastilles</v>
      </c>
      <c r="C828" t="s">
        <v>269</v>
      </c>
      <c r="D828" t="s">
        <v>336</v>
      </c>
    </row>
    <row r="829" spans="1:4" x14ac:dyDescent="0.25">
      <c r="B829" t="str">
        <f>HYPERLINK("https://www.chemistwarehouse.com.au/buy/77368/Nature-39-s-Way-Adult-Vita-Gummies-B-Complex-60"," Nature's Way Adult Vita Gummies B Complex 60")</f>
        <v xml:space="preserve"> Nature's Way Adult Vita Gummies B Complex 60</v>
      </c>
      <c r="C829" t="s">
        <v>46</v>
      </c>
      <c r="D829" t="s">
        <v>417</v>
      </c>
    </row>
    <row r="830" spans="1:4" x14ac:dyDescent="0.25">
      <c r="B830" t="str">
        <f>HYPERLINK("https://www.chemistwarehouse.com.au/buy/78565/Nature-39-s-Way-VitaGummies-for-Adults-Vitamin-D-120-Pastilles"," Nature's Way VitaGummies for Adults Vitamin D 120 Pastilles")</f>
        <v xml:space="preserve"> Nature's Way VitaGummies for Adults Vitamin D 120 Pastilles</v>
      </c>
      <c r="C830" t="s">
        <v>269</v>
      </c>
      <c r="D830" t="s">
        <v>336</v>
      </c>
    </row>
    <row r="831" spans="1:4" x14ac:dyDescent="0.25">
      <c r="B831" t="str">
        <f>HYPERLINK("https://www.chemistwarehouse.com.au/buy/75452/Nature-39-s-Way-Vita-Gummies-Adult-Daily-Probiotic-80"," Nature's Way Vita Gummies Adult Daily Probiotic 80")</f>
        <v xml:space="preserve"> Nature's Way Vita Gummies Adult Daily Probiotic 80</v>
      </c>
      <c r="C831" t="s">
        <v>269</v>
      </c>
      <c r="D831" t="s">
        <v>336</v>
      </c>
    </row>
    <row r="832" spans="1:4" x14ac:dyDescent="0.25">
      <c r="B832" t="str">
        <f>HYPERLINK("https://www.chemistwarehouse.com.au/buy/66282/Nature-39-s-Way-Vita-Gummies-with-Fibre-110"," Nature's Way Vita Gummies with Fibre 110")</f>
        <v xml:space="preserve"> Nature's Way Vita Gummies with Fibre 110</v>
      </c>
      <c r="C832" t="s">
        <v>269</v>
      </c>
      <c r="D832" t="s">
        <v>336</v>
      </c>
    </row>
    <row r="833" spans="1:4" x14ac:dyDescent="0.25">
      <c r="A833" t="s">
        <v>481</v>
      </c>
    </row>
    <row r="834" spans="1:4" x14ac:dyDescent="0.25">
      <c r="B834" t="str">
        <f>HYPERLINK("https://www.chemistwarehouse.com.au/buy/76258/Nature-39-s-Way-Superfoods-Coconut-Oil-1000mg-60-Capsules"," Nature's Way Superfoods Coconut Oil 1000mg 60 Capsules")</f>
        <v xml:space="preserve"> Nature's Way Superfoods Coconut Oil 1000mg 60 Capsules</v>
      </c>
      <c r="C834" t="s">
        <v>187</v>
      </c>
      <c r="D834" t="s">
        <v>162</v>
      </c>
    </row>
    <row r="835" spans="1:4" x14ac:dyDescent="0.25">
      <c r="B835" t="str">
        <f>HYPERLINK("https://www.chemistwarehouse.com.au/buy/72584/Nature-39-s-Way-Super-Foods-Maca-100g"," Nature's Way Super Foods Maca 100g")</f>
        <v xml:space="preserve"> Nature's Way Super Foods Maca 100g</v>
      </c>
      <c r="C835" t="s">
        <v>92</v>
      </c>
      <c r="D835" t="s">
        <v>115</v>
      </c>
    </row>
    <row r="836" spans="1:4" x14ac:dyDescent="0.25">
      <c r="B836" t="str">
        <f>HYPERLINK("https://www.chemistwarehouse.com.au/buy/72585/Nature-39-s-Way-Super-Greens-Boost-300g"," Nature's Way Super Greens Boost 300g")</f>
        <v xml:space="preserve"> Nature's Way Super Greens Boost 300g</v>
      </c>
      <c r="C836" t="s">
        <v>166</v>
      </c>
      <c r="D836" t="s">
        <v>227</v>
      </c>
    </row>
    <row r="837" spans="1:4" x14ac:dyDescent="0.25">
      <c r="B837" t="str">
        <f>HYPERLINK("https://www.chemistwarehouse.com.au/buy/76259/Nature-39-s-Way-Superfoods-Maca-500mg-60-Tablets"," Nature's Way Superfoods Maca 500mg 60 Tablets")</f>
        <v xml:space="preserve"> Nature's Way Superfoods Maca 500mg 60 Tablets</v>
      </c>
      <c r="C837" t="s">
        <v>187</v>
      </c>
      <c r="D837" t="s">
        <v>162</v>
      </c>
    </row>
    <row r="838" spans="1:4" x14ac:dyDescent="0.25">
      <c r="B838" t="str">
        <f>HYPERLINK("https://www.chemistwarehouse.com.au/buy/76261/Nature-39-s-Way-Superfoods-Turmeric-60-Tablets"," Nature's Way Superfoods Turmeric 60 Tablets")</f>
        <v xml:space="preserve"> Nature's Way Superfoods Turmeric 60 Tablets</v>
      </c>
      <c r="C838" t="s">
        <v>187</v>
      </c>
      <c r="D838" t="s">
        <v>162</v>
      </c>
    </row>
    <row r="839" spans="1:4" x14ac:dyDescent="0.25">
      <c r="B839" t="str">
        <f>HYPERLINK("https://www.chemistwarehouse.com.au/buy/72845/Nature-39-s-Way-Super-Greens-Plus-Reds-100g"," Nature's Way Super Greens Plus Reds 100g")</f>
        <v xml:space="preserve"> Nature's Way Super Greens Plus Reds 100g</v>
      </c>
      <c r="C839" t="s">
        <v>61</v>
      </c>
      <c r="D839" t="s">
        <v>64</v>
      </c>
    </row>
    <row r="840" spans="1:4" x14ac:dyDescent="0.25">
      <c r="B840" t="str">
        <f>HYPERLINK("https://www.chemistwarehouse.com.au/buy/72578/Nature-39-s-Way-Super-Food-Spirulina-100g"," Nature's Way Super Food Spirulina 100g")</f>
        <v xml:space="preserve"> Nature's Way Super Food Spirulina 100g</v>
      </c>
      <c r="C840" t="s">
        <v>98</v>
      </c>
      <c r="D840" t="s">
        <v>104</v>
      </c>
    </row>
    <row r="841" spans="1:4" x14ac:dyDescent="0.25">
      <c r="B841" t="str">
        <f>HYPERLINK("https://www.chemistwarehouse.com.au/buy/72580/Nature-39-s-Way-Super-Foods-Cacao-125g"," Nature's Way Super Foods Cacao 125g")</f>
        <v xml:space="preserve"> Nature's Way Super Foods Cacao 125g</v>
      </c>
      <c r="C841" t="s">
        <v>92</v>
      </c>
      <c r="D841" t="s">
        <v>115</v>
      </c>
    </row>
    <row r="842" spans="1:4" x14ac:dyDescent="0.25">
      <c r="B842" t="str">
        <f>HYPERLINK("https://www.chemistwarehouse.com.au/buy/72586/Nature-39-s-Way-Super-Greens-Plus-100g"," Nature's Way Super Greens Plus 100g")</f>
        <v xml:space="preserve"> Nature's Way Super Greens Plus 100g</v>
      </c>
      <c r="C842" t="s">
        <v>407</v>
      </c>
      <c r="D842" t="s">
        <v>402</v>
      </c>
    </row>
    <row r="843" spans="1:4" x14ac:dyDescent="0.25">
      <c r="B843" t="str">
        <f>HYPERLINK("https://www.chemistwarehouse.com.au/buy/72588/Nature-39-s-Way-Super-Spirullina-1000mg-150-Tablets"," Nature's Way Super Spirullina 1000mg 150 Tablets")</f>
        <v xml:space="preserve"> Nature's Way Super Spirullina 1000mg 150 Tablets</v>
      </c>
      <c r="C843" t="s">
        <v>8</v>
      </c>
      <c r="D843" t="s">
        <v>169</v>
      </c>
    </row>
    <row r="844" spans="1:4" x14ac:dyDescent="0.25">
      <c r="B844" t="str">
        <f>HYPERLINK("https://www.chemistwarehouse.com.au/buy/78642/Nature-39-s-Way-Super-Foods-Shaker-Bottle"," Nature's Way Super Foods Shaker Bottle")</f>
        <v xml:space="preserve"> Nature's Way Super Foods Shaker Bottle</v>
      </c>
      <c r="C844" t="s">
        <v>64</v>
      </c>
      <c r="D844" t="s">
        <v>482</v>
      </c>
    </row>
    <row r="845" spans="1:4" x14ac:dyDescent="0.25">
      <c r="B845" t="str">
        <f>HYPERLINK("https://www.chemistwarehouse.com.au/buy/73342/Nature-39-s-Way-Super-Cacao-Dipped-Pepitas-100g"," Nature's Way Super Cacao Dipped Pepitas 100g")</f>
        <v xml:space="preserve"> Nature's Way Super Cacao Dipped Pepitas 100g</v>
      </c>
      <c r="C845" t="s">
        <v>64</v>
      </c>
      <c r="D845" t="s">
        <v>483</v>
      </c>
    </row>
    <row r="846" spans="1:4" x14ac:dyDescent="0.25">
      <c r="A846" t="s">
        <v>484</v>
      </c>
    </row>
    <row r="847" spans="1:4" x14ac:dyDescent="0.25">
      <c r="B847" t="str">
        <f>HYPERLINK("https://www.chemistwarehouse.com.au/buy/69367/Healthy-Care-Propolis-2000mg-200-Capsules"," Healthy Care Propolis 2000mg 200 Capsules")</f>
        <v xml:space="preserve"> Healthy Care Propolis 2000mg 200 Capsules</v>
      </c>
      <c r="C847" t="s">
        <v>1</v>
      </c>
      <c r="D847">
        <v>0</v>
      </c>
    </row>
    <row r="848" spans="1:4" x14ac:dyDescent="0.25">
      <c r="B848" t="str">
        <f>HYPERLINK("https://www.chemistwarehouse.com.au/buy/69364/Healthy-Care-Anti-Ageing-Gold-Flake-Face-Serum-50ml"," Healthy Care Anti Ageing Gold Flake Face Serum 50ml")</f>
        <v xml:space="preserve"> Healthy Care Anti Ageing Gold Flake Face Serum 50ml</v>
      </c>
      <c r="C848" t="s">
        <v>237</v>
      </c>
      <c r="D848">
        <v>0</v>
      </c>
    </row>
    <row r="849" spans="2:4" x14ac:dyDescent="0.25">
      <c r="B849" t="str">
        <f>HYPERLINK("https://www.chemistwarehouse.com.au/buy/70243/Healthy-Care-Lecithin-1200mg-100"," Healthy Care Lecithin 1200mg 100")</f>
        <v xml:space="preserve"> Healthy Care Lecithin 1200mg 100</v>
      </c>
      <c r="C849" t="s">
        <v>32</v>
      </c>
      <c r="D849">
        <v>0</v>
      </c>
    </row>
    <row r="850" spans="2:4" x14ac:dyDescent="0.25">
      <c r="B850" t="str">
        <f>HYPERLINK("https://www.chemistwarehouse.com.au/buy/67884/Healthy-Care-CoEnzyme-Q10-150mg-100-Capsules"," Healthy Care CoEnzyme Q10 150mg 100 Capsules")</f>
        <v xml:space="preserve"> Healthy Care CoEnzyme Q10 150mg 100 Capsules</v>
      </c>
      <c r="C850" t="s">
        <v>109</v>
      </c>
      <c r="D850">
        <v>0</v>
      </c>
    </row>
    <row r="851" spans="2:4" x14ac:dyDescent="0.25">
      <c r="B851" t="str">
        <f>HYPERLINK("https://www.chemistwarehouse.com.au/buy/52496/Healthy-Care-Fish-Oil-1000mg-400-Capsules"," Healthy Care Fish Oil 1000mg 400 Capsules")</f>
        <v xml:space="preserve"> Healthy Care Fish Oil 1000mg 400 Capsules</v>
      </c>
      <c r="C851" t="s">
        <v>237</v>
      </c>
      <c r="D851">
        <v>0</v>
      </c>
    </row>
    <row r="852" spans="2:4" x14ac:dyDescent="0.25">
      <c r="B852" t="str">
        <f>HYPERLINK("https://www.chemistwarehouse.com.au/buy/65467/Healthy-Care-Grape-Seed-Extract-12000-Gold-Jar-300-Capsules"," Healthy Care Grape Seed Extract 12000 Gold Jar 300 Capsules")</f>
        <v xml:space="preserve"> Healthy Care Grape Seed Extract 12000 Gold Jar 300 Capsules</v>
      </c>
      <c r="C852" t="s">
        <v>109</v>
      </c>
      <c r="D852">
        <v>0</v>
      </c>
    </row>
    <row r="853" spans="2:4" x14ac:dyDescent="0.25">
      <c r="B853" t="str">
        <f>HYPERLINK("https://www.chemistwarehouse.com.au/buy/70245/Healthy-Care-Propolis-Liquid-Alcohol-Free-25ml"," Healthy Care Propolis Liquid Alcohol Free 25ml")</f>
        <v xml:space="preserve"> Healthy Care Propolis Liquid Alcohol Free 25ml</v>
      </c>
      <c r="C853" t="s">
        <v>103</v>
      </c>
      <c r="D853">
        <v>0</v>
      </c>
    </row>
    <row r="854" spans="2:4" x14ac:dyDescent="0.25">
      <c r="B854" t="str">
        <f>HYPERLINK("https://www.chemistwarehouse.com.au/buy/63922/Healthy-Care-Ginkgo-Biloba-2000mg-100-Softgel-Capsules"," Healthy Care Ginkgo Biloba 2000mg 100 Softgel Capsules")</f>
        <v xml:space="preserve"> Healthy Care Ginkgo Biloba 2000mg 100 Softgel Capsules</v>
      </c>
      <c r="C854" t="s">
        <v>98</v>
      </c>
      <c r="D854">
        <v>0</v>
      </c>
    </row>
    <row r="855" spans="2:4" x14ac:dyDescent="0.25">
      <c r="B855" t="str">
        <f>HYPERLINK("https://www.chemistwarehouse.com.au/buy/66546/Healthy-Care-Propolis-amp-Olive-Leaf-180-Capsules"," Healthy Care Propolis &amp; Olive Leaf 180 Capsules")</f>
        <v xml:space="preserve"> Healthy Care Propolis &amp; Olive Leaf 180 Capsules</v>
      </c>
      <c r="C855" t="s">
        <v>279</v>
      </c>
      <c r="D855">
        <v>0</v>
      </c>
    </row>
    <row r="856" spans="2:4" x14ac:dyDescent="0.25">
      <c r="B856" t="str">
        <f>HYPERLINK("https://www.chemistwarehouse.com.au/buy/75460/Healthy-Care-Goat-Milk-Vanilla-Flavour-Chewable-300-Tablets"," Healthy Care Goat Milk Vanilla Flavour Chewable 300 Tablets")</f>
        <v xml:space="preserve"> Healthy Care Goat Milk Vanilla Flavour Chewable 300 Tablets</v>
      </c>
      <c r="C856" t="s">
        <v>103</v>
      </c>
      <c r="D856">
        <v>0</v>
      </c>
    </row>
    <row r="857" spans="2:4" x14ac:dyDescent="0.25">
      <c r="B857" t="str">
        <f>HYPERLINK("https://www.chemistwarehouse.com.au/buy/54904/Healthy-Care-Vitamin-C-500mg-Chewable-500-Tablets"," Healthy Care Vitamin C 500mg Chewable 500 Tablets")</f>
        <v xml:space="preserve"> Healthy Care Vitamin C 500mg Chewable 500 Tablets</v>
      </c>
      <c r="C857" t="s">
        <v>1</v>
      </c>
      <c r="D857">
        <v>0</v>
      </c>
    </row>
    <row r="858" spans="2:4" x14ac:dyDescent="0.25">
      <c r="B858" t="str">
        <f>HYPERLINK("https://www.chemistwarehouse.com.au/buy/56237/Healthy-Care-Royal-Jelly-1000-365-Capsules"," Healthy Care Royal Jelly 1000 365 Capsules")</f>
        <v xml:space="preserve"> Healthy Care Royal Jelly 1000 365 Capsules</v>
      </c>
      <c r="C858" t="s">
        <v>243</v>
      </c>
      <c r="D858">
        <v>0</v>
      </c>
    </row>
    <row r="859" spans="2:4" x14ac:dyDescent="0.25">
      <c r="B859" t="str">
        <f>HYPERLINK("https://www.chemistwarehouse.com.au/buy/74325/Healthy-Care-Emu-Heat-Oil-100mL"," Healthy Care Emu Heat Oil 100mL")</f>
        <v xml:space="preserve"> Healthy Care Emu Heat Oil 100mL</v>
      </c>
      <c r="C859" t="s">
        <v>45</v>
      </c>
      <c r="D859">
        <v>0</v>
      </c>
    </row>
    <row r="860" spans="2:4" x14ac:dyDescent="0.25">
      <c r="B860" t="str">
        <f>HYPERLINK("https://www.chemistwarehouse.com.au/buy/74143/Healthy-Care-Lanolin-Cream-With-Evening-Primrose-Oil-100g"," Healthy Care Lanolin Cream With Evening Primrose Oil 100g")</f>
        <v xml:space="preserve"> Healthy Care Lanolin Cream With Evening Primrose Oil 100g</v>
      </c>
      <c r="C860" t="s">
        <v>120</v>
      </c>
      <c r="D860">
        <v>0</v>
      </c>
    </row>
    <row r="861" spans="2:4" x14ac:dyDescent="0.25">
      <c r="B861" t="str">
        <f>HYPERLINK("https://www.chemistwarehouse.com.au/buy/60551/Healthy-Care-Glucosamine-HCL-1500mg-400-Tablets"," Healthy Care Glucosamine HCL 1500mg 400 Tablets")</f>
        <v xml:space="preserve"> Healthy Care Glucosamine HCL 1500mg 400 Tablets</v>
      </c>
      <c r="C861" t="s">
        <v>273</v>
      </c>
      <c r="D861">
        <v>0</v>
      </c>
    </row>
    <row r="862" spans="2:4" x14ac:dyDescent="0.25">
      <c r="B862" t="str">
        <f>HYPERLINK("https://www.chemistwarehouse.com.au/buy/56238/Healthy-Care-Squalene-1000mg-200-Capsules"," Healthy Care Squalene 1000mg 200 Capsules")</f>
        <v xml:space="preserve"> Healthy Care Squalene 1000mg 200 Capsules</v>
      </c>
      <c r="C862" t="s">
        <v>6</v>
      </c>
      <c r="D862">
        <v>0</v>
      </c>
    </row>
    <row r="863" spans="2:4" x14ac:dyDescent="0.25">
      <c r="B863" t="str">
        <f>HYPERLINK("https://www.chemistwarehouse.com.au/buy/70246/Healthy-Care-Bilberry-Lutein-120"," Healthy Care Bilberry Lutein 120")</f>
        <v xml:space="preserve"> Healthy Care Bilberry Lutein 120</v>
      </c>
      <c r="C863" t="s">
        <v>161</v>
      </c>
      <c r="D863">
        <v>0</v>
      </c>
    </row>
    <row r="864" spans="2:4" x14ac:dyDescent="0.25">
      <c r="B864" t="str">
        <f>HYPERLINK("https://www.chemistwarehouse.com.au/buy/56236/Healthy-Care-Propolis-1000mg-200-Capsules"," Healthy Care Propolis 1000mg 200 Capsules")</f>
        <v xml:space="preserve"> Healthy Care Propolis 1000mg 200 Capsules</v>
      </c>
      <c r="C864" t="s">
        <v>202</v>
      </c>
      <c r="D864">
        <v>0</v>
      </c>
    </row>
    <row r="865" spans="1:4" x14ac:dyDescent="0.25">
      <c r="B865" t="str">
        <f>HYPERLINK("https://www.chemistwarehouse.com.au/buy/62704/Healthy-Care-Colostrum-Powder-300g"," Healthy Care Colostrum Powder 300g")</f>
        <v xml:space="preserve"> Healthy Care Colostrum Powder 300g</v>
      </c>
      <c r="C865" t="s">
        <v>61</v>
      </c>
      <c r="D865">
        <v>0</v>
      </c>
    </row>
    <row r="866" spans="1:4" x14ac:dyDescent="0.25">
      <c r="B866" t="str">
        <f>HYPERLINK("https://www.chemistwarehouse.com.au/buy/78563/Healthy-Care-Ultra-Premium-Propolis-3800mg-200-Capsules"," Healthy Care Ultra Premium Propolis 3800mg 200 Capsules")</f>
        <v xml:space="preserve"> Healthy Care Ultra Premium Propolis 3800mg 200 Capsules</v>
      </c>
      <c r="C866" t="s">
        <v>6</v>
      </c>
      <c r="D866">
        <v>0</v>
      </c>
    </row>
    <row r="867" spans="1:4" x14ac:dyDescent="0.25">
      <c r="B867" t="str">
        <f>HYPERLINK("https://www.chemistwarehouse.com.au/buy/58043/Healthy-Care-Vitamin-E-500IU-200-Capsules"," Healthy Care Vitamin E 500IU 200 Capsules")</f>
        <v xml:space="preserve"> Healthy Care Vitamin E 500IU 200 Capsules</v>
      </c>
      <c r="C867" t="s">
        <v>153</v>
      </c>
      <c r="D867">
        <v>0</v>
      </c>
    </row>
    <row r="868" spans="1:4" x14ac:dyDescent="0.25">
      <c r="B868" t="str">
        <f>HYPERLINK("https://www.chemistwarehouse.com.au/buy/72383/Healthy-Care-Wild-Krill-Oil-1000mg-60-Capsules"," Healthy Care Wild Krill Oil 1000mg 60 Capsules")</f>
        <v xml:space="preserve"> Healthy Care Wild Krill Oil 1000mg 60 Capsules</v>
      </c>
      <c r="C868" t="s">
        <v>10</v>
      </c>
      <c r="D868">
        <v>0</v>
      </c>
    </row>
    <row r="869" spans="1:4" x14ac:dyDescent="0.25">
      <c r="B869" t="str">
        <f>HYPERLINK("https://www.chemistwarehouse.com.au/buy/58044/Healthy-Care-Super-Bio-Magnesium-100-Capsules"," Healthy Care Super Bio Magnesium 100 Capsules")</f>
        <v xml:space="preserve"> Healthy Care Super Bio Magnesium 100 Capsules</v>
      </c>
      <c r="C869" t="s">
        <v>80</v>
      </c>
      <c r="D869">
        <v>0</v>
      </c>
    </row>
    <row r="870" spans="1:4" x14ac:dyDescent="0.25">
      <c r="B870" t="str">
        <f>HYPERLINK("https://www.chemistwarehouse.com.au/buy/56837/Healthy-Care-Super-Colostrum-400mg-200-Chewable-Tablets"," Healthy Care Super Colostrum 400mg 200 Chewable Tablets")</f>
        <v xml:space="preserve"> Healthy Care Super Colostrum 400mg 200 Chewable Tablets</v>
      </c>
      <c r="C870" t="s">
        <v>153</v>
      </c>
      <c r="D870">
        <v>0</v>
      </c>
    </row>
    <row r="871" spans="1:4" x14ac:dyDescent="0.25">
      <c r="A871" t="s">
        <v>485</v>
      </c>
    </row>
    <row r="872" spans="1:4" x14ac:dyDescent="0.25">
      <c r="B872" t="str">
        <f>HYPERLINK("https://www.chemistwarehouse.com.au/buy/66829/Carusos-Natural-Health-King-Krill-1000MG-60-Capsules"," Carusos Natural Health King Krill 1000MG 60 Capsules")</f>
        <v xml:space="preserve"> Carusos Natural Health King Krill 1000MG 60 Capsules</v>
      </c>
      <c r="C872" t="s">
        <v>282</v>
      </c>
      <c r="D872" t="s">
        <v>486</v>
      </c>
    </row>
    <row r="873" spans="1:4" x14ac:dyDescent="0.25">
      <c r="B873" t="str">
        <f>HYPERLINK("https://www.chemistwarehouse.com.au/buy/71950/Carusos-Natural-Health-Hawaiian-Astaxanthin-30-Capsules"," Carusos Natural Health Hawaiian Astaxanthin 30 Capsules")</f>
        <v xml:space="preserve"> Carusos Natural Health Hawaiian Astaxanthin 30 Capsules</v>
      </c>
      <c r="C873" t="s">
        <v>173</v>
      </c>
      <c r="D873" t="s">
        <v>487</v>
      </c>
    </row>
    <row r="874" spans="1:4" x14ac:dyDescent="0.25">
      <c r="B874" t="str">
        <f>HYPERLINK("https://www.chemistwarehouse.com.au/buy/76651/Carusos-Natural-Health-Kids-Probiotic-Immune-Booster-30-Chewable-Tablets"," Carusos Natural Health Kids Probiotic Immune Booster 30 Chewable Tablets")</f>
        <v xml:space="preserve"> Carusos Natural Health Kids Probiotic Immune Booster 30 Chewable Tablets</v>
      </c>
      <c r="C874" t="s">
        <v>233</v>
      </c>
      <c r="D874" t="s">
        <v>332</v>
      </c>
    </row>
    <row r="875" spans="1:4" x14ac:dyDescent="0.25">
      <c r="B875" t="str">
        <f>HYPERLINK("https://www.chemistwarehouse.com.au/buy/76655/Carusos-Natural-Health-Super-Grape-Seeds-50000-500ml"," Carusos Natural Health Super Grape Seeds 50000 500ml")</f>
        <v xml:space="preserve"> Carusos Natural Health Super Grape Seeds 50000 500ml</v>
      </c>
      <c r="C875" t="s">
        <v>12</v>
      </c>
      <c r="D875" t="s">
        <v>13</v>
      </c>
    </row>
    <row r="876" spans="1:4" x14ac:dyDescent="0.25">
      <c r="B876" t="str">
        <f>HYPERLINK("https://www.chemistwarehouse.com.au/buy/71438/Carusos-Natural-Health-Stress-Clear-60-Tablets"," Carusos Natural Health Stress Clear 60 Tablets")</f>
        <v xml:space="preserve"> Carusos Natural Health Stress Clear 60 Tablets</v>
      </c>
      <c r="C876" t="s">
        <v>10</v>
      </c>
      <c r="D876" t="s">
        <v>160</v>
      </c>
    </row>
    <row r="877" spans="1:4" x14ac:dyDescent="0.25">
      <c r="B877" t="str">
        <f>HYPERLINK("https://www.chemistwarehouse.com.au/buy/73169/Carusos-Natural-Health-Super-Garcinia-Cambogia-Plus-Energy-120-Tablets"," Carusos Natural Health Super Garcinia Cambogia Plus Energy 120 Tablets")</f>
        <v xml:space="preserve"> Carusos Natural Health Super Garcinia Cambogia Plus Energy 120 Tablets</v>
      </c>
      <c r="C877" t="s">
        <v>321</v>
      </c>
      <c r="D877" t="s">
        <v>154</v>
      </c>
    </row>
    <row r="878" spans="1:4" x14ac:dyDescent="0.25">
      <c r="B878" t="str">
        <f>HYPERLINK("https://www.chemistwarehouse.com.au/buy/60333/Carusos-Natural-Health-Cramps-Away-60-Tablets"," Carusos Natural Health Cramps Away 60 Tablets")</f>
        <v xml:space="preserve"> Carusos Natural Health Cramps Away 60 Tablets</v>
      </c>
      <c r="C878" t="s">
        <v>282</v>
      </c>
      <c r="D878" t="s">
        <v>488</v>
      </c>
    </row>
    <row r="879" spans="1:4" x14ac:dyDescent="0.25">
      <c r="B879" t="str">
        <f>HYPERLINK("https://www.chemistwarehouse.com.au/buy/61591/Carusos-Natural-Health-Veins-Clear-60-Tablets"," Carusos Natural Health Veins Clear 60 Tablets")</f>
        <v xml:space="preserve"> Carusos Natural Health Veins Clear 60 Tablets</v>
      </c>
      <c r="C879" t="s">
        <v>279</v>
      </c>
      <c r="D879" t="s">
        <v>489</v>
      </c>
    </row>
    <row r="880" spans="1:4" x14ac:dyDescent="0.25">
      <c r="B880" t="str">
        <f>HYPERLINK("https://www.chemistwarehouse.com.au/buy/63680/Carusos-Natural-Health-Fluid-Away-60-Tablets"," Carusos Natural Health Fluid Away 60 Tablets")</f>
        <v xml:space="preserve"> Carusos Natural Health Fluid Away 60 Tablets</v>
      </c>
      <c r="C880" t="s">
        <v>6</v>
      </c>
      <c r="D880" t="s">
        <v>490</v>
      </c>
    </row>
    <row r="881" spans="1:4" x14ac:dyDescent="0.25">
      <c r="B881" t="str">
        <f>HYPERLINK("https://www.chemistwarehouse.com.au/buy/69778/Carusos-Natural-Health-Ultra-Max-Magnesium-Complex-120-Tablets"," Carusos Natural Health Ultra Max Magnesium Complex 120 Tablets")</f>
        <v xml:space="preserve"> Carusos Natural Health Ultra Max Magnesium Complex 120 Tablets</v>
      </c>
      <c r="C881" t="s">
        <v>10</v>
      </c>
      <c r="D881" t="s">
        <v>160</v>
      </c>
    </row>
    <row r="882" spans="1:4" x14ac:dyDescent="0.25">
      <c r="B882" t="str">
        <f>HYPERLINK("https://www.chemistwarehouse.com.au/buy/67679/Carusos-Natural-Health-King-Krill-1500mg-60-Capsules"," Carusos Natural Health King Krill 1500mg 60 Capsules")</f>
        <v xml:space="preserve"> Carusos Natural Health King Krill 1500mg 60 Capsules</v>
      </c>
      <c r="C882" t="s">
        <v>491</v>
      </c>
      <c r="D882" t="s">
        <v>492</v>
      </c>
    </row>
    <row r="883" spans="1:4" x14ac:dyDescent="0.25">
      <c r="B883" t="str">
        <f>HYPERLINK("https://www.chemistwarehouse.com.au/buy/69779/Carusos-Natural-Health-Ultra-Max-Mega-B-Complex-60-Tablets"," Carusos Natural Health Ultra Max Mega B Complex 60 Tablets")</f>
        <v xml:space="preserve"> Carusos Natural Health Ultra Max Mega B Complex 60 Tablets</v>
      </c>
      <c r="C883" t="s">
        <v>233</v>
      </c>
      <c r="D883" t="s">
        <v>332</v>
      </c>
    </row>
    <row r="884" spans="1:4" x14ac:dyDescent="0.25">
      <c r="B884" t="str">
        <f>HYPERLINK("https://www.chemistwarehouse.com.au/buy/69780/Carusos-Natural-Health-King-Krill-2000mg-Vitamin-D3-30-Capsules"," Carusos Natural Health King Krill 2000mg + Vitamin D3 30 Capsules")</f>
        <v xml:space="preserve"> Carusos Natural Health King Krill 2000mg + Vitamin D3 30 Capsules</v>
      </c>
      <c r="C884" t="s">
        <v>493</v>
      </c>
      <c r="D884" t="s">
        <v>494</v>
      </c>
    </row>
    <row r="885" spans="1:4" x14ac:dyDescent="0.25">
      <c r="B885" t="str">
        <f>HYPERLINK("https://www.chemistwarehouse.com.au/buy/73527/Carusos-Natural-Health-Thyroid-Manager-60-Tablets"," Carusos Natural Health Thyroid Manager 60 Tablets")</f>
        <v xml:space="preserve"> Carusos Natural Health Thyroid Manager 60 Tablets</v>
      </c>
      <c r="C885" t="s">
        <v>6</v>
      </c>
      <c r="D885" t="s">
        <v>159</v>
      </c>
    </row>
    <row r="886" spans="1:4" x14ac:dyDescent="0.25">
      <c r="B886" t="str">
        <f>HYPERLINK("https://www.chemistwarehouse.com.au/buy/75095/Carusos-Natural-Health-Kids-Calm-and-Behaviour-75g"," Carusos Natural Health Kids Calm and Behaviour 75g")</f>
        <v xml:space="preserve"> Carusos Natural Health Kids Calm and Behaviour 75g</v>
      </c>
      <c r="C886" t="s">
        <v>279</v>
      </c>
      <c r="D886" t="s">
        <v>150</v>
      </c>
    </row>
    <row r="887" spans="1:4" x14ac:dyDescent="0.25">
      <c r="B887" t="str">
        <f>HYPERLINK("https://www.chemistwarehouse.com.au/buy/76091/Carusos-Natural-Health-Stress-and-Anxiety-Spray-30ml"," Carusos Natural Health Stress and Anxiety Spray 30ml")</f>
        <v xml:space="preserve"> Carusos Natural Health Stress and Anxiety Spray 30ml</v>
      </c>
      <c r="C887" t="s">
        <v>495</v>
      </c>
      <c r="D887" t="s">
        <v>496</v>
      </c>
    </row>
    <row r="888" spans="1:4" x14ac:dyDescent="0.25">
      <c r="B888" t="str">
        <f>HYPERLINK("https://www.chemistwarehouse.com.au/buy/76092/Carusos-Natural-Health-Veins-Care-Cream-75g"," Carusos Natural Health Veins Care Cream 75g")</f>
        <v xml:space="preserve"> Carusos Natural Health Veins Care Cream 75g</v>
      </c>
      <c r="C888" t="s">
        <v>495</v>
      </c>
      <c r="D888" t="s">
        <v>496</v>
      </c>
    </row>
    <row r="889" spans="1:4" x14ac:dyDescent="0.25">
      <c r="B889" t="str">
        <f>HYPERLINK("https://www.chemistwarehouse.com.au/buy/64109/Carusos-Natural-Health-Sleep-More-30-Tablets"," Carusos Natural Health Sleep More 30 Tablets")</f>
        <v xml:space="preserve"> Carusos Natural Health Sleep More 30 Tablets</v>
      </c>
      <c r="C889" t="s">
        <v>297</v>
      </c>
      <c r="D889" t="s">
        <v>154</v>
      </c>
    </row>
    <row r="890" spans="1:4" x14ac:dyDescent="0.25">
      <c r="B890" t="str">
        <f>HYPERLINK("https://www.chemistwarehouse.com.au/buy/65765/Carusos-Natural-Health-Memory-Recall-60-Tablets"," Carusos Natural Health Memory Recall 60 Tablets")</f>
        <v xml:space="preserve"> Carusos Natural Health Memory Recall 60 Tablets</v>
      </c>
      <c r="C890" t="s">
        <v>166</v>
      </c>
      <c r="D890" t="s">
        <v>160</v>
      </c>
    </row>
    <row r="891" spans="1:4" x14ac:dyDescent="0.25">
      <c r="B891" t="str">
        <f>HYPERLINK("https://www.chemistwarehouse.com.au/buy/62976/Carusos-Natural-Health-Fluid-Away-30-Tablets"," Carusos Natural Health Fluid Away 30 Tablets")</f>
        <v xml:space="preserve"> Carusos Natural Health Fluid Away 30 Tablets</v>
      </c>
      <c r="C891" t="s">
        <v>8</v>
      </c>
      <c r="D891" t="s">
        <v>497</v>
      </c>
    </row>
    <row r="892" spans="1:4" x14ac:dyDescent="0.25">
      <c r="B892" t="str">
        <f>HYPERLINK("https://www.chemistwarehouse.com.au/buy/63247/Carusos-Natural-Health-Anxiety-Aid-30-Tablets"," Carusos Natural Health Anxiety Aid 30 Tablets")</f>
        <v xml:space="preserve"> Carusos Natural Health Anxiety Aid 30 Tablets</v>
      </c>
      <c r="C892" t="s">
        <v>450</v>
      </c>
      <c r="D892" t="s">
        <v>496</v>
      </c>
    </row>
    <row r="893" spans="1:4" x14ac:dyDescent="0.25">
      <c r="B893" t="str">
        <f>HYPERLINK("https://www.chemistwarehouse.com.au/buy/61590/Carusos-Natural-Health-Veins-Clear-30-Tablets"," Carusos Natural Health Veins Clear 30 Tablets")</f>
        <v xml:space="preserve"> Carusos Natural Health Veins Clear 30 Tablets</v>
      </c>
      <c r="C893" t="s">
        <v>10</v>
      </c>
      <c r="D893" t="s">
        <v>165</v>
      </c>
    </row>
    <row r="894" spans="1:4" x14ac:dyDescent="0.25">
      <c r="B894" t="str">
        <f>HYPERLINK("https://www.chemistwarehouse.com.au/buy/49817/Carusos-Natural-Health-Mega-Memory-Advance-60-Tablets"," Carusos Natural Health Mega Memory Advance 60 Tablets")</f>
        <v xml:space="preserve"> Carusos Natural Health Mega Memory Advance 60 Tablets</v>
      </c>
      <c r="C894" t="s">
        <v>255</v>
      </c>
      <c r="D894" t="s">
        <v>343</v>
      </c>
    </row>
    <row r="895" spans="1:4" x14ac:dyDescent="0.25">
      <c r="B895" t="str">
        <f>HYPERLINK("https://www.chemistwarehouse.com.au/buy/58303/Carusos-Natural-Health-Sleep-More-60-Tablets"," Carusos Natural Health Sleep More 60 Tablets")</f>
        <v xml:space="preserve"> Carusos Natural Health Sleep More 60 Tablets</v>
      </c>
      <c r="C895" t="s">
        <v>498</v>
      </c>
      <c r="D895" t="s">
        <v>462</v>
      </c>
    </row>
    <row r="896" spans="1:4" x14ac:dyDescent="0.25">
      <c r="A896" t="s">
        <v>499</v>
      </c>
    </row>
    <row r="897" spans="1:4" x14ac:dyDescent="0.25">
      <c r="B897" t="str">
        <f>HYPERLINK("https://www.chemistwarehouse.com.au/buy/64091/Carusos-Natural-Health-Quick-Cleanse-Slippery-Elm-Powder-200g"," Carusos Natural Health Quick Cleanse Slippery Elm Powder 200g")</f>
        <v xml:space="preserve"> Carusos Natural Health Quick Cleanse Slippery Elm Powder 200g</v>
      </c>
      <c r="C897" t="s">
        <v>10</v>
      </c>
      <c r="D897" t="s">
        <v>500</v>
      </c>
    </row>
    <row r="898" spans="1:4" x14ac:dyDescent="0.25">
      <c r="B898" t="str">
        <f>HYPERLINK("https://www.chemistwarehouse.com.au/buy/64093/Carusos-Natural-Health-Quick-Cleanse-Liver-Clear-Detox-60-Tablets"," Carusos Natural Health Quick Cleanse Liver Clear Detox 60 Tablets")</f>
        <v xml:space="preserve"> Carusos Natural Health Quick Cleanse Liver Clear Detox 60 Tablets</v>
      </c>
      <c r="C898" t="s">
        <v>168</v>
      </c>
      <c r="D898" t="s">
        <v>501</v>
      </c>
    </row>
    <row r="899" spans="1:4" x14ac:dyDescent="0.25">
      <c r="B899" t="str">
        <f>HYPERLINK("https://www.chemistwarehouse.com.au/buy/76654/Carusos-Natural-Health-Super-Liver-Detox-300ml"," Carusos Natural Health Super Liver Detox 300ml")</f>
        <v xml:space="preserve"> Carusos Natural Health Super Liver Detox 300ml</v>
      </c>
      <c r="C899" t="s">
        <v>12</v>
      </c>
      <c r="D899" t="s">
        <v>13</v>
      </c>
    </row>
    <row r="900" spans="1:4" x14ac:dyDescent="0.25">
      <c r="B900" t="str">
        <f>HYPERLINK("https://www.chemistwarehouse.com.au/buy/58215/Carusos-Natural-Health-Quick-Cleanse-Bowel-Clear-60-Tablets"," Carusos Natural Health Quick Cleanse Bowel Clear 60 Tablets")</f>
        <v xml:space="preserve"> Carusos Natural Health Quick Cleanse Bowel Clear 60 Tablets</v>
      </c>
      <c r="C900" t="s">
        <v>243</v>
      </c>
      <c r="D900" t="s">
        <v>343</v>
      </c>
    </row>
    <row r="901" spans="1:4" x14ac:dyDescent="0.25">
      <c r="B901" t="str">
        <f>HYPERLINK("https://www.chemistwarehouse.com.au/buy/60216/Carusos-Natural-Health-Quick-Cleanse-Bowel-Clear-30-Tablets"," Carusos Natural Health Quick Cleanse Bowel Clear 30 Tablets")</f>
        <v xml:space="preserve"> Carusos Natural Health Quick Cleanse Bowel Clear 30 Tablets</v>
      </c>
      <c r="C901" t="s">
        <v>10</v>
      </c>
      <c r="D901" t="s">
        <v>165</v>
      </c>
    </row>
    <row r="902" spans="1:4" x14ac:dyDescent="0.25">
      <c r="A902" t="s">
        <v>502</v>
      </c>
    </row>
    <row r="903" spans="1:4" x14ac:dyDescent="0.25">
      <c r="B903" t="str">
        <f>HYPERLINK("https://www.chemistwarehouse.com.au/buy/60214/Carusos-Natural-Health-MSM-Max-1500mg-120-Tablets"," Carusos Natural Health MSM Max 1500mg 120 Tablets")</f>
        <v xml:space="preserve"> Carusos Natural Health MSM Max 1500mg 120 Tablets</v>
      </c>
      <c r="C903" t="s">
        <v>113</v>
      </c>
      <c r="D903" t="s">
        <v>155</v>
      </c>
    </row>
    <row r="904" spans="1:4" x14ac:dyDescent="0.25">
      <c r="B904" t="str">
        <f>HYPERLINK("https://www.chemistwarehouse.com.au/buy/68761/Carusos-Natural-Health-Arthritis-Fighter-100-Tablets"," Carusos Natural Health Arthritis Fighter 100 Tablets ")</f>
        <v xml:space="preserve"> Carusos Natural Health Arthritis Fighter 100 Tablets </v>
      </c>
      <c r="C904" t="s">
        <v>216</v>
      </c>
      <c r="D904" t="s">
        <v>422</v>
      </c>
    </row>
    <row r="905" spans="1:4" x14ac:dyDescent="0.25">
      <c r="B905" t="str">
        <f>HYPERLINK("https://www.chemistwarehouse.com.au/buy/72908/Carusos-Natural-Health-Vitamin-K2-60-Capsules"," Carusos Natural Health Vitamin K2 60 Capsules")</f>
        <v xml:space="preserve"> Carusos Natural Health Vitamin K2 60 Capsules</v>
      </c>
      <c r="C905" t="s">
        <v>61</v>
      </c>
      <c r="D905" t="s">
        <v>154</v>
      </c>
    </row>
    <row r="906" spans="1:4" x14ac:dyDescent="0.25">
      <c r="B906" t="str">
        <f>HYPERLINK("https://www.chemistwarehouse.com.au/buy/74935/Carusos-Natural-Health-Super-Magnesium-Powder-250g"," Carusos Natural Health Super Magnesium Powder 250g")</f>
        <v xml:space="preserve"> Carusos Natural Health Super Magnesium Powder 250g</v>
      </c>
      <c r="C906" t="s">
        <v>1</v>
      </c>
      <c r="D906" t="s">
        <v>81</v>
      </c>
    </row>
    <row r="907" spans="1:4" x14ac:dyDescent="0.25">
      <c r="B907" t="str">
        <f>HYPERLINK("https://www.chemistwarehouse.com.au/buy/75096/Carusos-Natural-Health-Super-Curcumin-Arthritis-Relief-30"," Carusos Natural Health Super Curcumin Arthritis Relief 30")</f>
        <v xml:space="preserve"> Carusos Natural Health Super Curcumin Arthritis Relief 30</v>
      </c>
      <c r="C907" t="s">
        <v>8</v>
      </c>
      <c r="D907" t="s">
        <v>160</v>
      </c>
    </row>
    <row r="908" spans="1:4" x14ac:dyDescent="0.25">
      <c r="B908" t="str">
        <f>HYPERLINK("https://www.chemistwarehouse.com.au/buy/76656/Carusos-Natural-Health-Exit-Pain-Arthritis-Cream-100g"," Carusos Natural Health Exit Pain Arthritis Cream 100g")</f>
        <v xml:space="preserve"> Carusos Natural Health Exit Pain Arthritis Cream 100g</v>
      </c>
      <c r="C908" t="s">
        <v>8</v>
      </c>
      <c r="D908" t="s">
        <v>165</v>
      </c>
    </row>
    <row r="909" spans="1:4" x14ac:dyDescent="0.25">
      <c r="B909" t="str">
        <f>HYPERLINK("https://www.chemistwarehouse.com.au/buy/78709/Carusos-Natural-Health-Glucosamine-1500-120-Tablets"," Carusos Natural Health Glucosamine 1500 120 Tablets")</f>
        <v xml:space="preserve"> Carusos Natural Health Glucosamine 1500 120 Tablets</v>
      </c>
      <c r="C909" t="s">
        <v>297</v>
      </c>
      <c r="D909" t="s">
        <v>159</v>
      </c>
    </row>
    <row r="910" spans="1:4" x14ac:dyDescent="0.25">
      <c r="A910" t="s">
        <v>503</v>
      </c>
    </row>
    <row r="911" spans="1:4" x14ac:dyDescent="0.25">
      <c r="B911" t="str">
        <f>HYPERLINK("https://www.chemistwarehouse.com.au/buy/75069/Carusos-Natural-Health-Super-Collagen-Builder-500ml"," Carusos Natural Health Super Collagen Builder 500ml")</f>
        <v xml:space="preserve"> Carusos Natural Health Super Collagen Builder 500ml</v>
      </c>
      <c r="C911" t="s">
        <v>161</v>
      </c>
      <c r="D911" t="s">
        <v>155</v>
      </c>
    </row>
    <row r="912" spans="1:4" x14ac:dyDescent="0.25">
      <c r="B912" t="str">
        <f>HYPERLINK("https://www.chemistwarehouse.com.au/buy/64097/Carusos-Natural-Health-Figaro-Hair-Root-Conditioner-250ml"," Carusos Natural Health Figaro Hair Root Conditioner 250ml")</f>
        <v xml:space="preserve"> Carusos Natural Health Figaro Hair Root Conditioner 250ml</v>
      </c>
      <c r="C912" t="s">
        <v>58</v>
      </c>
      <c r="D912" t="s">
        <v>145</v>
      </c>
    </row>
    <row r="913" spans="1:4" x14ac:dyDescent="0.25">
      <c r="B913" t="str">
        <f>HYPERLINK("https://www.chemistwarehouse.com.au/buy/64099/Carusos-Natural-Health-Figaro-Hair-Root-Lotion-125ml"," Carusos Natural Health Figaro Hair Root Lotion 125ml")</f>
        <v xml:space="preserve"> Carusos Natural Health Figaro Hair Root Lotion 125ml</v>
      </c>
      <c r="C913" t="s">
        <v>125</v>
      </c>
      <c r="D913" t="s">
        <v>397</v>
      </c>
    </row>
    <row r="914" spans="1:4" x14ac:dyDescent="0.25">
      <c r="B914" t="str">
        <f>HYPERLINK("https://www.chemistwarehouse.com.au/buy/64101/Carusos-Natural-Health-Figaro-Hair-Food-Plus-60-Tablets"," Carusos Natural Health Figaro Hair Food Plus 60 Tablets")</f>
        <v xml:space="preserve"> Carusos Natural Health Figaro Hair Food Plus 60 Tablets</v>
      </c>
      <c r="C914" t="s">
        <v>166</v>
      </c>
      <c r="D914" t="s">
        <v>93</v>
      </c>
    </row>
    <row r="915" spans="1:4" x14ac:dyDescent="0.25">
      <c r="B915" t="str">
        <f>HYPERLINK("https://www.chemistwarehouse.com.au/buy/64105/Carusos-Natural-Health-Figaro-Hair-Food-Plus-30-Tablets"," Carusos Natural Health Figaro Hair Food Plus 30 Tablets")</f>
        <v xml:space="preserve"> Carusos Natural Health Figaro Hair Food Plus 30 Tablets</v>
      </c>
      <c r="C915" t="s">
        <v>153</v>
      </c>
      <c r="D915" t="s">
        <v>165</v>
      </c>
    </row>
    <row r="916" spans="1:4" x14ac:dyDescent="0.25">
      <c r="B916" t="str">
        <f>HYPERLINK("https://www.chemistwarehouse.com.au/buy/64108/Carusos-Natural-Health-Figaro-Hair-Root-Shampoo-250ml"," Carusos Natural Health Figaro Hair Root Shampoo 250ml")</f>
        <v xml:space="preserve"> Carusos Natural Health Figaro Hair Root Shampoo 250ml</v>
      </c>
      <c r="C916" t="s">
        <v>58</v>
      </c>
      <c r="D916" t="s">
        <v>145</v>
      </c>
    </row>
    <row r="917" spans="1:4" x14ac:dyDescent="0.25">
      <c r="A917" t="s">
        <v>504</v>
      </c>
    </row>
    <row r="918" spans="1:4" x14ac:dyDescent="0.25">
      <c r="B918" t="str">
        <f>HYPERLINK("https://www.chemistwarehouse.com.au/buy/53462/Carusos-Natural-Health-Prostate-EZE-MAX-15000mg-Pygeum-30-Capsules"," Carusos Natural Health Prostate EZE MAX 15000mg Pygeum 30 Capsules")</f>
        <v xml:space="preserve"> Carusos Natural Health Prostate EZE MAX 15000mg Pygeum 30 Capsules</v>
      </c>
      <c r="C918" t="s">
        <v>166</v>
      </c>
      <c r="D918" t="s">
        <v>505</v>
      </c>
    </row>
    <row r="919" spans="1:4" x14ac:dyDescent="0.25">
      <c r="B919" t="str">
        <f>HYPERLINK("https://www.chemistwarehouse.com.au/buy/55225/Carusos-Natural-Health-Erecto-MAX-60-Tablets"," Carusos Natural Health Erecto MAX 60 Tablets")</f>
        <v xml:space="preserve"> Carusos Natural Health Erecto MAX 60 Tablets</v>
      </c>
      <c r="C919" t="s">
        <v>506</v>
      </c>
      <c r="D919" t="s">
        <v>507</v>
      </c>
    </row>
    <row r="920" spans="1:4" x14ac:dyDescent="0.25">
      <c r="B920" t="str">
        <f>HYPERLINK("https://www.chemistwarehouse.com.au/buy/60924/Carusos-Natural-Health-Male-Mojo-30-Tablets"," Carusos Natural Health Male Mojo 30 Tablets ")</f>
        <v xml:space="preserve"> Carusos Natural Health Male Mojo 30 Tablets </v>
      </c>
      <c r="C920" t="s">
        <v>10</v>
      </c>
      <c r="D920" t="s">
        <v>341</v>
      </c>
    </row>
    <row r="921" spans="1:4" x14ac:dyDescent="0.25">
      <c r="B921" t="str">
        <f>HYPERLINK("https://www.chemistwarehouse.com.au/buy/72909/Carusos-Natural-Health-Testorod-60-Tablets"," Carusos Natural Health Testorod 60 Tablets")</f>
        <v xml:space="preserve"> Carusos Natural Health Testorod 60 Tablets</v>
      </c>
      <c r="C921" t="s">
        <v>508</v>
      </c>
      <c r="D921" t="s">
        <v>347</v>
      </c>
    </row>
    <row r="922" spans="1:4" x14ac:dyDescent="0.25">
      <c r="B922" t="str">
        <f>HYPERLINK("https://www.chemistwarehouse.com.au/buy/62640/Carusos-Natural-Health-Prostate-EZE-MAX-15000mg-Pygeum-90-Capsules"," Carusos Natural Health Prostate EZE MAX 15000mg Pygeum 90 Capsules")</f>
        <v xml:space="preserve"> Carusos Natural Health Prostate EZE MAX 15000mg Pygeum 90 Capsules</v>
      </c>
      <c r="C922" t="s">
        <v>509</v>
      </c>
      <c r="D922" t="s">
        <v>510</v>
      </c>
    </row>
    <row r="923" spans="1:4" x14ac:dyDescent="0.25">
      <c r="B923" t="str">
        <f>HYPERLINK("https://www.chemistwarehouse.com.au/buy/71951/Carusos-Natural-Health-Ultra-Max-Mens-Super-Multi-60-Tablets"," Carusos Natural Health Ultra Max Mens Super Multi 60 Tablets")</f>
        <v xml:space="preserve"> Carusos Natural Health Ultra Max Mens Super Multi 60 Tablets</v>
      </c>
      <c r="C923" t="s">
        <v>161</v>
      </c>
      <c r="D923" t="s">
        <v>157</v>
      </c>
    </row>
    <row r="924" spans="1:4" x14ac:dyDescent="0.25">
      <c r="B924" t="str">
        <f>HYPERLINK("https://www.chemistwarehouse.com.au/buy/55226/Carusos-Natural-Health-Erecto-MAX-30-Tablets"," Carusos Natural Health Erecto MAX 30 Tablets")</f>
        <v xml:space="preserve"> Carusos Natural Health Erecto MAX 30 Tablets</v>
      </c>
      <c r="C924" t="s">
        <v>511</v>
      </c>
      <c r="D924" t="s">
        <v>512</v>
      </c>
    </row>
    <row r="925" spans="1:4" x14ac:dyDescent="0.25">
      <c r="B925" t="str">
        <f>HYPERLINK("https://www.chemistwarehouse.com.au/buy/60219/Carusos-Natural-Health-Fertile-Max-Sperm-Max-60-Tablets"," Carusos Natural Health Fertile Max (Sperm Max) 60 Tablets")</f>
        <v xml:space="preserve"> Carusos Natural Health Fertile Max (Sperm Max) 60 Tablets</v>
      </c>
      <c r="C925" t="s">
        <v>513</v>
      </c>
      <c r="D925" t="s">
        <v>81</v>
      </c>
    </row>
    <row r="926" spans="1:4" x14ac:dyDescent="0.25">
      <c r="B926" t="str">
        <f>HYPERLINK("https://www.chemistwarehouse.com.au/buy/54498/Carusos-Natural-Health-Prostate-EZE-MAX-15000mg-Pygeum-60-Capsules"," Carusos Natural Health Prostate EZE MAX 15000mg Pygeum 60 Capsules")</f>
        <v xml:space="preserve"> Carusos Natural Health Prostate EZE MAX 15000mg Pygeum 60 Capsules</v>
      </c>
      <c r="C926" t="s">
        <v>514</v>
      </c>
      <c r="D926" t="s">
        <v>515</v>
      </c>
    </row>
    <row r="927" spans="1:4" x14ac:dyDescent="0.25">
      <c r="A927" t="s">
        <v>516</v>
      </c>
    </row>
    <row r="928" spans="1:4" x14ac:dyDescent="0.25">
      <c r="B928" t="str">
        <f>HYPERLINK("https://www.chemistwarehouse.com.au/buy/71952/Carusos-Natural-Health-Ultra-Max-Womens-Super-Multi-60-Tablets"," Carusos Natural Health Ultra Max Womens Super Multi 60 Tablets")</f>
        <v xml:space="preserve"> Carusos Natural Health Ultra Max Womens Super Multi 60 Tablets</v>
      </c>
      <c r="C928" t="s">
        <v>161</v>
      </c>
      <c r="D928" t="s">
        <v>157</v>
      </c>
    </row>
    <row r="929" spans="1:4" x14ac:dyDescent="0.25">
      <c r="B929" t="str">
        <f>HYPERLINK("https://www.chemistwarehouse.com.au/buy/76653/Carusos-Natural-Health-Super-Cranberry-50000-300ml"," Carusos Natural Health Super Cranberry 50000 300ml")</f>
        <v xml:space="preserve"> Carusos Natural Health Super Cranberry 50000 300ml</v>
      </c>
      <c r="C929" t="s">
        <v>12</v>
      </c>
      <c r="D929" t="s">
        <v>13</v>
      </c>
    </row>
    <row r="930" spans="1:4" x14ac:dyDescent="0.25">
      <c r="B930" t="str">
        <f>HYPERLINK("https://www.chemistwarehouse.com.au/buy/64106/Carusos-Natural-Health-Ultra-Max-Cranberry-30000-30-Tablets"," Carusos Natural Health Ultra Max Cranberry 30000 30 Tablets")</f>
        <v xml:space="preserve"> Carusos Natural Health Ultra Max Cranberry 30000 30 Tablets</v>
      </c>
      <c r="C930" t="s">
        <v>244</v>
      </c>
      <c r="D930" t="s">
        <v>336</v>
      </c>
    </row>
    <row r="931" spans="1:4" x14ac:dyDescent="0.25">
      <c r="B931" t="str">
        <f>HYPERLINK("https://www.chemistwarehouse.com.au/buy/66402/Carusos-Natural-Health-Menopause-Relief-60-Tablets"," Carusos Natural Health Menopause Relief 60 Tablets")</f>
        <v xml:space="preserve"> Carusos Natural Health Menopause Relief 60 Tablets</v>
      </c>
      <c r="C931" t="s">
        <v>10</v>
      </c>
      <c r="D931" t="s">
        <v>165</v>
      </c>
    </row>
    <row r="932" spans="1:4" x14ac:dyDescent="0.25">
      <c r="A932" t="s">
        <v>517</v>
      </c>
    </row>
    <row r="933" spans="1:4" x14ac:dyDescent="0.25">
      <c r="B933" t="str">
        <f>HYPERLINK("https://www.chemistwarehouse.com.au/buy/64811/Thompson-39-s-One-A-Day-Milk-Thistle-35000mg-60-Capsules"," Thompson's One-A-Day Milk Thistle 35000mg 60 Capsules")</f>
        <v xml:space="preserve"> Thompson's One-A-Day Milk Thistle 35000mg 60 Capsules</v>
      </c>
      <c r="C933" t="s">
        <v>125</v>
      </c>
      <c r="D933" t="s">
        <v>343</v>
      </c>
    </row>
    <row r="934" spans="1:4" x14ac:dyDescent="0.25">
      <c r="B934" t="str">
        <f>HYPERLINK("https://www.chemistwarehouse.com.au/buy/63318/Thompson-39-s-Vitamin-B6-100-Tablets"," Thompson's Vitamin B6 100 Tablets")</f>
        <v xml:space="preserve"> Thompson's Vitamin B6 100 Tablets</v>
      </c>
      <c r="C934" t="s">
        <v>324</v>
      </c>
      <c r="D934" t="s">
        <v>518</v>
      </c>
    </row>
    <row r="935" spans="1:4" x14ac:dyDescent="0.25">
      <c r="B935" t="str">
        <f>HYPERLINK("https://www.chemistwarehouse.com.au/buy/63339/Thompson-39-s-One-A-Day-Vitex-1000mg-60-Capsules"," Thompson's One-A-Day Vitex 1000mg 60 Capsules")</f>
        <v xml:space="preserve"> Thompson's One-A-Day Vitex 1000mg 60 Capsules</v>
      </c>
      <c r="C935" t="s">
        <v>45</v>
      </c>
      <c r="D935" t="s">
        <v>341</v>
      </c>
    </row>
    <row r="936" spans="1:4" x14ac:dyDescent="0.25">
      <c r="B936" t="str">
        <f>HYPERLINK("https://www.chemistwarehouse.com.au/buy/63376/Thompson-39-s-Omega-3-Fish-Oil-400-Capsules"," Thompson's Omega 3 Fish Oil 400 Capsules")</f>
        <v xml:space="preserve"> Thompson's Omega 3 Fish Oil 400 Capsules</v>
      </c>
      <c r="C936" t="s">
        <v>301</v>
      </c>
      <c r="D936" t="s">
        <v>519</v>
      </c>
    </row>
    <row r="937" spans="1:4" x14ac:dyDescent="0.25">
      <c r="B937" t="str">
        <f>HYPERLINK("https://www.chemistwarehouse.com.au/buy/64814/Thompson-39-s-One-A-Day-Tribulus-20000mg-120-Capsules"," Thompson's One-A-Day Tribulus 20000mg 120 Capsules")</f>
        <v xml:space="preserve"> Thompson's One-A-Day Tribulus 20000mg 120 Capsules</v>
      </c>
      <c r="C937" t="s">
        <v>276</v>
      </c>
      <c r="D937" t="s">
        <v>11</v>
      </c>
    </row>
    <row r="938" spans="1:4" x14ac:dyDescent="0.25">
      <c r="B938" t="str">
        <f>HYPERLINK("https://www.chemistwarehouse.com.au/buy/63338/Thompson-39-s-One-A-Day-Bilberry-12000mg-60-Capsules"," Thompson's One-A-Day Bilberry 12000mg 60 Capsules")</f>
        <v xml:space="preserve"> Thompson's One-A-Day Bilberry 12000mg 60 Capsules</v>
      </c>
      <c r="C938" t="s">
        <v>10</v>
      </c>
      <c r="D938" t="s">
        <v>520</v>
      </c>
    </row>
    <row r="939" spans="1:4" x14ac:dyDescent="0.25">
      <c r="B939" t="str">
        <f>HYPERLINK("https://www.chemistwarehouse.com.au/buy/63351/Thompson-39-s-One-A-Day-Ginkgo-6000mg-60-Capsules"," Thompson's One-A-Day Ginkgo 6000mg 60 Capsules")</f>
        <v xml:space="preserve"> Thompson's One-A-Day Ginkgo 6000mg 60 Capsules</v>
      </c>
      <c r="C939" t="s">
        <v>161</v>
      </c>
      <c r="D939" t="s">
        <v>343</v>
      </c>
    </row>
    <row r="940" spans="1:4" x14ac:dyDescent="0.25">
      <c r="B940" t="str">
        <f>HYPERLINK("https://www.chemistwarehouse.com.au/buy/63364/Thompson-39-s-Organic-Magnesium-120-Tablets"," Thompson's Organic Magnesium 120 Tablets")</f>
        <v xml:space="preserve"> Thompson's Organic Magnesium 120 Tablets</v>
      </c>
      <c r="C940" t="s">
        <v>286</v>
      </c>
      <c r="D940" t="s">
        <v>521</v>
      </c>
    </row>
    <row r="941" spans="1:4" x14ac:dyDescent="0.25">
      <c r="B941" t="str">
        <f>HYPERLINK("https://www.chemistwarehouse.com.au/buy/63362/Thompson-39-s-Prostate-Manager-90-Capsules"," Thompson's Prostate Manager 90 Capsules")</f>
        <v xml:space="preserve"> Thompson's Prostate Manager 90 Capsules</v>
      </c>
      <c r="C941" t="s">
        <v>472</v>
      </c>
      <c r="D941" t="s">
        <v>391</v>
      </c>
    </row>
    <row r="942" spans="1:4" x14ac:dyDescent="0.25">
      <c r="B942" t="str">
        <f>HYPERLINK("https://www.chemistwarehouse.com.au/buy/63345/Thompson-39-s-One-A-Day-St-John-39-s-Wort-4000mg-60-Tablets"," Thompson's One-A-Day St. John's Wort 4000mg 60 Tablets")</f>
        <v xml:space="preserve"> Thompson's One-A-Day St. John's Wort 4000mg 60 Tablets</v>
      </c>
      <c r="C942" t="s">
        <v>61</v>
      </c>
      <c r="D942" t="s">
        <v>369</v>
      </c>
    </row>
    <row r="943" spans="1:4" x14ac:dyDescent="0.25">
      <c r="B943" t="str">
        <f>HYPERLINK("https://www.chemistwarehouse.com.au/buy/63316/Thompson-39-s-Super-Bioflavonoid-Complex-60-Tablets"," Thompson's Super Bioflavonoid Complex 60 Tablets")</f>
        <v xml:space="preserve"> Thompson's Super Bioflavonoid Complex 60 Tablets</v>
      </c>
      <c r="C943" t="s">
        <v>1</v>
      </c>
      <c r="D943" t="s">
        <v>93</v>
      </c>
    </row>
    <row r="944" spans="1:4" x14ac:dyDescent="0.25">
      <c r="B944" t="str">
        <f>HYPERLINK("https://www.chemistwarehouse.com.au/buy/63317/Thompson-39-s-Ultra-B12-1000mcg-100-Tablets"," Thompson's Ultra B12 1000mcg 100 Tablets")</f>
        <v xml:space="preserve"> Thompson's Ultra B12 1000mcg 100 Tablets</v>
      </c>
      <c r="C944" t="s">
        <v>8</v>
      </c>
      <c r="D944" t="s">
        <v>154</v>
      </c>
    </row>
    <row r="945" spans="1:4" x14ac:dyDescent="0.25">
      <c r="B945" t="str">
        <f>HYPERLINK("https://www.chemistwarehouse.com.au/buy/63341/Thompson-39-s-Organic-Zinc-180-Tablets"," Thompson's Organic Zinc 180 Tablets")</f>
        <v xml:space="preserve"> Thompson's Organic Zinc 180 Tablets</v>
      </c>
      <c r="C945" t="s">
        <v>10</v>
      </c>
      <c r="D945" t="s">
        <v>93</v>
      </c>
    </row>
    <row r="946" spans="1:4" x14ac:dyDescent="0.25">
      <c r="B946" t="str">
        <f>HYPERLINK("https://www.chemistwarehouse.com.au/buy/63349/Thompson-39-s-Digestion-Manager-60-Capsules"," Thompson's Digestion Manager 60 Capsules")</f>
        <v xml:space="preserve"> Thompson's Digestion Manager 60 Capsules</v>
      </c>
      <c r="C946" t="s">
        <v>457</v>
      </c>
      <c r="D946" t="s">
        <v>522</v>
      </c>
    </row>
    <row r="947" spans="1:4" x14ac:dyDescent="0.25">
      <c r="B947" t="str">
        <f>HYPERLINK("https://www.chemistwarehouse.com.au/buy/63372/Thompson-39-s-Salmon-Oil-Plus-1000mg-500-Capsules"," Thompson's Salmon Oil Plus 1000mg 500 Capsules")</f>
        <v xml:space="preserve"> Thompson's Salmon Oil Plus 1000mg 500 Capsules</v>
      </c>
      <c r="C947" t="s">
        <v>111</v>
      </c>
      <c r="D947" t="s">
        <v>523</v>
      </c>
    </row>
    <row r="948" spans="1:4" x14ac:dyDescent="0.25">
      <c r="B948" t="str">
        <f>HYPERLINK("https://www.chemistwarehouse.com.au/buy/63319/Thompson-39-s-B-Complex-100-Tablets"," Thompson's B Complex 100 Tablets")</f>
        <v xml:space="preserve"> Thompson's B Complex 100 Tablets</v>
      </c>
      <c r="C948" t="s">
        <v>80</v>
      </c>
      <c r="D948" t="s">
        <v>165</v>
      </c>
    </row>
    <row r="949" spans="1:4" x14ac:dyDescent="0.25">
      <c r="B949" t="str">
        <f>HYPERLINK("https://www.chemistwarehouse.com.au/buy/63320/Thompson-39-s-Organic-Iron-24mg-30-Tablets"," Thompson's Organic Iron 24mg 30 Tablets")</f>
        <v xml:space="preserve"> Thompson's Organic Iron 24mg 30 Tablets</v>
      </c>
      <c r="C949" t="s">
        <v>290</v>
      </c>
      <c r="D949" t="s">
        <v>518</v>
      </c>
    </row>
    <row r="950" spans="1:4" x14ac:dyDescent="0.25">
      <c r="B950" t="str">
        <f>HYPERLINK("https://www.chemistwarehouse.com.au/buy/63599/Thompson-39-s-Gel-Free-Flaxseed-Oil-1000mg-400-Capsules"," Thompson's Gel-Free Flaxseed Oil 1000mg 400 Capsules")</f>
        <v xml:space="preserve"> Thompson's Gel-Free Flaxseed Oil 1000mg 400 Capsules</v>
      </c>
      <c r="C950" t="s">
        <v>216</v>
      </c>
      <c r="D950" t="s">
        <v>524</v>
      </c>
    </row>
    <row r="951" spans="1:4" x14ac:dyDescent="0.25">
      <c r="B951" t="str">
        <f>HYPERLINK("https://www.chemistwarehouse.com.au/buy/64812/Thompson-39-s-Natural-Liquid-Calcium-60-Capsules"," Thompson's Natural Liquid Calcium 60 Capsules")</f>
        <v xml:space="preserve"> Thompson's Natural Liquid Calcium 60 Capsules</v>
      </c>
      <c r="C951" t="s">
        <v>237</v>
      </c>
      <c r="D951" t="s">
        <v>165</v>
      </c>
    </row>
    <row r="952" spans="1:4" x14ac:dyDescent="0.25">
      <c r="B952" t="str">
        <f>HYPERLINK("https://www.chemistwarehouse.com.au/buy/74183/Thompson-39-s-Ultra-Strength-Resveratrol-60-Tablets"," Thompson's Ultra Strength Resveratrol 60 Tablets")</f>
        <v xml:space="preserve"> Thompson's Ultra Strength Resveratrol 60 Tablets</v>
      </c>
      <c r="C952" t="s">
        <v>10</v>
      </c>
      <c r="D952" t="s">
        <v>343</v>
      </c>
    </row>
    <row r="953" spans="1:4" x14ac:dyDescent="0.25">
      <c r="B953" t="str">
        <f>HYPERLINK("https://www.chemistwarehouse.com.au/buy/76277/Thompson-39-s-Astraforte-200ml"," Thompson's Astraforte 200ml")</f>
        <v xml:space="preserve"> Thompson's Astraforte 200ml</v>
      </c>
      <c r="C953" t="s">
        <v>6</v>
      </c>
      <c r="D953" t="s">
        <v>341</v>
      </c>
    </row>
    <row r="954" spans="1:4" x14ac:dyDescent="0.25">
      <c r="B954" t="str">
        <f>HYPERLINK("https://www.chemistwarehouse.com.au/buy/78669/Thompson-39-s-One-A-Day-Ultra-Cranberry-60000-60-Capsules"," Thompson's One-A-Day Ultra Cranberry 60000 60 Capsules")</f>
        <v xml:space="preserve"> Thompson's One-A-Day Ultra Cranberry 60000 60 Capsules</v>
      </c>
      <c r="C954" t="s">
        <v>109</v>
      </c>
      <c r="D954" t="s">
        <v>93</v>
      </c>
    </row>
    <row r="955" spans="1:4" x14ac:dyDescent="0.25">
      <c r="B955" t="str">
        <f>HYPERLINK("https://www.chemistwarehouse.com.au/buy/63375/Thompson-39-s-Omega-3-Fish-Oil-1000-Capsules"," Thompson's Omega 3 Fish Oil 1000 Capsules")</f>
        <v xml:space="preserve"> Thompson's Omega 3 Fish Oil 1000 Capsules</v>
      </c>
      <c r="C955" t="s">
        <v>113</v>
      </c>
      <c r="D955" t="s">
        <v>525</v>
      </c>
    </row>
    <row r="956" spans="1:4" x14ac:dyDescent="0.25">
      <c r="B956" t="str">
        <f>HYPERLINK("https://www.chemistwarehouse.com.au/buy/79831/Thompson-39-s-One-a-day-Kava-3800mg-60-Tablets"," Thompson's One-a-day Kava 3800mg 60 Tablets")</f>
        <v xml:space="preserve"> Thompson's One-a-day Kava 3800mg 60 Tablets</v>
      </c>
      <c r="C956" t="s">
        <v>271</v>
      </c>
      <c r="D956" t="s">
        <v>526</v>
      </c>
    </row>
    <row r="957" spans="1:4" x14ac:dyDescent="0.25">
      <c r="A957" t="s">
        <v>527</v>
      </c>
    </row>
    <row r="958" spans="1:4" x14ac:dyDescent="0.25">
      <c r="B958" t="str">
        <f>HYPERLINK("https://www.chemistwarehouse.com.au/buy/64413/Wagner-Kyolic-KY-High-Potency-Formula-112-120-Capsules"," Wagner Kyolic KY High Potency Formula 112 120 Capsules")</f>
        <v xml:space="preserve"> Wagner Kyolic KY High Potency Formula 112 120 Capsules</v>
      </c>
      <c r="C958" t="s">
        <v>123</v>
      </c>
      <c r="D958" t="s">
        <v>528</v>
      </c>
    </row>
    <row r="959" spans="1:4" x14ac:dyDescent="0.25">
      <c r="B959" t="str">
        <f>HYPERLINK("https://www.chemistwarehouse.com.au/buy/64823/Wagner-Kyolic-KY-High-Potency-Formula-112-60-Capsules"," Wagner Kyolic KY High Potency Formula 112 60 Capsules")</f>
        <v xml:space="preserve"> Wagner Kyolic KY High Potency Formula 112 60 Capsules</v>
      </c>
      <c r="C959" t="s">
        <v>8</v>
      </c>
      <c r="D959" t="s">
        <v>295</v>
      </c>
    </row>
    <row r="960" spans="1:4" x14ac:dyDescent="0.25">
      <c r="A960" t="s">
        <v>529</v>
      </c>
    </row>
    <row r="961" spans="1:4" x14ac:dyDescent="0.25">
      <c r="B961" t="str">
        <f>HYPERLINK("https://www.chemistwarehouse.com.au/buy/68843/Wagner-Magnesium-Forte-Daily-300-Capsules-Exclusive-Size"," Wagner Magnesium Forte Daily 300 Capsules Exclusive Size ")</f>
        <v xml:space="preserve"> Wagner Magnesium Forte Daily 300 Capsules Exclusive Size </v>
      </c>
      <c r="C961" t="s">
        <v>125</v>
      </c>
      <c r="D961">
        <v>0</v>
      </c>
    </row>
    <row r="962" spans="1:4" x14ac:dyDescent="0.25">
      <c r="B962" t="str">
        <f>HYPERLINK("https://www.chemistwarehouse.com.au/buy/72265/Wagner-Magnesium-Calm-Powder-180g"," Wagner Magnesium Calm Powder 180g")</f>
        <v xml:space="preserve"> Wagner Magnesium Calm Powder 180g</v>
      </c>
      <c r="C962" t="s">
        <v>123</v>
      </c>
      <c r="D962" t="s">
        <v>295</v>
      </c>
    </row>
    <row r="963" spans="1:4" x14ac:dyDescent="0.25">
      <c r="B963" t="str">
        <f>HYPERLINK("https://www.chemistwarehouse.com.au/buy/72267/Wagner-Magnesium-Sleep-30-Capsules"," Wagner Magnesium Sleep 30 Capsules")</f>
        <v xml:space="preserve"> Wagner Magnesium Sleep 30 Capsules</v>
      </c>
      <c r="C963" t="s">
        <v>58</v>
      </c>
      <c r="D963" t="s">
        <v>46</v>
      </c>
    </row>
    <row r="964" spans="1:4" x14ac:dyDescent="0.25">
      <c r="A964" t="s">
        <v>530</v>
      </c>
    </row>
    <row r="965" spans="1:4" x14ac:dyDescent="0.25">
      <c r="B965" t="str">
        <f>HYPERLINK("https://www.chemistwarehouse.com.au/buy/72953/Wagner-MSM-Joint-Formula-with-MSM-Glucosamine-amp-Chondroitin-1kg-20-FREE"," Wagner MSM Joint Formula with MSM Glucosamine &amp; Chondroitin 1kg + 20% FREE")</f>
        <v xml:space="preserve"> Wagner MSM Joint Formula with MSM Glucosamine &amp; Chondroitin 1kg + 20% FREE</v>
      </c>
      <c r="C965" t="s">
        <v>333</v>
      </c>
      <c r="D965">
        <v>0</v>
      </c>
    </row>
    <row r="966" spans="1:4" x14ac:dyDescent="0.25">
      <c r="B966" t="str">
        <f>HYPERLINK("https://www.chemistwarehouse.com.au/buy/48889/Wagner-MSM-Joint-Formula-with-MSM,-Glucosamine-amp-Chondroitin-1-kg"," Wagner MSM Joint Formula with MSM, Glucosamine &amp; Chondroitin 1 kg")</f>
        <v xml:space="preserve"> Wagner MSM Joint Formula with MSM, Glucosamine &amp; Chondroitin 1 kg</v>
      </c>
      <c r="C966" t="s">
        <v>333</v>
      </c>
      <c r="D966" t="s">
        <v>531</v>
      </c>
    </row>
    <row r="967" spans="1:4" x14ac:dyDescent="0.25">
      <c r="B967" t="str">
        <f>HYPERLINK("https://www.chemistwarehouse.com.au/buy/64822/Wagner-Joint-Formula-with-Glucosamine-amp-Chondroitin-MSM-500g-Powder"," Wagner Joint Formula with Glucosamine &amp; Chondroitin MSM 500g Powder")</f>
        <v xml:space="preserve"> Wagner Joint Formula with Glucosamine &amp; Chondroitin MSM 500g Powder</v>
      </c>
      <c r="C967" t="s">
        <v>166</v>
      </c>
      <c r="D967" t="s">
        <v>112</v>
      </c>
    </row>
    <row r="968" spans="1:4" x14ac:dyDescent="0.25">
      <c r="A968" t="s">
        <v>532</v>
      </c>
    </row>
    <row r="969" spans="1:4" x14ac:dyDescent="0.25">
      <c r="B969" t="str">
        <f>HYPERLINK("https://www.chemistwarehouse.com.au/buy/69689/Wagner-Green-Lipped-Mussel-Hi-Strength-850mg-90-Capsules"," Wagner Green Lipped Mussel Hi Strength 850mg 90 Capsules")</f>
        <v xml:space="preserve"> Wagner Green Lipped Mussel Hi Strength 850mg 90 Capsules</v>
      </c>
      <c r="C969" t="s">
        <v>161</v>
      </c>
      <c r="D969" t="s">
        <v>379</v>
      </c>
    </row>
    <row r="970" spans="1:4" x14ac:dyDescent="0.25">
      <c r="A970" t="s">
        <v>533</v>
      </c>
    </row>
    <row r="971" spans="1:4" x14ac:dyDescent="0.25">
      <c r="B971" t="str">
        <f>HYPERLINK("https://www.chemistwarehouse.com.au/buy/71631/Wagner-Ester-C-1000mg-180-Tablets"," Wagner Ester C 1000mg 180 Tablets")</f>
        <v xml:space="preserve"> Wagner Ester C 1000mg 180 Tablets</v>
      </c>
      <c r="C971" t="s">
        <v>10</v>
      </c>
      <c r="D971" t="s">
        <v>534</v>
      </c>
    </row>
    <row r="972" spans="1:4" x14ac:dyDescent="0.25">
      <c r="B972" t="str">
        <f>HYPERLINK("https://www.chemistwarehouse.com.au/buy/71630/Wagner-Ester-C-1000mg-90-Tablets"," Wagner Ester C 1000mg 90 Tablets")</f>
        <v xml:space="preserve"> Wagner Ester C 1000mg 90 Tablets</v>
      </c>
      <c r="C972" t="s">
        <v>1</v>
      </c>
      <c r="D972" t="s">
        <v>299</v>
      </c>
    </row>
    <row r="973" spans="1:4" x14ac:dyDescent="0.25">
      <c r="A973" t="s">
        <v>535</v>
      </c>
    </row>
    <row r="974" spans="1:4" x14ac:dyDescent="0.25">
      <c r="B974" t="str">
        <f>HYPERLINK("https://www.chemistwarehouse.com.au/buy/67052/Wagner-Probiotica-P3-90"," Wagner Probiotica P3 90")</f>
        <v xml:space="preserve"> Wagner Probiotica P3 90</v>
      </c>
      <c r="C974" t="s">
        <v>255</v>
      </c>
      <c r="D974" t="s">
        <v>536</v>
      </c>
    </row>
    <row r="975" spans="1:4" x14ac:dyDescent="0.25">
      <c r="B975" t="str">
        <f>HYPERLINK("https://www.chemistwarehouse.com.au/buy/69078/Wagner-Probiotica-Kids-60-Tablets"," Wagner Probiotica Kids 60 Tablets")</f>
        <v xml:space="preserve"> Wagner Probiotica Kids 60 Tablets</v>
      </c>
      <c r="C975" t="s">
        <v>248</v>
      </c>
      <c r="D975" t="s">
        <v>537</v>
      </c>
    </row>
    <row r="976" spans="1:4" x14ac:dyDescent="0.25">
      <c r="B976" t="str">
        <f>HYPERLINK("https://www.chemistwarehouse.com.au/buy/65640/Wagner-Probiotica-P3-30-Capsules"," Wagner Probiotica P3 30 Capsules")</f>
        <v xml:space="preserve"> Wagner Probiotica P3 30 Capsules</v>
      </c>
      <c r="C976" t="s">
        <v>248</v>
      </c>
      <c r="D976" t="s">
        <v>537</v>
      </c>
    </row>
    <row r="977" spans="1:4" x14ac:dyDescent="0.25">
      <c r="A977" t="s">
        <v>538</v>
      </c>
    </row>
    <row r="978" spans="1:4" x14ac:dyDescent="0.25">
      <c r="B978" t="str">
        <f>HYPERLINK("https://www.chemistwarehouse.com.au/buy/76571/Wagner-Probiotica-P50-60-Capsules-Exclusive-Size"," Wagner Probiotica P50 60 Capsules Exclusive Size")</f>
        <v xml:space="preserve"> Wagner Probiotica P50 60 Capsules Exclusive Size</v>
      </c>
      <c r="C978" t="s">
        <v>216</v>
      </c>
      <c r="D978">
        <v>0</v>
      </c>
    </row>
    <row r="979" spans="1:4" x14ac:dyDescent="0.25">
      <c r="B979" t="str">
        <f>HYPERLINK("https://www.chemistwarehouse.com.au/buy/71162/Wagner-Probiotica-P50-30-Capsules"," Wagner Probiotica P50 30 Capsules")</f>
        <v xml:space="preserve"> Wagner Probiotica P50 30 Capsules</v>
      </c>
      <c r="C979" t="s">
        <v>161</v>
      </c>
      <c r="D979" t="s">
        <v>539</v>
      </c>
    </row>
    <row r="980" spans="1:4" x14ac:dyDescent="0.25">
      <c r="A980" t="s">
        <v>540</v>
      </c>
    </row>
    <row r="981" spans="1:4" x14ac:dyDescent="0.25">
      <c r="B981" t="str">
        <f>HYPERLINK("https://www.chemistwarehouse.com.au/buy/50272/Wagner-Joint-Formula-Glucosamine-and-Chondroitin-200-capsules"," Wagner Joint Formula Glucosamine and Chondroitin 200 capsules")</f>
        <v xml:space="preserve"> Wagner Joint Formula Glucosamine and Chondroitin 200 capsules</v>
      </c>
      <c r="C981" t="s">
        <v>166</v>
      </c>
      <c r="D981" t="s">
        <v>541</v>
      </c>
    </row>
    <row r="982" spans="1:4" x14ac:dyDescent="0.25">
      <c r="B982" t="str">
        <f>HYPERLINK("https://www.chemistwarehouse.com.au/buy/64412/Wagner-Total-Calcium-Complete-150-Tablets"," Wagner Total Calcium Complete 150 Tablets")</f>
        <v xml:space="preserve"> Wagner Total Calcium Complete 150 Tablets</v>
      </c>
      <c r="C982" t="s">
        <v>404</v>
      </c>
      <c r="D982" t="s">
        <v>542</v>
      </c>
    </row>
    <row r="983" spans="1:4" x14ac:dyDescent="0.25">
      <c r="B983" t="str">
        <f>HYPERLINK("https://www.chemistwarehouse.com.au/buy/64405/Wagner-Glucosamine-1000mg-plus-MSM-200-Capsules"," Wagner Glucosamine 1000mg plus MSM 200 Capsules")</f>
        <v xml:space="preserve"> Wagner Glucosamine 1000mg plus MSM 200 Capsules</v>
      </c>
      <c r="C983" t="s">
        <v>173</v>
      </c>
      <c r="D983" t="s">
        <v>543</v>
      </c>
    </row>
    <row r="984" spans="1:4" x14ac:dyDescent="0.25">
      <c r="B984" t="str">
        <f>HYPERLINK("https://www.chemistwarehouse.com.au/buy/64825/Wagner-Natural-Fish-Oil-1500mg-plus-Vitamin-D-180-Capsules"," Wagner Natural Fish Oil 1500mg plus Vitamin D 180 Capsules")</f>
        <v xml:space="preserve"> Wagner Natural Fish Oil 1500mg plus Vitamin D 180 Capsules</v>
      </c>
      <c r="C984" t="s">
        <v>237</v>
      </c>
      <c r="D984" t="s">
        <v>222</v>
      </c>
    </row>
    <row r="985" spans="1:4" x14ac:dyDescent="0.25">
      <c r="A985" t="s">
        <v>544</v>
      </c>
    </row>
    <row r="986" spans="1:4" x14ac:dyDescent="0.25">
      <c r="B986" t="str">
        <f>HYPERLINK("https://www.chemistwarehouse.com.au/buy/73691/Wagner-Bio-Curcumin-60-Capsules"," Wagner Bio-Curcumin 60 Capsules")</f>
        <v xml:space="preserve"> Wagner Bio-Curcumin 60 Capsules</v>
      </c>
      <c r="C986" t="s">
        <v>109</v>
      </c>
      <c r="D986" t="s">
        <v>545</v>
      </c>
    </row>
    <row r="987" spans="1:4" x14ac:dyDescent="0.25">
      <c r="B987" t="str">
        <f>HYPERLINK("https://www.chemistwarehouse.com.au/buy/71537/Wagner-Bio-Curcumin-30-Capsules"," Wagner Bio-Curcumin 30 Capsules")</f>
        <v xml:space="preserve"> Wagner Bio-Curcumin 30 Capsules</v>
      </c>
      <c r="C987" t="s">
        <v>1</v>
      </c>
      <c r="D987" t="s">
        <v>546</v>
      </c>
    </row>
    <row r="988" spans="1:4" x14ac:dyDescent="0.25">
      <c r="A988" t="s">
        <v>547</v>
      </c>
    </row>
    <row r="989" spans="1:4" x14ac:dyDescent="0.25">
      <c r="B989" t="str">
        <f>HYPERLINK("https://www.chemistwarehouse.com.au/buy/64807/Ostelin-Vitamin-D-Kids-Liquid-20ml"," Ostelin Vitamin D Kids Liquid 20ml")</f>
        <v xml:space="preserve"> Ostelin Vitamin D Kids Liquid 20ml</v>
      </c>
      <c r="C989" t="s">
        <v>116</v>
      </c>
      <c r="D989" t="s">
        <v>46</v>
      </c>
    </row>
    <row r="990" spans="1:4" x14ac:dyDescent="0.25">
      <c r="B990" t="str">
        <f>HYPERLINK("https://www.chemistwarehouse.com.au/buy/80322/Ostelin-Vitamin-D-and-Calcium-Kids-Chewable-90"," Ostelin Vitamin D and Calcium Kids Chewable 90")</f>
        <v xml:space="preserve"> Ostelin Vitamin D and Calcium Kids Chewable 90</v>
      </c>
      <c r="C990" t="s">
        <v>98</v>
      </c>
      <c r="D990" t="s">
        <v>274</v>
      </c>
    </row>
    <row r="991" spans="1:4" x14ac:dyDescent="0.25">
      <c r="B991" t="str">
        <f>HYPERLINK("https://www.chemistwarehouse.com.au/buy/68620/Ostelin-Vitamin-D-300-Capsules"," Ostelin Vitamin D 300 Capsules")</f>
        <v xml:space="preserve"> Ostelin Vitamin D 300 Capsules</v>
      </c>
      <c r="C991" t="s">
        <v>10</v>
      </c>
      <c r="D991">
        <v>0</v>
      </c>
    </row>
    <row r="992" spans="1:4" x14ac:dyDescent="0.25">
      <c r="B992" t="str">
        <f>HYPERLINK("https://www.chemistwarehouse.com.au/buy/73151/Ostelin-Vitamin-D-amp-Calcium-Kids-Chewable-50"," Ostelin Vitamin D &amp; Calcium Kids Chewable 50")</f>
        <v xml:space="preserve"> Ostelin Vitamin D &amp; Calcium Kids Chewable 50</v>
      </c>
      <c r="C992" t="s">
        <v>32</v>
      </c>
      <c r="D992" t="s">
        <v>157</v>
      </c>
    </row>
    <row r="993" spans="1:4" x14ac:dyDescent="0.25">
      <c r="B993" t="str">
        <f>HYPERLINK("https://www.chemistwarehouse.com.au/buy/74994/Ostelin-Calcium-DK2-60-Tablets"," Ostelin Calcium-DK2 60 Tablets")</f>
        <v xml:space="preserve"> Ostelin Calcium-DK2 60 Tablets</v>
      </c>
      <c r="C993" t="s">
        <v>161</v>
      </c>
      <c r="D993" t="s">
        <v>378</v>
      </c>
    </row>
    <row r="994" spans="1:4" x14ac:dyDescent="0.25">
      <c r="B994" t="str">
        <f>HYPERLINK("https://www.chemistwarehouse.com.au/buy/55224/Ostelin-Vitamin-D-130-Capsules"," Ostelin Vitamin D 130 Capsules")</f>
        <v xml:space="preserve"> Ostelin Vitamin D 130 Capsules</v>
      </c>
      <c r="C994" t="s">
        <v>1</v>
      </c>
      <c r="D994" t="s">
        <v>104</v>
      </c>
    </row>
    <row r="995" spans="1:4" x14ac:dyDescent="0.25">
      <c r="B995" t="str">
        <f>HYPERLINK("https://www.chemistwarehouse.com.au/buy/58664/Ostelin-Vitamin-D-amp-Calcium-130-Tablets"," Ostelin Vitamin D &amp; Calcium 130 Tablets")</f>
        <v xml:space="preserve"> Ostelin Vitamin D &amp; Calcium 130 Tablets</v>
      </c>
      <c r="C995" t="s">
        <v>448</v>
      </c>
      <c r="D995" t="s">
        <v>291</v>
      </c>
    </row>
    <row r="996" spans="1:4" x14ac:dyDescent="0.25">
      <c r="B996" t="str">
        <f>HYPERLINK("https://www.chemistwarehouse.com.au/buy/64041/Ostelin-Vitamin-D-Liquid-50ml"," Ostelin Vitamin D Liquid 50ml")</f>
        <v xml:space="preserve"> Ostelin Vitamin D Liquid 50ml</v>
      </c>
      <c r="C996" t="s">
        <v>80</v>
      </c>
      <c r="D996" t="s">
        <v>217</v>
      </c>
    </row>
    <row r="997" spans="1:4" x14ac:dyDescent="0.25">
      <c r="B997" t="str">
        <f>HYPERLINK("https://www.chemistwarehouse.com.au/buy/51650/Ostelin-Vitamin-D-60-Capsules"," Ostelin Vitamin D 60 Capsules")</f>
        <v xml:space="preserve"> Ostelin Vitamin D 60 Capsules</v>
      </c>
      <c r="C997" t="s">
        <v>98</v>
      </c>
      <c r="D997" t="s">
        <v>548</v>
      </c>
    </row>
    <row r="998" spans="1:4" x14ac:dyDescent="0.25">
      <c r="B998" t="str">
        <f>HYPERLINK("https://www.chemistwarehouse.com.au/buy/54252/Ostelin-Vitamin-D-amp-Calcium-60-Tablets"," Ostelin Vitamin D &amp; Calcium 60 Tablets")</f>
        <v xml:space="preserve"> Ostelin Vitamin D &amp; Calcium 60 Tablets</v>
      </c>
      <c r="C998" t="s">
        <v>212</v>
      </c>
      <c r="D998" t="s">
        <v>312</v>
      </c>
    </row>
    <row r="999" spans="1:4" x14ac:dyDescent="0.25">
      <c r="B999" t="str">
        <f>HYPERLINK("https://www.chemistwarehouse.com.au/buy/68621/Ostelin-Vitamin-D-amp-Calcium-300-Tablets"," Ostelin Vitamin D &amp; Calcium 300 Tablets")</f>
        <v xml:space="preserve"> Ostelin Vitamin D &amp; Calcium 300 Tablets</v>
      </c>
      <c r="C999" t="s">
        <v>10</v>
      </c>
      <c r="D999">
        <v>0</v>
      </c>
    </row>
    <row r="1000" spans="1:4" x14ac:dyDescent="0.25">
      <c r="B1000" t="str">
        <f>HYPERLINK("https://www.chemistwarehouse.com.au/buy/62975/Ostelin-Vitamin-D-amp-Calcium-Chewable-60"," Ostelin Vitamin D &amp; Calcium Chewable 60")</f>
        <v xml:space="preserve"> Ostelin Vitamin D &amp; Calcium Chewable 60</v>
      </c>
      <c r="C1000" t="s">
        <v>103</v>
      </c>
      <c r="D1000" t="s">
        <v>223</v>
      </c>
    </row>
    <row r="1001" spans="1:4" x14ac:dyDescent="0.25">
      <c r="B1001" t="str">
        <f>HYPERLINK("https://www.chemistwarehouse.com.au/buy/82603/Ostelin-Vitamin-D3-7000IU-24-Capsules"," Ostelin Vitamin D3 7000IU 24 Capsules")</f>
        <v xml:space="preserve"> Ostelin Vitamin D3 7000IU 24 Capsules</v>
      </c>
      <c r="C1001" t="s">
        <v>10</v>
      </c>
      <c r="D1001">
        <v>0</v>
      </c>
    </row>
    <row r="1002" spans="1:4" x14ac:dyDescent="0.25">
      <c r="A1002" t="s">
        <v>549</v>
      </c>
    </row>
    <row r="1003" spans="1:4" x14ac:dyDescent="0.25">
      <c r="B1003" t="str">
        <f>HYPERLINK("https://www.chemistwarehouse.com.au/buy/65367/Blooms-Green-Lipped-Mussel-120-Capsules-Twin-Pack"," Blooms Green Lipped Mussel 120 Capsules Twin Pack")</f>
        <v xml:space="preserve"> Blooms Green Lipped Mussel 120 Capsules Twin Pack</v>
      </c>
      <c r="C1003" t="s">
        <v>1</v>
      </c>
      <c r="D1003" t="s">
        <v>550</v>
      </c>
    </row>
    <row r="1004" spans="1:4" x14ac:dyDescent="0.25">
      <c r="B1004" t="str">
        <f>HYPERLINK("https://www.chemistwarehouse.com.au/buy/66289/Blooms-Curcumin-600mg-60-Capsules"," Blooms Curcumin 600mg 60 Capsules")</f>
        <v xml:space="preserve"> Blooms Curcumin 600mg 60 Capsules</v>
      </c>
      <c r="C1004" t="s">
        <v>6</v>
      </c>
      <c r="D1004" t="s">
        <v>378</v>
      </c>
    </row>
    <row r="1005" spans="1:4" x14ac:dyDescent="0.25">
      <c r="B1005" t="str">
        <f>HYPERLINK("https://www.chemistwarehouse.com.au/buy/72060/Blooms-Green-Lipped-Mussel-500mg-With-Turmeric-1500mg-100-Vege-Capsules"," Blooms Green Lipped Mussel 500mg With Turmeric 1500mg 100 Vege Capsules ")</f>
        <v xml:space="preserve"> Blooms Green Lipped Mussel 500mg With Turmeric 1500mg 100 Vege Capsules </v>
      </c>
      <c r="C1005" t="s">
        <v>61</v>
      </c>
      <c r="D1005" t="s">
        <v>420</v>
      </c>
    </row>
    <row r="1006" spans="1:4" x14ac:dyDescent="0.25">
      <c r="B1006" t="str">
        <f>HYPERLINK("https://www.chemistwarehouse.com.au/buy/74554/Blooms-Tri-Magnesium-Citrate-900mg-60-Capsules"," Blooms Tri-Magnesium Citrate 900mg 60 Capsules")</f>
        <v xml:space="preserve"> Blooms Tri-Magnesium Citrate 900mg 60 Capsules</v>
      </c>
      <c r="C1006" t="s">
        <v>551</v>
      </c>
      <c r="D1006" t="s">
        <v>152</v>
      </c>
    </row>
    <row r="1007" spans="1:4" x14ac:dyDescent="0.25">
      <c r="B1007" t="str">
        <f>HYPERLINK("https://www.chemistwarehouse.com.au/buy/76187/Blooms-Cholesterol-Balance-BetaGlucan-Powder-400g"," Blooms Cholesterol Balance BetaGlucan Powder 400g")</f>
        <v xml:space="preserve"> Blooms Cholesterol Balance BetaGlucan Powder 400g</v>
      </c>
      <c r="C1007" t="s">
        <v>1</v>
      </c>
      <c r="D1007" t="s">
        <v>341</v>
      </c>
    </row>
    <row r="1008" spans="1:4" x14ac:dyDescent="0.25">
      <c r="B1008" t="str">
        <f>HYPERLINK("https://www.chemistwarehouse.com.au/buy/74505/Blooms-Acetyl-L-Carnitine-500-60-Vegetarian-Capsules"," Blooms Acetyl L Carnitine 500 60 Vegetarian Capsules")</f>
        <v xml:space="preserve"> Blooms Acetyl L Carnitine 500 60 Vegetarian Capsules</v>
      </c>
      <c r="C1008" t="s">
        <v>153</v>
      </c>
      <c r="D1008" t="s">
        <v>157</v>
      </c>
    </row>
    <row r="1009" spans="2:4" x14ac:dyDescent="0.25">
      <c r="B1009" t="str">
        <f>HYPERLINK("https://www.chemistwarehouse.com.au/buy/74506/Blooms-Acetyl-L-Carnitine-500-Vegetarian-180-Capsules"," Blooms Acetyl L Carnitine 500 Vegetarian 180 Capsules")</f>
        <v xml:space="preserve"> Blooms Acetyl L Carnitine 500 Vegetarian 180 Capsules</v>
      </c>
      <c r="C1009" t="s">
        <v>243</v>
      </c>
      <c r="D1009" t="s">
        <v>369</v>
      </c>
    </row>
    <row r="1010" spans="2:4" x14ac:dyDescent="0.25">
      <c r="B1010" t="str">
        <f>HYPERLINK("https://www.chemistwarehouse.com.au/buy/74531/Blooms-Immunity-20-Tea-Bags"," Blooms Immunity 20 Tea Bags")</f>
        <v xml:space="preserve"> Blooms Immunity 20 Tea Bags</v>
      </c>
      <c r="C1010" t="s">
        <v>116</v>
      </c>
      <c r="D1010" t="s">
        <v>145</v>
      </c>
    </row>
    <row r="1011" spans="2:4" x14ac:dyDescent="0.25">
      <c r="B1011" t="str">
        <f>HYPERLINK("https://www.chemistwarehouse.com.au/buy/66522/Blooms-Zinc-Max-50mg-elemnental-60-Capsules"," Blooms Zinc Max 50mg (elemnental) 60 Capsules")</f>
        <v xml:space="preserve"> Blooms Zinc Max 50mg (elemnental) 60 Capsules</v>
      </c>
      <c r="C1011" t="s">
        <v>551</v>
      </c>
      <c r="D1011" t="s">
        <v>329</v>
      </c>
    </row>
    <row r="1012" spans="2:4" x14ac:dyDescent="0.25">
      <c r="B1012" t="str">
        <f>HYPERLINK("https://www.chemistwarehouse.com.au/buy/74510/Blooms-Celery-and-Juniper-3000mg-70-Capsules"," Blooms Celery and Juniper 3000mg 70 Capsules")</f>
        <v xml:space="preserve"> Blooms Celery and Juniper 3000mg 70 Capsules</v>
      </c>
      <c r="C1012" t="s">
        <v>161</v>
      </c>
      <c r="D1012" t="s">
        <v>155</v>
      </c>
    </row>
    <row r="1013" spans="2:4" x14ac:dyDescent="0.25">
      <c r="B1013" t="str">
        <f>HYPERLINK("https://www.chemistwarehouse.com.au/buy/74544/Blooms-Raspberry-Leaf-2000mg-60-Vege-Capsules"," Blooms Raspberry Leaf 2000mg 60 Vege Capsules")</f>
        <v xml:space="preserve"> Blooms Raspberry Leaf 2000mg 60 Vege Capsules</v>
      </c>
      <c r="C1013" t="s">
        <v>228</v>
      </c>
      <c r="D1013" t="s">
        <v>496</v>
      </c>
    </row>
    <row r="1014" spans="2:4" x14ac:dyDescent="0.25">
      <c r="B1014" t="str">
        <f>HYPERLINK("https://www.chemistwarehouse.com.au/buy/74511/Blooms-Celtic-Organic-Sea-Salt-500g"," Blooms Celtic Organic Sea Salt 500g")</f>
        <v xml:space="preserve"> Blooms Celtic Organic Sea Salt 500g</v>
      </c>
      <c r="C1014" t="s">
        <v>103</v>
      </c>
      <c r="D1014" t="s">
        <v>150</v>
      </c>
    </row>
    <row r="1015" spans="2:4" x14ac:dyDescent="0.25">
      <c r="B1015" t="str">
        <f>HYPERLINK("https://www.chemistwarehouse.com.au/buy/67051/Blooms-Svelte-Green-Coffee-Bean-30-Capsules"," Blooms Svelte Green Coffee Bean 30 Capsules")</f>
        <v xml:space="preserve"> Blooms Svelte Green Coffee Bean 30 Capsules</v>
      </c>
      <c r="C1015" t="s">
        <v>161</v>
      </c>
      <c r="D1015" t="s">
        <v>155</v>
      </c>
    </row>
    <row r="1016" spans="2:4" x14ac:dyDescent="0.25">
      <c r="B1016" t="str">
        <f>HYPERLINK("https://www.chemistwarehouse.com.au/buy/74533/Blooms-L-Glutamine-Powder-300g"," Blooms L-Glutamine Powder 300g")</f>
        <v xml:space="preserve"> Blooms L-Glutamine Powder 300g</v>
      </c>
      <c r="C1016" t="s">
        <v>457</v>
      </c>
      <c r="D1016" t="s">
        <v>552</v>
      </c>
    </row>
    <row r="1017" spans="2:4" x14ac:dyDescent="0.25">
      <c r="B1017" t="str">
        <f>HYPERLINK("https://www.chemistwarehouse.com.au/buy/74534/Blooms-Linden-Flowers-Tea-50g"," Blooms Linden Flowers Tea 50g")</f>
        <v xml:space="preserve"> Blooms Linden Flowers Tea 50g</v>
      </c>
      <c r="C1017" t="s">
        <v>326</v>
      </c>
      <c r="D1017" t="s">
        <v>553</v>
      </c>
    </row>
    <row r="1018" spans="2:4" x14ac:dyDescent="0.25">
      <c r="B1018" t="str">
        <f>HYPERLINK("https://www.chemistwarehouse.com.au/buy/74535/Blooms-Liquorice-Root-Tea-Cut-100g"," Blooms Liquorice Root Tea Cut 100g")</f>
        <v xml:space="preserve"> Blooms Liquorice Root Tea Cut 100g</v>
      </c>
      <c r="C1018" t="s">
        <v>554</v>
      </c>
      <c r="D1018" t="s">
        <v>555</v>
      </c>
    </row>
    <row r="1019" spans="2:4" x14ac:dyDescent="0.25">
      <c r="B1019" t="str">
        <f>HYPERLINK("https://www.chemistwarehouse.com.au/buy/74536/Blooms-Magnesium-Powder-200g"," Blooms Magnesium Powder 200g")</f>
        <v xml:space="preserve"> Blooms Magnesium Powder 200g</v>
      </c>
      <c r="C1019" t="s">
        <v>161</v>
      </c>
      <c r="D1019" t="s">
        <v>155</v>
      </c>
    </row>
    <row r="1020" spans="2:4" x14ac:dyDescent="0.25">
      <c r="B1020" t="str">
        <f>HYPERLINK("https://www.chemistwarehouse.com.au/buy/74537/Blooms-MSM-750mg-Ginger-1000mg-amp-Devils-Claw-25mg-90-Vegetarian-Capsules"," Blooms MSM 750mg/Ginger 1000mg &amp; Devils Claw 25mg 90 Vegetarian Capsules")</f>
        <v xml:space="preserve"> Blooms MSM 750mg/Ginger 1000mg &amp; Devils Claw 25mg 90 Vegetarian Capsules</v>
      </c>
      <c r="C1020" t="s">
        <v>228</v>
      </c>
      <c r="D1020" t="s">
        <v>496</v>
      </c>
    </row>
    <row r="1021" spans="2:4" x14ac:dyDescent="0.25">
      <c r="B1021" t="str">
        <f>HYPERLINK("https://www.chemistwarehouse.com.au/buy/74538/Blooms-MSM-Powder-300g"," Blooms MSM Powder 300g")</f>
        <v xml:space="preserve"> Blooms MSM Powder 300g</v>
      </c>
      <c r="C1021" t="s">
        <v>292</v>
      </c>
      <c r="D1021" t="s">
        <v>458</v>
      </c>
    </row>
    <row r="1022" spans="2:4" x14ac:dyDescent="0.25">
      <c r="B1022" t="str">
        <f>HYPERLINK("https://www.chemistwarehouse.com.au/buy/74539/Blooms-Nettle-Herb-Tea-40g"," Blooms Nettle Herb Tea 40g")</f>
        <v xml:space="preserve"> Blooms Nettle Herb Tea 40g</v>
      </c>
      <c r="C1022" t="s">
        <v>556</v>
      </c>
      <c r="D1022" t="s">
        <v>557</v>
      </c>
    </row>
    <row r="1023" spans="2:4" x14ac:dyDescent="0.25">
      <c r="B1023" t="str">
        <f>HYPERLINK("https://www.chemistwarehouse.com.au/buy/74540/Blooms-Organic-Iron-Folic-Acid-amp-Vitamin-C-500ml-Liquid"," Blooms Organic Iron/Folic Acid &amp; Vitamin C 500ml Liquid")</f>
        <v xml:space="preserve"> Blooms Organic Iron/Folic Acid &amp; Vitamin C 500ml Liquid</v>
      </c>
      <c r="C1023" t="s">
        <v>279</v>
      </c>
      <c r="D1023" t="s">
        <v>378</v>
      </c>
    </row>
    <row r="1024" spans="2:4" x14ac:dyDescent="0.25">
      <c r="B1024" t="str">
        <f>HYPERLINK("https://www.chemistwarehouse.com.au/buy/74541/Blooms-Peppermint-Tea-80g"," Blooms Peppermint Tea 80g")</f>
        <v xml:space="preserve"> Blooms Peppermint Tea 80g</v>
      </c>
      <c r="C1024" t="s">
        <v>242</v>
      </c>
      <c r="D1024" t="s">
        <v>555</v>
      </c>
    </row>
    <row r="1025" spans="1:4" x14ac:dyDescent="0.25">
      <c r="B1025" t="str">
        <f>HYPERLINK("https://www.chemistwarehouse.com.au/buy/74542/Blooms-Osteo-Blast-100-tablets"," Blooms Osteo-Blast 100 tablets")</f>
        <v xml:space="preserve"> Blooms Osteo-Blast 100 tablets</v>
      </c>
      <c r="C1025" t="s">
        <v>161</v>
      </c>
      <c r="D1025" t="s">
        <v>155</v>
      </c>
    </row>
    <row r="1026" spans="1:4" x14ac:dyDescent="0.25">
      <c r="B1026" t="str">
        <f>HYPERLINK("https://www.chemistwarehouse.com.au/buy/74543/Blooms-Rasberry-Leaf-Tea-60g"," Blooms Rasberry Leaf Tea 60g")</f>
        <v xml:space="preserve"> Blooms Rasberry Leaf Tea 60g</v>
      </c>
      <c r="C1026" t="s">
        <v>556</v>
      </c>
      <c r="D1026" t="s">
        <v>558</v>
      </c>
    </row>
    <row r="1027" spans="1:4" x14ac:dyDescent="0.25">
      <c r="A1027" t="s">
        <v>559</v>
      </c>
    </row>
    <row r="1028" spans="1:4" x14ac:dyDescent="0.25">
      <c r="B1028" t="str">
        <f>HYPERLINK("https://www.chemistwarehouse.com.au/buy/68392/Caltrate-600mg-120-Tablets"," Caltrate 600mg 120 Tablets")</f>
        <v xml:space="preserve"> Caltrate 600mg 120 Tablets</v>
      </c>
      <c r="C1028" t="s">
        <v>32</v>
      </c>
      <c r="D1028" t="s">
        <v>560</v>
      </c>
    </row>
    <row r="1029" spans="1:4" x14ac:dyDescent="0.25">
      <c r="B1029" t="str">
        <f>HYPERLINK("https://www.chemistwarehouse.com.au/buy/71979/Caltrate-Bone-amp-Muscle-Health-Plus-Once-A-Day-1000IU-100-Tablets"," Caltrate Bone &amp; Muscle Health Plus Once A Day 1000IU 100 Tablets")</f>
        <v xml:space="preserve"> Caltrate Bone &amp; Muscle Health Plus Once A Day 1000IU 100 Tablets</v>
      </c>
      <c r="C1029" t="s">
        <v>151</v>
      </c>
      <c r="D1029" t="s">
        <v>561</v>
      </c>
    </row>
    <row r="1030" spans="1:4" x14ac:dyDescent="0.25">
      <c r="B1030" t="str">
        <f>HYPERLINK("https://www.chemistwarehouse.com.au/buy/71981/Caltrate-Bone-amp-Muscle-Health-Plus-Once-A-Day-1000IU-60-Tablets"," Caltrate Bone &amp; Muscle Health Plus Once A Day 1000IU 60 Tablets")</f>
        <v xml:space="preserve"> Caltrate Bone &amp; Muscle Health Plus Once A Day 1000IU 60 Tablets</v>
      </c>
      <c r="C1030" t="s">
        <v>98</v>
      </c>
      <c r="D1030" t="s">
        <v>312</v>
      </c>
    </row>
    <row r="1031" spans="1:4" x14ac:dyDescent="0.25">
      <c r="B1031" t="str">
        <f>HYPERLINK("https://www.chemistwarehouse.com.au/buy/71978/Caltrate-Bone-Health-600mg-With-500IU-Vitamin-D-100-Tablets"," Caltrate Bone Health 600mg With 500IU Vitamin D 100 Tablets")</f>
        <v xml:space="preserve"> Caltrate Bone Health 600mg With 500IU Vitamin D 100 Tablets</v>
      </c>
      <c r="C1031" t="s">
        <v>202</v>
      </c>
      <c r="D1031" t="s">
        <v>397</v>
      </c>
    </row>
    <row r="1032" spans="1:4" x14ac:dyDescent="0.25">
      <c r="B1032" t="str">
        <f>HYPERLINK("https://www.chemistwarehouse.com.au/buy/73357/Caltrate-Vitamin-D-1000iu-300-Capsules-Exclusive-Size"," Caltrate Vitamin D 1000iu 300 Capsules Exclusive Size")</f>
        <v xml:space="preserve"> Caltrate Vitamin D 1000iu 300 Capsules Exclusive Size</v>
      </c>
      <c r="C1032" t="s">
        <v>105</v>
      </c>
      <c r="D1032">
        <v>0</v>
      </c>
    </row>
    <row r="1033" spans="1:4" x14ac:dyDescent="0.25">
      <c r="B1033" t="str">
        <f>HYPERLINK("https://www.chemistwarehouse.com.au/buy/67858/Caltrate-Vitamin-D-1000iu-60-Capsules-Bottle"," Caltrate Vitamin D 1000iu 60 Capsules Bottle")</f>
        <v xml:space="preserve"> Caltrate Vitamin D 1000iu 60 Capsules Bottle</v>
      </c>
      <c r="C1033" t="s">
        <v>92</v>
      </c>
      <c r="D1033" t="s">
        <v>115</v>
      </c>
    </row>
    <row r="1034" spans="1:4" x14ac:dyDescent="0.25">
      <c r="B1034" t="str">
        <f>HYPERLINK("https://www.chemistwarehouse.com.au/buy/69639/Caltrate-Chocolate-Soft-Chews-60"," Caltrate Chocolate Soft Chews 60")</f>
        <v xml:space="preserve"> Caltrate Chocolate Soft Chews 60</v>
      </c>
      <c r="C1034" t="s">
        <v>45</v>
      </c>
      <c r="D1034" t="s">
        <v>115</v>
      </c>
    </row>
    <row r="1035" spans="1:4" x14ac:dyDescent="0.25">
      <c r="B1035" t="str">
        <f>HYPERLINK("https://www.chemistwarehouse.com.au/buy/71977/Caltrate-Bone-Health-600mg-With-500IU-Vitamin-D-60-Tablets"," Caltrate Bone Health 600mg With 500IU Vitamin D 60 Tablets")</f>
        <v xml:space="preserve"> Caltrate Bone Health 600mg With 500IU Vitamin D 60 Tablets</v>
      </c>
      <c r="C1035" t="s">
        <v>430</v>
      </c>
      <c r="D1035" t="s">
        <v>406</v>
      </c>
    </row>
    <row r="1036" spans="1:4" x14ac:dyDescent="0.25">
      <c r="A1036" t="s">
        <v>562</v>
      </c>
    </row>
    <row r="1037" spans="1:4" x14ac:dyDescent="0.25">
      <c r="B1037" t="str">
        <f>HYPERLINK("https://www.chemistwarehouse.com.au/buy/79723/Comvita-Olive-Leaf-High-Strength-Capsules-120-Capsules"," Comvita Olive Leaf High Strength Capsules 120 Capsules")</f>
        <v xml:space="preserve"> Comvita Olive Leaf High Strength Capsules 120 Capsules</v>
      </c>
      <c r="C1037" t="s">
        <v>125</v>
      </c>
      <c r="D1037" t="s">
        <v>563</v>
      </c>
    </row>
    <row r="1038" spans="1:4" x14ac:dyDescent="0.25">
      <c r="B1038" t="str">
        <f>HYPERLINK("https://www.chemistwarehouse.com.au/buy/80254/Comvita-Propolis-Lozenges-Lemon-and-Honey-40"," Comvita Propolis Lozenges Lemon and Honey 40")</f>
        <v xml:space="preserve"> Comvita Propolis Lozenges Lemon and Honey 40</v>
      </c>
      <c r="C1038" t="s">
        <v>153</v>
      </c>
      <c r="D1038" t="s">
        <v>157</v>
      </c>
    </row>
    <row r="1039" spans="1:4" x14ac:dyDescent="0.25">
      <c r="B1039" t="str">
        <f>HYPERLINK("https://www.chemistwarehouse.com.au/buy/64119/Comvita-Active-10-Manuka-Honey-500g-Not-Available-in-WA"," Comvita Active 10+ Manuka Honey 500g (Not Available in WA)")</f>
        <v xml:space="preserve"> Comvita Active 10+ Manuka Honey 500g (Not Available in WA)</v>
      </c>
      <c r="C1039" t="s">
        <v>564</v>
      </c>
      <c r="D1039" t="s">
        <v>373</v>
      </c>
    </row>
    <row r="1040" spans="1:4" x14ac:dyDescent="0.25">
      <c r="B1040" t="str">
        <f>HYPERLINK("https://www.chemistwarehouse.com.au/buy/64186/Comvita-UMF-15-Manuka-Honey-250g-Not-Available-in-WA"," Comvita UMF 15+ Manuka Honey 250g (Not Available in WA)")</f>
        <v xml:space="preserve"> Comvita UMF 15+ Manuka Honey 250g (Not Available in WA)</v>
      </c>
      <c r="C1040" t="s">
        <v>564</v>
      </c>
      <c r="D1040" t="s">
        <v>373</v>
      </c>
    </row>
    <row r="1041" spans="1:4" x14ac:dyDescent="0.25">
      <c r="B1041" t="str">
        <f>HYPERLINK("https://www.chemistwarehouse.com.au/buy/63835/Comvita-Active-5-Manuka-Honey-1kg-Not-Available-in-WA"," Comvita Active 5+ Manuka Honey 1kg (Not Available in WA)")</f>
        <v xml:space="preserve"> Comvita Active 5+ Manuka Honey 1kg (Not Available in WA)</v>
      </c>
      <c r="C1041" t="s">
        <v>565</v>
      </c>
      <c r="D1041" t="s">
        <v>391</v>
      </c>
    </row>
    <row r="1042" spans="1:4" x14ac:dyDescent="0.25">
      <c r="B1042" t="str">
        <f>HYPERLINK("https://www.chemistwarehouse.com.au/buy/64120/Comvita-Active-10-Manuka-Honey-250g-Not-Available-in-WA"," Comvita Active 10+ Manuka Honey 250g (Not Available in WA)")</f>
        <v xml:space="preserve"> Comvita Active 10+ Manuka Honey 250g (Not Available in WA)</v>
      </c>
      <c r="C1042" t="s">
        <v>566</v>
      </c>
      <c r="D1042" t="s">
        <v>435</v>
      </c>
    </row>
    <row r="1043" spans="1:4" x14ac:dyDescent="0.25">
      <c r="B1043" t="str">
        <f>HYPERLINK("https://www.chemistwarehouse.com.au/buy/63958/Comvita-Propolis-Elixir-200ml"," Comvita Propolis Elixir 200ml")</f>
        <v xml:space="preserve"> Comvita Propolis Elixir 200ml</v>
      </c>
      <c r="C1043" t="s">
        <v>61</v>
      </c>
      <c r="D1043" t="s">
        <v>155</v>
      </c>
    </row>
    <row r="1044" spans="1:4" x14ac:dyDescent="0.25">
      <c r="B1044" t="str">
        <f>HYPERLINK("https://www.chemistwarehouse.com.au/buy/77361/Comvita-Olive-Leaf-Extract-Mixed-Berry-1-Litre"," Comvita Olive Leaf Extract Mixed Berry 1 Litre")</f>
        <v xml:space="preserve"> Comvita Olive Leaf Extract Mixed Berry 1 Litre</v>
      </c>
      <c r="C1044" t="s">
        <v>111</v>
      </c>
      <c r="D1044" t="s">
        <v>567</v>
      </c>
    </row>
    <row r="1045" spans="1:4" x14ac:dyDescent="0.25">
      <c r="B1045" t="str">
        <f>HYPERLINK("https://www.chemistwarehouse.com.au/buy/64122/Comvita-Active-5-Manuka-Honey-500g-Not-Available-in-WA"," Comvita Active 5+ Manuka Honey 500g (Not Available in WA)")</f>
        <v xml:space="preserve"> Comvita Active 5+ Manuka Honey 500g (Not Available in WA)</v>
      </c>
      <c r="C1045" t="s">
        <v>258</v>
      </c>
      <c r="D1045" t="s">
        <v>341</v>
      </c>
    </row>
    <row r="1046" spans="1:4" x14ac:dyDescent="0.25">
      <c r="B1046" t="str">
        <f>HYPERLINK("https://www.chemistwarehouse.com.au/buy/64136/Comvita-Propolis-Extract-Alcohol-Free-25ml"," Comvita Propolis Extract Alcohol Free 25ml")</f>
        <v xml:space="preserve"> Comvita Propolis Extract Alcohol Free 25ml</v>
      </c>
      <c r="C1046" t="s">
        <v>125</v>
      </c>
      <c r="D1046" t="s">
        <v>93</v>
      </c>
    </row>
    <row r="1047" spans="1:4" x14ac:dyDescent="0.25">
      <c r="B1047" t="str">
        <f>HYPERLINK("https://www.chemistwarehouse.com.au/buy/77360/Comvita-Olive-Leaf-Extract-Peppermint-1-Litre"," Comvita Olive Leaf Extract Peppermint 1 Litre")</f>
        <v xml:space="preserve"> Comvita Olive Leaf Extract Peppermint 1 Litre</v>
      </c>
      <c r="C1047" t="s">
        <v>111</v>
      </c>
      <c r="D1047" t="s">
        <v>567</v>
      </c>
    </row>
    <row r="1048" spans="1:4" x14ac:dyDescent="0.25">
      <c r="B1048" t="str">
        <f>HYPERLINK("https://www.chemistwarehouse.com.au/buy/63786/Comvita-Active-5-Manuka-Honey-250g-Not-Available-in-WA"," Comvita Active 5+ Manuka Honey 250g (Not Available in WA)")</f>
        <v xml:space="preserve"> Comvita Active 5+ Manuka Honey 250g (Not Available in WA)</v>
      </c>
      <c r="C1048" t="s">
        <v>10</v>
      </c>
      <c r="D1048" t="s">
        <v>154</v>
      </c>
    </row>
    <row r="1049" spans="1:4" x14ac:dyDescent="0.25">
      <c r="B1049" t="str">
        <f>HYPERLINK("https://www.chemistwarehouse.com.au/buy/79724/Comvita-Olive-Leaf-Immune-Defence-150-Capsules"," Comvita Olive Leaf Immune Defence 150 Capsules")</f>
        <v xml:space="preserve"> Comvita Olive Leaf Immune Defence 150 Capsules</v>
      </c>
      <c r="C1049" t="s">
        <v>125</v>
      </c>
      <c r="D1049" t="s">
        <v>563</v>
      </c>
    </row>
    <row r="1050" spans="1:4" x14ac:dyDescent="0.25">
      <c r="B1050" t="str">
        <f>HYPERLINK("https://www.chemistwarehouse.com.au/buy/80255/Comvita-Propolis-Lozenges-Original-40"," Comvita Propolis Lozenges Original 40")</f>
        <v xml:space="preserve"> Comvita Propolis Lozenges Original 40</v>
      </c>
      <c r="C1050" t="s">
        <v>153</v>
      </c>
      <c r="D1050" t="s">
        <v>157</v>
      </c>
    </row>
    <row r="1051" spans="1:4" x14ac:dyDescent="0.25">
      <c r="B1051" t="str">
        <f>HYPERLINK("https://www.chemistwarehouse.com.au/buy/82238/Comvita-Childrens-Lemon-amp-Honey-Lollipops-10-Pack"," Comvita Childrens Lemon &amp; Honey Lollipops 10 Pack")</f>
        <v xml:space="preserve"> Comvita Childrens Lemon &amp; Honey Lollipops 10 Pack</v>
      </c>
      <c r="C1051" t="s">
        <v>187</v>
      </c>
      <c r="D1051" t="s">
        <v>145</v>
      </c>
    </row>
    <row r="1052" spans="1:4" x14ac:dyDescent="0.25">
      <c r="A1052" t="s">
        <v>568</v>
      </c>
    </row>
    <row r="1053" spans="1:4" x14ac:dyDescent="0.25">
      <c r="B1053" t="str">
        <f>HYPERLINK("https://www.chemistwarehouse.com.au/buy/64645/Ensure-Plus-Vanilla-237ml-Liquid"," Ensure Plus Vanilla 237ml Liquid")</f>
        <v xml:space="preserve"> Ensure Plus Vanilla 237ml Liquid</v>
      </c>
      <c r="C1053" t="s">
        <v>483</v>
      </c>
      <c r="D1053" t="s">
        <v>569</v>
      </c>
    </row>
    <row r="1054" spans="1:4" x14ac:dyDescent="0.25">
      <c r="B1054" t="str">
        <f>HYPERLINK("https://www.chemistwarehouse.com.au/buy/70229/Ensure-Powder-Chocolate-850g"," Ensure Powder Chocolate 850g")</f>
        <v xml:space="preserve"> Ensure Powder Chocolate 850g</v>
      </c>
      <c r="C1054" t="s">
        <v>6</v>
      </c>
      <c r="D1054" t="s">
        <v>570</v>
      </c>
    </row>
    <row r="1055" spans="1:4" x14ac:dyDescent="0.25">
      <c r="B1055" t="str">
        <f>HYPERLINK("https://www.chemistwarehouse.com.au/buy/81884/Ensure-Chocolate-850g"," Ensure Chocolate 850g")</f>
        <v xml:space="preserve"> Ensure Chocolate 850g</v>
      </c>
      <c r="C1055" t="s">
        <v>6</v>
      </c>
      <c r="D1055" t="s">
        <v>570</v>
      </c>
    </row>
    <row r="1056" spans="1:4" x14ac:dyDescent="0.25">
      <c r="A1056" t="s">
        <v>571</v>
      </c>
    </row>
    <row r="1057" spans="1:4" x14ac:dyDescent="0.25">
      <c r="B1057" t="str">
        <f>HYPERLINK("https://www.chemistwarehouse.com.au/buy/59527/Martin-amp-Pleasance-Restless-Legs-Relief"," Martin &amp; Pleasance Restless Legs Relief")</f>
        <v xml:space="preserve"> Martin &amp; Pleasance Restless Legs Relief</v>
      </c>
      <c r="C1057" t="s">
        <v>46</v>
      </c>
      <c r="D1057" t="s">
        <v>572</v>
      </c>
    </row>
    <row r="1058" spans="1:4" x14ac:dyDescent="0.25">
      <c r="B1058" t="str">
        <f>HYPERLINK("https://www.chemistwarehouse.com.au/buy/66081/Martin-amp-Pleasance-Arnica-Bruise-Stick-15g"," Martin &amp; Pleasance Arnica Bruise Stick 15g")</f>
        <v xml:space="preserve"> Martin &amp; Pleasance Arnica Bruise Stick 15g</v>
      </c>
      <c r="C1058" t="s">
        <v>64</v>
      </c>
      <c r="D1058" t="s">
        <v>482</v>
      </c>
    </row>
    <row r="1059" spans="1:4" x14ac:dyDescent="0.25">
      <c r="A1059" t="s">
        <v>573</v>
      </c>
    </row>
    <row r="1060" spans="1:4" x14ac:dyDescent="0.25">
      <c r="B1060" t="str">
        <f>HYPERLINK("https://www.chemistwarehouse.com.au/buy/51330/Melrose-Organic-Flaxseed-Oil-1000mg-250-Softgel-Capsules"," Melrose Organic Flaxseed Oil 1000mg 250 Softgel Capsules")</f>
        <v xml:space="preserve"> Melrose Organic Flaxseed Oil 1000mg 250 Softgel Capsules</v>
      </c>
      <c r="C1060" t="s">
        <v>125</v>
      </c>
      <c r="D1060" t="s">
        <v>574</v>
      </c>
    </row>
    <row r="1061" spans="1:4" x14ac:dyDescent="0.25">
      <c r="B1061" t="str">
        <f>HYPERLINK("https://www.chemistwarehouse.com.au/buy/72668/Melrose-Vitamin-C-amp-Bioflavanoids-100g"," Melrose Vitamin C &amp; Bioflavanoids 100g")</f>
        <v xml:space="preserve"> Melrose Vitamin C &amp; Bioflavanoids 100g</v>
      </c>
      <c r="C1061" t="s">
        <v>32</v>
      </c>
      <c r="D1061" t="s">
        <v>406</v>
      </c>
    </row>
    <row r="1062" spans="1:4" x14ac:dyDescent="0.25">
      <c r="B1062" t="str">
        <f>HYPERLINK("https://www.chemistwarehouse.com.au/buy/66399/Melrose-Fish-Oil-amp-Vitamin-D-500ml"," Melrose Fish Oil &amp; Vitamin D 500ml")</f>
        <v xml:space="preserve"> Melrose Fish Oil &amp; Vitamin D 500ml</v>
      </c>
      <c r="C1062" t="s">
        <v>61</v>
      </c>
      <c r="D1062" t="s">
        <v>46</v>
      </c>
    </row>
    <row r="1063" spans="1:4" x14ac:dyDescent="0.25">
      <c r="B1063" t="str">
        <f>HYPERLINK("https://www.chemistwarehouse.com.au/buy/72666/Melrose-Sodium-Ascorbate-125g"," Melrose Sodium Ascorbate 125g")</f>
        <v xml:space="preserve"> Melrose Sodium Ascorbate 125g</v>
      </c>
      <c r="C1063" t="s">
        <v>32</v>
      </c>
      <c r="D1063" t="s">
        <v>406</v>
      </c>
    </row>
    <row r="1064" spans="1:4" x14ac:dyDescent="0.25">
      <c r="B1064" t="str">
        <f>HYPERLINK("https://www.chemistwarehouse.com.au/buy/51306/Melrose-Vitamin-C-Calcium-Ascorbate-Powder-125g"," Melrose Vitamin C Calcium Ascorbate Powder 125g")</f>
        <v xml:space="preserve"> Melrose Vitamin C Calcium Ascorbate Powder 125g</v>
      </c>
      <c r="C1064" t="s">
        <v>32</v>
      </c>
      <c r="D1064" t="s">
        <v>406</v>
      </c>
    </row>
    <row r="1065" spans="1:4" x14ac:dyDescent="0.25">
      <c r="B1065" t="str">
        <f>HYPERLINK("https://www.chemistwarehouse.com.au/buy/52954/Melrose-Cod-Liver-Oil-500ml"," Melrose Cod Liver Oil 500ml")</f>
        <v xml:space="preserve"> Melrose Cod Liver Oil 500ml</v>
      </c>
      <c r="C1065" t="s">
        <v>1</v>
      </c>
      <c r="D1065" t="s">
        <v>361</v>
      </c>
    </row>
    <row r="1066" spans="1:4" x14ac:dyDescent="0.25">
      <c r="B1066" t="str">
        <f>HYPERLINK("https://www.chemistwarehouse.com.au/buy/51002/Melrose-Fish-Oil-500ml"," Melrose Fish Oil 500ml")</f>
        <v xml:space="preserve"> Melrose Fish Oil 500ml</v>
      </c>
      <c r="C1066" t="s">
        <v>1</v>
      </c>
      <c r="D1066" t="s">
        <v>350</v>
      </c>
    </row>
    <row r="1067" spans="1:4" x14ac:dyDescent="0.25">
      <c r="B1067" t="str">
        <f>HYPERLINK("https://www.chemistwarehouse.com.au/buy/53501/Melrose-Flaxseed-Oil-1g-100-Capsules"," Melrose Flaxseed Oil 1g 100 Capsules")</f>
        <v xml:space="preserve"> Melrose Flaxseed Oil 1g 100 Capsules</v>
      </c>
      <c r="C1067" t="s">
        <v>244</v>
      </c>
      <c r="D1067" t="s">
        <v>350</v>
      </c>
    </row>
    <row r="1068" spans="1:4" x14ac:dyDescent="0.25">
      <c r="B1068" t="str">
        <f>HYPERLINK("https://www.chemistwarehouse.com.au/buy/64650/Melrose-Flaxseed-Oil-500mL-Fridge-Line-Available-in-Store-Only"," Melrose Flaxseed Oil 500mL - Fridge Line - Available in Store Only")</f>
        <v xml:space="preserve"> Melrose Flaxseed Oil 500mL - Fridge Line - Available in Store Only</v>
      </c>
      <c r="C1068" t="s">
        <v>1</v>
      </c>
      <c r="D1068" t="s">
        <v>575</v>
      </c>
    </row>
    <row r="1069" spans="1:4" x14ac:dyDescent="0.25">
      <c r="B1069" t="str">
        <f>HYPERLINK("https://www.chemistwarehouse.com.au/buy/65969/Melrose-Organic-Unrefined-Coconut-Oil-300g"," Melrose Organic Unrefined Coconut Oil 300g")</f>
        <v xml:space="preserve"> Melrose Organic Unrefined Coconut Oil 300g</v>
      </c>
      <c r="C1069" t="s">
        <v>92</v>
      </c>
      <c r="D1069" t="s">
        <v>147</v>
      </c>
    </row>
    <row r="1070" spans="1:4" x14ac:dyDescent="0.25">
      <c r="B1070" t="str">
        <f>HYPERLINK("https://www.chemistwarehouse.com.au/buy/66265/Melrose-Organic-Refined-Coconut-Oil-300g"," Melrose Organic Refined Coconut Oil 300g")</f>
        <v xml:space="preserve"> Melrose Organic Refined Coconut Oil 300g</v>
      </c>
      <c r="C1070" t="s">
        <v>556</v>
      </c>
      <c r="D1070" t="s">
        <v>147</v>
      </c>
    </row>
    <row r="1071" spans="1:4" x14ac:dyDescent="0.25">
      <c r="B1071" t="str">
        <f>HYPERLINK("https://www.chemistwarehouse.com.au/buy/72667/Melrose-Ascorbic-Acid-125g"," Melrose Ascorbic Acid 125g ")</f>
        <v xml:space="preserve"> Melrose Ascorbic Acid 125g </v>
      </c>
      <c r="C1071" t="s">
        <v>32</v>
      </c>
      <c r="D1071" t="s">
        <v>406</v>
      </c>
    </row>
    <row r="1072" spans="1:4" x14ac:dyDescent="0.25">
      <c r="B1072" t="str">
        <f>HYPERLINK("https://www.chemistwarehouse.com.au/buy/71813/Melrose-Apple-Cider-Vinegar-Organic-500ml"," Melrose Apple Cider Vinegar Organic 500ml")</f>
        <v xml:space="preserve"> Melrose Apple Cider Vinegar Organic 500ml</v>
      </c>
      <c r="C1072" t="s">
        <v>556</v>
      </c>
      <c r="D1072" t="s">
        <v>312</v>
      </c>
    </row>
    <row r="1073" spans="1:4" x14ac:dyDescent="0.25">
      <c r="B1073" t="str">
        <f>HYPERLINK("https://www.chemistwarehouse.com.au/buy/71850/Melrose-Apple-Cider-Vinegar-Organic-amp-Honey"," Melrose Apple Cider Vinegar Organic &amp; Honey")</f>
        <v xml:space="preserve"> Melrose Apple Cider Vinegar Organic &amp; Honey</v>
      </c>
      <c r="C1073" t="s">
        <v>92</v>
      </c>
      <c r="D1073" t="s">
        <v>576</v>
      </c>
    </row>
    <row r="1074" spans="1:4" x14ac:dyDescent="0.25">
      <c r="B1074" t="str">
        <f>HYPERLINK("https://www.chemistwarehouse.com.au/buy/74328/Melrose-Rolled-Flaxseed-350g"," Melrose Rolled Flaxseed 350g")</f>
        <v xml:space="preserve"> Melrose Rolled Flaxseed 350g</v>
      </c>
      <c r="C1074" t="s">
        <v>103</v>
      </c>
      <c r="D1074" t="s">
        <v>150</v>
      </c>
    </row>
    <row r="1075" spans="1:4" x14ac:dyDescent="0.25">
      <c r="B1075" t="str">
        <f>HYPERLINK("https://www.chemistwarehouse.com.au/buy/53500/Melrose-Flaxseed-Oil-250mL"," Melrose Flaxseed Oil 250mL")</f>
        <v xml:space="preserve"> Melrose Flaxseed Oil 250mL</v>
      </c>
      <c r="C1075" t="s">
        <v>80</v>
      </c>
      <c r="D1075" t="s">
        <v>371</v>
      </c>
    </row>
    <row r="1076" spans="1:4" x14ac:dyDescent="0.25">
      <c r="A1076" t="s">
        <v>577</v>
      </c>
    </row>
    <row r="1077" spans="1:4" x14ac:dyDescent="0.25">
      <c r="B1077" t="str">
        <f>HYPERLINK("https://www.chemistwarehouse.com.au/buy/73761/Comvita-Olive-Leaf-Extract-High-Strength-60-Capsules"," Comvita Olive Leaf Extract High Strength 60 Capsules")</f>
        <v xml:space="preserve"> Comvita Olive Leaf Extract High Strength 60 Capsules</v>
      </c>
      <c r="C1077" t="s">
        <v>1</v>
      </c>
      <c r="D1077" t="s">
        <v>578</v>
      </c>
    </row>
    <row r="1078" spans="1:4" x14ac:dyDescent="0.25">
      <c r="B1078" t="str">
        <f>HYPERLINK("https://www.chemistwarehouse.com.au/buy/55752/Comvita-Olive-Leaf-Extract-Natural-500mL"," Comvita Olive Leaf Extract Natural 500mL")</f>
        <v xml:space="preserve"> Comvita Olive Leaf Extract Natural 500mL</v>
      </c>
      <c r="C1078" t="s">
        <v>6</v>
      </c>
      <c r="D1078" t="s">
        <v>385</v>
      </c>
    </row>
    <row r="1079" spans="1:4" x14ac:dyDescent="0.25">
      <c r="B1079" t="str">
        <f>HYPERLINK("https://www.chemistwarehouse.com.au/buy/64104/Comvita-Olive-Leaf-Extract-Mixed-Berry-500mL"," Comvita Olive Leaf Extract Mixed Berry 500mL")</f>
        <v xml:space="preserve"> Comvita Olive Leaf Extract Mixed Berry 500mL</v>
      </c>
      <c r="C1079" t="s">
        <v>6</v>
      </c>
      <c r="D1079" t="s">
        <v>385</v>
      </c>
    </row>
    <row r="1080" spans="1:4" x14ac:dyDescent="0.25">
      <c r="B1080" t="str">
        <f>HYPERLINK("https://www.chemistwarehouse.com.au/buy/64124/Comvita-Olive-Leaf-Extract-Children-39-s-Mixed-Berry-200mL"," Comvita Olive Leaf Extract Children's Mixed Berry 200mL")</f>
        <v xml:space="preserve"> Comvita Olive Leaf Extract Children's Mixed Berry 200mL</v>
      </c>
      <c r="C1080" t="s">
        <v>279</v>
      </c>
      <c r="D1080" t="s">
        <v>234</v>
      </c>
    </row>
    <row r="1081" spans="1:4" x14ac:dyDescent="0.25">
      <c r="B1081" t="str">
        <f>HYPERLINK("https://www.chemistwarehouse.com.au/buy/72525/Comvita-Olive-Leaf-Extract-Natural-1-Litre"," Comvita Olive Leaf Extract Natural 1 Litre")</f>
        <v xml:space="preserve"> Comvita Olive Leaf Extract Natural 1 Litre</v>
      </c>
      <c r="C1081" t="s">
        <v>111</v>
      </c>
      <c r="D1081" t="s">
        <v>567</v>
      </c>
    </row>
    <row r="1082" spans="1:4" x14ac:dyDescent="0.25">
      <c r="B1082" t="str">
        <f>HYPERLINK("https://www.chemistwarehouse.com.au/buy/64094/Comvita-Olive-Leaf-Extract-Peppermint-500mL"," Comvita Olive Leaf Extract Peppermint 500mL")</f>
        <v xml:space="preserve"> Comvita Olive Leaf Extract Peppermint 500mL</v>
      </c>
      <c r="C1082" t="s">
        <v>6</v>
      </c>
      <c r="D1082" t="s">
        <v>385</v>
      </c>
    </row>
    <row r="1083" spans="1:4" x14ac:dyDescent="0.25">
      <c r="A1083" t="s">
        <v>579</v>
      </c>
    </row>
    <row r="1084" spans="1:4" x14ac:dyDescent="0.25">
      <c r="B1084" t="str">
        <f>HYPERLINK("https://www.chemistwarehouse.com.au/buy/59675/Qsilica-Colloidal-Silica-50-Vegetarian-Capsules"," Qsilica Colloidal Silica 50 Vegetarian Capsules")</f>
        <v xml:space="preserve"> Qsilica Colloidal Silica 50 Vegetarian Capsules</v>
      </c>
      <c r="C1084" t="s">
        <v>279</v>
      </c>
      <c r="D1084" t="s">
        <v>165</v>
      </c>
    </row>
    <row r="1085" spans="1:4" x14ac:dyDescent="0.25">
      <c r="B1085" t="str">
        <f>HYPERLINK("https://www.chemistwarehouse.com.au/buy/82180/Qsilica-One-A-Day-90-Tablets"," Qsilica One A Day 90 Tablets")</f>
        <v xml:space="preserve"> Qsilica One A Day 90 Tablets</v>
      </c>
      <c r="C1085" t="s">
        <v>276</v>
      </c>
      <c r="D1085" t="s">
        <v>550</v>
      </c>
    </row>
    <row r="1086" spans="1:4" x14ac:dyDescent="0.25">
      <c r="B1086" t="str">
        <f>HYPERLINK("https://www.chemistwarehouse.com.au/buy/56987/Qsilica-Colloidal-Silica-100-Vegetarian-Capsules"," Qsilica Colloidal Silica 100 Vegetarian Capsules")</f>
        <v xml:space="preserve"> Qsilica Colloidal Silica 100 Vegetarian Capsules</v>
      </c>
      <c r="C1086" t="s">
        <v>166</v>
      </c>
      <c r="D1086" t="s">
        <v>550</v>
      </c>
    </row>
    <row r="1087" spans="1:4" x14ac:dyDescent="0.25">
      <c r="B1087" t="str">
        <f>HYPERLINK("https://www.chemistwarehouse.com.au/buy/69785/Qsilica-One-A-Day-30-Tablets"," Qsilica One A Day 30 Tablets")</f>
        <v xml:space="preserve"> Qsilica One A Day 30 Tablets</v>
      </c>
      <c r="C1087" t="s">
        <v>6</v>
      </c>
      <c r="D1087" t="s">
        <v>165</v>
      </c>
    </row>
    <row r="1088" spans="1:4" x14ac:dyDescent="0.25">
      <c r="B1088" t="str">
        <f>HYPERLINK("https://www.chemistwarehouse.com.au/buy/55043/Qsilica-Original-Colloidal-Silica-Gel-Q2-2x500ml"," Qsilica Original Colloidal Silica Gel Q2 2x500ml")</f>
        <v xml:space="preserve"> Qsilica Original Colloidal Silica Gel Q2 2x500ml</v>
      </c>
      <c r="C1088" t="s">
        <v>166</v>
      </c>
      <c r="D1088" t="s">
        <v>550</v>
      </c>
    </row>
    <row r="1089" spans="1:4" x14ac:dyDescent="0.25">
      <c r="A1089" t="s">
        <v>580</v>
      </c>
    </row>
    <row r="1090" spans="1:4" x14ac:dyDescent="0.25">
      <c r="B1090" t="str">
        <f>HYPERLINK("https://www.chemistwarehouse.com.au/buy/55047/Rescue-Remedy-Pastilles-50g"," Rescue Remedy Pastilles 50g")</f>
        <v xml:space="preserve"> Rescue Remedy Pastilles 50g</v>
      </c>
      <c r="C1090" t="s">
        <v>551</v>
      </c>
      <c r="D1090" t="s">
        <v>581</v>
      </c>
    </row>
    <row r="1091" spans="1:4" x14ac:dyDescent="0.25">
      <c r="B1091" t="str">
        <f>HYPERLINK("https://www.chemistwarehouse.com.au/buy/55048/Rescue-Remedy-Pastilles-Blackcurrant-50g"," Rescue Remedy Pastilles Blackcurrant 50g")</f>
        <v xml:space="preserve"> Rescue Remedy Pastilles Blackcurrant 50g</v>
      </c>
      <c r="C1091" t="s">
        <v>551</v>
      </c>
      <c r="D1091" t="s">
        <v>581</v>
      </c>
    </row>
    <row r="1092" spans="1:4" x14ac:dyDescent="0.25">
      <c r="B1092" t="str">
        <f>HYPERLINK("https://www.chemistwarehouse.com.au/buy/70082/Rescue-Remedy-Pastilles-Cranberry-50g"," Rescue Remedy Pastilles Cranberry 50g")</f>
        <v xml:space="preserve"> Rescue Remedy Pastilles Cranberry 50g</v>
      </c>
      <c r="C1092" t="s">
        <v>551</v>
      </c>
      <c r="D1092" t="s">
        <v>581</v>
      </c>
    </row>
    <row r="1093" spans="1:4" x14ac:dyDescent="0.25">
      <c r="B1093" t="str">
        <f>HYPERLINK("https://www.chemistwarehouse.com.au/buy/47012/Rescue-Remedy-Spray-20mL"," Rescue Remedy Spray 20mL")</f>
        <v xml:space="preserve"> Rescue Remedy Spray 20mL</v>
      </c>
      <c r="C1093" t="s">
        <v>279</v>
      </c>
      <c r="D1093" t="s">
        <v>582</v>
      </c>
    </row>
    <row r="1094" spans="1:4" x14ac:dyDescent="0.25">
      <c r="B1094" t="str">
        <f>HYPERLINK("https://www.chemistwarehouse.com.au/buy/53489/Rescue-Remedy-Sleep-20mL-Spray"," Rescue Remedy Sleep 20mL Spray")</f>
        <v xml:space="preserve"> Rescue Remedy Sleep 20mL Spray</v>
      </c>
      <c r="C1094" t="s">
        <v>279</v>
      </c>
      <c r="D1094" t="s">
        <v>582</v>
      </c>
    </row>
    <row r="1095" spans="1:4" x14ac:dyDescent="0.25">
      <c r="B1095" t="str">
        <f>HYPERLINK("https://www.chemistwarehouse.com.au/buy/39229/Rescue-Remedy-Drops-20mL"," Rescue Remedy Drops 20mL")</f>
        <v xml:space="preserve"> Rescue Remedy Drops 20mL</v>
      </c>
      <c r="C1095" t="s">
        <v>279</v>
      </c>
      <c r="D1095" t="s">
        <v>582</v>
      </c>
    </row>
    <row r="1096" spans="1:4" x14ac:dyDescent="0.25">
      <c r="B1096" t="str">
        <f>HYPERLINK("https://www.chemistwarehouse.com.au/buy/42357/Rescue-Remedy-Drops-10mL"," Rescue Remedy Drops 10mL")</f>
        <v xml:space="preserve"> Rescue Remedy Drops 10mL</v>
      </c>
      <c r="C1096" t="s">
        <v>61</v>
      </c>
      <c r="D1096" t="s">
        <v>155</v>
      </c>
    </row>
    <row r="1097" spans="1:4" x14ac:dyDescent="0.25">
      <c r="B1097" t="str">
        <f>HYPERLINK("https://www.chemistwarehouse.com.au/buy/59858/Rescue-Sleep-10ml-Liquid"," Rescue Sleep 10ml Liquid ")</f>
        <v xml:space="preserve"> Rescue Sleep 10ml Liquid </v>
      </c>
      <c r="C1097" t="s">
        <v>61</v>
      </c>
      <c r="D1097" t="s">
        <v>155</v>
      </c>
    </row>
    <row r="1098" spans="1:4" x14ac:dyDescent="0.25">
      <c r="A1098" t="s">
        <v>583</v>
      </c>
    </row>
    <row r="1099" spans="1:4" x14ac:dyDescent="0.25">
      <c r="B1099" t="str">
        <f>HYPERLINK("https://www.chemistwarehouse.com.au/buy/73327/Silicea-Silica-Advance-90-Capsules"," Silicea Silica Advance 90 Capsules")</f>
        <v xml:space="preserve"> Silicea Silica Advance 90 Capsules</v>
      </c>
      <c r="C1099" t="s">
        <v>109</v>
      </c>
      <c r="D1099" t="s">
        <v>93</v>
      </c>
    </row>
    <row r="1100" spans="1:4" x14ac:dyDescent="0.25">
      <c r="B1100" t="str">
        <f>HYPERLINK("https://www.chemistwarehouse.com.au/buy/73328/Silicea-Ultra-One-a-Day-30-Soft-Capsules"," Silicea Ultra One a Day 30 Soft Capsules")</f>
        <v xml:space="preserve"> Silicea Ultra One a Day 30 Soft Capsules</v>
      </c>
      <c r="C1100" t="s">
        <v>166</v>
      </c>
      <c r="D1100" t="s">
        <v>162</v>
      </c>
    </row>
    <row r="1101" spans="1:4" x14ac:dyDescent="0.25">
      <c r="B1101" t="str">
        <f>HYPERLINK("https://www.chemistwarehouse.com.au/buy/79532/Silicea-Man-One-a-Day-30-Capsules"," Silicea Man One a Day 30 Capsules")</f>
        <v xml:space="preserve"> Silicea Man One a Day 30 Capsules</v>
      </c>
      <c r="C1101" t="s">
        <v>166</v>
      </c>
      <c r="D1101" t="s">
        <v>162</v>
      </c>
    </row>
    <row r="1102" spans="1:4" x14ac:dyDescent="0.25">
      <c r="B1102" t="str">
        <f>HYPERLINK("https://www.chemistwarehouse.com.au/buy/50728/Silicea-Silica-Gel-500mL"," Silicea Silica Gel 500mL")</f>
        <v xml:space="preserve"> Silicea Silica Gel 500mL</v>
      </c>
      <c r="C1102" t="s">
        <v>10</v>
      </c>
      <c r="D1102" t="s">
        <v>167</v>
      </c>
    </row>
    <row r="1103" spans="1:4" x14ac:dyDescent="0.25">
      <c r="B1103" t="str">
        <f>HYPERLINK("https://www.chemistwarehouse.com.au/buy/51719/Silicea-Silica-Twin-Pack-2x500mL-Twin-Pack"," Silicea Silica Twin Pack 2x500mL (Twin Pack)")</f>
        <v xml:space="preserve"> Silicea Silica Twin Pack 2x500mL (Twin Pack)</v>
      </c>
      <c r="C1103" t="s">
        <v>276</v>
      </c>
      <c r="D1103" t="s">
        <v>46</v>
      </c>
    </row>
    <row r="1104" spans="1:4" x14ac:dyDescent="0.25">
      <c r="B1104" t="str">
        <f>HYPERLINK("https://www.chemistwarehouse.com.au/buy/59594/Silicea-One-a-Day-30-Capsules"," Silicea One a Day 30 Capsules")</f>
        <v xml:space="preserve"> Silicea One a Day 30 Capsules</v>
      </c>
      <c r="C1104" t="s">
        <v>10</v>
      </c>
      <c r="D1104" t="s">
        <v>167</v>
      </c>
    </row>
    <row r="1105" spans="1:4" x14ac:dyDescent="0.25">
      <c r="A1105" t="s">
        <v>584</v>
      </c>
    </row>
    <row r="1106" spans="1:4" x14ac:dyDescent="0.25">
      <c r="B1106" t="str">
        <f>HYPERLINK("https://www.chemistwarehouse.com.au/buy/65374/Anthogenol-100-Capsules"," Anthogenol 100 Capsules")</f>
        <v xml:space="preserve"> Anthogenol 100 Capsules</v>
      </c>
      <c r="C1106" t="s">
        <v>585</v>
      </c>
      <c r="D1106" t="s">
        <v>586</v>
      </c>
    </row>
    <row r="1107" spans="1:4" x14ac:dyDescent="0.25">
      <c r="B1107" t="str">
        <f>HYPERLINK("https://www.chemistwarehouse.com.au/buy/48579/Anthogenol-Multi-Active-Phyto-Nutrient-Complex-30-Capsules"," Anthogenol Multi-Active Phyto-Nutrient Complex 30 Capsules")</f>
        <v xml:space="preserve"> Anthogenol Multi-Active Phyto-Nutrient Complex 30 Capsules</v>
      </c>
      <c r="C1107" t="s">
        <v>472</v>
      </c>
      <c r="D1107" t="s">
        <v>390</v>
      </c>
    </row>
    <row r="1108" spans="1:4" x14ac:dyDescent="0.25">
      <c r="A1108" t="s">
        <v>587</v>
      </c>
    </row>
    <row r="1109" spans="1:4" x14ac:dyDescent="0.25">
      <c r="B1109" t="str">
        <f>HYPERLINK("https://www.chemistwarehouse.com.au/buy/60209/CalSource-Calcium-1000mg-10-Tablets"," CalSource Calcium 1000mg 10 Tablets")</f>
        <v xml:space="preserve"> CalSource Calcium 1000mg 10 Tablets</v>
      </c>
      <c r="C1109" t="s">
        <v>375</v>
      </c>
      <c r="D1109" t="s">
        <v>588</v>
      </c>
    </row>
    <row r="1110" spans="1:4" x14ac:dyDescent="0.25">
      <c r="A1110" t="s">
        <v>589</v>
      </c>
    </row>
    <row r="1111" spans="1:4" x14ac:dyDescent="0.25">
      <c r="B1111" t="str">
        <f>HYPERLINK("https://www.chemistwarehouse.com.au/buy/48174/Crampeze-Night-Cramps-120-Capsules"," Crampeze Night Cramps 120 Capsules")</f>
        <v xml:space="preserve"> Crampeze Night Cramps 120 Capsules</v>
      </c>
      <c r="C1111" t="s">
        <v>6</v>
      </c>
      <c r="D1111" t="s">
        <v>165</v>
      </c>
    </row>
    <row r="1112" spans="1:4" x14ac:dyDescent="0.25">
      <c r="B1112" t="str">
        <f>HYPERLINK("https://www.chemistwarehouse.com.au/buy/40955/Crampeze-Night-Cramps-60-Capsules"," Crampeze Night Cramps 60 Capsules")</f>
        <v xml:space="preserve"> Crampeze Night Cramps 60 Capsules</v>
      </c>
      <c r="C1112" t="s">
        <v>8</v>
      </c>
      <c r="D1112" t="s">
        <v>165</v>
      </c>
    </row>
    <row r="1113" spans="1:4" x14ac:dyDescent="0.25">
      <c r="B1113" t="str">
        <f>HYPERLINK("https://www.chemistwarehouse.com.au/buy/74323/Crampeze-Forte-60-Tablets"," Crampeze Forte 60 Tablets")</f>
        <v xml:space="preserve"> Crampeze Forte 60 Tablets</v>
      </c>
      <c r="C1113" t="s">
        <v>279</v>
      </c>
      <c r="D1113" t="s">
        <v>165</v>
      </c>
    </row>
    <row r="1114" spans="1:4" x14ac:dyDescent="0.25">
      <c r="A1114" t="s">
        <v>590</v>
      </c>
    </row>
    <row r="1115" spans="1:4" x14ac:dyDescent="0.25">
      <c r="B1115" t="str">
        <f>HYPERLINK("https://www.chemistwarehouse.com.au/buy/72907/Elevit-Tablets-100"," Elevit Tablets 100 ")</f>
        <v xml:space="preserve"> Elevit Tablets 100 </v>
      </c>
      <c r="C1115" t="s">
        <v>591</v>
      </c>
      <c r="D1115">
        <v>0</v>
      </c>
    </row>
    <row r="1116" spans="1:4" x14ac:dyDescent="0.25">
      <c r="B1116" t="str">
        <f>HYPERLINK("https://www.chemistwarehouse.com.au/buy/54596/Menevit-90-Capsules"," Menevit 90 Capsules")</f>
        <v xml:space="preserve"> Menevit 90 Capsules</v>
      </c>
      <c r="C1116" t="s">
        <v>514</v>
      </c>
      <c r="D1116" t="s">
        <v>592</v>
      </c>
    </row>
    <row r="1117" spans="1:4" x14ac:dyDescent="0.25">
      <c r="B1117" t="str">
        <f>HYPERLINK("https://www.chemistwarehouse.com.au/buy/78515/Elevit-Breast-Feeding-60-Tablets"," Elevit Breast Feeding 60 Tablets")</f>
        <v xml:space="preserve"> Elevit Breast Feeding 60 Tablets</v>
      </c>
      <c r="C1117" t="s">
        <v>6</v>
      </c>
      <c r="D1117" t="s">
        <v>169</v>
      </c>
    </row>
    <row r="1118" spans="1:4" x14ac:dyDescent="0.25">
      <c r="B1118" t="str">
        <f>HYPERLINK("https://www.chemistwarehouse.com.au/buy/67918/Elevit-Morning-Sickness-Relief-30-Tablets"," Elevit Morning Sickness Relief 30 Tablets")</f>
        <v xml:space="preserve"> Elevit Morning Sickness Relief 30 Tablets</v>
      </c>
      <c r="C1118" t="s">
        <v>61</v>
      </c>
      <c r="D1118" t="s">
        <v>593</v>
      </c>
    </row>
    <row r="1119" spans="1:4" x14ac:dyDescent="0.25">
      <c r="B1119" t="str">
        <f>HYPERLINK("https://www.chemistwarehouse.com.au/buy/54597/Menevit-30-Capsules"," Menevit 30 Capsules")</f>
        <v xml:space="preserve"> Menevit 30 Capsules</v>
      </c>
      <c r="C1119" t="s">
        <v>6</v>
      </c>
      <c r="D1119" t="s">
        <v>576</v>
      </c>
    </row>
    <row r="1120" spans="1:4" x14ac:dyDescent="0.25">
      <c r="B1120" t="str">
        <f>HYPERLINK("https://www.chemistwarehouse.com.au/buy/61293/Elevit-Women-39-s-Multi-100-Tablets"," Elevit Women's Multi 100 Tablets")</f>
        <v xml:space="preserve"> Elevit Women's Multi 100 Tablets</v>
      </c>
      <c r="C1120" t="s">
        <v>313</v>
      </c>
      <c r="D1120" t="s">
        <v>408</v>
      </c>
    </row>
    <row r="1121" spans="1:4" x14ac:dyDescent="0.25">
      <c r="B1121" t="str">
        <f>HYPERLINK("https://www.chemistwarehouse.com.au/buy/73126/Elevit-30-Tablets"," Elevit 30 Tablets ")</f>
        <v xml:space="preserve"> Elevit 30 Tablets </v>
      </c>
      <c r="C1121" t="s">
        <v>279</v>
      </c>
      <c r="D1121">
        <v>0</v>
      </c>
    </row>
    <row r="1122" spans="1:4" x14ac:dyDescent="0.25">
      <c r="B1122" t="str">
        <f>HYPERLINK("https://www.chemistwarehouse.com.au/buy/78586/Elevit-Breast-Feeding-30-Tablets"," Elevit Breast Feeding 30 Tablets")</f>
        <v xml:space="preserve"> Elevit Breast Feeding 30 Tablets</v>
      </c>
      <c r="C1122" t="s">
        <v>161</v>
      </c>
      <c r="D1122" t="s">
        <v>594</v>
      </c>
    </row>
    <row r="1123" spans="1:4" x14ac:dyDescent="0.25">
      <c r="A1123" t="s">
        <v>595</v>
      </c>
    </row>
    <row r="1124" spans="1:4" x14ac:dyDescent="0.25">
      <c r="B1124" t="str">
        <f>HYPERLINK("https://www.chemistwarehouse.com.au/buy/68793/Sustagen-Kid-Essentials-800g-Pre-amp-Pro-Biotics"," Sustagen Kid Essentials 800g Pre &amp; Pro Biotics")</f>
        <v xml:space="preserve"> Sustagen Kid Essentials 800g Pre &amp; Pro Biotics</v>
      </c>
      <c r="C1124" t="s">
        <v>596</v>
      </c>
      <c r="D1124" t="s">
        <v>576</v>
      </c>
    </row>
    <row r="1125" spans="1:4" x14ac:dyDescent="0.25">
      <c r="B1125" t="str">
        <f>HYPERLINK("https://www.chemistwarehouse.com.au/buy/76325/Sustagen-Hospital-Formula-Vanilla-840g"," Sustagen Hospital Formula Vanilla 840g")</f>
        <v xml:space="preserve"> Sustagen Hospital Formula Vanilla 840g</v>
      </c>
      <c r="C1125" t="s">
        <v>153</v>
      </c>
      <c r="D1125" t="s">
        <v>93</v>
      </c>
    </row>
    <row r="1126" spans="1:4" x14ac:dyDescent="0.25">
      <c r="B1126" t="str">
        <f>HYPERLINK("https://www.chemistwarehouse.com.au/buy/69980/Sustagen-Diabetic-400g"," Sustagen Diabetic 400g")</f>
        <v xml:space="preserve"> Sustagen Diabetic 400g</v>
      </c>
      <c r="C1126" t="s">
        <v>8</v>
      </c>
      <c r="D1126" t="s">
        <v>597</v>
      </c>
    </row>
    <row r="1127" spans="1:4" x14ac:dyDescent="0.25">
      <c r="B1127" t="str">
        <f>HYPERLINK("https://www.chemistwarehouse.com.au/buy/7980/Sustagen-Sport-Chocolate-900g"," Sustagen Sport Chocolate 900g")</f>
        <v xml:space="preserve"> Sustagen Sport Chocolate 900g</v>
      </c>
      <c r="C1127" t="s">
        <v>63</v>
      </c>
      <c r="D1127" t="s">
        <v>157</v>
      </c>
    </row>
    <row r="1128" spans="1:4" x14ac:dyDescent="0.25">
      <c r="B1128" t="str">
        <f>HYPERLINK("https://www.chemistwarehouse.com.au/buy/69981/Sustagen-Optimum-800g"," Sustagen Optimum 800g")</f>
        <v xml:space="preserve"> Sustagen Optimum 800g</v>
      </c>
      <c r="C1128" t="s">
        <v>273</v>
      </c>
      <c r="D1128" t="s">
        <v>145</v>
      </c>
    </row>
    <row r="1129" spans="1:4" x14ac:dyDescent="0.25">
      <c r="B1129" t="str">
        <f>HYPERLINK("https://www.chemistwarehouse.com.au/buy/76322/Sustagen-Hospital-Formula-Chocolate-840g"," Sustagen Hospital Formula Chocolate 840g")</f>
        <v xml:space="preserve"> Sustagen Hospital Formula Chocolate 840g</v>
      </c>
      <c r="C1129" t="s">
        <v>153</v>
      </c>
      <c r="D1129" t="s">
        <v>93</v>
      </c>
    </row>
    <row r="1130" spans="1:4" x14ac:dyDescent="0.25">
      <c r="B1130" t="str">
        <f>HYPERLINK("https://www.chemistwarehouse.com.au/buy/7981/Sustagen-Sport-Vanilla-900g"," Sustagen Sport Vanilla 900g")</f>
        <v xml:space="preserve"> Sustagen Sport Vanilla 900g</v>
      </c>
      <c r="C1130" t="s">
        <v>63</v>
      </c>
      <c r="D1130" t="s">
        <v>157</v>
      </c>
    </row>
    <row r="1131" spans="1:4" x14ac:dyDescent="0.25">
      <c r="B1131" t="str">
        <f>HYPERLINK("https://www.chemistwarehouse.com.au/buy/76323/Sustagen-Hospital-Formula-Coffee-840g"," Sustagen Hospital Formula Coffee 840g")</f>
        <v xml:space="preserve"> Sustagen Hospital Formula Coffee 840g</v>
      </c>
      <c r="C1131" t="s">
        <v>153</v>
      </c>
      <c r="D1131" t="s">
        <v>93</v>
      </c>
    </row>
    <row r="1132" spans="1:4" x14ac:dyDescent="0.25">
      <c r="B1132" t="str">
        <f>HYPERLINK("https://www.chemistwarehouse.com.au/buy/76324/Sustagen-Hospital-Formula-Neutral-840g"," Sustagen Hospital Formula Neutral 840g")</f>
        <v xml:space="preserve"> Sustagen Hospital Formula Neutral 840g</v>
      </c>
      <c r="C1132" t="s">
        <v>153</v>
      </c>
      <c r="D1132" t="s">
        <v>93</v>
      </c>
    </row>
    <row r="1133" spans="1:4" x14ac:dyDescent="0.25">
      <c r="B1133" t="str">
        <f>HYPERLINK("https://www.chemistwarehouse.com.au/buy/77905/Sustagen-Hospital-Formula-Plus-Fibre-840g-Vanilla"," Sustagen Hospital Formula Plus Fibre 840g Vanilla")</f>
        <v xml:space="preserve"> Sustagen Hospital Formula Plus Fibre 840g Vanilla</v>
      </c>
      <c r="C1133" t="s">
        <v>10</v>
      </c>
      <c r="D1133" t="s">
        <v>93</v>
      </c>
    </row>
    <row r="1134" spans="1:4" x14ac:dyDescent="0.25">
      <c r="B1134" t="str">
        <f>HYPERLINK("https://www.chemistwarehouse.com.au/buy/80307/Sustagen-Hospital-Formula-Plus-Fibre-Choclate-840g"," Sustagen Hospital Formula Plus Fibre Choclate 840g")</f>
        <v xml:space="preserve"> Sustagen Hospital Formula Plus Fibre Choclate 840g</v>
      </c>
      <c r="C1134" t="s">
        <v>10</v>
      </c>
      <c r="D1134" t="s">
        <v>93</v>
      </c>
    </row>
    <row r="1135" spans="1:4" x14ac:dyDescent="0.25">
      <c r="B1135" t="str">
        <f>HYPERLINK("https://www.chemistwarehouse.com.au/buy/81500/Sustagen-Hospital-Formula-Strawberry-840g"," Sustagen Hospital Formula Strawberry 840g")</f>
        <v xml:space="preserve"> Sustagen Hospital Formula Strawberry 840g</v>
      </c>
      <c r="C1135" t="s">
        <v>153</v>
      </c>
      <c r="D1135" t="s">
        <v>93</v>
      </c>
    </row>
    <row r="1136" spans="1:4" x14ac:dyDescent="0.25">
      <c r="A1136" t="s">
        <v>598</v>
      </c>
    </row>
    <row r="1137" spans="1:4" x14ac:dyDescent="0.25">
      <c r="B1137" t="str">
        <f>HYPERLINK("https://www.chemistwarehouse.com.au/buy/64363/Ostevit-D-Children-39-s-Oral-Drops-15ml"," Ostevit-D Children's Oral Drops 15ml")</f>
        <v xml:space="preserve"> Ostevit-D Children's Oral Drops 15ml</v>
      </c>
      <c r="C1137" t="s">
        <v>240</v>
      </c>
      <c r="D1137" t="s">
        <v>329</v>
      </c>
    </row>
    <row r="1138" spans="1:4" x14ac:dyDescent="0.25">
      <c r="B1138" t="str">
        <f>HYPERLINK("https://www.chemistwarehouse.com.au/buy/71351/OsteVit-D-Vitamin-D3-Tablets-250"," OsteVit D Vitamin D3 Tablets 250")</f>
        <v xml:space="preserve"> OsteVit D Vitamin D3 Tablets 250</v>
      </c>
      <c r="C1138" t="s">
        <v>187</v>
      </c>
      <c r="D1138" t="s">
        <v>160</v>
      </c>
    </row>
    <row r="1139" spans="1:4" x14ac:dyDescent="0.25">
      <c r="B1139" t="str">
        <f>HYPERLINK("https://www.chemistwarehouse.com.au/buy/71049/OsteVit-D-Calcium-Plus-One-A-Day-60-Tablets"," OsteVit-D + Calcium Plus One A Day 60 Tablets")</f>
        <v xml:space="preserve"> OsteVit-D + Calcium Plus One A Day 60 Tablets</v>
      </c>
      <c r="C1139" t="s">
        <v>237</v>
      </c>
      <c r="D1139" t="s">
        <v>157</v>
      </c>
    </row>
    <row r="1140" spans="1:4" x14ac:dyDescent="0.25">
      <c r="B1140" t="str">
        <f>HYPERLINK("https://www.chemistwarehouse.com.au/buy/71125/OsteVit-D-Liquid-Filled-150-Capsules"," OsteVit-D Liquid Filled 150 Capsules")</f>
        <v xml:space="preserve"> OsteVit-D Liquid Filled 150 Capsules</v>
      </c>
      <c r="C1140" t="s">
        <v>237</v>
      </c>
      <c r="D1140" t="s">
        <v>157</v>
      </c>
    </row>
    <row r="1141" spans="1:4" x14ac:dyDescent="0.25">
      <c r="B1141" t="str">
        <f>HYPERLINK("https://www.chemistwarehouse.com.au/buy/64668/OsteVit-D-amp-Calcium-1-A-Day-60-Tablets"," OsteVit D &amp; Calcium 1 A Day 60 Tablets")</f>
        <v xml:space="preserve"> OsteVit D &amp; Calcium 1 A Day 60 Tablets</v>
      </c>
      <c r="C1141" t="s">
        <v>237</v>
      </c>
      <c r="D1141" t="s">
        <v>157</v>
      </c>
    </row>
    <row r="1142" spans="1:4" x14ac:dyDescent="0.25">
      <c r="B1142" t="str">
        <f>HYPERLINK("https://www.chemistwarehouse.com.au/buy/69667/OsteVit-D-60-Tablets"," OsteVit-D 60 Tablets")</f>
        <v xml:space="preserve"> OsteVit-D 60 Tablets</v>
      </c>
      <c r="C1142" t="s">
        <v>92</v>
      </c>
      <c r="D1142" t="s">
        <v>397</v>
      </c>
    </row>
    <row r="1143" spans="1:4" x14ac:dyDescent="0.25">
      <c r="B1143" t="str">
        <f>HYPERLINK("https://www.chemistwarehouse.com.au/buy/69910/Ostevit-D-Liquid-30ml-20ml-Bonus"," Ostevit-D Liquid 30ml + 20ml Bonus")</f>
        <v xml:space="preserve"> Ostevit-D Liquid 30ml + 20ml Bonus</v>
      </c>
      <c r="C1143" t="s">
        <v>58</v>
      </c>
      <c r="D1143" t="s">
        <v>155</v>
      </c>
    </row>
    <row r="1144" spans="1:4" x14ac:dyDescent="0.25">
      <c r="B1144" t="str">
        <f>HYPERLINK("https://www.chemistwarehouse.com.au/buy/63585/OsteVit-D-amp-Calcium-120-Caplets"," OsteVit D &amp; Calcium 120 Caplets")</f>
        <v xml:space="preserve"> OsteVit D &amp; Calcium 120 Caplets</v>
      </c>
      <c r="C1144" t="s">
        <v>237</v>
      </c>
      <c r="D1144" t="s">
        <v>157</v>
      </c>
    </row>
    <row r="1145" spans="1:4" x14ac:dyDescent="0.25">
      <c r="B1145" t="str">
        <f>HYPERLINK("https://www.chemistwarehouse.com.au/buy/80345/OsteVit-D-Vitamin-D3-250-50-Tablets-Bonus"," OsteVit-D Vitamin D3 250 + 50 Tablets Bonus")</f>
        <v xml:space="preserve"> OsteVit-D Vitamin D3 250 + 50 Tablets Bonus</v>
      </c>
      <c r="C1145" t="s">
        <v>187</v>
      </c>
      <c r="D1145" t="s">
        <v>160</v>
      </c>
    </row>
    <row r="1146" spans="1:4" x14ac:dyDescent="0.25">
      <c r="A1146" t="s">
        <v>599</v>
      </c>
    </row>
    <row r="1147" spans="1:4" x14ac:dyDescent="0.25">
      <c r="B1147" t="str">
        <f>HYPERLINK("https://www.chemistwarehouse.com.au/buy/61062/Lifestream-Aloe-Vera-Juice-1-25L"," Lifestream Aloe Vera Juice 1.25L")</f>
        <v xml:space="preserve"> Lifestream Aloe Vera Juice 1.25L</v>
      </c>
      <c r="C1147" t="s">
        <v>10</v>
      </c>
      <c r="D1147" t="s">
        <v>600</v>
      </c>
    </row>
    <row r="1148" spans="1:4" x14ac:dyDescent="0.25">
      <c r="B1148" t="str">
        <f>HYPERLINK("https://www.chemistwarehouse.com.au/buy/56985/Lifestream-Biogenic-Aloe-Vera-Juice-99-7-Pure-500mL"," Lifestream Biogenic Aloe Vera Juice 99.7% Pure 500mL")</f>
        <v xml:space="preserve"> Lifestream Biogenic Aloe Vera Juice 99.7% Pure 500mL</v>
      </c>
      <c r="C1148" t="s">
        <v>233</v>
      </c>
      <c r="D1148" t="s">
        <v>241</v>
      </c>
    </row>
    <row r="1149" spans="1:4" x14ac:dyDescent="0.25">
      <c r="B1149" t="str">
        <f>HYPERLINK("https://www.chemistwarehouse.com.au/buy/58655/Lifestream-Bioactive-Spirulina-1000-Tablets"," Lifestream Bioactive Spirulina 1000 Tablets")</f>
        <v xml:space="preserve"> Lifestream Bioactive Spirulina 1000 Tablets</v>
      </c>
      <c r="C1149" t="s">
        <v>601</v>
      </c>
      <c r="D1149" t="s">
        <v>369</v>
      </c>
    </row>
    <row r="1150" spans="1:4" x14ac:dyDescent="0.25">
      <c r="A1150" t="s">
        <v>602</v>
      </c>
    </row>
    <row r="1151" spans="1:4" x14ac:dyDescent="0.25">
      <c r="B1151" t="str">
        <f>HYPERLINK("https://www.chemistwarehouse.com.au/buy/4775/Ferro-Gradumet-amp-Vitamin-C-Tablets-30"," Ferro-Gradumet &amp; Vitamin C Tablets 30")</f>
        <v xml:space="preserve"> Ferro-Gradumet &amp; Vitamin C Tablets 30</v>
      </c>
      <c r="C1151" t="s">
        <v>63</v>
      </c>
      <c r="D1151">
        <v>0</v>
      </c>
    </row>
    <row r="1152" spans="1:4" x14ac:dyDescent="0.25">
      <c r="B1152" t="str">
        <f>HYPERLINK("https://www.chemistwarehouse.com.au/buy/4776/Ferro-Gradumet-Tablets-30"," Ferro-Gradumet Tablets 30")</f>
        <v xml:space="preserve"> Ferro-Gradumet Tablets 30</v>
      </c>
      <c r="C1152" t="s">
        <v>80</v>
      </c>
      <c r="D1152">
        <v>0</v>
      </c>
    </row>
    <row r="1153" spans="1:4" x14ac:dyDescent="0.25">
      <c r="B1153" t="str">
        <f>HYPERLINK("https://www.chemistwarehouse.com.au/buy/64799/Ferro-Tab-200mg-60-Tablets"," Ferro Tab 200mg 60 Tablets")</f>
        <v xml:space="preserve"> Ferro Tab 200mg 60 Tablets</v>
      </c>
      <c r="C1153" t="s">
        <v>98</v>
      </c>
      <c r="D1153">
        <v>0</v>
      </c>
    </row>
    <row r="1154" spans="1:4" x14ac:dyDescent="0.25">
      <c r="A1154" t="s">
        <v>603</v>
      </c>
    </row>
    <row r="1155" spans="1:4" x14ac:dyDescent="0.25">
      <c r="B1155" t="str">
        <f>HYPERLINK("https://www.chemistwarehouse.com.au/buy/59419/Citracal-Calcium-D-100-Tablets"," Citracal Calcium +D 100 Tablets")</f>
        <v xml:space="preserve"> Citracal Calcium +D 100 Tablets</v>
      </c>
      <c r="C1155" t="s">
        <v>187</v>
      </c>
      <c r="D1155" t="s">
        <v>604</v>
      </c>
    </row>
    <row r="1156" spans="1:4" x14ac:dyDescent="0.25">
      <c r="B1156" t="str">
        <f>HYPERLINK("https://www.chemistwarehouse.com.au/buy/48103/Citracal-250mg-120-Tablets"," Citracal 250mg 120 Tablets ")</f>
        <v xml:space="preserve"> Citracal 250mg 120 Tablets </v>
      </c>
      <c r="C1156" t="s">
        <v>211</v>
      </c>
      <c r="D1156" t="s">
        <v>376</v>
      </c>
    </row>
    <row r="1157" spans="1:4" x14ac:dyDescent="0.25">
      <c r="A1157" t="s">
        <v>605</v>
      </c>
    </row>
    <row r="1158" spans="1:4" x14ac:dyDescent="0.25">
      <c r="B1158" t="str">
        <f>HYPERLINK("https://www.chemistwarehouse.com.au/buy/1789/Cal-Sup-500mg-Spearmint-60-Tablets"," Cal Sup 500mg Spearmint 60 Tablets")</f>
        <v xml:space="preserve"> Cal Sup 500mg Spearmint 60 Tablets</v>
      </c>
      <c r="C1158" t="s">
        <v>92</v>
      </c>
      <c r="D1158" t="s">
        <v>606</v>
      </c>
    </row>
    <row r="1159" spans="1:4" x14ac:dyDescent="0.25">
      <c r="A1159" t="s">
        <v>607</v>
      </c>
    </row>
    <row r="1160" spans="1:4" x14ac:dyDescent="0.25">
      <c r="B1160" t="str">
        <f>HYPERLINK("https://www.chemistwarehouse.com.au/buy/76267/Vivomixx-Sachets-30-x-4-4g-132g"," Vivomixx Sachets 30 x 4.4g 132g")</f>
        <v xml:space="preserve"> Vivomixx Sachets 30 x 4.4g 132g</v>
      </c>
      <c r="C1160" t="s">
        <v>608</v>
      </c>
      <c r="D1160">
        <v>0</v>
      </c>
    </row>
    <row r="1161" spans="1:4" x14ac:dyDescent="0.25">
      <c r="B1161" t="str">
        <f>HYPERLINK("https://www.chemistwarehouse.com.au/buy/7340/Pyroxin-Tablets-100mg-50"," Pyroxin Tablets 100mg 50")</f>
        <v xml:space="preserve"> Pyroxin Tablets 100mg 50</v>
      </c>
      <c r="C1161" t="s">
        <v>240</v>
      </c>
      <c r="D1161" t="s">
        <v>609</v>
      </c>
    </row>
    <row r="1162" spans="1:4" x14ac:dyDescent="0.25">
      <c r="B1162" t="str">
        <f>HYPERLINK("https://www.chemistwarehouse.com.au/buy/1176/Betamin-Vitamin-B1-Tablets-100mg-100"," Betamin Vitamin B1 Tablets 100mg 100")</f>
        <v xml:space="preserve"> Betamin Vitamin B1 Tablets 100mg 100</v>
      </c>
      <c r="C1162" t="s">
        <v>92</v>
      </c>
      <c r="D1162">
        <v>0</v>
      </c>
    </row>
    <row r="1163" spans="1:4" x14ac:dyDescent="0.25">
      <c r="B1163" t="str">
        <f>HYPERLINK("https://www.chemistwarehouse.com.au/buy/64801/Hypol-Omega-3-Cherry-Flavoured-Liquid-500ml"," Hypol Omega-3 Cherry Flavoured Liquid 500ml")</f>
        <v xml:space="preserve"> Hypol Omega-3 Cherry Flavoured Liquid 500ml</v>
      </c>
      <c r="C1163" t="s">
        <v>58</v>
      </c>
      <c r="D1163" t="s">
        <v>397</v>
      </c>
    </row>
    <row r="1164" spans="1:4" x14ac:dyDescent="0.25">
      <c r="B1164" t="str">
        <f>HYPERLINK("https://www.chemistwarehouse.com.au/buy/71445/Fefol-Iron-amp-Folate-Supplement-60-Capsules"," Fefol Iron &amp; Folate Supplement 60 Capsules")</f>
        <v xml:space="preserve"> Fefol Iron &amp; Folate Supplement 60 Capsules</v>
      </c>
      <c r="C1164" t="s">
        <v>187</v>
      </c>
      <c r="D1164">
        <v>0</v>
      </c>
    </row>
    <row r="1165" spans="1:4" x14ac:dyDescent="0.25">
      <c r="B1165" t="str">
        <f>HYPERLINK("https://www.chemistwarehouse.com.au/buy/76027/Maltofer-Iron-100mg-30-Tablets"," Maltofer Iron 100mg 30 Tablets")</f>
        <v xml:space="preserve"> Maltofer Iron 100mg 30 Tablets</v>
      </c>
      <c r="C1165" t="s">
        <v>109</v>
      </c>
      <c r="D1165">
        <v>0</v>
      </c>
    </row>
    <row r="1166" spans="1:4" x14ac:dyDescent="0.25">
      <c r="B1166" t="str">
        <f>HYPERLINK("https://www.chemistwarehouse.com.au/buy/7339/Pyroxin-Tablets-25mg-100"," Pyroxin Tablets 25mg 100")</f>
        <v xml:space="preserve"> Pyroxin Tablets 25mg 100</v>
      </c>
      <c r="C1166" t="s">
        <v>610</v>
      </c>
      <c r="D1166" t="s">
        <v>561</v>
      </c>
    </row>
    <row r="1167" spans="1:4" x14ac:dyDescent="0.25">
      <c r="B1167" t="str">
        <f>HYPERLINK("https://www.chemistwarehouse.com.au/buy/7674/Seatone-Caps-125"," Seatone Caps 125")</f>
        <v xml:space="preserve"> Seatone Caps 125</v>
      </c>
      <c r="C1167" t="s">
        <v>187</v>
      </c>
      <c r="D1167" t="s">
        <v>115</v>
      </c>
    </row>
    <row r="1168" spans="1:4" x14ac:dyDescent="0.25">
      <c r="B1168" t="str">
        <f>HYPERLINK("https://www.chemistwarehouse.com.au/buy/38678/Vig-Tablets-High-Potency-30"," Vig Tablets High Potency 30")</f>
        <v xml:space="preserve"> Vig Tablets High Potency 30</v>
      </c>
      <c r="C1168" t="s">
        <v>80</v>
      </c>
      <c r="D1168" t="s">
        <v>165</v>
      </c>
    </row>
    <row r="1169" spans="1:4" x14ac:dyDescent="0.25">
      <c r="B1169" t="str">
        <f>HYPERLINK("https://www.chemistwarehouse.com.au/buy/42951/Iron-Melts-50-Chewable-Tablets"," Iron Melts 50 Chewable Tablets")</f>
        <v xml:space="preserve"> Iron Melts 50 Chewable Tablets</v>
      </c>
      <c r="C1169" t="s">
        <v>430</v>
      </c>
      <c r="D1169" t="s">
        <v>611</v>
      </c>
    </row>
    <row r="1170" spans="1:4" x14ac:dyDescent="0.25">
      <c r="B1170" t="str">
        <f>HYPERLINK("https://www.chemistwarehouse.com.au/buy/7959/Supradyn-Effervescent-Tablets-30"," Supradyn Effervescent Tablets 30")</f>
        <v xml:space="preserve"> Supradyn Effervescent Tablets 30</v>
      </c>
      <c r="C1170" t="s">
        <v>269</v>
      </c>
      <c r="D1170" t="s">
        <v>612</v>
      </c>
    </row>
    <row r="1171" spans="1:4" x14ac:dyDescent="0.25">
      <c r="B1171" t="str">
        <f>HYPERLINK("https://www.chemistwarehouse.com.au/buy/10008/Megafol-5mg-Folic-Acid-Tablets-100"," Megafol 5mg Folic Acid Tablets 100")</f>
        <v xml:space="preserve"> Megafol 5mg Folic Acid Tablets 100</v>
      </c>
      <c r="C1171" t="s">
        <v>556</v>
      </c>
      <c r="D1171">
        <v>0</v>
      </c>
    </row>
    <row r="1172" spans="1:4" x14ac:dyDescent="0.25">
      <c r="B1172" t="str">
        <f>HYPERLINK("https://www.chemistwarehouse.com.au/buy/78640/Enliva-30-Capsules"," Enliva 30 Capsules")</f>
        <v xml:space="preserve"> Enliva 30 Capsules</v>
      </c>
      <c r="C1172" t="s">
        <v>266</v>
      </c>
      <c r="D1172">
        <v>0</v>
      </c>
    </row>
    <row r="1173" spans="1:4" x14ac:dyDescent="0.25">
      <c r="B1173" t="str">
        <f>HYPERLINK("https://www.chemistwarehouse.com.au/buy/64805/Mouth-Ulcer-212-Capsules-4-Pack"," Mouth Ulcer 212 Capsules 4 Pack")</f>
        <v xml:space="preserve"> Mouth Ulcer 212 Capsules 4 Pack</v>
      </c>
      <c r="C1173" t="s">
        <v>554</v>
      </c>
      <c r="D1173" t="s">
        <v>611</v>
      </c>
    </row>
    <row r="1174" spans="1:4" x14ac:dyDescent="0.25">
      <c r="B1174" t="str">
        <f>HYPERLINK("https://www.chemistwarehouse.com.au/buy/10007/Megafol-0-5mg-Folic-Acid-Tablets-100"," Megafol 0.5mg Folic Acid Tablets 100")</f>
        <v xml:space="preserve"> Megafol 0.5mg Folic Acid Tablets 100</v>
      </c>
      <c r="C1174" t="s">
        <v>146</v>
      </c>
      <c r="D1174" t="s">
        <v>115</v>
      </c>
    </row>
    <row r="1175" spans="1:4" x14ac:dyDescent="0.25">
      <c r="B1175" t="str">
        <f>HYPERLINK("https://www.chemistwarehouse.com.au/buy/50732/Iberogast-Oral-Liquid-50mL"," Iberogast Oral Liquid 50mL")</f>
        <v xml:space="preserve"> Iberogast Oral Liquid 50mL</v>
      </c>
      <c r="C1175" t="s">
        <v>63</v>
      </c>
      <c r="D1175" t="s">
        <v>154</v>
      </c>
    </row>
    <row r="1176" spans="1:4" x14ac:dyDescent="0.25">
      <c r="B1176" t="str">
        <f>HYPERLINK("https://www.chemistwarehouse.com.au/buy/63295/Remifemin-Sleep-30-Tablets"," Remifemin Sleep 30 Tablets")</f>
        <v xml:space="preserve"> Remifemin Sleep 30 Tablets</v>
      </c>
      <c r="C1176" t="s">
        <v>202</v>
      </c>
      <c r="D1176" t="s">
        <v>145</v>
      </c>
    </row>
    <row r="1177" spans="1:4" x14ac:dyDescent="0.25">
      <c r="B1177" t="str">
        <f>HYPERLINK("https://www.chemistwarehouse.com.au/buy/76991/Antistax-Leg-Health-Supplement-30-Tablets"," Antistax Leg Health Supplement 30 Tablets")</f>
        <v xml:space="preserve"> Antistax Leg Health Supplement 30 Tablets</v>
      </c>
      <c r="C1177" t="s">
        <v>8</v>
      </c>
      <c r="D1177" t="s">
        <v>157</v>
      </c>
    </row>
    <row r="1178" spans="1:4" x14ac:dyDescent="0.25">
      <c r="B1178" t="str">
        <f>HYPERLINK("https://www.chemistwarehouse.com.au/buy/80464/Antistax-Fresh-Leg-Gel-125ml"," Antistax Fresh Leg Gel 125ml")</f>
        <v xml:space="preserve"> Antistax Fresh Leg Gel 125ml</v>
      </c>
      <c r="C1178" t="s">
        <v>8</v>
      </c>
      <c r="D1178" t="s">
        <v>157</v>
      </c>
    </row>
    <row r="1179" spans="1:4" x14ac:dyDescent="0.25">
      <c r="B1179" t="str">
        <f>HYPERLINK("https://www.chemistwarehouse.com.au/buy/66096/Fabfol-56-Tablets"," Fabfol 56 Tablets")</f>
        <v xml:space="preserve"> Fabfol 56 Tablets</v>
      </c>
      <c r="C1179" t="s">
        <v>1</v>
      </c>
      <c r="D1179" t="s">
        <v>154</v>
      </c>
    </row>
    <row r="1180" spans="1:4" x14ac:dyDescent="0.25">
      <c r="B1180" t="str">
        <f>HYPERLINK("https://www.chemistwarehouse.com.au/buy/68577/Hydroxo-B12-Ampoule-1mg-1ml-3"," Hydroxo B12 Ampoule 1mg/1ml 3")</f>
        <v xml:space="preserve"> Hydroxo B12 Ampoule 1mg/1ml 3</v>
      </c>
      <c r="C1180" t="s">
        <v>103</v>
      </c>
      <c r="D1180" t="s">
        <v>613</v>
      </c>
    </row>
    <row r="1181" spans="1:4" x14ac:dyDescent="0.25">
      <c r="B1181" t="str">
        <f>HYPERLINK("https://www.chemistwarehouse.com.au/buy/68671/Promensil-Menopause-Double-Strength-60-Tablets"," Promensil Menopause Double Strength 60 Tablets")</f>
        <v xml:space="preserve"> Promensil Menopause Double Strength 60 Tablets</v>
      </c>
      <c r="C1181" t="s">
        <v>614</v>
      </c>
      <c r="D1181" t="s">
        <v>347</v>
      </c>
    </row>
    <row r="1182" spans="1:4" x14ac:dyDescent="0.25">
      <c r="B1182" t="str">
        <f>HYPERLINK("https://www.chemistwarehouse.com.au/buy/70118/Fefol-Multi-Preg-Liquid-60-Capsules"," Fefol Multi Preg Liquid 60 Capsules")</f>
        <v xml:space="preserve"> Fefol Multi Preg Liquid 60 Capsules</v>
      </c>
      <c r="C1182" t="s">
        <v>153</v>
      </c>
      <c r="D1182" t="s">
        <v>615</v>
      </c>
    </row>
    <row r="1183" spans="1:4" x14ac:dyDescent="0.25">
      <c r="B1183" t="str">
        <f>HYPERLINK("https://www.chemistwarehouse.com.au/buy/75133/Fisiocrem-Solugel-60g"," Fisiocrem Solugel 60g")</f>
        <v xml:space="preserve"> Fisiocrem Solugel 60g</v>
      </c>
      <c r="C1183" t="s">
        <v>45</v>
      </c>
      <c r="D1183" t="s">
        <v>155</v>
      </c>
    </row>
    <row r="1184" spans="1:4" x14ac:dyDescent="0.25">
      <c r="A1184" t="s">
        <v>616</v>
      </c>
    </row>
    <row r="1185" spans="1:4" x14ac:dyDescent="0.25">
      <c r="B1185" t="str">
        <f>HYPERLINK("https://www.chemistwarehouse.com.au/buy/61018/Vital-Greens-600g-Powder"," Vital Greens 600g Powder")</f>
        <v xml:space="preserve"> Vital Greens 600g Powder</v>
      </c>
      <c r="C1185" t="s">
        <v>564</v>
      </c>
      <c r="D1185" t="s">
        <v>617</v>
      </c>
    </row>
    <row r="1186" spans="1:4" x14ac:dyDescent="0.25">
      <c r="B1186" t="str">
        <f>HYPERLINK("https://www.chemistwarehouse.com.au/buy/64817/Vital-Greens-300g-Powder"," Vital Greens 300g Powder")</f>
        <v xml:space="preserve"> Vital Greens 300g Powder</v>
      </c>
      <c r="C1186" t="s">
        <v>513</v>
      </c>
      <c r="D1186" t="s">
        <v>391</v>
      </c>
    </row>
    <row r="1187" spans="1:4" x14ac:dyDescent="0.25">
      <c r="B1187" t="str">
        <f>HYPERLINK("https://www.chemistwarehouse.com.au/buy/71448/Vital-Greens-30X10g-Sachets"," Vital Greens 30X10g Sachets")</f>
        <v xml:space="preserve"> Vital Greens 30X10g Sachets</v>
      </c>
      <c r="C1187" t="s">
        <v>514</v>
      </c>
      <c r="D1187" t="s">
        <v>618</v>
      </c>
    </row>
    <row r="1188" spans="1:4" x14ac:dyDescent="0.25">
      <c r="B1188" t="str">
        <f>HYPERLINK("https://www.chemistwarehouse.com.au/buy/61019/Vital-Greens-120g-Powder"," Vital Greens 120g Powder")</f>
        <v xml:space="preserve"> Vital Greens 120g Powder</v>
      </c>
      <c r="C1188" t="s">
        <v>1</v>
      </c>
      <c r="D1188" t="s">
        <v>619</v>
      </c>
    </row>
    <row r="1189" spans="1:4" x14ac:dyDescent="0.25">
      <c r="B1189" t="str">
        <f>HYPERLINK("https://www.chemistwarehouse.com.au/buy/67607/Vital-Greens-1kg-Powder"," Vital Greens 1kg Powder")</f>
        <v xml:space="preserve"> Vital Greens 1kg Powder</v>
      </c>
      <c r="C1189" t="s">
        <v>620</v>
      </c>
      <c r="D1189" t="s">
        <v>124</v>
      </c>
    </row>
    <row r="1190" spans="1:4" x14ac:dyDescent="0.25">
      <c r="A1190" t="s">
        <v>621</v>
      </c>
    </row>
    <row r="1191" spans="1:4" x14ac:dyDescent="0.25">
      <c r="B1191" t="str">
        <f>HYPERLINK("https://www.chemistwarehouse.com.au/buy/75081/Rose-Hip-Vital-Canine-150g-Online-Only"," Rose-Hip Vital Canine 150g (Online Only)")</f>
        <v xml:space="preserve"> Rose-Hip Vital Canine 150g (Online Only)</v>
      </c>
      <c r="C1191" t="s">
        <v>166</v>
      </c>
      <c r="D1191" t="s">
        <v>341</v>
      </c>
    </row>
    <row r="1192" spans="1:4" x14ac:dyDescent="0.25">
      <c r="B1192" t="str">
        <f>HYPERLINK("https://www.chemistwarehouse.com.au/buy/75082/Rose-Hip-Vital-Canine-500g-Online-Only"," Rose-Hip Vital Canine 500g (Online Only)")</f>
        <v xml:space="preserve"> Rose-Hip Vital Canine 500g (Online Only)</v>
      </c>
      <c r="C1192" t="s">
        <v>508</v>
      </c>
      <c r="D1192" t="s">
        <v>622</v>
      </c>
    </row>
    <row r="1193" spans="1:4" x14ac:dyDescent="0.25">
      <c r="A1193" t="s">
        <v>623</v>
      </c>
    </row>
    <row r="1194" spans="1:4" x14ac:dyDescent="0.25">
      <c r="B1194" t="str">
        <f>HYPERLINK("https://www.chemistwarehouse.com.au/buy/64643/Pentavite-Infant-Drops-30ml"," Pentavite Infant Drops 30ml")</f>
        <v xml:space="preserve"> Pentavite Infant Drops 30ml</v>
      </c>
      <c r="C1194" t="s">
        <v>551</v>
      </c>
      <c r="D1194" t="s">
        <v>177</v>
      </c>
    </row>
    <row r="1195" spans="1:4" x14ac:dyDescent="0.25">
      <c r="B1195" t="str">
        <f>HYPERLINK("https://www.chemistwarehouse.com.au/buy/64646/Pentavite-Children-39-s-Liquid-200ml"," Pentavite Children's Liquid 200ml")</f>
        <v xml:space="preserve"> Pentavite Children's Liquid 200ml</v>
      </c>
      <c r="C1195" t="s">
        <v>1</v>
      </c>
      <c r="D1195" t="s">
        <v>158</v>
      </c>
    </row>
    <row r="1196" spans="1:4" x14ac:dyDescent="0.25">
      <c r="B1196" t="str">
        <f>HYPERLINK("https://www.chemistwarehouse.com.au/buy/67802/Pentavite-Gummies-Immunity-Boost-60-Pastilles"," Pentavite Gummies Immunity Boost 60 Pastilles")</f>
        <v xml:space="preserve"> Pentavite Gummies Immunity Boost 60 Pastilles</v>
      </c>
      <c r="C1196" t="s">
        <v>80</v>
      </c>
      <c r="D1196" t="s">
        <v>624</v>
      </c>
    </row>
    <row r="1197" spans="1:4" x14ac:dyDescent="0.25">
      <c r="B1197" t="str">
        <f>HYPERLINK("https://www.chemistwarehouse.com.au/buy/67803/Pentavite-Gummies-Omega-Multivitamin-60-Capsules"," Pentavite Gummies Omega + Multivitamin 60 Capsules")</f>
        <v xml:space="preserve"> Pentavite Gummies Omega + Multivitamin 60 Capsules</v>
      </c>
      <c r="C1197" t="s">
        <v>80</v>
      </c>
      <c r="D1197" t="s">
        <v>624</v>
      </c>
    </row>
    <row r="1198" spans="1:4" x14ac:dyDescent="0.25">
      <c r="B1198" t="str">
        <f>HYPERLINK("https://www.chemistwarehouse.com.au/buy/67801/Pentavite-Gummies-Multivitamin-60-Capsules"," Pentavite Gummies Multivitamin 60 Capsules")</f>
        <v xml:space="preserve"> Pentavite Gummies Multivitamin 60 Capsules</v>
      </c>
      <c r="C1198" t="s">
        <v>80</v>
      </c>
      <c r="D1198" t="s">
        <v>624</v>
      </c>
    </row>
    <row r="1199" spans="1:4" x14ac:dyDescent="0.25">
      <c r="A1199" t="s">
        <v>625</v>
      </c>
    </row>
    <row r="1200" spans="1:4" x14ac:dyDescent="0.25">
      <c r="B1200" t="str">
        <f>HYPERLINK("https://www.chemistwarehouse.com.au/buy/69762/Cabot-Health-Livatone-Shots-60-Tablets"," Cabot Health Livatone Shots 60 Tablets")</f>
        <v xml:space="preserve"> Cabot Health Livatone Shots 60 Tablets</v>
      </c>
      <c r="C1200" t="s">
        <v>161</v>
      </c>
      <c r="D1200" t="s">
        <v>626</v>
      </c>
    </row>
    <row r="1201" spans="1:4" x14ac:dyDescent="0.25">
      <c r="B1201" t="str">
        <f>HYPERLINK("https://www.chemistwarehouse.com.au/buy/69760/Cabot-Health-LivaTone-Plus-With-Turmeric-120-Capsules"," Cabot Health LivaTone Plus With Turmeric 120 Capsules")</f>
        <v xml:space="preserve"> Cabot Health LivaTone Plus With Turmeric 120 Capsules</v>
      </c>
      <c r="C1201" t="s">
        <v>267</v>
      </c>
      <c r="D1201" t="s">
        <v>627</v>
      </c>
    </row>
    <row r="1202" spans="1:4" x14ac:dyDescent="0.25">
      <c r="B1202" t="str">
        <f>HYPERLINK("https://www.chemistwarehouse.com.au/buy/69761/Cabot-Health-LivaTone-Plus-With-Turmeric-240-Capsules"," Cabot Health LivaTone Plus With Turmeric 240 Capsules")</f>
        <v xml:space="preserve"> Cabot Health LivaTone Plus With Turmeric 240 Capsules</v>
      </c>
      <c r="C1202" t="s">
        <v>251</v>
      </c>
      <c r="D1202" t="s">
        <v>628</v>
      </c>
    </row>
    <row r="1203" spans="1:4" x14ac:dyDescent="0.25">
      <c r="B1203" t="str">
        <f>HYPERLINK("https://www.chemistwarehouse.com.au/buy/75264/Cabot-Health-Magnesium-Ultra-Potent-Powder-Citrus-465g"," Cabot Health Magnesium Ultra Potent Powder Citrus 465g")</f>
        <v xml:space="preserve"> Cabot Health Magnesium Ultra Potent Powder Citrus 465g</v>
      </c>
      <c r="C1203" t="s">
        <v>330</v>
      </c>
      <c r="D1203" t="s">
        <v>629</v>
      </c>
    </row>
    <row r="1204" spans="1:4" x14ac:dyDescent="0.25">
      <c r="B1204" t="str">
        <f>HYPERLINK("https://www.chemistwarehouse.com.au/buy/70127/Cabot-Health-HD-Magnesium-Complete-200-Tablets"," Cabot Health HD Magnesium Complete 200 Tablets")</f>
        <v xml:space="preserve"> Cabot Health HD Magnesium Complete 200 Tablets</v>
      </c>
      <c r="C1204" t="s">
        <v>277</v>
      </c>
      <c r="D1204" t="s">
        <v>630</v>
      </c>
    </row>
    <row r="1205" spans="1:4" x14ac:dyDescent="0.25">
      <c r="B1205" t="str">
        <f>HYPERLINK("https://www.chemistwarehouse.com.au/buy/70129/Cabot-Health-Thyroid-Health-60-Capsules"," Cabot Health Thyroid Health 60 Capsules")</f>
        <v xml:space="preserve"> Cabot Health Thyroid Health 60 Capsules</v>
      </c>
      <c r="C1205" t="s">
        <v>161</v>
      </c>
      <c r="D1205" t="s">
        <v>487</v>
      </c>
    </row>
    <row r="1206" spans="1:4" x14ac:dyDescent="0.25">
      <c r="B1206" t="str">
        <f>HYPERLINK("https://www.chemistwarehouse.com.au/buy/69759/Cabot-Health-Livatone-Shots-30-Tablets"," Cabot Health Livatone Shots 30 Tablets")</f>
        <v xml:space="preserve"> Cabot Health Livatone Shots 30 Tablets</v>
      </c>
      <c r="C1206" t="s">
        <v>228</v>
      </c>
      <c r="D1206" t="s">
        <v>631</v>
      </c>
    </row>
    <row r="1207" spans="1:4" x14ac:dyDescent="0.25">
      <c r="B1207" t="str">
        <f>HYPERLINK("https://www.chemistwarehouse.com.au/buy/70128/Cabot-Health-HD-Magnesium-Ultra-Potent-200g"," Cabot Health HD Magnesium Ultra Potent 200g")</f>
        <v xml:space="preserve"> Cabot Health HD Magnesium Ultra Potent 200g</v>
      </c>
      <c r="C1207" t="s">
        <v>267</v>
      </c>
      <c r="D1207" t="s">
        <v>632</v>
      </c>
    </row>
    <row r="1208" spans="1:4" x14ac:dyDescent="0.25">
      <c r="B1208" t="str">
        <f>HYPERLINK("https://www.chemistwarehouse.com.au/buy/70126/Cabot-Health-HD-Magnesium-Complete-100-Tablets"," Cabot Health HD Magnesium Complete 100 Tablets")</f>
        <v xml:space="preserve"> Cabot Health HD Magnesium Complete 100 Tablets</v>
      </c>
      <c r="C1208" t="s">
        <v>224</v>
      </c>
      <c r="D1208" t="s">
        <v>633</v>
      </c>
    </row>
    <row r="1209" spans="1:4" x14ac:dyDescent="0.25">
      <c r="B1209" t="str">
        <f>HYPERLINK("https://www.chemistwarehouse.com.au/buy/77885/Cabot-Health-Selenium-Ultra-Potent-60-Capsules"," Cabot Health Selenium Ultra Potent 60 Capsules")</f>
        <v xml:space="preserve"> Cabot Health Selenium Ultra Potent 60 Capsules</v>
      </c>
      <c r="C1209" t="s">
        <v>161</v>
      </c>
      <c r="D1209" t="s">
        <v>500</v>
      </c>
    </row>
    <row r="1210" spans="1:4" x14ac:dyDescent="0.25">
      <c r="A1210" t="s">
        <v>634</v>
      </c>
    </row>
    <row r="1211" spans="1:4" x14ac:dyDescent="0.25">
      <c r="B1211" t="str">
        <f>HYPERLINK("https://www.chemistwarehouse.com.au/buy/72551/Healthy-Way-Psyllium-Husk-500g"," Healthy Way Psyllium Husk 500g")</f>
        <v xml:space="preserve"> Healthy Way Psyllium Husk 500g</v>
      </c>
      <c r="C1211" t="s">
        <v>45</v>
      </c>
      <c r="D1211">
        <v>0</v>
      </c>
    </row>
    <row r="1212" spans="1:4" x14ac:dyDescent="0.25">
      <c r="B1212" t="str">
        <f>HYPERLINK("https://www.chemistwarehouse.com.au/buy/72136/Healthy-Way-Black-Chia-500g"," Healthy Way Black Chia 500g")</f>
        <v xml:space="preserve"> Healthy Way Black Chia 500g</v>
      </c>
      <c r="C1212" t="s">
        <v>32</v>
      </c>
      <c r="D1212">
        <v>0</v>
      </c>
    </row>
    <row r="1213" spans="1:4" x14ac:dyDescent="0.25">
      <c r="B1213" t="str">
        <f>HYPERLINK("https://www.chemistwarehouse.com.au/buy/82020/Healthy-Way-Chia-Seed-Black-600g-Bonus-Pack"," Healthy Way Chia Seed Black 600g Bonus Pack")</f>
        <v xml:space="preserve"> Healthy Way Chia Seed Black 600g Bonus Pack</v>
      </c>
      <c r="C1213" t="s">
        <v>32</v>
      </c>
      <c r="D1213">
        <v>0</v>
      </c>
    </row>
    <row r="1214" spans="1:4" x14ac:dyDescent="0.25">
      <c r="B1214" t="str">
        <f>HYPERLINK("https://www.chemistwarehouse.com.au/buy/82244/Healthy-Way-Premium-Muesli-750g"," Healthy Way Premium Muesli 750g")</f>
        <v xml:space="preserve"> Healthy Way Premium Muesli 750g</v>
      </c>
      <c r="C1214" t="s">
        <v>92</v>
      </c>
      <c r="D1214">
        <v>0</v>
      </c>
    </row>
    <row r="1215" spans="1:4" x14ac:dyDescent="0.25">
      <c r="B1215" t="str">
        <f>HYPERLINK("https://www.chemistwarehouse.com.au/buy/82247/Healthy-Way-Raw-Almonds-45g"," Healthy Way Raw Almonds 45g")</f>
        <v xml:space="preserve"> Healthy Way Raw Almonds 45g</v>
      </c>
      <c r="C1215" t="s">
        <v>635</v>
      </c>
      <c r="D1215">
        <v>0</v>
      </c>
    </row>
    <row r="1216" spans="1:4" x14ac:dyDescent="0.25">
      <c r="B1216" t="str">
        <f>HYPERLINK("https://www.chemistwarehouse.com.au/buy/72549/Healthy-Way-Pepitas-200g"," Healthy Way Pepitas 200g")</f>
        <v xml:space="preserve"> Healthy Way Pepitas 200g</v>
      </c>
      <c r="C1216" t="s">
        <v>556</v>
      </c>
      <c r="D1216">
        <v>0</v>
      </c>
    </row>
    <row r="1217" spans="2:4" x14ac:dyDescent="0.25">
      <c r="B1217" t="str">
        <f>HYPERLINK("https://www.chemistwarehouse.com.au/buy/72541/Healthy-Way-Goji-Berries-200g"," Healthy Way Goji Berries 200g")</f>
        <v xml:space="preserve"> Healthy Way Goji Berries 200g</v>
      </c>
      <c r="C1217" t="s">
        <v>92</v>
      </c>
      <c r="D1217">
        <v>0</v>
      </c>
    </row>
    <row r="1218" spans="2:4" x14ac:dyDescent="0.25">
      <c r="B1218" t="str">
        <f>HYPERLINK("https://www.chemistwarehouse.com.au/buy/82246/Healthy-Way-Coconut-Chips-100g"," Healthy Way Coconut Chips 100g")</f>
        <v xml:space="preserve"> Healthy Way Coconut Chips 100g</v>
      </c>
      <c r="C1218" t="s">
        <v>483</v>
      </c>
      <c r="D1218">
        <v>0</v>
      </c>
    </row>
    <row r="1219" spans="2:4" x14ac:dyDescent="0.25">
      <c r="B1219" t="str">
        <f>HYPERLINK("https://www.chemistwarehouse.com.au/buy/81327/Healthy-Way-Almond-Natural-400g"," Healthy Way Almond Natural 400g")</f>
        <v xml:space="preserve"> Healthy Way Almond Natural 400g</v>
      </c>
      <c r="C1219" t="s">
        <v>92</v>
      </c>
      <c r="D1219">
        <v>0</v>
      </c>
    </row>
    <row r="1220" spans="2:4" x14ac:dyDescent="0.25">
      <c r="B1220" t="str">
        <f>HYPERLINK("https://www.chemistwarehouse.com.au/buy/82248/Healthy-Way-Trail-Mix-45g"," Healthy Way Trail Mix 45g")</f>
        <v xml:space="preserve"> Healthy Way Trail Mix 45g</v>
      </c>
      <c r="C1220" t="s">
        <v>635</v>
      </c>
      <c r="D1220">
        <v>0</v>
      </c>
    </row>
    <row r="1221" spans="2:4" x14ac:dyDescent="0.25">
      <c r="B1221" t="str">
        <f>HYPERLINK("https://www.chemistwarehouse.com.au/buy/82249/Healthy-Way-Chocolate-Blend-45g"," Healthy Way Chocolate Blend 45g")</f>
        <v xml:space="preserve"> Healthy Way Chocolate Blend 45g</v>
      </c>
      <c r="C1221" t="s">
        <v>635</v>
      </c>
      <c r="D1221">
        <v>0</v>
      </c>
    </row>
    <row r="1222" spans="2:4" x14ac:dyDescent="0.25">
      <c r="B1222" t="str">
        <f>HYPERLINK("https://www.chemistwarehouse.com.au/buy/82250/Healthy-Way-Coconut-Diced-45g"," Healthy Way Coconut Diced 45g")</f>
        <v xml:space="preserve"> Healthy Way Coconut Diced 45g</v>
      </c>
      <c r="C1222" t="s">
        <v>635</v>
      </c>
      <c r="D1222">
        <v>0</v>
      </c>
    </row>
    <row r="1223" spans="2:4" x14ac:dyDescent="0.25">
      <c r="B1223" t="str">
        <f>HYPERLINK("https://www.chemistwarehouse.com.au/buy/82245/Healthy-Way-Superfood-Porridge-750g"," Healthy Way Superfood Porridge 750g")</f>
        <v xml:space="preserve"> Healthy Way Superfood Porridge 750g</v>
      </c>
      <c r="C1223" t="s">
        <v>92</v>
      </c>
      <c r="D1223">
        <v>0</v>
      </c>
    </row>
    <row r="1224" spans="2:4" x14ac:dyDescent="0.25">
      <c r="B1224" t="str">
        <f>HYPERLINK("https://www.chemistwarehouse.com.au/buy/82021/Healthy-Way-Chia-Seed-White-600g-Bonus-Pack"," Healthy Way Chia Seed White 600g Bonus Pack")</f>
        <v xml:space="preserve"> Healthy Way Chia Seed White 600g Bonus Pack</v>
      </c>
      <c r="C1224" t="s">
        <v>32</v>
      </c>
      <c r="D1224">
        <v>0</v>
      </c>
    </row>
    <row r="1225" spans="2:4" x14ac:dyDescent="0.25">
      <c r="B1225" t="str">
        <f>HYPERLINK("https://www.chemistwarehouse.com.au/buy/82243/Healthy-Way-Cranberries-Sweetened-with-Apple-Juice-200g"," Healthy Way Cranberries Sweetened with Apple Juice 200g")</f>
        <v xml:space="preserve"> Healthy Way Cranberries Sweetened with Apple Juice 200g</v>
      </c>
      <c r="C1225" t="s">
        <v>116</v>
      </c>
      <c r="D1225">
        <v>0</v>
      </c>
    </row>
    <row r="1226" spans="2:4" x14ac:dyDescent="0.25">
      <c r="B1226" t="str">
        <f>HYPERLINK("https://www.chemistwarehouse.com.au/buy/72542/Healthy-Way-Goji-Berries-Fruit-Nuts-amp-Chocolate-300g"," Healthy Way Goji Berries Fruit Nuts &amp; Chocolate 300g")</f>
        <v xml:space="preserve"> Healthy Way Goji Berries Fruit Nuts &amp; Chocolate 300g</v>
      </c>
      <c r="C1226" t="s">
        <v>103</v>
      </c>
      <c r="D1226">
        <v>0</v>
      </c>
    </row>
    <row r="1227" spans="2:4" x14ac:dyDescent="0.25">
      <c r="B1227" t="str">
        <f>HYPERLINK("https://www.chemistwarehouse.com.au/buy/72543/Healthy-Way-Lecithin-Granules-500g"," Healthy Way Lecithin Granules 500g")</f>
        <v xml:space="preserve"> Healthy Way Lecithin Granules 500g</v>
      </c>
      <c r="C1227" t="s">
        <v>45</v>
      </c>
      <c r="D1227">
        <v>0</v>
      </c>
    </row>
    <row r="1228" spans="2:4" x14ac:dyDescent="0.25">
      <c r="B1228" t="str">
        <f>HYPERLINK("https://www.chemistwarehouse.com.au/buy/72544/Healthy-Way-Linseed-500g"," Healthy Way Linseed 500g")</f>
        <v xml:space="preserve"> Healthy Way Linseed 500g</v>
      </c>
      <c r="C1228" t="s">
        <v>483</v>
      </c>
      <c r="D1228">
        <v>0</v>
      </c>
    </row>
    <row r="1229" spans="2:4" x14ac:dyDescent="0.25">
      <c r="B1229" t="str">
        <f>HYPERLINK("https://www.chemistwarehouse.com.au/buy/72545/Healthy-Way-Linseed-Meal-500g"," Healthy Way Linseed Meal 500g")</f>
        <v xml:space="preserve"> Healthy Way Linseed Meal 500g</v>
      </c>
      <c r="C1229" t="s">
        <v>483</v>
      </c>
      <c r="D1229">
        <v>0</v>
      </c>
    </row>
    <row r="1230" spans="2:4" x14ac:dyDescent="0.25">
      <c r="B1230" t="str">
        <f>HYPERLINK("https://www.chemistwarehouse.com.au/buy/72546/Healthy-Way-LSA-Mix-500g"," Healthy Way LSA Mix 500g")</f>
        <v xml:space="preserve"> Healthy Way LSA Mix 500g</v>
      </c>
      <c r="C1230" t="s">
        <v>116</v>
      </c>
      <c r="D1230">
        <v>0</v>
      </c>
    </row>
    <row r="1231" spans="2:4" x14ac:dyDescent="0.25">
      <c r="B1231" t="str">
        <f>HYPERLINK("https://www.chemistwarehouse.com.au/buy/72137/Healthy-Way-Flaxseed-with-Chia-amp-Almond-300g"," Healthy Way Flaxseed with Chia &amp; Almond 300g")</f>
        <v xml:space="preserve"> Healthy Way Flaxseed with Chia &amp; Almond 300g</v>
      </c>
      <c r="C1231" t="s">
        <v>556</v>
      </c>
      <c r="D1231">
        <v>0</v>
      </c>
    </row>
    <row r="1232" spans="2:4" x14ac:dyDescent="0.25">
      <c r="B1232" t="str">
        <f>HYPERLINK("https://www.chemistwarehouse.com.au/buy/72532/Healthy-Way-Almonds-Kernels-200g"," Healthy Way Almonds Kernels 200g")</f>
        <v xml:space="preserve"> Healthy Way Almonds Kernels 200g</v>
      </c>
      <c r="C1232" t="s">
        <v>556</v>
      </c>
      <c r="D1232">
        <v>0</v>
      </c>
    </row>
    <row r="1233" spans="1:4" x14ac:dyDescent="0.25">
      <c r="B1233" t="str">
        <f>HYPERLINK("https://www.chemistwarehouse.com.au/buy/72534/Healthy-Way-Apricot-Delight-200g"," Healthy Way Apricot Delight 200g")</f>
        <v xml:space="preserve"> Healthy Way Apricot Delight 200g</v>
      </c>
      <c r="C1233" t="s">
        <v>556</v>
      </c>
      <c r="D1233">
        <v>0</v>
      </c>
    </row>
    <row r="1234" spans="1:4" x14ac:dyDescent="0.25">
      <c r="B1234" t="str">
        <f>HYPERLINK("https://www.chemistwarehouse.com.au/buy/72535/Healthy-Way-Apricots-200g"," Healthy Way Apricots 200g")</f>
        <v xml:space="preserve"> Healthy Way Apricots 200g</v>
      </c>
      <c r="C1234" t="s">
        <v>483</v>
      </c>
      <c r="D1234">
        <v>0</v>
      </c>
    </row>
    <row r="1235" spans="1:4" x14ac:dyDescent="0.25">
      <c r="A1235" t="s">
        <v>636</v>
      </c>
    </row>
    <row r="1236" spans="1:4" x14ac:dyDescent="0.25">
      <c r="B1236" t="str">
        <f>HYPERLINK("https://www.chemistwarehouse.com.au/buy/76517/Life-Space-Probiotic-For-Baby-60g-Powder"," Life Space Probiotic For Baby 60g Powder")</f>
        <v xml:space="preserve"> Life Space Probiotic For Baby 60g Powder</v>
      </c>
      <c r="C1236" t="s">
        <v>6</v>
      </c>
      <c r="D1236" t="s">
        <v>280</v>
      </c>
    </row>
    <row r="1237" spans="1:4" x14ac:dyDescent="0.25">
      <c r="B1237" t="str">
        <f>HYPERLINK("https://www.chemistwarehouse.com.au/buy/76272/Life-Space-Broad-Spectrum-Probiotic-60-Capsules"," Life Space Broad Spectrum Probiotic 60 Capsules")</f>
        <v xml:space="preserve"> Life Space Broad Spectrum Probiotic 60 Capsules</v>
      </c>
      <c r="C1237" t="s">
        <v>279</v>
      </c>
      <c r="D1237" t="s">
        <v>280</v>
      </c>
    </row>
    <row r="1238" spans="1:4" x14ac:dyDescent="0.25">
      <c r="B1238" t="str">
        <f>HYPERLINK("https://www.chemistwarehouse.com.au/buy/76513/Life-Space-100-Billion-Probiotic-30g-Powder"," Life Space 100 Billion Probiotic 30g Powder")</f>
        <v xml:space="preserve"> Life Space 100 Billion Probiotic 30g Powder</v>
      </c>
      <c r="C1238" t="s">
        <v>166</v>
      </c>
      <c r="D1238" t="s">
        <v>299</v>
      </c>
    </row>
    <row r="1239" spans="1:4" x14ac:dyDescent="0.25">
      <c r="B1239" t="str">
        <f>HYPERLINK("https://www.chemistwarehouse.com.au/buy/80229/Life-Space-Double-Strength-Probiotic-60-Capsules-Exclusive-Size"," Life Space Double Strength Probiotic 60 Capsules Exclusive Size")</f>
        <v xml:space="preserve"> Life Space Double Strength Probiotic 60 Capsules Exclusive Size</v>
      </c>
      <c r="C1239" t="s">
        <v>258</v>
      </c>
      <c r="D1239">
        <v>0</v>
      </c>
    </row>
    <row r="1240" spans="1:4" x14ac:dyDescent="0.25">
      <c r="B1240" t="str">
        <f>HYPERLINK("https://www.chemistwarehouse.com.au/buy/76516/Life-Space-Pregnancy-amp-Breastfeeding-Probiotic-60-Capsules"," Life Space Pregnancy &amp; Breastfeeding Probiotic 60 Capsules")</f>
        <v xml:space="preserve"> Life Space Pregnancy &amp; Breastfeeding Probiotic 60 Capsules</v>
      </c>
      <c r="C1240" t="s">
        <v>6</v>
      </c>
      <c r="D1240" t="s">
        <v>280</v>
      </c>
    </row>
    <row r="1241" spans="1:4" x14ac:dyDescent="0.25">
      <c r="B1241" t="str">
        <f>HYPERLINK("https://www.chemistwarehouse.com.au/buy/80228/Life-Space-Broad-Spectrum-Probiotic-120-Capsules-Exclusive-Size"," Life Space Broad Spectrum Probiotic 120 Capsules Exclusive Size")</f>
        <v xml:space="preserve"> Life Space Broad Spectrum Probiotic 120 Capsules Exclusive Size</v>
      </c>
      <c r="C1241" t="s">
        <v>258</v>
      </c>
      <c r="D1241">
        <v>0</v>
      </c>
    </row>
    <row r="1242" spans="1:4" x14ac:dyDescent="0.25">
      <c r="B1242" t="str">
        <f>HYPERLINK("https://www.chemistwarehouse.com.au/buy/80230/Life-Space-Probiotic-For-Baby-2x60g-Value-Pack-Exclusive-Size"," Life Space Probiotic For Baby 2x60g Value Pack Exclusive Size")</f>
        <v xml:space="preserve"> Life Space Probiotic For Baby 2x60g Value Pack Exclusive Size</v>
      </c>
      <c r="C1242" t="s">
        <v>258</v>
      </c>
      <c r="D1242">
        <v>0</v>
      </c>
    </row>
    <row r="1243" spans="1:4" x14ac:dyDescent="0.25">
      <c r="B1243" t="str">
        <f>HYPERLINK("https://www.chemistwarehouse.com.au/buy/76271/Life-Space-Probiotic-For-60-Years-60-Capsules"," Life Space Probiotic For 60+ Years 60 Capsules")</f>
        <v xml:space="preserve"> Life Space Probiotic For 60+ Years 60 Capsules</v>
      </c>
      <c r="C1243" t="s">
        <v>279</v>
      </c>
      <c r="D1243" t="s">
        <v>280</v>
      </c>
    </row>
    <row r="1244" spans="1:4" x14ac:dyDescent="0.25">
      <c r="B1244" t="str">
        <f>HYPERLINK("https://www.chemistwarehouse.com.au/buy/76515/Life-Space-Double-Strength-Probiotic-30-Capsules"," Life Space Double Strength Probiotic 30 Capsules")</f>
        <v xml:space="preserve"> Life Space Double Strength Probiotic 30 Capsules</v>
      </c>
      <c r="C1244" t="s">
        <v>279</v>
      </c>
      <c r="D1244" t="s">
        <v>280</v>
      </c>
    </row>
    <row r="1245" spans="1:4" x14ac:dyDescent="0.25">
      <c r="B1245" t="str">
        <f>HYPERLINK("https://www.chemistwarehouse.com.au/buy/81862/Life-Space-Childrens-Calcium-60-Soft-Gels"," Life Space Childrens Calcium 60 Soft Gels ")</f>
        <v xml:space="preserve"> Life Space Childrens Calcium 60 Soft Gels </v>
      </c>
      <c r="C1245" t="s">
        <v>1</v>
      </c>
      <c r="D1245" t="s">
        <v>46</v>
      </c>
    </row>
    <row r="1246" spans="1:4" x14ac:dyDescent="0.25">
      <c r="B1246" t="str">
        <f>HYPERLINK("https://www.chemistwarehouse.com.au/buy/81863/Life-Space-Childrens-DHA-Lutein-60-Soft-Gels"," Life Space Childrens DHA +Lutein 60 Soft Gels")</f>
        <v xml:space="preserve"> Life Space Childrens DHA +Lutein 60 Soft Gels</v>
      </c>
      <c r="C1246" t="s">
        <v>1</v>
      </c>
      <c r="D1246" t="s">
        <v>46</v>
      </c>
    </row>
    <row r="1247" spans="1:4" x14ac:dyDescent="0.25">
      <c r="B1247" t="str">
        <f>HYPERLINK("https://www.chemistwarehouse.com.au/buy/80232/Life-Space-Probiotic-Powder-For-Children-New-Formula-60g"," Life Space Probiotic Powder For Children New Formula 60g")</f>
        <v xml:space="preserve"> Life Space Probiotic Powder For Children New Formula 60g</v>
      </c>
      <c r="C1247" t="s">
        <v>6</v>
      </c>
      <c r="D1247" t="s">
        <v>280</v>
      </c>
    </row>
    <row r="1248" spans="1:4" x14ac:dyDescent="0.25">
      <c r="B1248" t="str">
        <f>HYPERLINK("https://www.chemistwarehouse.com.au/buy/76514/Life-Space-Broad-Spectrum-Probiotic-30-Capsules"," Life Space Broad Spectrum Probiotic 30 Capsules")</f>
        <v xml:space="preserve"> Life Space Broad Spectrum Probiotic 30 Capsules</v>
      </c>
      <c r="C1248" t="s">
        <v>58</v>
      </c>
      <c r="D1248" t="s">
        <v>164</v>
      </c>
    </row>
    <row r="1249" spans="1:4" x14ac:dyDescent="0.25">
      <c r="B1249" t="str">
        <f>HYPERLINK("https://www.chemistwarehouse.com.au/buy/80227/Life-Space-Bowel-Biotic-60-Capsules"," Life Space Bowel Biotic 60 Capsules")</f>
        <v xml:space="preserve"> Life Space Bowel Biotic 60 Capsules</v>
      </c>
      <c r="C1249" t="s">
        <v>279</v>
      </c>
      <c r="D1249" t="s">
        <v>280</v>
      </c>
    </row>
    <row r="1250" spans="1:4" x14ac:dyDescent="0.25">
      <c r="B1250" t="str">
        <f>HYPERLINK("https://www.chemistwarehouse.com.au/buy/77745/Life-Space-UroGenl-Shield-For-Women-60-Capsules"," Life Space UroGenl Shield For Women 60 Capsules")</f>
        <v xml:space="preserve"> Life Space UroGenl Shield For Women 60 Capsules</v>
      </c>
      <c r="C1250" t="s">
        <v>279</v>
      </c>
      <c r="D1250" t="s">
        <v>280</v>
      </c>
    </row>
    <row r="1251" spans="1:4" x14ac:dyDescent="0.25">
      <c r="B1251" t="str">
        <f>HYPERLINK("https://www.chemistwarehouse.com.au/buy/81864/Life-Space-Pregnancy-DHA-Lutein-60-Soft-Gels"," Life Space Pregnancy DHA +Lutein 60 Soft Gels")</f>
        <v xml:space="preserve"> Life Space Pregnancy DHA +Lutein 60 Soft Gels</v>
      </c>
      <c r="C1251" t="s">
        <v>279</v>
      </c>
      <c r="D1251" t="s">
        <v>280</v>
      </c>
    </row>
    <row r="1252" spans="1:4" x14ac:dyDescent="0.25">
      <c r="B1252" t="str">
        <f>HYPERLINK("https://www.chemistwarehouse.com.au/buy/81865/Life-Space-Probiotic-Friendly-Digestive-Enzymes-60-Capsules"," Life Space Probiotic Friendly Digestive Enzymes 60 Capsules")</f>
        <v xml:space="preserve"> Life Space Probiotic Friendly Digestive Enzymes 60 Capsules</v>
      </c>
      <c r="C1252" t="s">
        <v>279</v>
      </c>
      <c r="D1252" t="s">
        <v>280</v>
      </c>
    </row>
    <row r="1253" spans="1:4" x14ac:dyDescent="0.25">
      <c r="B1253" t="str">
        <f>HYPERLINK("https://www.chemistwarehouse.com.au/buy/80226/Life-Space-Babybiome-Probiotic-30-Sachets"," Life Space Babybiome Probiotic 30 Sachets")</f>
        <v xml:space="preserve"> Life Space Babybiome Probiotic 30 Sachets</v>
      </c>
      <c r="C1253" t="s">
        <v>258</v>
      </c>
      <c r="D1253">
        <v>0</v>
      </c>
    </row>
    <row r="1254" spans="1:4" x14ac:dyDescent="0.25">
      <c r="A1254" t="s">
        <v>637</v>
      </c>
    </row>
    <row r="1255" spans="1:4" x14ac:dyDescent="0.25">
      <c r="B1255" t="str">
        <f>HYPERLINK("https://www.chemistwarehouse.com.au/buy/76318/Isustain-Hospital-Quality-Chocolate-900g"," Isustain Hospital Quality Chocolate 900g")</f>
        <v xml:space="preserve"> Isustain Hospital Quality Chocolate 900g</v>
      </c>
      <c r="C1255" t="s">
        <v>1</v>
      </c>
      <c r="D1255" t="s">
        <v>104</v>
      </c>
    </row>
    <row r="1256" spans="1:4" x14ac:dyDescent="0.25">
      <c r="B1256" t="str">
        <f>HYPERLINK("https://www.chemistwarehouse.com.au/buy/76319/Isustain-Hospital-Quality-plus-Fibre-Chocolate-900g"," Isustain Hospital Quality plus Fibre Chocolate 900g")</f>
        <v xml:space="preserve"> Isustain Hospital Quality plus Fibre Chocolate 900g</v>
      </c>
      <c r="C1256" t="s">
        <v>173</v>
      </c>
      <c r="D1256" t="s">
        <v>104</v>
      </c>
    </row>
    <row r="1257" spans="1:4" x14ac:dyDescent="0.25">
      <c r="B1257" t="str">
        <f>HYPERLINK("https://www.chemistwarehouse.com.au/buy/76320/Isustain-Hospital-Quality-plus-Fibre-Vanilla-900g"," Isustain Hospital Quality plus Fibre Vanilla 900g")</f>
        <v xml:space="preserve"> Isustain Hospital Quality plus Fibre Vanilla 900g</v>
      </c>
      <c r="C1257" t="s">
        <v>173</v>
      </c>
      <c r="D1257" t="s">
        <v>104</v>
      </c>
    </row>
    <row r="1258" spans="1:4" x14ac:dyDescent="0.25">
      <c r="B1258" t="str">
        <f>HYPERLINK("https://www.chemistwarehouse.com.au/buy/76321/Isustain-Hospital-Quality-Vanilla-900g"," Isustain Hospital Quality Vanilla 900g")</f>
        <v xml:space="preserve"> Isustain Hospital Quality Vanilla 900g</v>
      </c>
      <c r="C1258" t="s">
        <v>1</v>
      </c>
      <c r="D1258" t="s">
        <v>104</v>
      </c>
    </row>
    <row r="1259" spans="1:4" x14ac:dyDescent="0.25">
      <c r="B1259" t="str">
        <f>HYPERLINK("https://www.chemistwarehouse.com.au/buy/79108/Isustain-4-Kids-Vanilla-800g"," Isustain 4 Kids Vanilla 800g")</f>
        <v xml:space="preserve"> Isustain 4 Kids Vanilla 800g</v>
      </c>
      <c r="C1259" t="s">
        <v>10</v>
      </c>
      <c r="D1259" t="s">
        <v>312</v>
      </c>
    </row>
    <row r="1260" spans="1:4" x14ac:dyDescent="0.25">
      <c r="B1260" t="str">
        <f>HYPERLINK("https://www.chemistwarehouse.com.au/buy/79109/Isustain-Diabetic-Vanilla-400g"," Isustain Diabetic Vanilla 400g")</f>
        <v xml:space="preserve"> Isustain Diabetic Vanilla 400g</v>
      </c>
      <c r="C1260" t="s">
        <v>58</v>
      </c>
      <c r="D1260" t="s">
        <v>312</v>
      </c>
    </row>
    <row r="1261" spans="1:4" x14ac:dyDescent="0.25">
      <c r="A1261" t="s">
        <v>638</v>
      </c>
    </row>
    <row r="1262" spans="1:4" x14ac:dyDescent="0.25">
      <c r="B1262" t="str">
        <f>HYPERLINK("https://www.chemistwarehouse.com.au/buy/66215/Fab-Iron-Vit-B-Zinc-60-Caps"," Fab Iron + Vit B + Zinc 60 Caps")</f>
        <v xml:space="preserve"> Fab Iron + Vit B + Zinc 60 Caps</v>
      </c>
      <c r="C1262" t="s">
        <v>237</v>
      </c>
      <c r="D1262" t="s">
        <v>157</v>
      </c>
    </row>
    <row r="1263" spans="1:4" x14ac:dyDescent="0.25">
      <c r="B1263" t="str">
        <f>HYPERLINK("https://www.chemistwarehouse.com.au/buy/66216/Fab-Iron-Vitamin-B-Complx-60-Tablets"," Fab Iron + Vitamin B Complx 60 Tablets")</f>
        <v xml:space="preserve"> Fab Iron + Vitamin B Complx 60 Tablets</v>
      </c>
      <c r="C1263" t="s">
        <v>237</v>
      </c>
      <c r="D1263" t="s">
        <v>157</v>
      </c>
    </row>
    <row r="1264" spans="1:4" x14ac:dyDescent="0.25">
      <c r="B1264" t="str">
        <f>HYPERLINK("https://www.chemistwarehouse.com.au/buy/67920/FAB-Iron-Liquid-Iron-250mL"," FAB Iron Liquid Iron 250mL")</f>
        <v xml:space="preserve"> FAB Iron Liquid Iron 250mL</v>
      </c>
      <c r="C1264" t="s">
        <v>61</v>
      </c>
      <c r="D1264" t="s">
        <v>150</v>
      </c>
    </row>
    <row r="1265" spans="1:4" x14ac:dyDescent="0.25">
      <c r="B1265" t="str">
        <f>HYPERLINK("https://www.chemistwarehouse.com.au/buy/67921/FAB-IRON-Liquid-Iron-20-x-10mL-Sachets"," FAB IRON Liquid Iron 20 x 10mL Sachets")</f>
        <v xml:space="preserve"> FAB IRON Liquid Iron 20 x 10mL Sachets</v>
      </c>
      <c r="C1265" t="s">
        <v>61</v>
      </c>
      <c r="D1265" t="s">
        <v>150</v>
      </c>
    </row>
    <row r="1266" spans="1:4" x14ac:dyDescent="0.25">
      <c r="A1266" t="s">
        <v>639</v>
      </c>
    </row>
    <row r="1267" spans="1:4" x14ac:dyDescent="0.25">
      <c r="B1267" t="str">
        <f>HYPERLINK("https://www.chemistwarehouse.com.au/buy/81443/Coco-Joy-Coconut-Milk-Cinnamon-330ml"," Coco Joy Coconut Milk Cinnamon 330ml")</f>
        <v xml:space="preserve"> Coco Joy Coconut Milk Cinnamon 330ml</v>
      </c>
      <c r="C1267" t="s">
        <v>146</v>
      </c>
      <c r="D1267" t="s">
        <v>640</v>
      </c>
    </row>
    <row r="1268" spans="1:4" x14ac:dyDescent="0.25">
      <c r="B1268" t="str">
        <f>HYPERLINK("https://www.chemistwarehouse.com.au/buy/81444/Coco-Joy-Coconut-Milk-Coffee-330ml"," Coco Joy Coconut Milk Coffee 330ml")</f>
        <v xml:space="preserve"> Coco Joy Coconut Milk Coffee 330ml</v>
      </c>
      <c r="C1268" t="s">
        <v>146</v>
      </c>
      <c r="D1268" t="s">
        <v>640</v>
      </c>
    </row>
    <row r="1269" spans="1:4" x14ac:dyDescent="0.25">
      <c r="B1269" t="str">
        <f>HYPERLINK("https://www.chemistwarehouse.com.au/buy/81445/Coco-Joy-Coconut-Milk-Vanillla-330ml"," Coco Joy Coconut Milk Vanillla 330ml")</f>
        <v xml:space="preserve"> Coco Joy Coconut Milk Vanillla 330ml</v>
      </c>
      <c r="C1269" t="s">
        <v>146</v>
      </c>
      <c r="D1269" t="s">
        <v>640</v>
      </c>
    </row>
    <row r="1270" spans="1:4" x14ac:dyDescent="0.25">
      <c r="B1270" t="str">
        <f>HYPERLINK("https://www.chemistwarehouse.com.au/buy/81446/Coco-Joy-Coconut-Water-with-Citrus-Juice-330ml"," Coco Joy Coconut Water with Citrus Juice 330ml")</f>
        <v xml:space="preserve"> Coco Joy Coconut Water with Citrus Juice 330ml</v>
      </c>
      <c r="C1270" t="s">
        <v>146</v>
      </c>
      <c r="D1270" t="s">
        <v>640</v>
      </c>
    </row>
    <row r="1271" spans="1:4" x14ac:dyDescent="0.25">
      <c r="B1271" t="str">
        <f>HYPERLINK("https://www.chemistwarehouse.com.au/buy/81447/Coco-Joy-Coconut-Water-with-Lime-Juice-330ml"," Coco Joy Coconut Water with Lime Juice 330ml")</f>
        <v xml:space="preserve"> Coco Joy Coconut Water with Lime Juice 330ml</v>
      </c>
      <c r="C1271" t="s">
        <v>146</v>
      </c>
      <c r="D1271" t="s">
        <v>640</v>
      </c>
    </row>
    <row r="1272" spans="1:4" x14ac:dyDescent="0.25">
      <c r="B1272" t="str">
        <f>HYPERLINK("https://www.chemistwarehouse.com.au/buy/81448/Coco-Joy-Coconut-Water-with-Mango-Juice-330ml"," Coco Joy Coconut Water with Mango Juice 330ml")</f>
        <v xml:space="preserve"> Coco Joy Coconut Water with Mango Juice 330ml</v>
      </c>
      <c r="C1272" t="s">
        <v>146</v>
      </c>
      <c r="D1272" t="s">
        <v>640</v>
      </c>
    </row>
    <row r="1273" spans="1:4" x14ac:dyDescent="0.25">
      <c r="B1273" t="str">
        <f>HYPERLINK("https://www.chemistwarehouse.com.au/buy/77652/Coco-Joy-Organic-Oil-500ml"," Coco Joy Organic Oil 500ml")</f>
        <v xml:space="preserve"> Coco Joy Organic Oil 500ml</v>
      </c>
      <c r="C1273" t="s">
        <v>103</v>
      </c>
      <c r="D1273" t="s">
        <v>115</v>
      </c>
    </row>
    <row r="1274" spans="1:4" x14ac:dyDescent="0.25">
      <c r="B1274" t="str">
        <f>HYPERLINK("https://www.chemistwarehouse.com.au/buy/81442/Coco-Joy-Coconut-Milk-Chocolate-330ml"," Coco Joy Coconut Milk Chocolate 330ml")</f>
        <v xml:space="preserve"> Coco Joy Coconut Milk Chocolate 330ml</v>
      </c>
      <c r="C1274" t="s">
        <v>146</v>
      </c>
      <c r="D1274" t="s">
        <v>640</v>
      </c>
    </row>
    <row r="1275" spans="1:4" x14ac:dyDescent="0.25">
      <c r="B1275" t="str">
        <f>HYPERLINK("https://www.chemistwarehouse.com.au/buy/81450/Coco-Joy-Organic-Coconut-Water-Can-330ml"," Coco Joy Organic Coconut Water Can 330ml")</f>
        <v xml:space="preserve"> Coco Joy Organic Coconut Water Can 330ml</v>
      </c>
      <c r="C1275" t="s">
        <v>146</v>
      </c>
      <c r="D1275" t="s">
        <v>640</v>
      </c>
    </row>
    <row r="1276" spans="1:4" x14ac:dyDescent="0.25">
      <c r="B1276" t="str">
        <f>HYPERLINK("https://www.chemistwarehouse.com.au/buy/81451/Coco-Joy-Organic-Coconut-Water-330ml"," Coco Joy Organic Coconut Water 330ml")</f>
        <v xml:space="preserve"> Coco Joy Organic Coconut Water 330ml</v>
      </c>
      <c r="C1276" t="s">
        <v>146</v>
      </c>
      <c r="D1276" t="s">
        <v>640</v>
      </c>
    </row>
    <row r="1277" spans="1:4" x14ac:dyDescent="0.25">
      <c r="B1277" t="str">
        <f>HYPERLINK("https://www.chemistwarehouse.com.au/buy/81449/Coco-Joy-Organic-Coconut-Water-1-Litre-PET"," Coco Joy Organic Coconut Water 1 Litre PET")</f>
        <v xml:space="preserve"> Coco Joy Organic Coconut Water 1 Litre PET</v>
      </c>
      <c r="C1277" t="s">
        <v>556</v>
      </c>
      <c r="D1277" t="s">
        <v>641</v>
      </c>
    </row>
    <row r="1278" spans="1:4" x14ac:dyDescent="0.25">
      <c r="A1278" t="s">
        <v>642</v>
      </c>
    </row>
    <row r="1279" spans="1:4" x14ac:dyDescent="0.25">
      <c r="B1279" t="str">
        <f>HYPERLINK("https://www.chemistwarehouse.com.au/buy/77895/Red-Seal-Tea-Raspberry-25-Teabags"," Red Seal Tea Raspberry 25 Teabags")</f>
        <v xml:space="preserve"> Red Seal Tea Raspberry 25 Teabags</v>
      </c>
      <c r="C1279" t="s">
        <v>556</v>
      </c>
      <c r="D1279" t="s">
        <v>643</v>
      </c>
    </row>
    <row r="1280" spans="1:4" x14ac:dyDescent="0.25">
      <c r="B1280" t="str">
        <f>HYPERLINK("https://www.chemistwarehouse.com.au/buy/77752/Red-Seal-Tea-Fruit-Peach-amp-Pineapple-20-Tea-Bags"," Red Seal Tea Fruit Peach &amp; Pineapple 20 Tea Bags")</f>
        <v xml:space="preserve"> Red Seal Tea Fruit Peach &amp; Pineapple 20 Tea Bags</v>
      </c>
      <c r="C1280" t="s">
        <v>326</v>
      </c>
      <c r="D1280" t="s">
        <v>327</v>
      </c>
    </row>
    <row r="1281" spans="1:4" x14ac:dyDescent="0.25">
      <c r="B1281" t="str">
        <f>HYPERLINK("https://www.chemistwarehouse.com.au/buy/77753/Red-Seal-Tea-Fruit-Strawberry-amp-Rhubarb-20-Tea-Bags"," Red Seal Tea Fruit Strawberry &amp; Rhubarb 20 Tea Bags")</f>
        <v xml:space="preserve"> Red Seal Tea Fruit Strawberry &amp; Rhubarb 20 Tea Bags</v>
      </c>
      <c r="C1281" t="s">
        <v>326</v>
      </c>
      <c r="D1281" t="s">
        <v>327</v>
      </c>
    </row>
    <row r="1282" spans="1:4" x14ac:dyDescent="0.25">
      <c r="B1282" t="str">
        <f>HYPERLINK("https://www.chemistwarehouse.com.au/buy/77748/Red-Seal-Tea-Fruit-Apple-amp-Elderflower-20-Tea-Bags"," Red Seal Tea Fruit Apple &amp; Elderflower 20 Tea Bags")</f>
        <v xml:space="preserve"> Red Seal Tea Fruit Apple &amp; Elderflower 20 Tea Bags</v>
      </c>
      <c r="C1282" t="s">
        <v>326</v>
      </c>
      <c r="D1282" t="s">
        <v>327</v>
      </c>
    </row>
    <row r="1283" spans="1:4" x14ac:dyDescent="0.25">
      <c r="B1283" t="str">
        <f>HYPERLINK("https://www.chemistwarehouse.com.au/buy/77749/Red-Seal-Tea-Fruit-Blood-Orange-20-Tea-bags"," Red Seal Tea Fruit Blood Orange 20 Tea bags")</f>
        <v xml:space="preserve"> Red Seal Tea Fruit Blood Orange 20 Tea bags</v>
      </c>
      <c r="C1283" t="s">
        <v>326</v>
      </c>
      <c r="D1283" t="s">
        <v>327</v>
      </c>
    </row>
    <row r="1284" spans="1:4" x14ac:dyDescent="0.25">
      <c r="B1284" t="str">
        <f>HYPERLINK("https://www.chemistwarehouse.com.au/buy/77750/Red-Seal-Tea-Fruit-Exotic-Fruits-20-Tea-Bags"," Red Seal Tea Fruit Exotic Fruits 20 Tea Bags")</f>
        <v xml:space="preserve"> Red Seal Tea Fruit Exotic Fruits 20 Tea Bags</v>
      </c>
      <c r="C1284" t="s">
        <v>326</v>
      </c>
      <c r="D1284" t="s">
        <v>327</v>
      </c>
    </row>
    <row r="1285" spans="1:4" x14ac:dyDescent="0.25">
      <c r="B1285" t="str">
        <f>HYPERLINK("https://www.chemistwarehouse.com.au/buy/77751/Red-Seal-Tea-Fruit-Lemon-amp-Ginger-20-Tea-Bags"," Red Seal Tea Fruit Lemon &amp; Ginger 20 Tea Bags")</f>
        <v xml:space="preserve"> Red Seal Tea Fruit Lemon &amp; Ginger 20 Tea Bags</v>
      </c>
      <c r="C1285" t="s">
        <v>326</v>
      </c>
      <c r="D1285" t="s">
        <v>327</v>
      </c>
    </row>
    <row r="1286" spans="1:4" x14ac:dyDescent="0.25">
      <c r="B1286" t="str">
        <f>HYPERLINK("https://www.chemistwarehouse.com.au/buy/77891/Red-Seal-Black-Adder-25-Tea-Bags"," Red Seal Black Adder 25 Tea Bags")</f>
        <v xml:space="preserve"> Red Seal Black Adder 25 Tea Bags</v>
      </c>
      <c r="C1286" t="s">
        <v>556</v>
      </c>
      <c r="D1286" t="s">
        <v>643</v>
      </c>
    </row>
    <row r="1287" spans="1:4" x14ac:dyDescent="0.25">
      <c r="B1287" t="str">
        <f>HYPERLINK("https://www.chemistwarehouse.com.au/buy/77892/Red-Seal-Peppermint-25-Tea-Bags"," Red Seal Peppermint 25 Tea Bags")</f>
        <v xml:space="preserve"> Red Seal Peppermint 25 Tea Bags</v>
      </c>
      <c r="C1287" t="s">
        <v>146</v>
      </c>
      <c r="D1287" t="s">
        <v>327</v>
      </c>
    </row>
    <row r="1288" spans="1:4" x14ac:dyDescent="0.25">
      <c r="B1288" t="str">
        <f>HYPERLINK("https://www.chemistwarehouse.com.au/buy/77893/Red-Seal-Relaxing-25-Tea-Bags"," Red Seal Relaxing 25 Tea Bags")</f>
        <v xml:space="preserve"> Red Seal Relaxing 25 Tea Bags</v>
      </c>
      <c r="C1288" t="s">
        <v>146</v>
      </c>
      <c r="D1288" t="s">
        <v>327</v>
      </c>
    </row>
    <row r="1289" spans="1:4" x14ac:dyDescent="0.25">
      <c r="B1289" t="str">
        <f>HYPERLINK("https://www.chemistwarehouse.com.au/buy/77894/Red-Seal-Tea-Green-Traditional-25-Tea-bags"," Red Seal Tea Green Traditional 25 Tea bags")</f>
        <v xml:space="preserve"> Red Seal Tea Green Traditional 25 Tea bags</v>
      </c>
      <c r="C1289" t="s">
        <v>146</v>
      </c>
      <c r="D1289" t="s">
        <v>327</v>
      </c>
    </row>
    <row r="1290" spans="1:4" x14ac:dyDescent="0.25">
      <c r="B1290" t="str">
        <f>HYPERLINK("https://www.chemistwarehouse.com.au/buy/78796/Red-Seal-Sweet-Dreams-25-Tea-Bags"," Red Seal Sweet Dreams 25 Tea Bags")</f>
        <v xml:space="preserve"> Red Seal Sweet Dreams 25 Tea Bags</v>
      </c>
      <c r="C1290" t="s">
        <v>556</v>
      </c>
      <c r="D1290" t="s">
        <v>643</v>
      </c>
    </row>
    <row r="1291" spans="1:4" x14ac:dyDescent="0.25">
      <c r="A1291" t="s">
        <v>644</v>
      </c>
    </row>
    <row r="1292" spans="1:4" x14ac:dyDescent="0.25">
      <c r="B1292" t="str">
        <f>HYPERLINK("https://www.chemistwarehouse.com.au/buy/78276/Lakewood-Pure-Tart-Cherry-946ml-Exclusive"," Lakewood Pure Tart Cherry 946ml Exclusive")</f>
        <v xml:space="preserve"> Lakewood Pure Tart Cherry 946ml Exclusive</v>
      </c>
      <c r="C1292" t="s">
        <v>80</v>
      </c>
      <c r="D1292">
        <v>0</v>
      </c>
    </row>
    <row r="1293" spans="1:4" x14ac:dyDescent="0.25">
      <c r="B1293" t="str">
        <f>HYPERLINK("https://www.chemistwarehouse.com.au/buy/78277/Lakewood-Black-Cherry-Juice-Pure-GF-946mL"," Lakewood Black Cherry Juice Pure GF 946mL")</f>
        <v xml:space="preserve"> Lakewood Black Cherry Juice Pure GF 946mL</v>
      </c>
      <c r="C1293" t="s">
        <v>45</v>
      </c>
      <c r="D1293" t="s">
        <v>104</v>
      </c>
    </row>
    <row r="1294" spans="1:4" x14ac:dyDescent="0.25">
      <c r="B1294" t="str">
        <f>HYPERLINK("https://www.chemistwarehouse.com.au/buy/78278/Lakewood-Pure-Aloe-946ml-Exclusive"," Lakewood Pure Aloe 946ml Exclusive")</f>
        <v xml:space="preserve"> Lakewood Pure Aloe 946ml Exclusive</v>
      </c>
      <c r="C1294" t="s">
        <v>45</v>
      </c>
      <c r="D1294" t="s">
        <v>312</v>
      </c>
    </row>
    <row r="1295" spans="1:4" x14ac:dyDescent="0.25">
      <c r="B1295" t="str">
        <f>HYPERLINK("https://www.chemistwarehouse.com.au/buy/78279/Lakewood-Cranberry-Juice-Pure-GF-946mL"," Lakewood Cranberry Juice Pure GF 946mL")</f>
        <v xml:space="preserve"> Lakewood Cranberry Juice Pure GF 946mL</v>
      </c>
      <c r="C1295" t="s">
        <v>58</v>
      </c>
      <c r="D1295" t="s">
        <v>104</v>
      </c>
    </row>
    <row r="1296" spans="1:4" x14ac:dyDescent="0.25">
      <c r="B1296" t="str">
        <f>HYPERLINK("https://www.chemistwarehouse.com.au/buy/78280/Lakewood-Pure-Prune-Juice-946ml-Exclusive"," Lakewood Pure Prune Juice 946ml Exclusive")</f>
        <v xml:space="preserve"> Lakewood Pure Prune Juice 946ml Exclusive</v>
      </c>
      <c r="C1296" t="s">
        <v>45</v>
      </c>
      <c r="D1296">
        <v>0</v>
      </c>
    </row>
    <row r="1297" spans="1:4" x14ac:dyDescent="0.25">
      <c r="A1297" t="s">
        <v>645</v>
      </c>
    </row>
    <row r="1298" spans="1:4" x14ac:dyDescent="0.25">
      <c r="B1298" t="str">
        <f>HYPERLINK("https://www.chemistwarehouse.com.au/buy/49870/SpaTone-100-Natural-Iron-Supplement-Sachets-28"," SpaTone 100% Natural Iron Supplement Sachets 28")</f>
        <v xml:space="preserve"> SpaTone 100% Natural Iron Supplement Sachets 28</v>
      </c>
      <c r="C1298" t="s">
        <v>297</v>
      </c>
      <c r="D1298" t="s">
        <v>646</v>
      </c>
    </row>
    <row r="1299" spans="1:4" x14ac:dyDescent="0.25">
      <c r="B1299" t="str">
        <f>HYPERLINK("https://www.chemistwarehouse.com.au/buy/48349/Spatone-100-Natural-Iron-Supplement-Sachets-14"," Spatone 100% Natural Iron Supplement Sachets 14")</f>
        <v xml:space="preserve"> Spatone 100% Natural Iron Supplement Sachets 14</v>
      </c>
      <c r="C1299" t="s">
        <v>63</v>
      </c>
      <c r="D1299" t="s">
        <v>647</v>
      </c>
    </row>
    <row r="1300" spans="1:4" x14ac:dyDescent="0.25">
      <c r="A1300" t="s">
        <v>648</v>
      </c>
    </row>
    <row r="1301" spans="1:4" x14ac:dyDescent="0.25">
      <c r="B1301" t="str">
        <f>HYPERLINK("https://www.chemistwarehouse.com.au/buy/78449/Maxigenes-Chewable-Milk-With-Blueberry-150-Tablets"," Maxigenes Chewable Milk With Blueberry 150 Tablets")</f>
        <v xml:space="preserve"> Maxigenes Chewable Milk With Blueberry 150 Tablets</v>
      </c>
      <c r="C1301" t="s">
        <v>80</v>
      </c>
      <c r="D1301" t="s">
        <v>150</v>
      </c>
    </row>
    <row r="1302" spans="1:4" x14ac:dyDescent="0.25">
      <c r="B1302" t="str">
        <f>HYPERLINK("https://www.chemistwarehouse.com.au/buy/78450/Maxigenes-Goat-Milk-Powder-400g"," Maxigenes Goat Milk Powder 400g")</f>
        <v xml:space="preserve"> Maxigenes Goat Milk Powder 400g</v>
      </c>
      <c r="C1302" t="s">
        <v>8</v>
      </c>
      <c r="D1302" t="s">
        <v>576</v>
      </c>
    </row>
    <row r="1303" spans="1:4" x14ac:dyDescent="0.25">
      <c r="B1303" t="str">
        <f>HYPERLINK("https://www.chemistwarehouse.com.au/buy/78451/Maxigenes-Sheep-Milk-Powder-400g"," Maxigenes Sheep Milk Powder 400g")</f>
        <v xml:space="preserve"> Maxigenes Sheep Milk Powder 400g</v>
      </c>
      <c r="C1303" t="s">
        <v>1</v>
      </c>
      <c r="D1303" t="s">
        <v>150</v>
      </c>
    </row>
    <row r="1304" spans="1:4" x14ac:dyDescent="0.25">
      <c r="A1304" t="s">
        <v>649</v>
      </c>
    </row>
    <row r="1305" spans="1:4" x14ac:dyDescent="0.25">
      <c r="B1305" t="str">
        <f>HYPERLINK("https://www.chemistwarehouse.com.au/buy/79308/VOOST-Cranberry-Effervescent-10-Tablets"," VOOST Cranberry Effervescent 10 Tablets")</f>
        <v xml:space="preserve"> VOOST Cranberry Effervescent 10 Tablets</v>
      </c>
      <c r="C1305" t="s">
        <v>483</v>
      </c>
      <c r="D1305" t="s">
        <v>312</v>
      </c>
    </row>
    <row r="1306" spans="1:4" x14ac:dyDescent="0.25">
      <c r="B1306" t="str">
        <f>HYPERLINK("https://www.chemistwarehouse.com.au/buy/78959/VOOST-Multivitamin-Effervescent-10-Tablets"," VOOST Multivitamin Effervescent 10 Tablets")</f>
        <v xml:space="preserve"> VOOST Multivitamin Effervescent 10 Tablets</v>
      </c>
      <c r="C1306" t="s">
        <v>483</v>
      </c>
      <c r="D1306" t="s">
        <v>312</v>
      </c>
    </row>
    <row r="1307" spans="1:4" x14ac:dyDescent="0.25">
      <c r="B1307" t="str">
        <f>HYPERLINK("https://www.chemistwarehouse.com.au/buy/78958/VOOST-Magnesium-Effervescent-10-Tablets"," VOOST Magnesium Effervescent 10 Tablets")</f>
        <v xml:space="preserve"> VOOST Magnesium Effervescent 10 Tablets</v>
      </c>
      <c r="C1307" t="s">
        <v>483</v>
      </c>
      <c r="D1307" t="s">
        <v>312</v>
      </c>
    </row>
    <row r="1308" spans="1:4" x14ac:dyDescent="0.25">
      <c r="B1308" t="str">
        <f>HYPERLINK("https://www.chemistwarehouse.com.au/buy/79309/VOOST-Energy-Effervescent-10-Tablets"," VOOST Energy Effervescent 10 Tablets")</f>
        <v xml:space="preserve"> VOOST Energy Effervescent 10 Tablets</v>
      </c>
      <c r="C1308" t="s">
        <v>483</v>
      </c>
      <c r="D1308" t="s">
        <v>312</v>
      </c>
    </row>
    <row r="1309" spans="1:4" x14ac:dyDescent="0.25">
      <c r="B1309" t="str">
        <f>HYPERLINK("https://www.chemistwarehouse.com.au/buy/79310/VOOST-Glucosamine-Effercescent-10-Tablets"," VOOST Glucosamine Effercescent 10 Tablets")</f>
        <v xml:space="preserve"> VOOST Glucosamine Effercescent 10 Tablets</v>
      </c>
      <c r="C1309" t="s">
        <v>483</v>
      </c>
      <c r="D1309" t="s">
        <v>312</v>
      </c>
    </row>
    <row r="1310" spans="1:4" x14ac:dyDescent="0.25">
      <c r="B1310" t="str">
        <f>HYPERLINK("https://www.chemistwarehouse.com.au/buy/78955/VOOST-Calcium-Effervescent-10-Tablets"," VOOST Calcium Effervescent 10 Tablets")</f>
        <v xml:space="preserve"> VOOST Calcium Effervescent 10 Tablets</v>
      </c>
      <c r="C1310" t="s">
        <v>483</v>
      </c>
      <c r="D1310" t="s">
        <v>312</v>
      </c>
    </row>
    <row r="1311" spans="1:4" x14ac:dyDescent="0.25">
      <c r="B1311" t="str">
        <f>HYPERLINK("https://www.chemistwarehouse.com.au/buy/78956/VOOST-Isotonic-Lemon-amp-Lime-Effervescent-10-Tablets"," VOOST Isotonic Lemon &amp; Lime Effervescent 10 Tablets")</f>
        <v xml:space="preserve"> VOOST Isotonic Lemon &amp; Lime Effervescent 10 Tablets</v>
      </c>
      <c r="C1311" t="s">
        <v>45</v>
      </c>
      <c r="D1311" t="s">
        <v>115</v>
      </c>
    </row>
    <row r="1312" spans="1:4" x14ac:dyDescent="0.25">
      <c r="B1312" t="str">
        <f>HYPERLINK("https://www.chemistwarehouse.com.au/buy/78957/VOOST-Isotonic-Orange-Effervescent-10-Tablets"," VOOST Isotonic Orange Effervescent 10 Tablets")</f>
        <v xml:space="preserve"> VOOST Isotonic Orange Effervescent 10 Tablets</v>
      </c>
      <c r="C1312" t="s">
        <v>45</v>
      </c>
      <c r="D1312" t="s">
        <v>115</v>
      </c>
    </row>
    <row r="1313" spans="1:4" x14ac:dyDescent="0.25">
      <c r="B1313" t="str">
        <f>HYPERLINK("https://www.chemistwarehouse.com.au/buy/78960/VOOST-Vitamin-B-Effervescent-10-Tablets"," VOOST Vitamin B Effervescent 10 Tablets")</f>
        <v xml:space="preserve"> VOOST Vitamin B Effervescent 10 Tablets</v>
      </c>
      <c r="C1313" t="s">
        <v>483</v>
      </c>
      <c r="D1313" t="s">
        <v>312</v>
      </c>
    </row>
    <row r="1314" spans="1:4" x14ac:dyDescent="0.25">
      <c r="B1314" t="str">
        <f>HYPERLINK("https://www.chemistwarehouse.com.au/buy/78961/VOOST-Vitamin-C-Effervescent-10-Tablets"," VOOST Vitamin C Effervescent 10 Tablets")</f>
        <v xml:space="preserve"> VOOST Vitamin C Effervescent 10 Tablets</v>
      </c>
      <c r="C1314" t="s">
        <v>483</v>
      </c>
      <c r="D1314" t="s">
        <v>312</v>
      </c>
    </row>
    <row r="1315" spans="1:4" x14ac:dyDescent="0.25">
      <c r="B1315" t="str">
        <f>HYPERLINK("https://www.chemistwarehouse.com.au/buy/78962/VOOST-Vitamin-D-Effervescent-10-Tablets"," VOOST Vitamin D Effervescent 10 Tablets")</f>
        <v xml:space="preserve"> VOOST Vitamin D Effervescent 10 Tablets</v>
      </c>
      <c r="C1315" t="s">
        <v>483</v>
      </c>
      <c r="D1315" t="s">
        <v>312</v>
      </c>
    </row>
    <row r="1316" spans="1:4" x14ac:dyDescent="0.25">
      <c r="A1316" t="s">
        <v>650</v>
      </c>
    </row>
    <row r="1317" spans="1:4" x14ac:dyDescent="0.25">
      <c r="B1317" t="str">
        <f>HYPERLINK("https://www.chemistwarehouse.com.au/buy/79155/Flordis-Legalon-60-Capsules"," Flordis Legalon 60 Capsules")</f>
        <v xml:space="preserve"> Flordis Legalon 60 Capsules</v>
      </c>
      <c r="C1317" t="s">
        <v>267</v>
      </c>
      <c r="D1317" t="s">
        <v>405</v>
      </c>
    </row>
    <row r="1318" spans="1:4" x14ac:dyDescent="0.25">
      <c r="B1318" t="str">
        <f>HYPERLINK("https://www.chemistwarehouse.com.au/buy/79156/Flordis-Premular-30-Tablets"," Flordis Premular 30 Tablets")</f>
        <v xml:space="preserve"> Flordis Premular 30 Tablets</v>
      </c>
      <c r="C1318" t="s">
        <v>248</v>
      </c>
      <c r="D1318" t="s">
        <v>165</v>
      </c>
    </row>
    <row r="1319" spans="1:4" x14ac:dyDescent="0.25">
      <c r="B1319" t="str">
        <f>HYPERLINK("https://www.chemistwarehouse.com.au/buy/79187/Flordis-Nuvexa-Tablets-90"," Flordis Nuvexa Tablets 90")</f>
        <v xml:space="preserve"> Flordis Nuvexa Tablets 90</v>
      </c>
      <c r="C1319" t="s">
        <v>266</v>
      </c>
      <c r="D1319" t="s">
        <v>356</v>
      </c>
    </row>
    <row r="1320" spans="1:4" x14ac:dyDescent="0.25">
      <c r="B1320" t="str">
        <f>HYPERLINK("https://www.chemistwarehouse.com.au/buy/79188/Flordis-ReDormin-60-Tablets"," Flordis ReDormin 60 Tablets")</f>
        <v xml:space="preserve"> Flordis ReDormin 60 Tablets</v>
      </c>
      <c r="C1320" t="s">
        <v>297</v>
      </c>
      <c r="D1320" t="s">
        <v>651</v>
      </c>
    </row>
    <row r="1321" spans="1:4" x14ac:dyDescent="0.25">
      <c r="B1321" t="str">
        <f>HYPERLINK("https://www.chemistwarehouse.com.au/buy/79151/Flordis-Ellura-Capsules-15"," Flordis Ellura Capsules 15 ")</f>
        <v xml:space="preserve"> Flordis Ellura Capsules 15 </v>
      </c>
      <c r="C1321" t="s">
        <v>6</v>
      </c>
      <c r="D1321" t="s">
        <v>652</v>
      </c>
    </row>
    <row r="1322" spans="1:4" x14ac:dyDescent="0.25">
      <c r="B1322" t="str">
        <f>HYPERLINK("https://www.chemistwarehouse.com.au/buy/79152/Flordis-Femular-30-Tablets"," Flordis Femular 30 Tablets")</f>
        <v xml:space="preserve"> Flordis Femular 30 Tablets</v>
      </c>
      <c r="C1322" t="s">
        <v>248</v>
      </c>
      <c r="D1322" t="s">
        <v>165</v>
      </c>
    </row>
    <row r="1323" spans="1:4" x14ac:dyDescent="0.25">
      <c r="B1323" t="str">
        <f>HYPERLINK("https://www.chemistwarehouse.com.au/buy/79153/Flordis-Femular-Forte-Tablets-90"," Flordis Femular Forte Tablets 90")</f>
        <v xml:space="preserve"> Flordis Femular Forte Tablets 90</v>
      </c>
      <c r="C1323" t="s">
        <v>614</v>
      </c>
      <c r="D1323" t="s">
        <v>347</v>
      </c>
    </row>
    <row r="1324" spans="1:4" x14ac:dyDescent="0.25">
      <c r="B1324" t="str">
        <f>HYPERLINK("https://www.chemistwarehouse.com.au/buy/79154/Flordis-Keen-Mind-60-Capsules"," Flordis Keen Mind 60 Capsules")</f>
        <v xml:space="preserve"> Flordis Keen Mind 60 Capsules</v>
      </c>
      <c r="C1324" t="s">
        <v>6</v>
      </c>
      <c r="D1324" t="s">
        <v>653</v>
      </c>
    </row>
    <row r="1325" spans="1:4" x14ac:dyDescent="0.25">
      <c r="B1325" t="str">
        <f>HYPERLINK("https://www.chemistwarehouse.com.au/buy/79157/Flordis-Remotiv-60-Tablets"," Flordis Remotiv 60 Tablets")</f>
        <v xml:space="preserve"> Flordis Remotiv 60 Tablets</v>
      </c>
      <c r="C1325" t="s">
        <v>267</v>
      </c>
      <c r="D1325" t="s">
        <v>405</v>
      </c>
    </row>
    <row r="1326" spans="1:4" x14ac:dyDescent="0.25">
      <c r="A1326" t="s">
        <v>654</v>
      </c>
    </row>
    <row r="1327" spans="1:4" x14ac:dyDescent="0.25">
      <c r="B1327" t="str">
        <f>HYPERLINK("https://www.chemistwarehouse.com.au/buy/79182/Floradix-Floravital-500ml"," Floradix Floravital 500ml")</f>
        <v xml:space="preserve"> Floradix Floravital 500ml</v>
      </c>
      <c r="C1327" t="s">
        <v>655</v>
      </c>
      <c r="D1327" t="s">
        <v>225</v>
      </c>
    </row>
    <row r="1328" spans="1:4" x14ac:dyDescent="0.25">
      <c r="B1328" t="str">
        <f>HYPERLINK("https://www.chemistwarehouse.com.au/buy/79183/Floradix-Iron-Form-250ml"," Floradix Iron Form 250ml")</f>
        <v xml:space="preserve"> Floradix Iron Form 250ml</v>
      </c>
      <c r="C1328" t="s">
        <v>387</v>
      </c>
      <c r="D1328" t="s">
        <v>561</v>
      </c>
    </row>
    <row r="1329" spans="1:4" x14ac:dyDescent="0.25">
      <c r="B1329" t="str">
        <f>HYPERLINK("https://www.chemistwarehouse.com.au/buy/79184/Floradix-Iron-Form-500ml"," Floradix Iron Form 500ml")</f>
        <v xml:space="preserve"> Floradix Iron Form 500ml</v>
      </c>
      <c r="C1329" t="s">
        <v>216</v>
      </c>
      <c r="D1329" t="s">
        <v>283</v>
      </c>
    </row>
    <row r="1330" spans="1:4" x14ac:dyDescent="0.25">
      <c r="B1330" t="str">
        <f>HYPERLINK("https://www.chemistwarehouse.com.au/buy/79185/Floradix-Kinder-Vital-250ml"," Floradix Kinder Vital 250ml")</f>
        <v xml:space="preserve"> Floradix Kinder Vital 250ml</v>
      </c>
      <c r="C1330" t="s">
        <v>387</v>
      </c>
      <c r="D1330" t="s">
        <v>561</v>
      </c>
    </row>
    <row r="1331" spans="1:4" x14ac:dyDescent="0.25">
      <c r="B1331" t="str">
        <f>HYPERLINK("https://www.chemistwarehouse.com.au/buy/79186/Floradix-Magnesium-Drink-250ml"," Floradix Magnesium Drink 250ml")</f>
        <v xml:space="preserve"> Floradix Magnesium Drink 250ml</v>
      </c>
      <c r="C1331" t="s">
        <v>387</v>
      </c>
      <c r="D1331" t="s">
        <v>561</v>
      </c>
    </row>
    <row r="1332" spans="1:4" x14ac:dyDescent="0.25">
      <c r="B1332" t="str">
        <f>HYPERLINK("https://www.chemistwarehouse.com.au/buy/79181/Floradix-Floravital-250ml"," Floradix Floravital 250ml")</f>
        <v xml:space="preserve"> Floradix Floravital 250ml</v>
      </c>
      <c r="C1332" t="s">
        <v>387</v>
      </c>
      <c r="D1332" t="s">
        <v>561</v>
      </c>
    </row>
    <row r="1333" spans="1:4" x14ac:dyDescent="0.25">
      <c r="A1333" t="s">
        <v>656</v>
      </c>
    </row>
    <row r="1334" spans="1:4" x14ac:dyDescent="0.25">
      <c r="B1334" t="str">
        <f>HYPERLINK("https://www.chemistwarehouse.com.au/buy/51669/Ethical-Nutrients-Inner-Health-Plus-Dairy-Free-90-Capsules"," Ethical Nutrients Inner Health Plus Dairy Free 90 Capsules")</f>
        <v xml:space="preserve"> Ethical Nutrients Inner Health Plus Dairy Free 90 Capsules</v>
      </c>
      <c r="C1334" t="s">
        <v>345</v>
      </c>
      <c r="D1334" t="s">
        <v>657</v>
      </c>
    </row>
    <row r="1335" spans="1:4" x14ac:dyDescent="0.25">
      <c r="B1335" t="str">
        <f>HYPERLINK("https://www.chemistwarehouse.com.au/buy/81560/Ethical-Nutrients-Inner-Health-On-The-Go-60-Capsules"," Ethical Nutrients Inner Health On The Go 60 Capsules")</f>
        <v xml:space="preserve"> Ethical Nutrients Inner Health On The Go 60 Capsules</v>
      </c>
      <c r="C1335" t="s">
        <v>266</v>
      </c>
      <c r="D1335" t="s">
        <v>81</v>
      </c>
    </row>
    <row r="1336" spans="1:4" x14ac:dyDescent="0.25">
      <c r="B1336" t="str">
        <f>HYPERLINK("https://www.chemistwarehouse.com.au/buy/49436/Ethical-Nutrients-Inner-Health-Plus-90-Capsules"," Ethical Nutrients Inner Health Plus 90 Capsules")</f>
        <v xml:space="preserve"> Ethical Nutrients Inner Health Plus 90 Capsules</v>
      </c>
      <c r="C1336" t="s">
        <v>345</v>
      </c>
      <c r="D1336" t="s">
        <v>657</v>
      </c>
    </row>
    <row r="1337" spans="1:4" x14ac:dyDescent="0.25">
      <c r="B1337" t="str">
        <f>HYPERLINK("https://www.chemistwarehouse.com.au/buy/64170/Ethical-Nutrients-Inner-Health-Candex-30-Capsules"," Ethical Nutrients Inner Health Candex 30 Capsules")</f>
        <v xml:space="preserve"> Ethical Nutrients Inner Health Candex 30 Capsules</v>
      </c>
      <c r="C1337" t="s">
        <v>469</v>
      </c>
      <c r="D1337" t="s">
        <v>658</v>
      </c>
    </row>
    <row r="1338" spans="1:4" x14ac:dyDescent="0.25">
      <c r="B1338" t="str">
        <f>HYPERLINK("https://www.chemistwarehouse.com.au/buy/64793/Ethical-Nutrients-Inner-Health-Immune-Booster-for-Kids-50g"," Ethical Nutrients Inner Health Immune Booster for Kids 50g")</f>
        <v xml:space="preserve"> Ethical Nutrients Inner Health Immune Booster for Kids 50g</v>
      </c>
      <c r="C1338" t="s">
        <v>63</v>
      </c>
      <c r="D1338" t="s">
        <v>361</v>
      </c>
    </row>
    <row r="1339" spans="1:4" x14ac:dyDescent="0.25">
      <c r="B1339" t="str">
        <f>HYPERLINK("https://www.chemistwarehouse.com.au/buy/64794/Ethical-Nutrients-Inner-Health-Powder-100g"," Ethical Nutrients Inner Health Powder 100g")</f>
        <v xml:space="preserve"> Ethical Nutrients Inner Health Powder 100g</v>
      </c>
      <c r="C1339" t="s">
        <v>163</v>
      </c>
      <c r="D1339" t="s">
        <v>501</v>
      </c>
    </row>
    <row r="1340" spans="1:4" x14ac:dyDescent="0.25">
      <c r="B1340" t="str">
        <f>HYPERLINK("https://www.chemistwarehouse.com.au/buy/72665/Ethical-Nutrients-Inner-Health-Immune-Booster-for-Adults"," Ethical Nutrients Inner Health Immune Booster for Adults")</f>
        <v xml:space="preserve"> Ethical Nutrients Inner Health Immune Booster for Adults</v>
      </c>
      <c r="C1340" t="s">
        <v>161</v>
      </c>
      <c r="D1340" t="s">
        <v>93</v>
      </c>
    </row>
    <row r="1341" spans="1:4" x14ac:dyDescent="0.25">
      <c r="B1341" t="str">
        <f>HYPERLINK("https://www.chemistwarehouse.com.au/buy/81559/Ethical-Nutrients-Inner-Health-On-The-Go-30-Capsules"," Ethical Nutrients Inner Health On The Go 30 Capsules")</f>
        <v xml:space="preserve"> Ethical Nutrients Inner Health On The Go 30 Capsules</v>
      </c>
      <c r="C1341" t="s">
        <v>8</v>
      </c>
      <c r="D1341" t="s">
        <v>159</v>
      </c>
    </row>
    <row r="1342" spans="1:4" x14ac:dyDescent="0.25">
      <c r="B1342" t="str">
        <f>HYPERLINK("https://www.chemistwarehouse.com.au/buy/51937/Ethical-Nutrients-Inner-Health-for-Kids-50g-Powder"," Ethical Nutrients Inner Health for Kids 50g Powder")</f>
        <v xml:space="preserve"> Ethical Nutrients Inner Health for Kids 50g Powder</v>
      </c>
      <c r="C1342" t="s">
        <v>63</v>
      </c>
      <c r="D1342" t="s">
        <v>361</v>
      </c>
    </row>
    <row r="1343" spans="1:4" x14ac:dyDescent="0.25">
      <c r="B1343" t="str">
        <f>HYPERLINK("https://www.chemistwarehouse.com.au/buy/56081/Ethical-Nutrients-Inner-Health-Powder-Dairy-Free-40g"," Ethical Nutrients Inner Health Powder Dairy Free 40g")</f>
        <v xml:space="preserve"> Ethical Nutrients Inner Health Powder Dairy Free 40g</v>
      </c>
      <c r="C1343" t="s">
        <v>161</v>
      </c>
      <c r="D1343" t="s">
        <v>93</v>
      </c>
    </row>
    <row r="1344" spans="1:4" x14ac:dyDescent="0.25">
      <c r="B1344" t="str">
        <f>HYPERLINK("https://www.chemistwarehouse.com.au/buy/64165/Ethical-Nutrients-Inner-Health-Plus-for-Kids-Powder-100g"," Ethical Nutrients Inner Health Plus for Kids Powder 100g ")</f>
        <v xml:space="preserve"> Ethical Nutrients Inner Health Plus for Kids Powder 100g </v>
      </c>
      <c r="C1344" t="s">
        <v>111</v>
      </c>
      <c r="D1344" t="s">
        <v>367</v>
      </c>
    </row>
    <row r="1345" spans="1:4" x14ac:dyDescent="0.25">
      <c r="B1345" t="str">
        <f>HYPERLINK("https://www.chemistwarehouse.com.au/buy/31493/Ethical-Nutrients-Inner-Health-Powder-50g"," Ethical Nutrients Inner Health Powder 50g")</f>
        <v xml:space="preserve"> Ethical Nutrients Inner Health Powder 50g</v>
      </c>
      <c r="C1345" t="s">
        <v>161</v>
      </c>
      <c r="D1345" t="s">
        <v>93</v>
      </c>
    </row>
    <row r="1346" spans="1:4" x14ac:dyDescent="0.25">
      <c r="B1346" t="str">
        <f>HYPERLINK("https://www.chemistwarehouse.com.au/buy/40650/Ethical-Nutrients-Inner-Health-Plus-30-Capsules"," Ethical Nutrients Inner Health Plus 30 Capsules")</f>
        <v xml:space="preserve"> Ethical Nutrients Inner Health Plus 30 Capsules</v>
      </c>
      <c r="C1346" t="s">
        <v>61</v>
      </c>
      <c r="D1346" t="s">
        <v>341</v>
      </c>
    </row>
    <row r="1347" spans="1:4" x14ac:dyDescent="0.25">
      <c r="B1347" t="str">
        <f>HYPERLINK("https://www.chemistwarehouse.com.au/buy/41768/Ethical-Nutrients-Inner-Health-Plus-Dairy-Free-30-Capsules"," Ethical Nutrients Inner Health Plus Dairy Free 30 Capsules")</f>
        <v xml:space="preserve"> Ethical Nutrients Inner Health Plus Dairy Free 30 Capsules</v>
      </c>
      <c r="C1347" t="s">
        <v>61</v>
      </c>
      <c r="D1347" t="s">
        <v>341</v>
      </c>
    </row>
    <row r="1348" spans="1:4" x14ac:dyDescent="0.25">
      <c r="B1348" t="str">
        <f>HYPERLINK("https://www.chemistwarehouse.com.au/buy/81561/Ethical-Nutrients-Inner-Health-Pregnancy-and-Breastfeeding-30-Capsules"," Ethical Nutrients Inner Health Pregnancy and Breastfeeding 30 Capsules")</f>
        <v xml:space="preserve"> Ethical Nutrients Inner Health Pregnancy and Breastfeeding 30 Capsules</v>
      </c>
      <c r="C1348" t="s">
        <v>279</v>
      </c>
      <c r="D1348" t="s">
        <v>343</v>
      </c>
    </row>
    <row r="1349" spans="1:4" x14ac:dyDescent="0.25">
      <c r="A1349" t="s">
        <v>659</v>
      </c>
    </row>
    <row r="1350" spans="1:4" x14ac:dyDescent="0.25">
      <c r="B1350" t="str">
        <f>HYPERLINK("https://www.chemistwarehouse.com.au/buy/81968/Green-Tea-X50-15-Serve-Assorted"," Green Tea X50 15 Serve Assorted")</f>
        <v xml:space="preserve"> Green Tea X50 15 Serve Assorted</v>
      </c>
      <c r="C1350" t="s">
        <v>187</v>
      </c>
      <c r="D1350" t="s">
        <v>160</v>
      </c>
    </row>
    <row r="1351" spans="1:4" x14ac:dyDescent="0.25">
      <c r="B1351" t="str">
        <f>HYPERLINK("https://www.chemistwarehouse.com.au/buy/81969/Green-Tea-X50-Assorted-60"," Green Tea X50 Assorted 60")</f>
        <v xml:space="preserve"> Green Tea X50 Assorted 60</v>
      </c>
      <c r="C1351" t="s">
        <v>113</v>
      </c>
      <c r="D1351" t="s">
        <v>373</v>
      </c>
    </row>
    <row r="1352" spans="1:4" x14ac:dyDescent="0.25">
      <c r="B1352" t="str">
        <f>HYPERLINK("https://www.chemistwarehouse.com.au/buy/81970/Green-Tea-X50-Mango-60"," Green Tea X50 Mango 60")</f>
        <v xml:space="preserve"> Green Tea X50 Mango 60</v>
      </c>
      <c r="C1352" t="s">
        <v>113</v>
      </c>
      <c r="D1352" t="s">
        <v>373</v>
      </c>
    </row>
    <row r="1353" spans="1:4" x14ac:dyDescent="0.25">
      <c r="B1353" t="str">
        <f>HYPERLINK("https://www.chemistwarehouse.com.au/buy/81971/Green-Tea-X50-Passionfruit-60"," Green Tea X50 Passionfruit 60")</f>
        <v xml:space="preserve"> Green Tea X50 Passionfruit 60</v>
      </c>
      <c r="C1353" t="s">
        <v>113</v>
      </c>
      <c r="D1353" t="s">
        <v>373</v>
      </c>
    </row>
    <row r="1354" spans="1:4" x14ac:dyDescent="0.25">
      <c r="B1354" t="str">
        <f>HYPERLINK("https://www.chemistwarehouse.com.au/buy/81972/Green-Tea-X50-Raspberry-60"," Green Tea X50 Raspberry 60")</f>
        <v xml:space="preserve"> Green Tea X50 Raspberry 60</v>
      </c>
      <c r="C1354" t="s">
        <v>113</v>
      </c>
      <c r="D1354" t="s">
        <v>373</v>
      </c>
    </row>
    <row r="1355" spans="1:4" x14ac:dyDescent="0.25">
      <c r="B1355" t="str">
        <f>HYPERLINK("https://www.chemistwarehouse.com.au/buy/81973/Green-Tea-X50-Tropical-60"," Green Tea X50 Tropical 60")</f>
        <v xml:space="preserve"> Green Tea X50 Tropical 60</v>
      </c>
      <c r="C1355" t="s">
        <v>113</v>
      </c>
      <c r="D1355" t="s">
        <v>373</v>
      </c>
    </row>
    <row r="1356" spans="1:4" x14ac:dyDescent="0.25">
      <c r="A1356" t="s">
        <v>660</v>
      </c>
    </row>
    <row r="1357" spans="1:4" x14ac:dyDescent="0.25">
      <c r="B1357" t="str">
        <f>HYPERLINK("https://www.chemistwarehouse.com.au/buy/80486/Meta-Align-Capsules-63"," Meta Align Capsules 63")</f>
        <v xml:space="preserve"> Meta Align Capsules 63</v>
      </c>
      <c r="C1357" t="s">
        <v>472</v>
      </c>
      <c r="D1357">
        <v>0</v>
      </c>
    </row>
    <row r="1358" spans="1:4" x14ac:dyDescent="0.25">
      <c r="B1358" t="str">
        <f>HYPERLINK("https://www.chemistwarehouse.com.au/buy/80485/Meta-Align-Capsules-28"," Meta Align Capsules 28")</f>
        <v xml:space="preserve"> Meta Align Capsules 28</v>
      </c>
      <c r="C1358" t="s">
        <v>279</v>
      </c>
      <c r="D1358" t="s">
        <v>661</v>
      </c>
    </row>
    <row r="1359" spans="1:4" x14ac:dyDescent="0.25">
      <c r="A1359" t="s">
        <v>662</v>
      </c>
    </row>
    <row r="1360" spans="1:4" x14ac:dyDescent="0.25">
      <c r="B1360" t="str">
        <f>HYPERLINK("https://www.chemistwarehouse.com.au/buy/82280/Natures-Sunshine-Bergamot-60-Tablets"," Natures Sunshine Bergamot 60 Tablets")</f>
        <v xml:space="preserve"> Natures Sunshine Bergamot 60 Tablets</v>
      </c>
      <c r="C1360" t="s">
        <v>663</v>
      </c>
      <c r="D1360" t="s">
        <v>615</v>
      </c>
    </row>
    <row r="1361" spans="2:4" x14ac:dyDescent="0.25">
      <c r="B1361" t="str">
        <f>HYPERLINK("https://www.chemistwarehouse.com.au/buy/82290/Natures-Sunshine-Blessed-Thistle-325mg-100-Capsules"," Natures Sunshine Blessed Thistle 325mg 100 Capsules")</f>
        <v xml:space="preserve"> Natures Sunshine Blessed Thistle 325mg 100 Capsules</v>
      </c>
      <c r="C1361" t="s">
        <v>10</v>
      </c>
      <c r="D1361" t="s">
        <v>664</v>
      </c>
    </row>
    <row r="1362" spans="2:4" x14ac:dyDescent="0.25">
      <c r="B1362" t="str">
        <f>HYPERLINK("https://www.chemistwarehouse.com.au/buy/82292/Natures-Sunshine-Breast-Feeding-Support-100-Capsules"," Natures Sunshine Breast Feeding Support 100 Capsules")</f>
        <v xml:space="preserve"> Natures Sunshine Breast Feeding Support 100 Capsules</v>
      </c>
      <c r="C1362" t="s">
        <v>10</v>
      </c>
      <c r="D1362" t="s">
        <v>93</v>
      </c>
    </row>
    <row r="1363" spans="2:4" x14ac:dyDescent="0.25">
      <c r="B1363" t="str">
        <f>HYPERLINK("https://www.chemistwarehouse.com.au/buy/82293/Natures-Sunshine-Capsicum-475mg-100-Capsules"," Natures Sunshine Capsicum 475mg 100 Capsules")</f>
        <v xml:space="preserve"> Natures Sunshine Capsicum 475mg 100 Capsules</v>
      </c>
      <c r="C1363" t="s">
        <v>109</v>
      </c>
      <c r="D1363" t="s">
        <v>665</v>
      </c>
    </row>
    <row r="1364" spans="2:4" x14ac:dyDescent="0.25">
      <c r="B1364" t="str">
        <f>HYPERLINK("https://www.chemistwarehouse.com.au/buy/82294/Natures-Sunshine-Cascara-Sagrada-390mg-100-Capsules"," Natures Sunshine Cascara Sagrada 390mg 100 Capsules")</f>
        <v xml:space="preserve"> Natures Sunshine Cascara Sagrada 390mg 100 Capsules</v>
      </c>
      <c r="C1364" t="s">
        <v>10</v>
      </c>
      <c r="D1364" t="s">
        <v>666</v>
      </c>
    </row>
    <row r="1365" spans="2:4" x14ac:dyDescent="0.25">
      <c r="B1365" t="str">
        <f>HYPERLINK("https://www.chemistwarehouse.com.au/buy/82295/Natures-Sunshine-Dong-Quai-520mg-100-Capsules"," Natures Sunshine Dong Quai 520mg 100 Capsules")</f>
        <v xml:space="preserve"> Natures Sunshine Dong Quai 520mg 100 Capsules</v>
      </c>
      <c r="C1365" t="s">
        <v>667</v>
      </c>
      <c r="D1365" t="s">
        <v>668</v>
      </c>
    </row>
    <row r="1366" spans="2:4" x14ac:dyDescent="0.25">
      <c r="B1366" t="str">
        <f>HYPERLINK("https://www.chemistwarehouse.com.au/buy/82296/Natures-Sunshine-Fenugreek-529mg-100-Capsules"," Natures Sunshine Fenugreek 529mg 100 Capsules")</f>
        <v xml:space="preserve"> Natures Sunshine Fenugreek 529mg 100 Capsules</v>
      </c>
      <c r="C1366" t="s">
        <v>153</v>
      </c>
      <c r="D1366" t="s">
        <v>669</v>
      </c>
    </row>
    <row r="1367" spans="2:4" x14ac:dyDescent="0.25">
      <c r="B1367" t="str">
        <f>HYPERLINK("https://www.chemistwarehouse.com.au/buy/82297/Natures-Sunshine-Feverfew-340mg-100-Capsules"," Natures Sunshine Feverfew 340mg 100 Capsules")</f>
        <v xml:space="preserve"> Natures Sunshine Feverfew 340mg 100 Capsules</v>
      </c>
      <c r="C1367" t="s">
        <v>123</v>
      </c>
      <c r="D1367" t="s">
        <v>670</v>
      </c>
    </row>
    <row r="1368" spans="2:4" x14ac:dyDescent="0.25">
      <c r="B1368" t="str">
        <f>HYPERLINK("https://www.chemistwarehouse.com.au/buy/82298/Natures-Sunshine-Ginger-525mg-100-Capsules"," Natures Sunshine Ginger 525mg 100 Capsules")</f>
        <v xml:space="preserve"> Natures Sunshine Ginger 525mg 100 Capsules</v>
      </c>
      <c r="C1368" t="s">
        <v>123</v>
      </c>
      <c r="D1368" t="s">
        <v>671</v>
      </c>
    </row>
    <row r="1369" spans="2:4" x14ac:dyDescent="0.25">
      <c r="B1369" t="str">
        <f>HYPERLINK("https://www.chemistwarehouse.com.au/buy/82299/Natures-Sunshine-Gout-Fighter-Plus-60-Tablets"," Natures Sunshine Gout Fighter Plus 60 Tablets")</f>
        <v xml:space="preserve"> Natures Sunshine Gout Fighter Plus 60 Tablets</v>
      </c>
      <c r="C1369" t="s">
        <v>273</v>
      </c>
      <c r="D1369" t="s">
        <v>672</v>
      </c>
    </row>
    <row r="1370" spans="2:4" x14ac:dyDescent="0.25">
      <c r="B1370" t="str">
        <f>HYPERLINK("https://www.chemistwarehouse.com.au/buy/82300/Natures-Sunshine-Hawthorn-Berries-450mg-100-Capsules"," Natures Sunshine Hawthorn Berries 450mg 100 Capsules")</f>
        <v xml:space="preserve"> Natures Sunshine Hawthorn Berries 450mg 100 Capsules</v>
      </c>
      <c r="C1370" t="s">
        <v>125</v>
      </c>
      <c r="D1370" t="s">
        <v>160</v>
      </c>
    </row>
    <row r="1371" spans="2:4" x14ac:dyDescent="0.25">
      <c r="B1371" t="str">
        <f>HYPERLINK("https://www.chemistwarehouse.com.au/buy/82301/Natures-Sunshine-Liquid-Chlorophyll-473ml"," Natures Sunshine Liquid Chlorophyll 473ml")</f>
        <v xml:space="preserve"> Natures Sunshine Liquid Chlorophyll 473ml</v>
      </c>
      <c r="C1371" t="s">
        <v>125</v>
      </c>
      <c r="D1371" t="s">
        <v>615</v>
      </c>
    </row>
    <row r="1372" spans="2:4" x14ac:dyDescent="0.25">
      <c r="B1372" t="str">
        <f>HYPERLINK("https://www.chemistwarehouse.com.au/buy/82302/Natures-Sunshine-Liquid-Chlorophyll-946ml"," Natures Sunshine Liquid Chlorophyll 946ml")</f>
        <v xml:space="preserve"> Natures Sunshine Liquid Chlorophyll 946ml</v>
      </c>
      <c r="C1372" t="s">
        <v>163</v>
      </c>
      <c r="D1372" t="s">
        <v>673</v>
      </c>
    </row>
    <row r="1373" spans="2:4" x14ac:dyDescent="0.25">
      <c r="B1373" t="str">
        <f>HYPERLINK("https://www.chemistwarehouse.com.au/buy/82303/Natures-Sunshine-Lower-Bowel-Stimulator-425mg-100-Capsules"," Natures Sunshine Lower Bowel Stimulator 425mg 100 Capsules")</f>
        <v xml:space="preserve"> Natures Sunshine Lower Bowel Stimulator 425mg 100 Capsules</v>
      </c>
      <c r="C1373" t="s">
        <v>123</v>
      </c>
      <c r="D1373" t="s">
        <v>674</v>
      </c>
    </row>
    <row r="1374" spans="2:4" x14ac:dyDescent="0.25">
      <c r="B1374" t="str">
        <f>HYPERLINK("https://www.chemistwarehouse.com.au/buy/82304/Natures-Sunshine-Pau-Darco-500mg-100-Capsules"," Natures Sunshine Pau Darco 500mg 100 Capsules")</f>
        <v xml:space="preserve"> Natures Sunshine Pau Darco 500mg 100 Capsules</v>
      </c>
      <c r="C1374" t="s">
        <v>153</v>
      </c>
      <c r="D1374" t="s">
        <v>160</v>
      </c>
    </row>
    <row r="1375" spans="2:4" x14ac:dyDescent="0.25">
      <c r="B1375" t="str">
        <f>HYPERLINK("https://www.chemistwarehouse.com.au/buy/82305/Natures-Sunshine-Raspberry-Leaf-1500mg-90-Capsules"," Natures Sunshine Raspberry Leaf 1500mg 90 Capsules")</f>
        <v xml:space="preserve"> Natures Sunshine Raspberry Leaf 1500mg 90 Capsules</v>
      </c>
      <c r="C1375" t="s">
        <v>266</v>
      </c>
      <c r="D1375" t="s">
        <v>668</v>
      </c>
    </row>
    <row r="1376" spans="2:4" x14ac:dyDescent="0.25">
      <c r="B1376" t="str">
        <f>HYPERLINK("https://www.chemistwarehouse.com.au/buy/82306/Natures-Sunshine-Sage-400mg-100-Capsules"," Natures Sunshine Sage 400mg 100 Capsules")</f>
        <v xml:space="preserve"> Natures Sunshine Sage 400mg 100 Capsules</v>
      </c>
      <c r="C1376" t="s">
        <v>10</v>
      </c>
      <c r="D1376" t="s">
        <v>160</v>
      </c>
    </row>
    <row r="1377" spans="1:4" x14ac:dyDescent="0.25">
      <c r="B1377" t="str">
        <f>HYPERLINK("https://www.chemistwarehouse.com.au/buy/82307/Natures-Sunshine-Saw-Palmetto-550mg-100-Capsules"," Natures Sunshine Saw Palmetto 550mg 100 Capsules")</f>
        <v xml:space="preserve"> Natures Sunshine Saw Palmetto 550mg 100 Capsules</v>
      </c>
      <c r="C1377" t="s">
        <v>113</v>
      </c>
      <c r="D1377" t="s">
        <v>160</v>
      </c>
    </row>
    <row r="1378" spans="1:4" x14ac:dyDescent="0.25">
      <c r="B1378" t="str">
        <f>HYPERLINK("https://www.chemistwarehouse.com.au/buy/82308/Natures-Sunshine-Shatavari-2000-90-Capsules"," Natures Sunshine Shatavari 2000 90 Capsules")</f>
        <v xml:space="preserve"> Natures Sunshine Shatavari 2000 90 Capsules</v>
      </c>
      <c r="C1378" t="s">
        <v>279</v>
      </c>
      <c r="D1378" t="s">
        <v>160</v>
      </c>
    </row>
    <row r="1379" spans="1:4" x14ac:dyDescent="0.25">
      <c r="B1379" t="str">
        <f>HYPERLINK("https://www.chemistwarehouse.com.au/buy/82309/Natures-Sunshine-Slippery-Elm-360mg-100-Capsules"," Natures Sunshine Slippery Elm 360mg 100 Capsules")</f>
        <v xml:space="preserve"> Natures Sunshine Slippery Elm 360mg 100 Capsules</v>
      </c>
      <c r="C1379" t="s">
        <v>10</v>
      </c>
      <c r="D1379" t="s">
        <v>615</v>
      </c>
    </row>
    <row r="1380" spans="1:4" x14ac:dyDescent="0.25">
      <c r="B1380" t="str">
        <f>HYPERLINK("https://www.chemistwarehouse.com.au/buy/82310/Natures-Sunshine-St-Marys-Thistle-550mg-100-Capsules"," Natures Sunshine St Marys Thistle 550mg 100 Capsules")</f>
        <v xml:space="preserve"> Natures Sunshine St Marys Thistle 550mg 100 Capsules</v>
      </c>
      <c r="C1380" t="s">
        <v>123</v>
      </c>
      <c r="D1380" t="s">
        <v>632</v>
      </c>
    </row>
    <row r="1381" spans="1:4" x14ac:dyDescent="0.25">
      <c r="B1381" t="str">
        <f>HYPERLINK("https://www.chemistwarehouse.com.au/buy/82311/Natures-Sunshine-Turmeric-526mg-60-Capsules"," Natures Sunshine Turmeric 526mg 60 Capsules")</f>
        <v xml:space="preserve"> Natures Sunshine Turmeric 526mg 60 Capsules</v>
      </c>
      <c r="C1381" t="s">
        <v>163</v>
      </c>
      <c r="D1381" t="s">
        <v>420</v>
      </c>
    </row>
    <row r="1382" spans="1:4" x14ac:dyDescent="0.25">
      <c r="B1382" t="str">
        <f>HYPERLINK("https://www.chemistwarehouse.com.au/buy/82291/Natures-Sunshine-Boswellia-90-Tablets"," Natures Sunshine Boswellia 90 Tablets ")</f>
        <v xml:space="preserve"> Natures Sunshine Boswellia 90 Tablets </v>
      </c>
      <c r="C1382" t="s">
        <v>111</v>
      </c>
      <c r="D1382" t="s">
        <v>675</v>
      </c>
    </row>
    <row r="1383" spans="1:4" x14ac:dyDescent="0.25">
      <c r="A1383" t="s">
        <v>676</v>
      </c>
    </row>
    <row r="1384" spans="1:4" x14ac:dyDescent="0.25">
      <c r="B1384" t="str">
        <f>HYPERLINK("https://www.chemistwarehouse.com.au/buy/81964/Raw-Essentials-Aphrodisiac-Blend-Loose-Leaf-Tea"," Raw Essentials Aphrodisiac Blend Loose Leaf Tea")</f>
        <v xml:space="preserve"> Raw Essentials Aphrodisiac Blend Loose Leaf Tea</v>
      </c>
      <c r="C1384" t="s">
        <v>45</v>
      </c>
      <c r="D1384" t="s">
        <v>465</v>
      </c>
    </row>
    <row r="1385" spans="1:4" x14ac:dyDescent="0.25">
      <c r="B1385" t="str">
        <f>HYPERLINK("https://www.chemistwarehouse.com.au/buy/81965/Raw-Essentials-Immune-Blend-Loose-Leaf-Tea"," Raw Essentials Immune Blend Loose Leaf Tea")</f>
        <v xml:space="preserve"> Raw Essentials Immune Blend Loose Leaf Tea</v>
      </c>
      <c r="C1385" t="s">
        <v>45</v>
      </c>
      <c r="D1385" t="s">
        <v>465</v>
      </c>
    </row>
    <row r="1386" spans="1:4" x14ac:dyDescent="0.25">
      <c r="B1386" t="str">
        <f>HYPERLINK("https://www.chemistwarehouse.com.au/buy/81966/Raw-Essentials-Menopause-Blend-Loose-Leaf-Tea"," Raw Essentials Menopause Blend Loose Leaf Tea")</f>
        <v xml:space="preserve"> Raw Essentials Menopause Blend Loose Leaf Tea</v>
      </c>
      <c r="C1386" t="s">
        <v>45</v>
      </c>
      <c r="D1386" t="s">
        <v>465</v>
      </c>
    </row>
    <row r="1387" spans="1:4" x14ac:dyDescent="0.25">
      <c r="B1387" t="str">
        <f>HYPERLINK("https://www.chemistwarehouse.com.au/buy/81967/Raw-Essentials-Slim-Blend-Loose-Leaf-Tea"," Raw Essentials Slim Blend Loose Leaf Tea")</f>
        <v xml:space="preserve"> Raw Essentials Slim Blend Loose Leaf Tea</v>
      </c>
      <c r="C1387" t="s">
        <v>45</v>
      </c>
      <c r="D1387" t="s">
        <v>465</v>
      </c>
    </row>
    <row r="1388" spans="1:4" x14ac:dyDescent="0.25">
      <c r="A1388" t="s">
        <v>677</v>
      </c>
    </row>
    <row r="1389" spans="1:4" x14ac:dyDescent="0.25">
      <c r="B1389" t="str">
        <f>HYPERLINK("https://www.chemistwarehouse.com.au/buy/82322/Nageze-Joint-Pain-30-Capsules"," Nageze Joint Pain 30 Capsules")</f>
        <v xml:space="preserve"> Nageze Joint Pain 30 Capsules</v>
      </c>
      <c r="C1389" t="s">
        <v>161</v>
      </c>
      <c r="D1389" t="s">
        <v>160</v>
      </c>
    </row>
    <row r="1390" spans="1:4" x14ac:dyDescent="0.25">
      <c r="B1390" t="str">
        <f>HYPERLINK("https://www.chemistwarehouse.com.au/buy/82323/Nageze-Osteo-Plus-30-Capsules"," Nageze Osteo Plus 30 Capsules")</f>
        <v xml:space="preserve"> Nageze Osteo Plus 30 Capsules</v>
      </c>
      <c r="C1390" t="s">
        <v>1</v>
      </c>
      <c r="D1390" t="s">
        <v>46</v>
      </c>
    </row>
    <row r="1391" spans="1:4" x14ac:dyDescent="0.25">
      <c r="A1391" t="s">
        <v>678</v>
      </c>
    </row>
    <row r="1392" spans="1:4" x14ac:dyDescent="0.25">
      <c r="B1392" t="str">
        <f>HYPERLINK("https://www.chemistwarehouse.com.au/buy/82745/Smoothie-Bombs-The-Defender-With-Golden-Chai-100g"," Smoothie Bombs The Defender With Golden Chai 100g")</f>
        <v xml:space="preserve"> Smoothie Bombs The Defender With Golden Chai 100g</v>
      </c>
      <c r="C1392" t="s">
        <v>80</v>
      </c>
      <c r="D1392" t="s">
        <v>147</v>
      </c>
    </row>
    <row r="1393" spans="1:4" x14ac:dyDescent="0.25">
      <c r="B1393" t="str">
        <f>HYPERLINK("https://www.chemistwarehouse.com.au/buy/82746/Smoothie-Bombs-The-Lover-With-Super-Berries-100g"," Smoothie Bombs The Lover With Super Berries 100g")</f>
        <v xml:space="preserve"> Smoothie Bombs The Lover With Super Berries 100g</v>
      </c>
      <c r="C1393" t="s">
        <v>80</v>
      </c>
      <c r="D1393" t="s">
        <v>147</v>
      </c>
    </row>
    <row r="1394" spans="1:4" x14ac:dyDescent="0.25">
      <c r="B1394" t="str">
        <f>HYPERLINK("https://www.chemistwarehouse.com.au/buy/82747/Smoothie-Bombs-The-Motivator-With-Raw-Cacao-100g"," Smoothie Bombs The Motivator With Raw Cacao 100g")</f>
        <v xml:space="preserve"> Smoothie Bombs The Motivator With Raw Cacao 100g</v>
      </c>
      <c r="C1394" t="s">
        <v>80</v>
      </c>
      <c r="D1394" t="s">
        <v>147</v>
      </c>
    </row>
    <row r="1395" spans="1:4" x14ac:dyDescent="0.25">
      <c r="B1395" t="str">
        <f>HYPERLINK("https://www.chemistwarehouse.com.au/buy/82748/Smoothie-Bombs-The-Transformer-With-Super-Greens-100g"," Smoothie Bombs The Transformer With Super Greens 100g")</f>
        <v xml:space="preserve"> Smoothie Bombs The Transformer With Super Greens 100g</v>
      </c>
      <c r="C1395" t="s">
        <v>80</v>
      </c>
      <c r="D1395" t="s">
        <v>147</v>
      </c>
    </row>
    <row r="1396" spans="1:4" x14ac:dyDescent="0.25">
      <c r="B1396" t="str">
        <f>HYPERLINK("https://www.chemistwarehouse.com.au/buy/82749/Smoothie-Bombs-The-Warrior-With-Peanut-Butter-100g"," Smoothie Bombs The Warrior With Peanut Butter 100g")</f>
        <v xml:space="preserve"> Smoothie Bombs The Warrior With Peanut Butter 100g</v>
      </c>
      <c r="C1396" t="s">
        <v>80</v>
      </c>
      <c r="D1396" t="s">
        <v>147</v>
      </c>
    </row>
    <row r="1397" spans="1:4" x14ac:dyDescent="0.25">
      <c r="A1397" t="s">
        <v>679</v>
      </c>
    </row>
    <row r="1398" spans="1:4" x14ac:dyDescent="0.25">
      <c r="B1398" t="str">
        <f>HYPERLINK("https://www.chemistwarehouse.com.au/buy/2478/Clements-Iron-Tonic-500mL"," Clements Iron Tonic 500mL")</f>
        <v xml:space="preserve"> Clements Iron Tonic 500mL</v>
      </c>
      <c r="C1398" t="s">
        <v>58</v>
      </c>
      <c r="D1398" t="s">
        <v>397</v>
      </c>
    </row>
    <row r="1399" spans="1:4" x14ac:dyDescent="0.25">
      <c r="B1399" t="str">
        <f>HYPERLINK("https://www.chemistwarehouse.com.au/buy/2479/Clements-Herb,-Vitamin-amp-Mineral-Tonic-500mL"," Clements Herb, Vitamin &amp; Mineral Tonic 500mL")</f>
        <v xml:space="preserve"> Clements Herb, Vitamin &amp; Mineral Tonic 500mL</v>
      </c>
      <c r="C1399" t="s">
        <v>58</v>
      </c>
      <c r="D1399" t="s">
        <v>397</v>
      </c>
    </row>
    <row r="1400" spans="1:4" x14ac:dyDescent="0.25">
      <c r="B1400" t="str">
        <f>HYPERLINK("https://www.chemistwarehouse.com.au/buy/41241/Hypol-Vitamin-amp-Nutrient-Liquid-Supplement-500mL"," Hypol Vitamin &amp; Nutrient Liquid Supplement 500mL")</f>
        <v xml:space="preserve"> Hypol Vitamin &amp; Nutrient Liquid Supplement 500mL</v>
      </c>
      <c r="C1400" t="s">
        <v>58</v>
      </c>
      <c r="D1400" t="s">
        <v>397</v>
      </c>
    </row>
    <row r="1401" spans="1:4" x14ac:dyDescent="0.25">
      <c r="A1401" t="s">
        <v>680</v>
      </c>
    </row>
    <row r="1402" spans="1:4" x14ac:dyDescent="0.25">
      <c r="B1402" t="str">
        <f>HYPERLINK("https://www.chemistwarehouse.com.au/buy/72687/Healthy-Care-Forskolin-125mg-60-Capsules"," Healthy Care Forskolin 125mg 60 Capsules")</f>
        <v xml:space="preserve"> Healthy Care Forskolin 125mg 60 Capsules</v>
      </c>
      <c r="C1402" t="s">
        <v>61</v>
      </c>
      <c r="D1402">
        <v>0</v>
      </c>
    </row>
    <row r="1403" spans="1:4" x14ac:dyDescent="0.25">
      <c r="A1403" t="s">
        <v>681</v>
      </c>
    </row>
    <row r="1404" spans="1:4" x14ac:dyDescent="0.25">
      <c r="B1404" t="str">
        <f>HYPERLINK("https://www.chemistwarehouse.com.au/buy/81996/IsoWhey-Weight-Management-Complete-Classic-Coffee-672g"," IsoWhey Weight Management Complete Classic Coffee 672g")</f>
        <v xml:space="preserve"> IsoWhey Weight Management Complete Classic Coffee 672g</v>
      </c>
      <c r="C1404" t="s">
        <v>6</v>
      </c>
      <c r="D1404" t="s">
        <v>390</v>
      </c>
    </row>
    <row r="1405" spans="1:4" x14ac:dyDescent="0.25">
      <c r="B1405" t="str">
        <f>HYPERLINK("https://www.chemistwarehouse.com.au/buy/65390/IsoWhey-Complete-Madagascan-Vanilla-672g"," IsoWhey Complete Madagascan Vanilla 672g")</f>
        <v xml:space="preserve"> IsoWhey Complete Madagascan Vanilla 672g</v>
      </c>
      <c r="C1405" t="s">
        <v>6</v>
      </c>
      <c r="D1405" t="s">
        <v>390</v>
      </c>
    </row>
    <row r="1406" spans="1:4" x14ac:dyDescent="0.25">
      <c r="B1406" t="str">
        <f>HYPERLINK("https://www.chemistwarehouse.com.au/buy/81988/IsoWhey-21-Sachets-Ivory-Coast-Chocolate"," IsoWhey 21 Sachets Ivory Coast Chocolate")</f>
        <v xml:space="preserve"> IsoWhey 21 Sachets Ivory Coast Chocolate</v>
      </c>
      <c r="C1406" t="s">
        <v>166</v>
      </c>
      <c r="D1406" t="s">
        <v>347</v>
      </c>
    </row>
    <row r="1407" spans="1:4" x14ac:dyDescent="0.25">
      <c r="B1407" t="str">
        <f>HYPERLINK("https://www.chemistwarehouse.com.au/buy/81989/IsoWhey-21-Sachets-Madagascan-Vanilla"," IsoWhey 21 Sachets Madagascan Vanilla")</f>
        <v xml:space="preserve"> IsoWhey 21 Sachets Madagascan Vanilla</v>
      </c>
      <c r="C1407" t="s">
        <v>166</v>
      </c>
      <c r="D1407" t="s">
        <v>347</v>
      </c>
    </row>
    <row r="1408" spans="1:4" x14ac:dyDescent="0.25">
      <c r="B1408" t="str">
        <f>HYPERLINK("https://www.chemistwarehouse.com.au/buy/81991/IsoWhey-Clinical-Nutrition-Advanced-55-Vanilla-400g"," IsoWhey Clinical Nutrition Advanced 55+ Vanilla 400g")</f>
        <v xml:space="preserve"> IsoWhey Clinical Nutrition Advanced 55+ Vanilla 400g</v>
      </c>
      <c r="C1408" t="s">
        <v>58</v>
      </c>
      <c r="D1408" t="s">
        <v>93</v>
      </c>
    </row>
    <row r="1409" spans="1:4" x14ac:dyDescent="0.25">
      <c r="B1409" t="str">
        <f>HYPERLINK("https://www.chemistwarehouse.com.au/buy/81992/IsoWhey-Diabetic-Formula-Ivory-Coast-Chocolate-640g"," IsoWhey Diabetic Formula Ivory Coast Chocolate 640g")</f>
        <v xml:space="preserve"> IsoWhey Diabetic Formula Ivory Coast Chocolate 640g</v>
      </c>
      <c r="C1409" t="s">
        <v>166</v>
      </c>
      <c r="D1409" t="s">
        <v>347</v>
      </c>
    </row>
    <row r="1410" spans="1:4" x14ac:dyDescent="0.25">
      <c r="B1410" t="str">
        <f>HYPERLINK("https://www.chemistwarehouse.com.au/buy/81993/IsoWhey-Diabetic-Formula-Madagascan-Vanilla-640g"," IsoWhey Diabetic Formula Madagascan Vanilla 640g")</f>
        <v xml:space="preserve"> IsoWhey Diabetic Formula Madagascan Vanilla 640g</v>
      </c>
      <c r="C1410" t="s">
        <v>166</v>
      </c>
      <c r="D1410" t="s">
        <v>347</v>
      </c>
    </row>
    <row r="1411" spans="1:4" x14ac:dyDescent="0.25">
      <c r="B1411" t="str">
        <f>HYPERLINK("https://www.chemistwarehouse.com.au/buy/81994/IsoWhey-Meal-Replacement-Bars-Berry-62g"," IsoWhey Meal Replacement Bars Berry 62g")</f>
        <v xml:space="preserve"> IsoWhey Meal Replacement Bars Berry 62g</v>
      </c>
      <c r="C1411" t="s">
        <v>146</v>
      </c>
      <c r="D1411" t="s">
        <v>682</v>
      </c>
    </row>
    <row r="1412" spans="1:4" x14ac:dyDescent="0.25">
      <c r="B1412" t="str">
        <f>HYPERLINK("https://www.chemistwarehouse.com.au/buy/81995/IsoWhey-Meal-Replacement-Bars-Chocolate-62g"," IsoWhey Meal Replacement Bars Chocolate 62g")</f>
        <v xml:space="preserve"> IsoWhey Meal Replacement Bars Chocolate 62g</v>
      </c>
      <c r="C1412" t="s">
        <v>146</v>
      </c>
      <c r="D1412" t="s">
        <v>682</v>
      </c>
    </row>
    <row r="1413" spans="1:4" x14ac:dyDescent="0.25">
      <c r="B1413" t="str">
        <f>HYPERLINK("https://www.chemistwarehouse.com.au/buy/81990/IsoWhey-Clinical-Nutrition-Advanced-55-Chocolate-400g"," IsoWhey Clinical Nutrition Advanced 55+ Chocolate 400g")</f>
        <v xml:space="preserve"> IsoWhey Clinical Nutrition Advanced 55+ Chocolate 400g</v>
      </c>
      <c r="C1413" t="s">
        <v>58</v>
      </c>
      <c r="D1413" t="s">
        <v>93</v>
      </c>
    </row>
    <row r="1414" spans="1:4" x14ac:dyDescent="0.25">
      <c r="B1414" t="str">
        <f>HYPERLINK("https://www.chemistwarehouse.com.au/buy/65392/IsoWhey-Complete-Strawberry-Smoothie-672g"," IsoWhey Complete Strawberry Smoothie 672g")</f>
        <v xml:space="preserve"> IsoWhey Complete Strawberry Smoothie 672g</v>
      </c>
      <c r="C1414" t="s">
        <v>6</v>
      </c>
      <c r="D1414" t="s">
        <v>390</v>
      </c>
    </row>
    <row r="1415" spans="1:4" x14ac:dyDescent="0.25">
      <c r="B1415" t="str">
        <f>HYPERLINK("https://www.chemistwarehouse.com.au/buy/81987/IsoWhey-15-Day-Cleanse"," IsoWhey 15 Day Cleanse")</f>
        <v xml:space="preserve"> IsoWhey 15 Day Cleanse</v>
      </c>
      <c r="C1415" t="s">
        <v>258</v>
      </c>
      <c r="D1415" t="s">
        <v>341</v>
      </c>
    </row>
    <row r="1416" spans="1:4" x14ac:dyDescent="0.25">
      <c r="B1416" t="str">
        <f>HYPERLINK("https://www.chemistwarehouse.com.au/buy/65384/IsoWhey-Complete-Banana-Smoothie-672g","  IsoWhey Complete Banana Smoothie 672g")</f>
        <v xml:space="preserve">  IsoWhey Complete Banana Smoothie 672g</v>
      </c>
      <c r="C1416" t="s">
        <v>6</v>
      </c>
      <c r="D1416" t="s">
        <v>390</v>
      </c>
    </row>
    <row r="1417" spans="1:4" x14ac:dyDescent="0.25">
      <c r="A1417" t="s">
        <v>683</v>
      </c>
    </row>
    <row r="1418" spans="1:4" x14ac:dyDescent="0.25">
      <c r="B1418" t="str">
        <f>HYPERLINK("https://www.chemistwarehouse.com.au/buy/73773/Optislim-48hr-Detox-Lemon-and-Coconut-946ml"," Optislim 48hr Detox Lemon and Coconut 946ml")</f>
        <v xml:space="preserve"> Optislim 48hr Detox Lemon and Coconut 946ml</v>
      </c>
      <c r="C1418" t="s">
        <v>58</v>
      </c>
      <c r="D1418">
        <v>0</v>
      </c>
    </row>
    <row r="1419" spans="1:4" x14ac:dyDescent="0.25">
      <c r="A1419" t="s">
        <v>684</v>
      </c>
    </row>
    <row r="1420" spans="1:4" x14ac:dyDescent="0.25">
      <c r="B1420" t="str">
        <f>HYPERLINK("https://www.chemistwarehouse.com.au/buy/49471/Optislim-VLCD-Meal-Replacement-Chocolate-Shake-21-x-40g"," Optislim VLCD Meal Replacement Chocolate Shake 21 x 40g")</f>
        <v xml:space="preserve"> Optislim VLCD Meal Replacement Chocolate Shake 21 x 40g</v>
      </c>
      <c r="C1420" t="s">
        <v>6</v>
      </c>
      <c r="D1420">
        <v>0</v>
      </c>
    </row>
    <row r="1421" spans="1:4" x14ac:dyDescent="0.25">
      <c r="B1421" t="str">
        <f>HYPERLINK("https://www.chemistwarehouse.com.au/buy/58241/Optislim-VLCD-Meal-Replacement-Coffee-Shake-21-x-40g-Sachets"," Optislim VLCD Meal Replacement Coffee Shake 21 x 40g Sachets")</f>
        <v xml:space="preserve"> Optislim VLCD Meal Replacement Coffee Shake 21 x 40g Sachets</v>
      </c>
      <c r="C1421" t="s">
        <v>6</v>
      </c>
      <c r="D1421">
        <v>0</v>
      </c>
    </row>
    <row r="1422" spans="1:4" x14ac:dyDescent="0.25">
      <c r="B1422" t="str">
        <f>HYPERLINK("https://www.chemistwarehouse.com.au/buy/49472/Optislim-VLCD-Meal-Replacement-Vanilla-Shake-21-x-40g"," Optislim VLCD Meal Replacement Vanilla Shake 21 x 40g")</f>
        <v xml:space="preserve"> Optislim VLCD Meal Replacement Vanilla Shake 21 x 40g</v>
      </c>
      <c r="C1422" t="s">
        <v>6</v>
      </c>
      <c r="D1422">
        <v>0</v>
      </c>
    </row>
    <row r="1423" spans="1:4" x14ac:dyDescent="0.25">
      <c r="B1423" t="str">
        <f>HYPERLINK("https://www.chemistwarehouse.com.au/buy/63947/Optislim-VLCD-Meal-Replacement-Strawberry-Shake-21-x-40g-Sachets"," Optislim VLCD Meal Replacement Strawberry Shake 21 x 40g Sachets")</f>
        <v xml:space="preserve"> Optislim VLCD Meal Replacement Strawberry Shake 21 x 40g Sachets</v>
      </c>
      <c r="C1423" t="s">
        <v>6</v>
      </c>
      <c r="D1423">
        <v>0</v>
      </c>
    </row>
    <row r="1424" spans="1:4" x14ac:dyDescent="0.25">
      <c r="B1424" t="str">
        <f>HYPERLINK("https://www.chemistwarehouse.com.au/buy/76172/Optislim-VLCD-Meal-Replacement-Banana-Shake-21-x-40g"," Optislim VLCD Meal Replacement Banana Shake 21 x 40g ")</f>
        <v xml:space="preserve"> Optislim VLCD Meal Replacement Banana Shake 21 x 40g </v>
      </c>
      <c r="C1424" t="s">
        <v>6</v>
      </c>
      <c r="D1424">
        <v>0</v>
      </c>
    </row>
    <row r="1425" spans="1:4" x14ac:dyDescent="0.25">
      <c r="A1425" t="s">
        <v>685</v>
      </c>
    </row>
    <row r="1426" spans="1:4" x14ac:dyDescent="0.25">
      <c r="B1426" t="str">
        <f>HYPERLINK("https://www.chemistwarehouse.com.au/buy/67101/Optislim-2-For-$65-VLCD-Platinum-Vanilla-Shake-21x25g"," Optislim 2 For $65 VLCD Platinum Vanilla Shake 21x25g")</f>
        <v xml:space="preserve"> Optislim 2 For $65 VLCD Platinum Vanilla Shake 21x25g</v>
      </c>
      <c r="C1426" t="s">
        <v>686</v>
      </c>
      <c r="D1426">
        <v>0</v>
      </c>
    </row>
    <row r="1427" spans="1:4" x14ac:dyDescent="0.25">
      <c r="B1427" t="str">
        <f>HYPERLINK("https://www.chemistwarehouse.com.au/buy/67102/Optislim-2-For-$65-VLCD-Platinum-Chocolate-Shake-21x25g"," Optislim 2 For $65 VLCD Platinum Chocolate Shake 21x25g")</f>
        <v xml:space="preserve"> Optislim 2 For $65 VLCD Platinum Chocolate Shake 21x25g</v>
      </c>
      <c r="C1427" t="s">
        <v>686</v>
      </c>
      <c r="D1427">
        <v>0</v>
      </c>
    </row>
    <row r="1428" spans="1:4" x14ac:dyDescent="0.25">
      <c r="B1428" t="str">
        <f>HYPERLINK("https://www.chemistwarehouse.com.au/buy/76173/Optislim-VLCD-Platinum-Coffee-Shake-21x25g"," Optislim VLCD Platinum Coffee Shake 21x25g")</f>
        <v xml:space="preserve"> Optislim VLCD Platinum Coffee Shake 21x25g</v>
      </c>
      <c r="C1428" t="s">
        <v>166</v>
      </c>
      <c r="D1428">
        <v>0</v>
      </c>
    </row>
    <row r="1429" spans="1:4" x14ac:dyDescent="0.25">
      <c r="B1429" t="str">
        <f>HYPERLINK("https://www.chemistwarehouse.com.au/buy/68988/Optislim-2-For-$65-VLCD-Platinum-Banana-21x25g"," Optislim 2 For $65 VLCD Platinum Banana 21x25g")</f>
        <v xml:space="preserve"> Optislim 2 For $65 VLCD Platinum Banana 21x25g</v>
      </c>
      <c r="C1429" t="s">
        <v>686</v>
      </c>
      <c r="D1429">
        <v>0</v>
      </c>
    </row>
    <row r="1430" spans="1:4" x14ac:dyDescent="0.25">
      <c r="B1430" t="str">
        <f>HYPERLINK("https://www.chemistwarehouse.com.au/buy/68989/Optislim-2-For-$65-VLCD-Platinum-Strawberry-21x25g"," Optislim 2 For $65 VLCD Platinum Strawberry 21x25g")</f>
        <v xml:space="preserve"> Optislim 2 For $65 VLCD Platinum Strawberry 21x25g</v>
      </c>
      <c r="C1430" t="s">
        <v>686</v>
      </c>
      <c r="D1430">
        <v>0</v>
      </c>
    </row>
    <row r="1431" spans="1:4" x14ac:dyDescent="0.25">
      <c r="B1431" t="str">
        <f>HYPERLINK("https://www.chemistwarehouse.com.au/buy/67041/Optislim-VLCD-Platinum-Vanilla-Shake-21x25g"," Optislim VLCD Platinum Vanilla Shake 21x25g")</f>
        <v xml:space="preserve"> Optislim VLCD Platinum Vanilla Shake 21x25g</v>
      </c>
      <c r="C1431" t="s">
        <v>166</v>
      </c>
      <c r="D1431">
        <v>0</v>
      </c>
    </row>
    <row r="1432" spans="1:4" x14ac:dyDescent="0.25">
      <c r="B1432" t="str">
        <f>HYPERLINK("https://www.chemistwarehouse.com.au/buy/67043/Optislim-VLCD-Platinum-Chocolate-Shake-21x25g"," Optislim VLCD Platinum Chocolate Shake 21x25g")</f>
        <v xml:space="preserve"> Optislim VLCD Platinum Chocolate Shake 21x25g</v>
      </c>
      <c r="C1432" t="s">
        <v>166</v>
      </c>
      <c r="D1432">
        <v>0</v>
      </c>
    </row>
    <row r="1433" spans="1:4" x14ac:dyDescent="0.25">
      <c r="B1433" t="str">
        <f>HYPERLINK("https://www.chemistwarehouse.com.au/buy/68971/Optislim-VLCD-Platinum-Strawberry-21x25g"," Optislim VLCD Platinum Strawberry 21x25g")</f>
        <v xml:space="preserve"> Optislim VLCD Platinum Strawberry 21x25g</v>
      </c>
      <c r="C1433" t="s">
        <v>166</v>
      </c>
      <c r="D1433">
        <v>0</v>
      </c>
    </row>
    <row r="1434" spans="1:4" x14ac:dyDescent="0.25">
      <c r="B1434" t="str">
        <f>HYPERLINK("https://www.chemistwarehouse.com.au/buy/68972/Optislim-VLCD-Platinum-Banana-21x25g"," Optislim VLCD Platinum Banana 21x25g")</f>
        <v xml:space="preserve"> Optislim VLCD Platinum Banana 21x25g</v>
      </c>
      <c r="C1434" t="s">
        <v>166</v>
      </c>
      <c r="D1434">
        <v>0</v>
      </c>
    </row>
    <row r="1435" spans="1:4" x14ac:dyDescent="0.25">
      <c r="A1435" t="s">
        <v>687</v>
      </c>
    </row>
    <row r="1436" spans="1:4" x14ac:dyDescent="0.25">
      <c r="B1436" t="str">
        <f>HYPERLINK("https://www.chemistwarehouse.com.au/buy/55216/OptiSlim-VLCD-Soup-Tomato-7-x-55g"," OptiSlim VLCD Soup Tomato 7 x 55g")</f>
        <v xml:space="preserve"> OptiSlim VLCD Soup Tomato 7 x 55g</v>
      </c>
      <c r="C1436" t="s">
        <v>8</v>
      </c>
      <c r="D1436">
        <v>0</v>
      </c>
    </row>
    <row r="1437" spans="1:4" x14ac:dyDescent="0.25">
      <c r="B1437" t="str">
        <f>HYPERLINK("https://www.chemistwarehouse.com.au/buy/55217/OptiSlim-VLCD-Soup-Pumpkin-7-x-55g"," OptiSlim VLCD Soup Pumpkin 7 x 55g")</f>
        <v xml:space="preserve"> OptiSlim VLCD Soup Pumpkin 7 x 55g</v>
      </c>
      <c r="C1437" t="s">
        <v>8</v>
      </c>
      <c r="D1437">
        <v>0</v>
      </c>
    </row>
    <row r="1438" spans="1:4" x14ac:dyDescent="0.25">
      <c r="B1438" t="str">
        <f>HYPERLINK("https://www.chemistwarehouse.com.au/buy/55218/OptiSlim-VLCD-Soup-Creamy-Chicken-7-x-55g"," OptiSlim VLCD Soup Creamy Chicken 7 x 55g")</f>
        <v xml:space="preserve"> OptiSlim VLCD Soup Creamy Chicken 7 x 55g</v>
      </c>
      <c r="C1438" t="s">
        <v>8</v>
      </c>
      <c r="D1438">
        <v>0</v>
      </c>
    </row>
    <row r="1439" spans="1:4" x14ac:dyDescent="0.25">
      <c r="A1439" t="s">
        <v>688</v>
      </c>
    </row>
    <row r="1440" spans="1:4" x14ac:dyDescent="0.25">
      <c r="B1440" t="str">
        <f>HYPERLINK("https://www.chemistwarehouse.com.au/buy/70257/Optislim-VLCD-Bars-Variety-60g-15-Pack"," Optislim VLCD Bars Variety 60g 15 Pack")</f>
        <v xml:space="preserve"> Optislim VLCD Bars Variety 60g 15 Pack</v>
      </c>
      <c r="C1440" t="s">
        <v>113</v>
      </c>
      <c r="D1440">
        <v>0</v>
      </c>
    </row>
    <row r="1441" spans="1:4" x14ac:dyDescent="0.25">
      <c r="B1441" t="str">
        <f>HYPERLINK("https://www.chemistwarehouse.com.au/buy/76170/Optislim-VLCD-Bar-Cookies-and-Cream-Bars-5-Pack"," Optislim VLCD Bar Cookies and Cream Bars 5 Pack")</f>
        <v xml:space="preserve"> Optislim VLCD Bar Cookies and Cream Bars 5 Pack</v>
      </c>
      <c r="C1441" t="s">
        <v>58</v>
      </c>
      <c r="D1441">
        <v>0</v>
      </c>
    </row>
    <row r="1442" spans="1:4" x14ac:dyDescent="0.25">
      <c r="B1442" t="str">
        <f>HYPERLINK("https://www.chemistwarehouse.com.au/buy/56872/OptiSlim-VLCD-Bar-Caramel-Crunch-5"," OptiSlim VLCD Bar Caramel Crunch 5")</f>
        <v xml:space="preserve"> OptiSlim VLCD Bar Caramel Crunch 5</v>
      </c>
      <c r="C1442" t="s">
        <v>58</v>
      </c>
      <c r="D1442">
        <v>0</v>
      </c>
    </row>
    <row r="1443" spans="1:4" x14ac:dyDescent="0.25">
      <c r="B1443" t="str">
        <f>HYPERLINK("https://www.chemistwarehouse.com.au/buy/56873/OptiSlim-VLCD-Bar-Choc-Fudge-5"," OptiSlim VLCD Bar Choc Fudge 5")</f>
        <v xml:space="preserve"> OptiSlim VLCD Bar Choc Fudge 5</v>
      </c>
      <c r="C1443" t="s">
        <v>58</v>
      </c>
      <c r="D1443">
        <v>0</v>
      </c>
    </row>
    <row r="1444" spans="1:4" x14ac:dyDescent="0.25">
      <c r="B1444" t="str">
        <f>HYPERLINK("https://www.chemistwarehouse.com.au/buy/59102/OptiSlim-VLCD-Bar-Choc-Berry-Crunch-5"," OptiSlim VLCD Bar Choc Berry Crunch 5")</f>
        <v xml:space="preserve"> OptiSlim VLCD Bar Choc Berry Crunch 5</v>
      </c>
      <c r="C1444" t="s">
        <v>58</v>
      </c>
      <c r="D1444">
        <v>0</v>
      </c>
    </row>
    <row r="1445" spans="1:4" x14ac:dyDescent="0.25">
      <c r="B1445" t="str">
        <f>HYPERLINK("https://www.chemistwarehouse.com.au/buy/76171/Optislim-VLCD-Bar-Mocha-5-Pack"," Optislim VLCD Bar Mocha 5 Pack")</f>
        <v xml:space="preserve"> Optislim VLCD Bar Mocha 5 Pack</v>
      </c>
      <c r="C1445" t="s">
        <v>58</v>
      </c>
      <c r="D1445">
        <v>0</v>
      </c>
    </row>
    <row r="1446" spans="1:4" x14ac:dyDescent="0.25">
      <c r="A1446" t="s">
        <v>689</v>
      </c>
    </row>
    <row r="1447" spans="1:4" x14ac:dyDescent="0.25">
      <c r="B1447" t="str">
        <f>HYPERLINK("https://www.chemistwarehouse.com.au/buy/59017/OptiSlim-Life-Starter-Pack-8-Day"," OptiSlim Life Starter Pack 8 Day")</f>
        <v xml:space="preserve"> OptiSlim Life Starter Pack 8 Day</v>
      </c>
      <c r="C1447" t="s">
        <v>163</v>
      </c>
      <c r="D1447">
        <v>0</v>
      </c>
    </row>
    <row r="1448" spans="1:4" x14ac:dyDescent="0.25">
      <c r="A1448" t="s">
        <v>690</v>
      </c>
    </row>
    <row r="1449" spans="1:4" x14ac:dyDescent="0.25">
      <c r="B1449" t="str">
        <f>HYPERLINK("https://www.chemistwarehouse.com.au/buy/72273/Optislim-Life-10-Day-Variety-Pack-50g-20-Pack"," Optislim Life 10 Day Variety Pack 50g 20 Pack")</f>
        <v xml:space="preserve"> Optislim Life 10 Day Variety Pack 50g 20 Pack</v>
      </c>
      <c r="C1449" t="s">
        <v>166</v>
      </c>
      <c r="D1449">
        <v>0</v>
      </c>
    </row>
    <row r="1450" spans="1:4" x14ac:dyDescent="0.25">
      <c r="B1450" t="str">
        <f>HYPERLINK("https://www.chemistwarehouse.com.au/buy/59013/OptiSlim-Life-Shake-French-Vanilla-50g-x-7"," OptiSlim Life Shake French Vanilla 50g x 7")</f>
        <v xml:space="preserve"> OptiSlim Life Shake French Vanilla 50g x 7</v>
      </c>
      <c r="C1450" t="s">
        <v>8</v>
      </c>
      <c r="D1450">
        <v>0</v>
      </c>
    </row>
    <row r="1451" spans="1:4" x14ac:dyDescent="0.25">
      <c r="B1451" t="str">
        <f>HYPERLINK("https://www.chemistwarehouse.com.au/buy/59008/OptiSlim-Life-Shake-Choc-Mint-50g-x-7"," OptiSlim Life Shake Choc Mint 50g x 7")</f>
        <v xml:space="preserve"> OptiSlim Life Shake Choc Mint 50g x 7</v>
      </c>
      <c r="C1451" t="s">
        <v>8</v>
      </c>
      <c r="D1451">
        <v>0</v>
      </c>
    </row>
    <row r="1452" spans="1:4" x14ac:dyDescent="0.25">
      <c r="B1452" t="str">
        <f>HYPERLINK("https://www.chemistwarehouse.com.au/buy/64648/OptiSlim-Life-Shake-Strawberry-50g-Sachet"," OptiSlim Life Shake Strawberry 50g Sachet")</f>
        <v xml:space="preserve"> OptiSlim Life Shake Strawberry 50g Sachet</v>
      </c>
      <c r="C1452" t="s">
        <v>691</v>
      </c>
      <c r="D1452">
        <v>0</v>
      </c>
    </row>
    <row r="1453" spans="1:4" x14ac:dyDescent="0.25">
      <c r="B1453" t="str">
        <f>HYPERLINK("https://www.chemistwarehouse.com.au/buy/64653/OptiSlim-Life-Shake-Vanilla-50g-Sachet"," OptiSlim Life Shake Vanilla 50g Sachet")</f>
        <v xml:space="preserve"> OptiSlim Life Shake Vanilla 50g Sachet</v>
      </c>
      <c r="C1453" t="s">
        <v>691</v>
      </c>
      <c r="D1453">
        <v>0</v>
      </c>
    </row>
    <row r="1454" spans="1:4" x14ac:dyDescent="0.25">
      <c r="B1454" t="str">
        <f>HYPERLINK("https://www.chemistwarehouse.com.au/buy/64658/OptiSlim-Life-Shake-Cafe-Latte-50g-Sachet"," OptiSlim Life Shake Cafe Latte 50g Sachet")</f>
        <v xml:space="preserve"> OptiSlim Life Shake Cafe Latte 50g Sachet</v>
      </c>
      <c r="C1454" t="s">
        <v>691</v>
      </c>
      <c r="D1454">
        <v>0</v>
      </c>
    </row>
    <row r="1455" spans="1:4" x14ac:dyDescent="0.25">
      <c r="B1455" t="str">
        <f>HYPERLINK("https://www.chemistwarehouse.com.au/buy/64660/OptiSlim-Life-Shake-Banana-50g-Sachet"," OptiSlim Life Shake Banana 50g Sachet")</f>
        <v xml:space="preserve"> OptiSlim Life Shake Banana 50g Sachet</v>
      </c>
      <c r="C1455" t="s">
        <v>691</v>
      </c>
      <c r="D1455">
        <v>0</v>
      </c>
    </row>
    <row r="1456" spans="1:4" x14ac:dyDescent="0.25">
      <c r="B1456" t="str">
        <f>HYPERLINK("https://www.chemistwarehouse.com.au/buy/64664/OptiSlim-Life-Shake-Caramel-50g-Sachet"," OptiSlim Life Shake Caramel 50g Sachet")</f>
        <v xml:space="preserve"> OptiSlim Life Shake Caramel 50g Sachet</v>
      </c>
      <c r="C1456" t="s">
        <v>691</v>
      </c>
      <c r="D1456">
        <v>0</v>
      </c>
    </row>
    <row r="1457" spans="1:4" x14ac:dyDescent="0.25">
      <c r="B1457" t="str">
        <f>HYPERLINK("https://www.chemistwarehouse.com.au/buy/64665/OptiSlim-Life-Shake-Honeycomb-50g-Sachet"," OptiSlim Life Shake Honeycomb 50g Sachet")</f>
        <v xml:space="preserve"> OptiSlim Life Shake Honeycomb 50g Sachet</v>
      </c>
      <c r="C1457" t="s">
        <v>691</v>
      </c>
      <c r="D1457">
        <v>0</v>
      </c>
    </row>
    <row r="1458" spans="1:4" x14ac:dyDescent="0.25">
      <c r="B1458" t="str">
        <f>HYPERLINK("https://www.chemistwarehouse.com.au/buy/64666/OptiSlim-Life-Shake-Choc-Mint-50g-Sachet"," OptiSlim Life Shake Choc Mint 50g Sachet")</f>
        <v xml:space="preserve"> OptiSlim Life Shake Choc Mint 50g Sachet</v>
      </c>
      <c r="C1458" t="s">
        <v>691</v>
      </c>
      <c r="D1458">
        <v>0</v>
      </c>
    </row>
    <row r="1459" spans="1:4" x14ac:dyDescent="0.25">
      <c r="B1459" t="str">
        <f>HYPERLINK("https://www.chemistwarehouse.com.au/buy/59009/OptiSlim-Life-Shake-Honeycomb-50g-x-7"," OptiSlim Life Shake Honeycomb 50g x 7")</f>
        <v xml:space="preserve"> OptiSlim Life Shake Honeycomb 50g x 7</v>
      </c>
      <c r="C1459" t="s">
        <v>8</v>
      </c>
      <c r="D1459">
        <v>0</v>
      </c>
    </row>
    <row r="1460" spans="1:4" x14ac:dyDescent="0.25">
      <c r="B1460" t="str">
        <f>HYPERLINK("https://www.chemistwarehouse.com.au/buy/59011/OptiSlim-Life-Shake-Royal-Chocolate-50g-x-7"," OptiSlim Life Shake Royal Chocolate 50g x 7")</f>
        <v xml:space="preserve"> OptiSlim Life Shake Royal Chocolate 50g x 7</v>
      </c>
      <c r="C1460" t="s">
        <v>8</v>
      </c>
      <c r="D1460">
        <v>0</v>
      </c>
    </row>
    <row r="1461" spans="1:4" x14ac:dyDescent="0.25">
      <c r="B1461" t="str">
        <f>HYPERLINK("https://www.chemistwarehouse.com.au/buy/59012/OptiSlim-Life-Shake-Strawberry-50g-x-7"," OptiSlim Life Shake Strawberry 50g x 7")</f>
        <v xml:space="preserve"> OptiSlim Life Shake Strawberry 50g x 7</v>
      </c>
      <c r="C1461" t="s">
        <v>8</v>
      </c>
      <c r="D1461">
        <v>0</v>
      </c>
    </row>
    <row r="1462" spans="1:4" x14ac:dyDescent="0.25">
      <c r="B1462" t="str">
        <f>HYPERLINK("https://www.chemistwarehouse.com.au/buy/64647/OptiSlim-Life-Shake-Royal-Chocolate-50g-Sachet"," OptiSlim Life Shake Royal Chocolate 50g Sachet")</f>
        <v xml:space="preserve"> OptiSlim Life Shake Royal Chocolate 50g Sachet</v>
      </c>
      <c r="C1462" t="s">
        <v>691</v>
      </c>
      <c r="D1462">
        <v>0</v>
      </c>
    </row>
    <row r="1463" spans="1:4" x14ac:dyDescent="0.25">
      <c r="B1463" t="str">
        <f>HYPERLINK("https://www.chemistwarehouse.com.au/buy/59005/OptiSlim-Life-Shake-Banana-50g-x-7"," OptiSlim Life Shake Banana 50g x 7")</f>
        <v xml:space="preserve"> OptiSlim Life Shake Banana 50g x 7</v>
      </c>
      <c r="C1463" t="s">
        <v>8</v>
      </c>
      <c r="D1463">
        <v>0</v>
      </c>
    </row>
    <row r="1464" spans="1:4" x14ac:dyDescent="0.25">
      <c r="B1464" t="str">
        <f>HYPERLINK("https://www.chemistwarehouse.com.au/buy/59006/OptiSlim-Life-Shake-Cafe-Latte-50g-x-7"," OptiSlim Life Shake Cafe Latte 50g x 7")</f>
        <v xml:space="preserve"> OptiSlim Life Shake Cafe Latte 50g x 7</v>
      </c>
      <c r="C1464" t="s">
        <v>8</v>
      </c>
      <c r="D1464">
        <v>0</v>
      </c>
    </row>
    <row r="1465" spans="1:4" x14ac:dyDescent="0.25">
      <c r="B1465" t="str">
        <f>HYPERLINK("https://www.chemistwarehouse.com.au/buy/59007/OptiSlim-Life-Shake-Caramel-50g-x-7"," OptiSlim Life Shake Caramel 50g x 7")</f>
        <v xml:space="preserve"> OptiSlim Life Shake Caramel 50g x 7</v>
      </c>
      <c r="C1465" t="s">
        <v>8</v>
      </c>
      <c r="D1465">
        <v>0</v>
      </c>
    </row>
    <row r="1466" spans="1:4" x14ac:dyDescent="0.25">
      <c r="A1466" t="s">
        <v>692</v>
      </c>
    </row>
    <row r="1467" spans="1:4" x14ac:dyDescent="0.25">
      <c r="B1467" t="str">
        <f>HYPERLINK("https://www.chemistwarehouse.com.au/buy/59014/OptiSlim-Life-Soup-Creamy-Chicken-50g-x-7"," OptiSlim Life Soup Creamy Chicken 50g x 7")</f>
        <v xml:space="preserve"> OptiSlim Life Soup Creamy Chicken 50g x 7</v>
      </c>
      <c r="C1467" t="s">
        <v>8</v>
      </c>
      <c r="D1467">
        <v>0</v>
      </c>
    </row>
    <row r="1468" spans="1:4" x14ac:dyDescent="0.25">
      <c r="B1468" t="str">
        <f>HYPERLINK("https://www.chemistwarehouse.com.au/buy/59015/OptiSlim-Life-Soup-Pumpkin-50g-x-7"," OptiSlim Life Soup Pumpkin 50g x 7")</f>
        <v xml:space="preserve"> OptiSlim Life Soup Pumpkin 50g x 7</v>
      </c>
      <c r="C1468" t="s">
        <v>8</v>
      </c>
      <c r="D1468">
        <v>0</v>
      </c>
    </row>
    <row r="1469" spans="1:4" x14ac:dyDescent="0.25">
      <c r="B1469" t="str">
        <f>HYPERLINK("https://www.chemistwarehouse.com.au/buy/59016/OptiSlim-Life-Soup-Tomato-50g-x-7"," OptiSlim Life Soup Tomato 50g x 7")</f>
        <v xml:space="preserve"> OptiSlim Life Soup Tomato 50g x 7</v>
      </c>
      <c r="C1469" t="s">
        <v>8</v>
      </c>
      <c r="D1469">
        <v>0</v>
      </c>
    </row>
    <row r="1470" spans="1:4" x14ac:dyDescent="0.25">
      <c r="B1470" t="str">
        <f>HYPERLINK("https://www.chemistwarehouse.com.au/buy/64680/OptiSlim-Life-Soup-Chicken-50g-Sachet"," OptiSlim Life Soup Chicken 50g Sachet")</f>
        <v xml:space="preserve"> OptiSlim Life Soup Chicken 50g Sachet</v>
      </c>
      <c r="C1470" t="s">
        <v>691</v>
      </c>
      <c r="D1470">
        <v>0</v>
      </c>
    </row>
    <row r="1471" spans="1:4" x14ac:dyDescent="0.25">
      <c r="B1471" t="str">
        <f>HYPERLINK("https://www.chemistwarehouse.com.au/buy/64730/OptiSlim-Life-Soup-Pumpkin-50g-Sachet"," OptiSlim Life Soup Pumpkin 50g Sachet")</f>
        <v xml:space="preserve"> OptiSlim Life Soup Pumpkin 50g Sachet</v>
      </c>
      <c r="C1471" t="s">
        <v>691</v>
      </c>
      <c r="D1471">
        <v>0</v>
      </c>
    </row>
    <row r="1472" spans="1:4" x14ac:dyDescent="0.25">
      <c r="B1472" t="str">
        <f>HYPERLINK("https://www.chemistwarehouse.com.au/buy/64731/OptiSlim-Life-Soup-Tomato-50g-Sachet"," OptiSlim Life Soup Tomato 50g Sachet")</f>
        <v xml:space="preserve"> OptiSlim Life Soup Tomato 50g Sachet</v>
      </c>
      <c r="C1472" t="s">
        <v>691</v>
      </c>
      <c r="D1472">
        <v>0</v>
      </c>
    </row>
    <row r="1473" spans="1:4" x14ac:dyDescent="0.25">
      <c r="A1473" t="s">
        <v>693</v>
      </c>
    </row>
    <row r="1474" spans="1:4" x14ac:dyDescent="0.25">
      <c r="B1474" t="str">
        <f>HYPERLINK("https://www.chemistwarehouse.com.au/buy/56867/OptiSlim-Healthy-Option-Chunky-Beef-amp-Potato-Hotpot-300g"," OptiSlim Healthy Option Chunky Beef &amp; Potato Hotpot 300g")</f>
        <v xml:space="preserve"> OptiSlim Healthy Option Chunky Beef &amp; Potato Hotpot 300g</v>
      </c>
      <c r="C1474" t="s">
        <v>556</v>
      </c>
      <c r="D1474">
        <v>0</v>
      </c>
    </row>
    <row r="1475" spans="1:4" x14ac:dyDescent="0.25">
      <c r="B1475" t="str">
        <f>HYPERLINK("https://www.chemistwarehouse.com.au/buy/56868/OptiSlim-Healthy-Option-Beef-Stroganoff-300g"," OptiSlim Healthy Option Beef Stroganoff 300g")</f>
        <v xml:space="preserve"> OptiSlim Healthy Option Beef Stroganoff 300g</v>
      </c>
      <c r="C1475" t="s">
        <v>556</v>
      </c>
      <c r="D1475">
        <v>0</v>
      </c>
    </row>
    <row r="1476" spans="1:4" x14ac:dyDescent="0.25">
      <c r="B1476" t="str">
        <f>HYPERLINK("https://www.chemistwarehouse.com.au/buy/56870/OptiSlim-Healthy-Option-Chilli-Con-Carne-300g"," OptiSlim Healthy Option Chilli Con Carne 300g")</f>
        <v xml:space="preserve"> OptiSlim Healthy Option Chilli Con Carne 300g</v>
      </c>
      <c r="C1476" t="s">
        <v>556</v>
      </c>
      <c r="D1476">
        <v>0</v>
      </c>
    </row>
    <row r="1477" spans="1:4" x14ac:dyDescent="0.25">
      <c r="B1477" t="str">
        <f>HYPERLINK("https://www.chemistwarehouse.com.au/buy/67616/OptiSlim-HealthyOption-Spinach-amp-Ricota-Tortellini-300g"," OptiSlim HealthyOption Spinach &amp; Ricota Tortellini 300g")</f>
        <v xml:space="preserve"> OptiSlim HealthyOption Spinach &amp; Ricota Tortellini 300g</v>
      </c>
      <c r="C1477" t="s">
        <v>556</v>
      </c>
      <c r="D1477">
        <v>0</v>
      </c>
    </row>
    <row r="1478" spans="1:4" x14ac:dyDescent="0.25">
      <c r="B1478" t="str">
        <f>HYPERLINK("https://www.chemistwarehouse.com.au/buy/67617/OptiSlim-HealthyOption-Vegeterian-Tikka-Masala-300g"," OptiSlim HealthyOption Vegeterian Tikka Masala 300g")</f>
        <v xml:space="preserve"> OptiSlim HealthyOption Vegeterian Tikka Masala 300g</v>
      </c>
      <c r="C1478" t="s">
        <v>556</v>
      </c>
      <c r="D1478">
        <v>0</v>
      </c>
    </row>
    <row r="1479" spans="1:4" x14ac:dyDescent="0.25">
      <c r="A1479" t="s">
        <v>694</v>
      </c>
    </row>
    <row r="1480" spans="1:4" x14ac:dyDescent="0.25">
      <c r="B1480" t="str">
        <f>HYPERLINK("https://www.chemistwarehouse.com.au/buy/79332/Optislim-Optiman-Chocolate-840g"," Optislim Optiman Chocolate 840g")</f>
        <v xml:space="preserve"> Optislim Optiman Chocolate 840g</v>
      </c>
      <c r="C1480" t="s">
        <v>6</v>
      </c>
      <c r="D1480">
        <v>0</v>
      </c>
    </row>
    <row r="1481" spans="1:4" x14ac:dyDescent="0.25">
      <c r="B1481" t="str">
        <f>HYPERLINK("https://www.chemistwarehouse.com.au/buy/79333/Optislim-Optiman-Vanilla-840g"," Optislim Optiman Vanilla 840g")</f>
        <v xml:space="preserve"> Optislim Optiman Vanilla 840g</v>
      </c>
      <c r="C1481" t="s">
        <v>6</v>
      </c>
      <c r="D1481">
        <v>0</v>
      </c>
    </row>
    <row r="1482" spans="1:4" x14ac:dyDescent="0.25">
      <c r="A1482" t="s">
        <v>695</v>
      </c>
    </row>
    <row r="1483" spans="1:4" x14ac:dyDescent="0.25">
      <c r="B1483" t="str">
        <f>HYPERLINK("https://www.chemistwarehouse.com.au/buy/66780/Naturopathica-Fatblaster-2-Day-Coconut-Detox-750ml"," Naturopathica Fatblaster 2 Day Coconut Detox 750ml")</f>
        <v xml:space="preserve"> Naturopathica Fatblaster 2 Day Coconut Detox 750ml</v>
      </c>
      <c r="C1483" t="s">
        <v>1</v>
      </c>
      <c r="D1483" t="s">
        <v>303</v>
      </c>
    </row>
    <row r="1484" spans="1:4" x14ac:dyDescent="0.25">
      <c r="B1484" t="str">
        <f>HYPERLINK("https://www.chemistwarehouse.com.au/buy/72865/Naturopathica-FatBlaster-2-For-$40-VLCD-Ultimate-Shake-Cappuccino-21-Sachets"," Naturopathica FatBlaster 2 For $40 VLCD Ultimate Shake Cappuccino 21 Sachets")</f>
        <v xml:space="preserve"> Naturopathica FatBlaster 2 For $40 VLCD Ultimate Shake Cappuccino 21 Sachets</v>
      </c>
      <c r="C1484" t="s">
        <v>303</v>
      </c>
      <c r="D1484">
        <v>0</v>
      </c>
    </row>
    <row r="1485" spans="1:4" x14ac:dyDescent="0.25">
      <c r="B1485" t="str">
        <f>HYPERLINK("https://www.chemistwarehouse.com.au/buy/39961/Naturopathica-FatBlaster-MAX-60-Tablets"," Naturopathica FatBlaster MAX 60 Tablets")</f>
        <v xml:space="preserve"> Naturopathica FatBlaster MAX 60 Tablets</v>
      </c>
      <c r="C1485" t="s">
        <v>123</v>
      </c>
      <c r="D1485" t="s">
        <v>420</v>
      </c>
    </row>
    <row r="1486" spans="1:4" x14ac:dyDescent="0.25">
      <c r="B1486" t="str">
        <f>HYPERLINK("https://www.chemistwarehouse.com.au/buy/72829/Naturopathica-FatBlaster-VLCD-Ultimate-Shake-Cappuccino-21-Sachets"," Naturopathica FatBlaster VLCD Ultimate Shake Cappuccino 21 Sachets")</f>
        <v xml:space="preserve"> Naturopathica FatBlaster VLCD Ultimate Shake Cappuccino 21 Sachets</v>
      </c>
      <c r="C1486" t="s">
        <v>161</v>
      </c>
      <c r="D1486" t="s">
        <v>169</v>
      </c>
    </row>
    <row r="1487" spans="1:4" x14ac:dyDescent="0.25">
      <c r="B1487" t="str">
        <f>HYPERLINK("https://www.chemistwarehouse.com.au/buy/77318/Naturopathica-Fatblaster-Weight-Loss-Water-Booster-48ml"," Naturopathica Fatblaster Weight Loss Water Booster 48ml")</f>
        <v xml:space="preserve"> Naturopathica Fatblaster Weight Loss Water Booster 48ml</v>
      </c>
      <c r="C1487" t="s">
        <v>556</v>
      </c>
      <c r="D1487" t="s">
        <v>115</v>
      </c>
    </row>
    <row r="1488" spans="1:4" x14ac:dyDescent="0.25">
      <c r="B1488" t="str">
        <f>HYPERLINK("https://www.chemistwarehouse.com.au/buy/77319/Naturopathica-Fatblaster-Coconut-Detox-100-Capsules"," Naturopathica Fatblaster Coconut Detox 100 Capsules")</f>
        <v xml:space="preserve"> Naturopathica Fatblaster Coconut Detox 100 Capsules</v>
      </c>
      <c r="C1488" t="s">
        <v>10</v>
      </c>
      <c r="D1488" t="s">
        <v>162</v>
      </c>
    </row>
    <row r="1489" spans="2:4" x14ac:dyDescent="0.25">
      <c r="B1489" t="str">
        <f>HYPERLINK("https://www.chemistwarehouse.com.au/buy/62292/Naturopathica-Fatblaster-Reducta-500mg-40-Tablets"," Naturopathica Fatblaster Reducta 500mg 40 Tablets")</f>
        <v xml:space="preserve"> Naturopathica Fatblaster Reducta 500mg 40 Tablets</v>
      </c>
      <c r="C1489" t="s">
        <v>166</v>
      </c>
      <c r="D1489" t="s">
        <v>167</v>
      </c>
    </row>
    <row r="1490" spans="2:4" x14ac:dyDescent="0.25">
      <c r="B1490" t="str">
        <f>HYPERLINK("https://www.chemistwarehouse.com.au/buy/65642/Naturopathica-FatBlaster-2-For-$40-VLCD-Ultimate-Chocolate-Shake-21-Sachets"," Naturopathica FatBlaster 2 For $40 VLCD Ultimate Chocolate Shake 21 Sachets")</f>
        <v xml:space="preserve"> Naturopathica FatBlaster 2 For $40 VLCD Ultimate Chocolate Shake 21 Sachets</v>
      </c>
      <c r="C1490" t="s">
        <v>303</v>
      </c>
      <c r="D1490">
        <v>0</v>
      </c>
    </row>
    <row r="1491" spans="2:4" x14ac:dyDescent="0.25">
      <c r="B1491" t="str">
        <f>HYPERLINK("https://www.chemistwarehouse.com.au/buy/59586/Naturopathica-FatMagnet-100-Tablets"," Naturopathica FatMagnet 100 Tablets")</f>
        <v xml:space="preserve"> Naturopathica FatMagnet 100 Tablets</v>
      </c>
      <c r="C1491" t="s">
        <v>273</v>
      </c>
      <c r="D1491" t="s">
        <v>696</v>
      </c>
    </row>
    <row r="1492" spans="2:4" x14ac:dyDescent="0.25">
      <c r="B1492" t="str">
        <f>HYPERLINK("https://www.chemistwarehouse.com.au/buy/52781/Naturopathica-Fatmagnet-60-Tablets"," Naturopathica Fatmagnet 60 Tablets")</f>
        <v xml:space="preserve"> Naturopathica Fatmagnet 60 Tablets</v>
      </c>
      <c r="C1492" t="s">
        <v>10</v>
      </c>
      <c r="D1492" t="s">
        <v>165</v>
      </c>
    </row>
    <row r="1493" spans="2:4" x14ac:dyDescent="0.25">
      <c r="B1493" t="str">
        <f>HYPERLINK("https://www.chemistwarehouse.com.au/buy/72867/Naturopathica-FatBlaster-VLCD-SuperShake-Chocolate-21-Sachets"," Naturopathica FatBlaster VLCD SuperShake Chocolate 21 Sachets")</f>
        <v xml:space="preserve"> Naturopathica FatBlaster VLCD SuperShake Chocolate 21 Sachets</v>
      </c>
      <c r="C1493" t="s">
        <v>111</v>
      </c>
      <c r="D1493" t="s">
        <v>169</v>
      </c>
    </row>
    <row r="1494" spans="2:4" x14ac:dyDescent="0.25">
      <c r="B1494" t="str">
        <f>HYPERLINK("https://www.chemistwarehouse.com.au/buy/72868/Naturopathica-FatBlaster-VLCD-SuperShake-Vanilla-21-Sachets"," Naturopathica FatBlaster VLCD SuperShake Vanilla 21 Sachets")</f>
        <v xml:space="preserve"> Naturopathica FatBlaster VLCD SuperShake Vanilla 21 Sachets</v>
      </c>
      <c r="C1494" t="s">
        <v>111</v>
      </c>
      <c r="D1494" t="s">
        <v>169</v>
      </c>
    </row>
    <row r="1495" spans="2:4" x14ac:dyDescent="0.25">
      <c r="B1495" t="str">
        <f>HYPERLINK("https://www.chemistwarehouse.com.au/buy/73829/Naturopathica-2-For-$60-FatBlaster-VLCD-SuperShake-Chocolate-21-Sachets"," Naturopathica 2 For $60 FatBlaster VLCD SuperShake Chocolate 21 Sachets")</f>
        <v xml:space="preserve"> Naturopathica 2 For $60 FatBlaster VLCD SuperShake Chocolate 21 Sachets</v>
      </c>
      <c r="C1495" t="s">
        <v>110</v>
      </c>
      <c r="D1495">
        <v>0</v>
      </c>
    </row>
    <row r="1496" spans="2:4" x14ac:dyDescent="0.25">
      <c r="B1496" t="str">
        <f>HYPERLINK("https://www.chemistwarehouse.com.au/buy/73830/Naturopathica-2-For-$60-FatBlaster-VLCD-SuperShake-Vanilla-21-Sachets"," Naturopathica 2 For $60 FatBlaster VLCD SuperShake Vanilla 21 Sachets")</f>
        <v xml:space="preserve"> Naturopathica 2 For $60 FatBlaster VLCD SuperShake Vanilla 21 Sachets</v>
      </c>
      <c r="C1496" t="s">
        <v>110</v>
      </c>
      <c r="D1496">
        <v>0</v>
      </c>
    </row>
    <row r="1497" spans="2:4" x14ac:dyDescent="0.25">
      <c r="B1497" t="str">
        <f>HYPERLINK("https://www.chemistwarehouse.com.au/buy/76105/Naturopathica-Fatblaster-Coconut-Detox-Lemon-750ml"," Naturopathica Fatblaster Coconut Detox Lemon 750ml")</f>
        <v xml:space="preserve"> Naturopathica Fatblaster Coconut Detox Lemon 750ml</v>
      </c>
      <c r="C1497" t="s">
        <v>125</v>
      </c>
      <c r="D1497" t="s">
        <v>217</v>
      </c>
    </row>
    <row r="1498" spans="2:4" x14ac:dyDescent="0.25">
      <c r="B1498" t="str">
        <f>HYPERLINK("https://www.chemistwarehouse.com.au/buy/77317/Naturopathica-Fatblaster-Max-Gummies-60"," Naturopathica Fatblaster Max Gummies 60")</f>
        <v xml:space="preserve"> Naturopathica Fatblaster Max Gummies 60</v>
      </c>
      <c r="C1498" t="s">
        <v>1</v>
      </c>
      <c r="D1498" t="s">
        <v>162</v>
      </c>
    </row>
    <row r="1499" spans="2:4" x14ac:dyDescent="0.25">
      <c r="B1499" t="str">
        <f>HYPERLINK("https://www.chemistwarehouse.com.au/buy/71923/Naturopathica-Fatblaster-Raspberry-Ketone-Shots-375ml"," Naturopathica Fatblaster Raspberry Ketone Shots 375ml")</f>
        <v xml:space="preserve"> Naturopathica Fatblaster Raspberry Ketone Shots 375ml</v>
      </c>
      <c r="C1499" t="s">
        <v>45</v>
      </c>
      <c r="D1499" t="s">
        <v>104</v>
      </c>
    </row>
    <row r="1500" spans="2:4" x14ac:dyDescent="0.25">
      <c r="B1500" t="str">
        <f>HYPERLINK("https://www.chemistwarehouse.com.au/buy/71929/Naturopathica-Fatblaster-Green-Coffee-Bean-60-Capsules"," Naturopathica Fatblaster Green Coffee Bean 60 Capsules")</f>
        <v xml:space="preserve"> Naturopathica Fatblaster Green Coffee Bean 60 Capsules</v>
      </c>
      <c r="C1500" t="s">
        <v>8</v>
      </c>
      <c r="D1500" t="s">
        <v>169</v>
      </c>
    </row>
    <row r="1501" spans="2:4" x14ac:dyDescent="0.25">
      <c r="B1501" t="str">
        <f>HYPERLINK("https://www.chemistwarehouse.com.au/buy/72828/Naturopathica-FatBlaster-VLCD-Ultimate-Shake-Raspberry-with-Ketones-21-Sachets"," Naturopathica FatBlaster VLCD Ultimate Shake Raspberry with Ketones 21 Sachets")</f>
        <v xml:space="preserve"> Naturopathica FatBlaster VLCD Ultimate Shake Raspberry with Ketones 21 Sachets</v>
      </c>
      <c r="C1501" t="s">
        <v>161</v>
      </c>
      <c r="D1501" t="s">
        <v>169</v>
      </c>
    </row>
    <row r="1502" spans="2:4" x14ac:dyDescent="0.25">
      <c r="B1502" t="str">
        <f>HYPERLINK("https://www.chemistwarehouse.com.au/buy/58012/Naturopathica-FatBlaster-VLCD-Ultimate-Chocolate-Shake-21-Sachets"," Naturopathica FatBlaster VLCD Ultimate Chocolate Shake 21 Sachets")</f>
        <v xml:space="preserve"> Naturopathica FatBlaster VLCD Ultimate Chocolate Shake 21 Sachets</v>
      </c>
      <c r="C1502" t="s">
        <v>161</v>
      </c>
      <c r="D1502" t="s">
        <v>169</v>
      </c>
    </row>
    <row r="1503" spans="2:4" x14ac:dyDescent="0.25">
      <c r="B1503" t="str">
        <f>HYPERLINK("https://www.chemistwarehouse.com.au/buy/58013/Naturopathica-FatBlaster-VLCD-Ultimate-Vanilla-Shake-21-Sachets"," Naturopathica FatBlaster VLCD Ultimate Vanilla Shake 21 Sachets")</f>
        <v xml:space="preserve"> Naturopathica FatBlaster VLCD Ultimate Vanilla Shake 21 Sachets</v>
      </c>
      <c r="C1503" t="s">
        <v>161</v>
      </c>
      <c r="D1503" t="s">
        <v>169</v>
      </c>
    </row>
    <row r="1504" spans="2:4" x14ac:dyDescent="0.25">
      <c r="B1504" t="str">
        <f>HYPERLINK("https://www.chemistwarehouse.com.au/buy/39729/Naturopathica-Fatblaster-60-Tablets"," Naturopathica Fatblaster 60 Tablets")</f>
        <v xml:space="preserve"> Naturopathica Fatblaster 60 Tablets</v>
      </c>
      <c r="C1504" t="s">
        <v>297</v>
      </c>
      <c r="D1504" t="s">
        <v>696</v>
      </c>
    </row>
    <row r="1505" spans="1:4" x14ac:dyDescent="0.25">
      <c r="B1505" t="str">
        <f>HYPERLINK("https://www.chemistwarehouse.com.au/buy/65643/Naturopathica-FatBlaster-2-For-$40-VLCD-Ultimate-Vanilla-Shake-21-Sachets"," Naturopathica FatBlaster 2 For $40 VLCD Ultimate Vanilla Shake 21 Sachets")</f>
        <v xml:space="preserve"> Naturopathica FatBlaster 2 For $40 VLCD Ultimate Vanilla Shake 21 Sachets</v>
      </c>
      <c r="C1505" t="s">
        <v>303</v>
      </c>
      <c r="D1505">
        <v>0</v>
      </c>
    </row>
    <row r="1506" spans="1:4" x14ac:dyDescent="0.25">
      <c r="B1506" t="str">
        <f>HYPERLINK("https://www.chemistwarehouse.com.au/buy/80691/Naturopathica-Fatblaster-Collagen-Detox-Beauty-Drink-750ml"," Naturopathica Fatblaster Collagen Detox Beauty Drink 750ml")</f>
        <v xml:space="preserve"> Naturopathica Fatblaster Collagen Detox Beauty Drink 750ml</v>
      </c>
      <c r="C1506" t="s">
        <v>125</v>
      </c>
      <c r="D1506" t="s">
        <v>217</v>
      </c>
    </row>
    <row r="1507" spans="1:4" x14ac:dyDescent="0.25">
      <c r="A1507" t="s">
        <v>697</v>
      </c>
    </row>
    <row r="1508" spans="1:4" x14ac:dyDescent="0.25">
      <c r="B1508" t="str">
        <f>HYPERLINK("https://www.chemistwarehouse.com.au/buy/53960/Optifast-VLCD-Bars-Cappuccino-6-Pack"," Optifast VLCD Bars Cappuccino 6 Pack")</f>
        <v xml:space="preserve"> Optifast VLCD Bars Cappuccino 6 Pack</v>
      </c>
      <c r="C1508" t="s">
        <v>125</v>
      </c>
      <c r="D1508" t="s">
        <v>157</v>
      </c>
    </row>
    <row r="1509" spans="1:4" x14ac:dyDescent="0.25">
      <c r="B1509" t="str">
        <f>HYPERLINK("https://www.chemistwarehouse.com.au/buy/78338/Optifast-VLCD-Shake-Chocolate-18-x-54g"," Optifast VLCD Shake Chocolate 18 x 54g")</f>
        <v xml:space="preserve"> Optifast VLCD Shake Chocolate 18 x 54g</v>
      </c>
      <c r="C1509" t="s">
        <v>276</v>
      </c>
      <c r="D1509" t="s">
        <v>563</v>
      </c>
    </row>
    <row r="1510" spans="1:4" x14ac:dyDescent="0.25">
      <c r="B1510" t="str">
        <f>HYPERLINK("https://www.chemistwarehouse.com.au/buy/79318/Optifast-VLCD-Shake-Coffee-12-x-54g"," Optifast VLCD Shake Coffee 12 x 54g")</f>
        <v xml:space="preserve"> Optifast VLCD Shake Coffee 12 x 54g</v>
      </c>
      <c r="C1510" t="s">
        <v>258</v>
      </c>
      <c r="D1510" t="s">
        <v>449</v>
      </c>
    </row>
    <row r="1511" spans="1:4" x14ac:dyDescent="0.25">
      <c r="B1511" t="str">
        <f>HYPERLINK("https://www.chemistwarehouse.com.au/buy/58090/Optifast-VLCD-Bars-Berry-Crunch-6-Pack"," Optifast VLCD Bars Berry Crunch 6 Pack")</f>
        <v xml:space="preserve"> Optifast VLCD Bars Berry Crunch 6 Pack</v>
      </c>
      <c r="C1511" t="s">
        <v>125</v>
      </c>
      <c r="D1511" t="s">
        <v>157</v>
      </c>
    </row>
    <row r="1512" spans="1:4" x14ac:dyDescent="0.25">
      <c r="B1512" t="str">
        <f>HYPERLINK("https://www.chemistwarehouse.com.au/buy/79316/Optifast-VLCD-Chicken-Soup-8-x-48g"," Optifast VLCD Chicken Soup 8 x 48g")</f>
        <v xml:space="preserve"> Optifast VLCD Chicken Soup 8 x 48g</v>
      </c>
      <c r="C1512" t="s">
        <v>125</v>
      </c>
      <c r="D1512" t="s">
        <v>157</v>
      </c>
    </row>
    <row r="1513" spans="1:4" x14ac:dyDescent="0.25">
      <c r="B1513" t="str">
        <f>HYPERLINK("https://www.chemistwarehouse.com.au/buy/78337/Optifast-VLCD-Shake-Vanilla-18-x-54g"," Optifast VLCD Shake Vanilla 18 x 54g")</f>
        <v xml:space="preserve"> Optifast VLCD Shake Vanilla 18 x 54g</v>
      </c>
      <c r="C1513" t="s">
        <v>276</v>
      </c>
      <c r="D1513" t="s">
        <v>563</v>
      </c>
    </row>
    <row r="1514" spans="1:4" x14ac:dyDescent="0.25">
      <c r="B1514" t="str">
        <f>HYPERLINK("https://www.chemistwarehouse.com.au/buy/49955/Optifast-VLCD-Bars-Chocolate-Pk-6"," Optifast VLCD Bars - Chocolate Pk 6")</f>
        <v xml:space="preserve"> Optifast VLCD Bars - Chocolate Pk 6</v>
      </c>
      <c r="C1514" t="s">
        <v>125</v>
      </c>
      <c r="D1514" t="s">
        <v>157</v>
      </c>
    </row>
    <row r="1515" spans="1:4" x14ac:dyDescent="0.25">
      <c r="B1515" t="str">
        <f>HYPERLINK("https://www.chemistwarehouse.com.au/buy/48022/Optifast-VLCD-Sachets-Chocolate-Dessert-46g-x-8-Serves"," Optifast VLCD Sachets - Chocolate Dessert 46g x 8 Serves")</f>
        <v xml:space="preserve"> Optifast VLCD Sachets - Chocolate Dessert 46g x 8 Serves</v>
      </c>
      <c r="C1515" t="s">
        <v>125</v>
      </c>
      <c r="D1515" t="s">
        <v>157</v>
      </c>
    </row>
    <row r="1516" spans="1:4" x14ac:dyDescent="0.25">
      <c r="B1516" t="str">
        <f>HYPERLINK("https://www.chemistwarehouse.com.au/buy/81524/Optifast-VLCD-Milkshake-Chai-12-x-53g"," Optifast VLCD Milkshake Chai 12 x 53g")</f>
        <v xml:space="preserve"> Optifast VLCD Milkshake Chai 12 x 53g</v>
      </c>
      <c r="C1516" t="s">
        <v>258</v>
      </c>
      <c r="D1516" t="s">
        <v>449</v>
      </c>
    </row>
    <row r="1517" spans="1:4" x14ac:dyDescent="0.25">
      <c r="B1517" t="str">
        <f>HYPERLINK("https://www.chemistwarehouse.com.au/buy/81525/Optifast-VLCD-Bars-Cereal-6-x-65g"," Optifast VLCD Bars Cereal 6 x 65g")</f>
        <v xml:space="preserve"> Optifast VLCD Bars Cereal 6 x 65g</v>
      </c>
      <c r="C1517" t="s">
        <v>125</v>
      </c>
      <c r="D1517" t="s">
        <v>157</v>
      </c>
    </row>
    <row r="1518" spans="1:4" x14ac:dyDescent="0.25">
      <c r="B1518" t="str">
        <f>HYPERLINK("https://www.chemistwarehouse.com.au/buy/79319/Optifast-VLCD-Shake-Strawberry-12-x-54g"," Optifast VLCD Shake Strawberry 12 x 54g")</f>
        <v xml:space="preserve"> Optifast VLCD Shake Strawberry 12 x 54g</v>
      </c>
      <c r="C1518" t="s">
        <v>258</v>
      </c>
      <c r="D1518" t="s">
        <v>449</v>
      </c>
    </row>
    <row r="1519" spans="1:4" x14ac:dyDescent="0.25">
      <c r="B1519" t="str">
        <f>HYPERLINK("https://www.chemistwarehouse.com.au/buy/79317/Optifast-VLCD-Milkshake-Assorted-Pack-10-x-54g"," Optifast VLCD Milkshake Assorted Pack 10 x 54g")</f>
        <v xml:space="preserve"> Optifast VLCD Milkshake Assorted Pack 10 x 54g</v>
      </c>
      <c r="C1519" t="s">
        <v>258</v>
      </c>
      <c r="D1519" t="s">
        <v>449</v>
      </c>
    </row>
    <row r="1520" spans="1:4" x14ac:dyDescent="0.25">
      <c r="A1520" t="s">
        <v>698</v>
      </c>
    </row>
    <row r="1521" spans="1:4" x14ac:dyDescent="0.25">
      <c r="B1521" t="str">
        <f>HYPERLINK("https://www.chemistwarehouse.com.au/buy/53037/Carusos-Natural-Health-Quick-Cleanse-15-Day-Detox-Program-Probiotic"," Carusos Natural Health Quick Cleanse 15 Day Detox Program + Probiotic")</f>
        <v xml:space="preserve"> Carusos Natural Health Quick Cleanse 15 Day Detox Program + Probiotic</v>
      </c>
      <c r="C1521" t="s">
        <v>614</v>
      </c>
      <c r="D1521" t="s">
        <v>699</v>
      </c>
    </row>
    <row r="1522" spans="1:4" x14ac:dyDescent="0.25">
      <c r="B1522" t="str">
        <f>HYPERLINK("https://www.chemistwarehouse.com.au/buy/54399/Carusos-Natural-Health-Quick-Cleanse-Stomach-Clear-30-Tablets"," Carusos Natural Health Quick Cleanse Stomach Clear 30 Tablets")</f>
        <v xml:space="preserve"> Carusos Natural Health Quick Cleanse Stomach Clear 30 Tablets</v>
      </c>
      <c r="C1522" t="s">
        <v>495</v>
      </c>
      <c r="D1522" t="s">
        <v>496</v>
      </c>
    </row>
    <row r="1523" spans="1:4" x14ac:dyDescent="0.25">
      <c r="B1523" t="str">
        <f>HYPERLINK("https://www.chemistwarehouse.com.au/buy/55769/Carusos-Natural-Health-Quick-Cleanse-7-day-Detox-Program-Probiotic"," Carusos Natural Health Quick Cleanse 7 day Detox Program + Probiotic")</f>
        <v xml:space="preserve"> Carusos Natural Health Quick Cleanse 7 day Detox Program + Probiotic</v>
      </c>
      <c r="C1523" t="s">
        <v>663</v>
      </c>
      <c r="D1523" t="s">
        <v>700</v>
      </c>
    </row>
    <row r="1524" spans="1:4" x14ac:dyDescent="0.25">
      <c r="B1524" t="str">
        <f>HYPERLINK("https://www.chemistwarehouse.com.au/buy/20141/Carusos-Natural-Health-Quick-Cleanse-Liver-Clear-Detox-30-Tablets"," Carusos Natural Health Quick Cleanse Liver Clear Detox 30 Tablets")</f>
        <v xml:space="preserve"> Carusos Natural Health Quick Cleanse Liver Clear Detox 30 Tablets</v>
      </c>
      <c r="C1524" t="s">
        <v>279</v>
      </c>
      <c r="D1524" t="s">
        <v>160</v>
      </c>
    </row>
    <row r="1525" spans="1:4" x14ac:dyDescent="0.25">
      <c r="A1525" t="s">
        <v>701</v>
      </c>
    </row>
    <row r="1526" spans="1:4" x14ac:dyDescent="0.25">
      <c r="B1526" t="str">
        <f>HYPERLINK("https://www.chemistwarehouse.com.au/buy/73622/Sugarless-Organic-Stevia-250g-Canister"," Sugarless Organic Stevia 250g Canister")</f>
        <v xml:space="preserve"> Sugarless Organic Stevia 250g Canister</v>
      </c>
      <c r="C1526" t="s">
        <v>116</v>
      </c>
      <c r="D1526" t="s">
        <v>281</v>
      </c>
    </row>
    <row r="1527" spans="1:4" x14ac:dyDescent="0.25">
      <c r="B1527" t="str">
        <f>HYPERLINK("https://www.chemistwarehouse.com.au/buy/68703/Shaker-3-in-1"," Shaker 3 in 1")</f>
        <v xml:space="preserve"> Shaker 3 in 1</v>
      </c>
      <c r="C1527" t="s">
        <v>45</v>
      </c>
      <c r="D1527" t="s">
        <v>397</v>
      </c>
    </row>
    <row r="1528" spans="1:4" x14ac:dyDescent="0.25">
      <c r="B1528" t="str">
        <f>HYPERLINK("https://www.chemistwarehouse.com.au/buy/71342/Sugarless-Organic-Stevia-200-Tablets"," Sugarless Organic Stevia 200 Tablets")</f>
        <v xml:space="preserve"> Sugarless Organic Stevia 200 Tablets</v>
      </c>
      <c r="C1528" t="s">
        <v>116</v>
      </c>
      <c r="D1528" t="s">
        <v>318</v>
      </c>
    </row>
    <row r="1529" spans="1:4" x14ac:dyDescent="0.25">
      <c r="B1529" t="str">
        <f>HYPERLINK("https://www.chemistwarehouse.com.au/buy/72317/Glucerna-Triple-Care-Vanilla-850g"," Glucerna Triple Care Vanilla 850g")</f>
        <v xml:space="preserve"> Glucerna Triple Care Vanilla 850g</v>
      </c>
      <c r="C1529" t="s">
        <v>123</v>
      </c>
      <c r="D1529" t="s">
        <v>702</v>
      </c>
    </row>
    <row r="1530" spans="1:4" x14ac:dyDescent="0.25">
      <c r="A1530" t="s">
        <v>703</v>
      </c>
    </row>
    <row r="1531" spans="1:4" x14ac:dyDescent="0.25">
      <c r="B1531" t="str">
        <f>HYPERLINK("https://www.chemistwarehouse.com.au/buy/68928/Healthy-Care-African-Mango-Seed-Extract-150mg-60-Capsules"," Healthy Care African Mango Seed Extract 150mg 60 Capsules")</f>
        <v xml:space="preserve"> Healthy Care African Mango Seed Extract 150mg 60 Capsules</v>
      </c>
      <c r="C1531" t="s">
        <v>187</v>
      </c>
      <c r="D1531">
        <v>0</v>
      </c>
    </row>
    <row r="1532" spans="1:4" x14ac:dyDescent="0.25">
      <c r="B1532" t="str">
        <f>HYPERLINK("https://www.chemistwarehouse.com.au/buy/72945/Swisse-African-Mango-60-Capsules"," Swisse African Mango 60 Capsules")</f>
        <v xml:space="preserve"> Swisse African Mango 60 Capsules</v>
      </c>
      <c r="C1532" t="s">
        <v>46</v>
      </c>
      <c r="D1532" t="s">
        <v>187</v>
      </c>
    </row>
    <row r="1533" spans="1:4" x14ac:dyDescent="0.25">
      <c r="A1533" t="s">
        <v>704</v>
      </c>
    </row>
    <row r="1534" spans="1:4" x14ac:dyDescent="0.25">
      <c r="B1534" t="str">
        <f>HYPERLINK("https://www.chemistwarehouse.com.au/buy/74142/Healthy-Care-Ultra-Strength-Garcinia-Cambogia-100-Capsules"," Healthy Care Ultra Strength Garcinia Cambogia 100 Capsules")</f>
        <v xml:space="preserve"> Healthy Care Ultra Strength Garcinia Cambogia 100 Capsules</v>
      </c>
      <c r="C1534" t="s">
        <v>1</v>
      </c>
      <c r="D1534">
        <v>0</v>
      </c>
    </row>
    <row r="1535" spans="1:4" x14ac:dyDescent="0.25">
      <c r="B1535" t="str">
        <f>HYPERLINK("https://www.chemistwarehouse.com.au/buy/78527/Cenovis-Garcinia-Cambogia-5000-100-Capsules"," Cenovis Garcinia Cambogia 5000 100 Capsules")</f>
        <v xml:space="preserve"> Cenovis Garcinia Cambogia 5000 100 Capsules</v>
      </c>
      <c r="C1535" t="s">
        <v>19</v>
      </c>
      <c r="D1535" t="s">
        <v>20</v>
      </c>
    </row>
    <row r="1536" spans="1:4" x14ac:dyDescent="0.25">
      <c r="B1536" t="str">
        <f>HYPERLINK("https://www.chemistwarehouse.com.au/buy/71846/Optislim-Garcinia-Cambogia-60-Tablets"," Optislim Garcinia Cambogia 60 Tablets")</f>
        <v xml:space="preserve"> Optislim Garcinia Cambogia 60 Tablets</v>
      </c>
      <c r="C1536" t="s">
        <v>1</v>
      </c>
      <c r="D1536">
        <v>0</v>
      </c>
    </row>
    <row r="1537" spans="1:4" x14ac:dyDescent="0.25">
      <c r="B1537" t="str">
        <f>HYPERLINK("https://www.chemistwarehouse.com.au/buy/71851/Healthy-Care-Garcinia-Cambogia-Rapid-Diet-Shake-375g"," Healthy Care Garcinia Cambogia Rapid Diet Shake 375g")</f>
        <v xml:space="preserve"> Healthy Care Garcinia Cambogia Rapid Diet Shake 375g</v>
      </c>
      <c r="C1537" t="s">
        <v>187</v>
      </c>
      <c r="D1537">
        <v>0</v>
      </c>
    </row>
    <row r="1538" spans="1:4" x14ac:dyDescent="0.25">
      <c r="B1538" t="str">
        <f>HYPERLINK("https://www.chemistwarehouse.com.au/buy/71930/Naturopathica-Fatblaster-Garcinia-MAX-60-Capsules"," Naturopathica Fatblaster Garcinia MAX 60 Capsules")</f>
        <v xml:space="preserve"> Naturopathica Fatblaster Garcinia MAX 60 Capsules</v>
      </c>
      <c r="C1538" t="s">
        <v>173</v>
      </c>
      <c r="D1538" t="s">
        <v>283</v>
      </c>
    </row>
    <row r="1539" spans="1:4" x14ac:dyDescent="0.25">
      <c r="B1539" t="str">
        <f>HYPERLINK("https://www.chemistwarehouse.com.au/buy/73302/Wagner-Garcinia-Cambogia-5000-90-Capsules"," Wagner Garcinia Cambogia 5000 90 Capsules")</f>
        <v xml:space="preserve"> Wagner Garcinia Cambogia 5000 90 Capsules</v>
      </c>
      <c r="C1539" t="s">
        <v>6</v>
      </c>
      <c r="D1539" t="s">
        <v>162</v>
      </c>
    </row>
    <row r="1540" spans="1:4" x14ac:dyDescent="0.25">
      <c r="B1540" t="str">
        <f>HYPERLINK("https://www.chemistwarehouse.com.au/buy/77743/Healthy-Care-Garcinia-with-Guarana-100-Capsules"," Healthy Care Garcinia with Guarana 100 Capsules")</f>
        <v xml:space="preserve"> Healthy Care Garcinia with Guarana 100 Capsules</v>
      </c>
      <c r="C1540" t="s">
        <v>1</v>
      </c>
      <c r="D1540">
        <v>0</v>
      </c>
    </row>
    <row r="1541" spans="1:4" x14ac:dyDescent="0.25">
      <c r="B1541" t="str">
        <f>HYPERLINK("https://www.chemistwarehouse.com.au/buy/77565/Carusos-Natural-Health-Super-Garcinia-Cambogia-500ml"," Carusos Natural Health Super Garcinia Cambogia 500ml")</f>
        <v xml:space="preserve"> Carusos Natural Health Super Garcinia Cambogia 500ml</v>
      </c>
      <c r="C1541" t="s">
        <v>705</v>
      </c>
      <c r="D1541" t="s">
        <v>37</v>
      </c>
    </row>
    <row r="1542" spans="1:4" x14ac:dyDescent="0.25">
      <c r="B1542" t="str">
        <f>HYPERLINK("https://www.chemistwarehouse.com.au/buy/72920/Healthy-Care-Garcinia-Cambogia-Liquid-With-Coconut-Detox-500ml"," Healthy Care Garcinia Cambogia Liquid With Coconut Detox 500ml")</f>
        <v xml:space="preserve"> Healthy Care Garcinia Cambogia Liquid With Coconut Detox 500ml</v>
      </c>
      <c r="C1542" t="s">
        <v>8</v>
      </c>
      <c r="D1542">
        <v>0</v>
      </c>
    </row>
    <row r="1543" spans="1:4" x14ac:dyDescent="0.25">
      <c r="B1543" t="str">
        <f>HYPERLINK("https://www.chemistwarehouse.com.au/buy/72944/Swisse-Garcinia-Cambogia-60-Capsules"," Swisse Garcinia Cambogia 60 Capsules")</f>
        <v xml:space="preserve"> Swisse Garcinia Cambogia 60 Capsules</v>
      </c>
      <c r="C1543" t="s">
        <v>10</v>
      </c>
      <c r="D1543" t="s">
        <v>706</v>
      </c>
    </row>
    <row r="1544" spans="1:4" x14ac:dyDescent="0.25">
      <c r="A1544" t="s">
        <v>707</v>
      </c>
    </row>
    <row r="1545" spans="1:4" x14ac:dyDescent="0.25">
      <c r="B1545" t="str">
        <f>HYPERLINK("https://www.chemistwarehouse.com.au/buy/76106/XLS-Medical-Direct-90-Sachets"," XLS Medical Direct 90 Sachets")</f>
        <v xml:space="preserve"> XLS Medical Direct 90 Sachets</v>
      </c>
      <c r="C1545" t="s">
        <v>330</v>
      </c>
      <c r="D1545" t="s">
        <v>71</v>
      </c>
    </row>
    <row r="1546" spans="1:4" x14ac:dyDescent="0.25">
      <c r="A1546" t="s">
        <v>708</v>
      </c>
    </row>
    <row r="1547" spans="1:4" x14ac:dyDescent="0.25">
      <c r="B1547" t="str">
        <f>HYPERLINK("https://www.chemistwarehouse.com.au/buy/81843/Slim-Secrets-Protein-Pud-With-Chia-Choc-Coconut-115g"," Slim Secrets Protein Pud With Chia Choc Coconut 115g")</f>
        <v xml:space="preserve"> Slim Secrets Protein Pud With Chia Choc Coconut 115g</v>
      </c>
      <c r="C1547" t="s">
        <v>483</v>
      </c>
      <c r="D1547" t="s">
        <v>640</v>
      </c>
    </row>
    <row r="1548" spans="1:4" x14ac:dyDescent="0.25">
      <c r="B1548" t="str">
        <f>HYPERLINK("https://www.chemistwarehouse.com.au/buy/81844/Slim-Secrets-Protein-Pud-With-Chia-Salted-Caramel-115g"," Slim Secrets Protein Pud With Chia Salted Caramel 115g")</f>
        <v xml:space="preserve"> Slim Secrets Protein Pud With Chia Salted Caramel 115g</v>
      </c>
      <c r="C1548" t="s">
        <v>483</v>
      </c>
      <c r="D1548" t="s">
        <v>640</v>
      </c>
    </row>
    <row r="1549" spans="1:4" x14ac:dyDescent="0.25">
      <c r="B1549" t="str">
        <f>HYPERLINK("https://www.chemistwarehouse.com.au/buy/81845/Slim-Secrets-Protein-Pud-With-Chia-Strawberry-115g"," Slim Secrets Protein Pud With Chia Strawberry 115g")</f>
        <v xml:space="preserve"> Slim Secrets Protein Pud With Chia Strawberry 115g</v>
      </c>
      <c r="C1549" t="s">
        <v>483</v>
      </c>
      <c r="D1549" t="s">
        <v>640</v>
      </c>
    </row>
    <row r="1550" spans="1:4" x14ac:dyDescent="0.25">
      <c r="A1550" t="s">
        <v>709</v>
      </c>
    </row>
    <row r="1551" spans="1:4" x14ac:dyDescent="0.25">
      <c r="B1551" t="str">
        <f>HYPERLINK("https://www.chemistwarehouse.com.au/buy/82315/Bondi-Protein-Co-Slimming-Protein-Chocolate-1kg"," Bondi Protein Co Slimming Protein Chocolate 1kg")</f>
        <v xml:space="preserve"> Bondi Protein Co Slimming Protein Chocolate 1kg</v>
      </c>
      <c r="C1551" t="s">
        <v>166</v>
      </c>
      <c r="D1551" t="s">
        <v>162</v>
      </c>
    </row>
    <row r="1552" spans="1:4" x14ac:dyDescent="0.25">
      <c r="B1552" t="str">
        <f>HYPERLINK("https://www.chemistwarehouse.com.au/buy/82316/Bondi-Protein-Co-Slimming-Protein-Coconut-1kg"," Bondi Protein Co Slimming Protein Coconut 1kg")</f>
        <v xml:space="preserve"> Bondi Protein Co Slimming Protein Coconut 1kg</v>
      </c>
      <c r="C1552" t="s">
        <v>166</v>
      </c>
      <c r="D1552" t="s">
        <v>162</v>
      </c>
    </row>
    <row r="1553" spans="1:4" x14ac:dyDescent="0.25">
      <c r="B1553" t="str">
        <f>HYPERLINK("https://www.chemistwarehouse.com.au/buy/82317/Bondi-Protein-Co-Slimming-Protein-Strawberry-1kg"," Bondi Protein Co Slimming Protein Strawberry 1kg")</f>
        <v xml:space="preserve"> Bondi Protein Co Slimming Protein Strawberry 1kg</v>
      </c>
      <c r="C1553" t="s">
        <v>166</v>
      </c>
      <c r="D1553" t="s">
        <v>162</v>
      </c>
    </row>
    <row r="1554" spans="1:4" x14ac:dyDescent="0.25">
      <c r="B1554" t="str">
        <f>HYPERLINK("https://www.chemistwarehouse.com.au/buy/82318/Bondi-Protein-Co-Slimming-Protein-Vanilla-1kg"," Bondi Protein Co Slimming Protein Vanilla 1kg")</f>
        <v xml:space="preserve"> Bondi Protein Co Slimming Protein Vanilla 1kg</v>
      </c>
      <c r="C1554" t="s">
        <v>166</v>
      </c>
      <c r="D1554" t="s">
        <v>162</v>
      </c>
    </row>
    <row r="1555" spans="1:4" x14ac:dyDescent="0.25">
      <c r="A1555" t="s">
        <v>710</v>
      </c>
    </row>
    <row r="1556" spans="1:4" x14ac:dyDescent="0.25">
      <c r="B1556" t="str">
        <f>HYPERLINK("https://www.chemistwarehouse.com.au/buy/57024/Harmony-Menopause-120-Tablets"," Harmony Menopause 120 Tablets")</f>
        <v xml:space="preserve"> Harmony Menopause 120 Tablets</v>
      </c>
      <c r="C1556" t="s">
        <v>273</v>
      </c>
      <c r="D1556" t="s">
        <v>435</v>
      </c>
    </row>
    <row r="1557" spans="1:4" x14ac:dyDescent="0.25">
      <c r="B1557" t="str">
        <f>HYPERLINK("https://www.chemistwarehouse.com.au/buy/44904/Remifemin-Menopause-Symptom-Relief-200-Tablets"," Remifemin Menopause Symptom Relief 200 Tablets")</f>
        <v xml:space="preserve"> Remifemin Menopause Symptom Relief 200 Tablets</v>
      </c>
      <c r="C1557" t="s">
        <v>655</v>
      </c>
      <c r="D1557" t="s">
        <v>402</v>
      </c>
    </row>
    <row r="1558" spans="1:4" x14ac:dyDescent="0.25">
      <c r="B1558" t="str">
        <f>HYPERLINK("https://www.chemistwarehouse.com.au/buy/31005/Promensil-Menopause-90-Tablets"," Promensil Menopause 90 Tablets")</f>
        <v xml:space="preserve"> Promensil Menopause 90 Tablets</v>
      </c>
      <c r="C1558" t="s">
        <v>711</v>
      </c>
      <c r="D1558" t="s">
        <v>369</v>
      </c>
    </row>
    <row r="1559" spans="1:4" x14ac:dyDescent="0.25">
      <c r="B1559" t="str">
        <f>HYPERLINK("https://www.chemistwarehouse.com.au/buy/73529/Harmony-Menopause-Max-60-Tablets"," Harmony Menopause Max 60 Tablets")</f>
        <v xml:space="preserve"> Harmony Menopause Max 60 Tablets</v>
      </c>
      <c r="C1559" t="s">
        <v>10</v>
      </c>
      <c r="D1559" t="s">
        <v>343</v>
      </c>
    </row>
    <row r="1560" spans="1:4" x14ac:dyDescent="0.25">
      <c r="B1560" t="str">
        <f>HYPERLINK("https://www.chemistwarehouse.com.au/buy/82771/Remifemin-Plus-60-Tablets"," Remifemin Plus 60 Tablets")</f>
        <v xml:space="preserve"> Remifemin Plus 60 Tablets</v>
      </c>
      <c r="C1560" t="s">
        <v>161</v>
      </c>
      <c r="D1560" t="s">
        <v>422</v>
      </c>
    </row>
    <row r="1561" spans="1:4" x14ac:dyDescent="0.25">
      <c r="B1561" t="str">
        <f>HYPERLINK("https://www.chemistwarehouse.com.au/buy/31004/Promensil-Menopause-30-Tablets"," Promensil Menopause 30 Tablets")</f>
        <v xml:space="preserve"> Promensil Menopause 30 Tablets</v>
      </c>
      <c r="C1561" t="s">
        <v>10</v>
      </c>
      <c r="D1561" t="s">
        <v>155</v>
      </c>
    </row>
    <row r="1562" spans="1:4" x14ac:dyDescent="0.25">
      <c r="B1562" t="str">
        <f>HYPERLINK("https://www.chemistwarehouse.com.au/buy/31753/Meno-Eze-Forte-90-Tablets"," Meno Eze Forte 90 Tablets")</f>
        <v xml:space="preserve"> Meno Eze Forte 90 Tablets</v>
      </c>
      <c r="C1562" t="s">
        <v>472</v>
      </c>
      <c r="D1562" t="s">
        <v>227</v>
      </c>
    </row>
    <row r="1563" spans="1:4" x14ac:dyDescent="0.25">
      <c r="B1563" t="str">
        <f>HYPERLINK("https://www.chemistwarehouse.com.au/buy/31754/Meno-Eze-Forte-30-Tablets"," Meno Eze Forte 30 Tablets")</f>
        <v xml:space="preserve"> Meno Eze Forte 30 Tablets</v>
      </c>
      <c r="C1563" t="s">
        <v>10</v>
      </c>
      <c r="D1563" t="s">
        <v>712</v>
      </c>
    </row>
    <row r="1564" spans="1:4" x14ac:dyDescent="0.25">
      <c r="B1564" t="str">
        <f>HYPERLINK("https://www.chemistwarehouse.com.au/buy/37065/Remifemin-Menopause-Symptom-Relief-100-Tablets"," Remifemin Menopause Symptom Relief 100 Tablets")</f>
        <v xml:space="preserve"> Remifemin Menopause Symptom Relief 100 Tablets</v>
      </c>
      <c r="C1564" t="s">
        <v>153</v>
      </c>
      <c r="D1564" t="s">
        <v>164</v>
      </c>
    </row>
    <row r="1565" spans="1:4" x14ac:dyDescent="0.25">
      <c r="A1565" t="s">
        <v>713</v>
      </c>
    </row>
    <row r="1566" spans="1:4" x14ac:dyDescent="0.25">
      <c r="B1566" t="str">
        <f>HYPERLINK("https://www.chemistwarehouse.com.au/buy/68074/Bosistos-Tea-Tree-Oil-100mL"," Bosistos Tea Tree Oil 100mL")</f>
        <v xml:space="preserve"> Bosistos Tea Tree Oil 100mL</v>
      </c>
      <c r="C1566" t="s">
        <v>714</v>
      </c>
      <c r="D1566" t="s">
        <v>715</v>
      </c>
    </row>
    <row r="1567" spans="1:4" x14ac:dyDescent="0.25">
      <c r="B1567" t="str">
        <f>HYPERLINK("https://www.chemistwarehouse.com.au/buy/68075/Bosistos-Tea-Tree-Oil-50mL"," Bosistos Tea Tree Oil 50mL")</f>
        <v xml:space="preserve"> Bosistos Tea Tree Oil 50mL</v>
      </c>
      <c r="C1567" t="s">
        <v>93</v>
      </c>
      <c r="D1567" t="s">
        <v>716</v>
      </c>
    </row>
    <row r="1568" spans="1:4" x14ac:dyDescent="0.25">
      <c r="B1568" t="str">
        <f>HYPERLINK("https://www.chemistwarehouse.com.au/buy/68076/Bosistos-Tea-Tree-Oil-25mL"," Bosistos Tea Tree Oil 25mL")</f>
        <v xml:space="preserve"> Bosistos Tea Tree Oil 25mL</v>
      </c>
      <c r="C1568" t="s">
        <v>496</v>
      </c>
      <c r="D1568" t="s">
        <v>717</v>
      </c>
    </row>
    <row r="1569" spans="1:4" x14ac:dyDescent="0.25">
      <c r="B1569" t="str">
        <f>HYPERLINK("https://www.chemistwarehouse.com.au/buy/68718/Bosistos-Eucalyptus-Oil-100mL"," Bosistos Eucalyptus Oil 100mL")</f>
        <v xml:space="preserve"> Bosistos Eucalyptus Oil 100mL</v>
      </c>
      <c r="C1569" t="s">
        <v>718</v>
      </c>
      <c r="D1569" t="s">
        <v>719</v>
      </c>
    </row>
    <row r="1570" spans="1:4" x14ac:dyDescent="0.25">
      <c r="B1570" t="str">
        <f>HYPERLINK("https://www.chemistwarehouse.com.au/buy/56152/David-Craig-Almond-Oil-Sweet-BP-100ml"," David Craig Almond Oil Sweet BP 100ml")</f>
        <v xml:space="preserve"> David Craig Almond Oil Sweet BP 100ml</v>
      </c>
      <c r="C1570" t="s">
        <v>269</v>
      </c>
      <c r="D1570">
        <v>0</v>
      </c>
    </row>
    <row r="1571" spans="1:4" x14ac:dyDescent="0.25">
      <c r="B1571" t="str">
        <f>HYPERLINK("https://www.chemistwarehouse.com.au/buy/63676/Bosistos-Lavender-Oil-50ml"," Bosistos Lavender Oil 50ml")</f>
        <v xml:space="preserve"> Bosistos Lavender Oil 50ml</v>
      </c>
      <c r="C1571" t="s">
        <v>714</v>
      </c>
      <c r="D1571" t="s">
        <v>720</v>
      </c>
    </row>
    <row r="1572" spans="1:4" x14ac:dyDescent="0.25">
      <c r="B1572" t="str">
        <f>HYPERLINK("https://www.chemistwarehouse.com.au/buy/63677/Bosistos-Lavender-Oil-25ml"," Bosistos Lavender Oil 25ml")</f>
        <v xml:space="preserve"> Bosistos Lavender Oil 25ml</v>
      </c>
      <c r="C1572" t="s">
        <v>721</v>
      </c>
      <c r="D1572" t="s">
        <v>722</v>
      </c>
    </row>
    <row r="1573" spans="1:4" x14ac:dyDescent="0.25">
      <c r="A1573" t="s">
        <v>723</v>
      </c>
    </row>
    <row r="1574" spans="1:4" x14ac:dyDescent="0.25">
      <c r="B1574" t="str">
        <f>HYPERLINK("https://www.chemistwarehouse.com.au/buy/74887/Pain-Away-Heat-Pain-Relief-Cream-70g"," Pain Away Heat + Pain Relief Cream 70g")</f>
        <v xml:space="preserve"> Pain Away Heat + Pain Relief Cream 70g</v>
      </c>
      <c r="C1574" t="s">
        <v>202</v>
      </c>
      <c r="D1574" t="s">
        <v>159</v>
      </c>
    </row>
    <row r="1575" spans="1:4" x14ac:dyDescent="0.25">
      <c r="B1575" t="str">
        <f>HYPERLINK("https://www.chemistwarehouse.com.au/buy/82462/Pain-Away-Ultra-Joint-Support-60-Capsules"," Pain Away Ultra Joint Support 60 Capsules")</f>
        <v xml:space="preserve"> Pain Away Ultra Joint Support 60 Capsules</v>
      </c>
      <c r="C1575" t="s">
        <v>10</v>
      </c>
      <c r="D1575" t="s">
        <v>341</v>
      </c>
    </row>
    <row r="1576" spans="1:4" x14ac:dyDescent="0.25">
      <c r="B1576" t="str">
        <f>HYPERLINK("https://www.chemistwarehouse.com.au/buy/52787/Pain-Away-Arthritis-Relief-Spray"," Pain Away Arthritis Relief Spray")</f>
        <v xml:space="preserve"> Pain Away Arthritis Relief Spray</v>
      </c>
      <c r="C1576" t="s">
        <v>202</v>
      </c>
      <c r="D1576" t="s">
        <v>159</v>
      </c>
    </row>
    <row r="1577" spans="1:4" x14ac:dyDescent="0.25">
      <c r="B1577" t="str">
        <f>HYPERLINK("https://www.chemistwarehouse.com.au/buy/54263/Pain-Away-Arthritis-Cream-Jar-70g"," Pain Away Arthritis Cream Jar 70g")</f>
        <v xml:space="preserve"> Pain Away Arthritis Cream Jar 70g</v>
      </c>
      <c r="C1577" t="s">
        <v>202</v>
      </c>
      <c r="D1577" t="s">
        <v>159</v>
      </c>
    </row>
    <row r="1578" spans="1:4" x14ac:dyDescent="0.25">
      <c r="B1578" t="str">
        <f>HYPERLINK("https://www.chemistwarehouse.com.au/buy/59776/Pain-Away-Sports-Spray"," Pain Away Sports Spray")</f>
        <v xml:space="preserve"> Pain Away Sports Spray</v>
      </c>
      <c r="C1578" t="s">
        <v>202</v>
      </c>
      <c r="D1578" t="s">
        <v>159</v>
      </c>
    </row>
    <row r="1579" spans="1:4" x14ac:dyDescent="0.25">
      <c r="B1579" t="str">
        <f>HYPERLINK("https://www.chemistwarehouse.com.au/buy/59777/Pain-Away-Sports-Cream-70g"," Pain Away Sports Cream 70g")</f>
        <v xml:space="preserve"> Pain Away Sports Cream 70g</v>
      </c>
      <c r="C1579" t="s">
        <v>202</v>
      </c>
      <c r="D1579" t="s">
        <v>159</v>
      </c>
    </row>
    <row r="1580" spans="1:4" x14ac:dyDescent="0.25">
      <c r="B1580" t="str">
        <f>HYPERLINK("https://www.chemistwarehouse.com.au/buy/69341/Pain-Away-Glucosamine-Sulfate-1500-35-Tablets"," Pain Away Glucosamine Sulfate 1500 35 Tablets ")</f>
        <v xml:space="preserve"> Pain Away Glucosamine Sulfate 1500 35 Tablets </v>
      </c>
      <c r="C1580" t="s">
        <v>80</v>
      </c>
      <c r="D1580" t="s">
        <v>164</v>
      </c>
    </row>
    <row r="1581" spans="1:4" x14ac:dyDescent="0.25">
      <c r="B1581" t="str">
        <f>HYPERLINK("https://www.chemistwarehouse.com.au/buy/74888/Pain-Away-Pro-Salt-X-600g"," Pain Away Pro Salt X 600g")</f>
        <v xml:space="preserve"> Pain Away Pro Salt X 600g</v>
      </c>
      <c r="C1581" t="s">
        <v>45</v>
      </c>
      <c r="D1581" t="s">
        <v>160</v>
      </c>
    </row>
    <row r="1582" spans="1:4" x14ac:dyDescent="0.25">
      <c r="B1582" t="str">
        <f>HYPERLINK("https://www.chemistwarehouse.com.au/buy/77794/Pain-Away-Roll-On-Lotion-35g"," Pain Away Roll On Lotion 35g")</f>
        <v xml:space="preserve"> Pain Away Roll On Lotion 35g</v>
      </c>
      <c r="C1582" t="s">
        <v>45</v>
      </c>
      <c r="D1582" t="s">
        <v>160</v>
      </c>
    </row>
    <row r="1583" spans="1:4" x14ac:dyDescent="0.25">
      <c r="B1583" t="str">
        <f>HYPERLINK("https://www.chemistwarehouse.com.au/buy/82463/Pain-Away-Vitamin-E-Skin-Moisturising-Cream-70g"," Pain Away Vitamin E + Skin Moisturising Cream 70g")</f>
        <v xml:space="preserve"> Pain Away Vitamin E + Skin Moisturising Cream 70g</v>
      </c>
      <c r="C1583" t="s">
        <v>45</v>
      </c>
      <c r="D1583" t="s">
        <v>157</v>
      </c>
    </row>
    <row r="1584" spans="1:4" x14ac:dyDescent="0.25">
      <c r="B1584" t="str">
        <f>HYPERLINK("https://www.chemistwarehouse.com.au/buy/79832/Pain-Away-Ultra-Pro-Arthritis-Plus-Sports-Cream-70g"," Pain Away Ultra Pro Arthritis Plus Sports Cream 70g")</f>
        <v xml:space="preserve"> Pain Away Ultra Pro Arthritis Plus Sports Cream 70g</v>
      </c>
      <c r="C1584" t="s">
        <v>202</v>
      </c>
      <c r="D1584" t="s">
        <v>159</v>
      </c>
    </row>
    <row r="1585" spans="1:4" x14ac:dyDescent="0.25">
      <c r="B1585" t="str">
        <f>HYPERLINK("https://www.chemistwarehouse.com.au/buy/78142/Pain-Away-Cold-Compression-Bandage-54g"," Pain Away Cold Compression Bandage 54g")</f>
        <v xml:space="preserve"> Pain Away Cold Compression Bandage 54g</v>
      </c>
      <c r="C1585" t="s">
        <v>103</v>
      </c>
      <c r="D1585" t="s">
        <v>343</v>
      </c>
    </row>
    <row r="1586" spans="1:4" x14ac:dyDescent="0.25">
      <c r="A1586" t="s">
        <v>724</v>
      </c>
    </row>
    <row r="1587" spans="1:4" x14ac:dyDescent="0.25">
      <c r="B1587" t="str">
        <f>HYPERLINK("https://www.chemistwarehouse.com.au/buy/77322/Aussie-Bodies-Protein-FX-Lo-Carb-Crunch-Rocky-Road-40g"," Aussie Bodies Protein FX Lo Carb Crunch Rocky Road 40g")</f>
        <v xml:space="preserve"> Aussie Bodies Protein FX Lo Carb Crunch Rocky Road 40g</v>
      </c>
      <c r="C1587" t="s">
        <v>691</v>
      </c>
      <c r="D1587" t="s">
        <v>371</v>
      </c>
    </row>
    <row r="1588" spans="1:4" x14ac:dyDescent="0.25">
      <c r="B1588" t="str">
        <f>HYPERLINK("https://www.chemistwarehouse.com.au/buy/77321/Aussie-Bodies-Protein-FX-Lo-Carb-Crunch-Lemon-amp-Coconut-40g"," Aussie Bodies Protein FX Lo Carb Crunch Lemon &amp; Coconut 40g")</f>
        <v xml:space="preserve"> Aussie Bodies Protein FX Lo Carb Crunch Lemon &amp; Coconut 40g</v>
      </c>
      <c r="C1588" t="s">
        <v>691</v>
      </c>
      <c r="D1588" t="s">
        <v>371</v>
      </c>
    </row>
    <row r="1589" spans="1:4" x14ac:dyDescent="0.25">
      <c r="B1589" t="str">
        <f>HYPERLINK("https://www.chemistwarehouse.com.au/buy/80568/Aussie-Bodies-Lo-Carb-Salted-Caramel-60g"," Aussie Bodies Lo Carb Salted Caramel 60g")</f>
        <v xml:space="preserve"> Aussie Bodies Lo Carb Salted Caramel 60g</v>
      </c>
      <c r="C1589" t="s">
        <v>483</v>
      </c>
      <c r="D1589" t="s">
        <v>725</v>
      </c>
    </row>
    <row r="1590" spans="1:4" x14ac:dyDescent="0.25">
      <c r="B1590" t="str">
        <f>HYPERLINK("https://www.chemistwarehouse.com.au/buy/64735/Aussie-Bodies-Protein-FX-Lo-Carb-Chocolate-Fudge-60g"," Aussie Bodies Protein FX Lo Carb Chocolate Fudge 60g")</f>
        <v xml:space="preserve"> Aussie Bodies Protein FX Lo Carb Chocolate Fudge 60g</v>
      </c>
      <c r="C1590" t="s">
        <v>483</v>
      </c>
      <c r="D1590" t="s">
        <v>725</v>
      </c>
    </row>
    <row r="1591" spans="1:4" x14ac:dyDescent="0.25">
      <c r="B1591" t="str">
        <f>HYPERLINK("https://www.chemistwarehouse.com.au/buy/64736/Aussie-Bodies-Protein-FX-Lo-Carb-Chocolate-Mint-60g"," Aussie Bodies Protein FX Lo Carb Chocolate Mint 60g")</f>
        <v xml:space="preserve"> Aussie Bodies Protein FX Lo Carb Chocolate Mint 60g</v>
      </c>
      <c r="C1591" t="s">
        <v>483</v>
      </c>
      <c r="D1591" t="s">
        <v>725</v>
      </c>
    </row>
    <row r="1592" spans="1:4" x14ac:dyDescent="0.25">
      <c r="B1592" t="str">
        <f>HYPERLINK("https://www.chemistwarehouse.com.au/buy/69692/Aussie-Bodies-Protein-FX-Lo-Carb-Chocolate-amp-Caramel-60g"," Aussie Bodies Protein FX Lo Carb Chocolate &amp; Caramel 60g")</f>
        <v xml:space="preserve"> Aussie Bodies Protein FX Lo Carb Chocolate &amp; Caramel 60g</v>
      </c>
      <c r="C1592" t="s">
        <v>483</v>
      </c>
      <c r="D1592" t="s">
        <v>725</v>
      </c>
    </row>
    <row r="1593" spans="1:4" x14ac:dyDescent="0.25">
      <c r="B1593" t="str">
        <f>HYPERLINK("https://www.chemistwarehouse.com.au/buy/74753/Aussie-Bodies-Protein-FX-Lo-Carb-Crunch-Honey-Almond-40g"," Aussie Bodies Protein FX Lo Carb Crunch Honey Almond 40g")</f>
        <v xml:space="preserve"> Aussie Bodies Protein FX Lo Carb Crunch Honey Almond 40g</v>
      </c>
      <c r="C1593" t="s">
        <v>691</v>
      </c>
      <c r="D1593" t="s">
        <v>371</v>
      </c>
    </row>
    <row r="1594" spans="1:4" x14ac:dyDescent="0.25">
      <c r="B1594" t="str">
        <f>HYPERLINK("https://www.chemistwarehouse.com.au/buy/74754/Aussie-Bodies-Protein-FX-Lo-Carb-Crunch-Vanilla-Cranberry-40g"," Aussie Bodies Protein FX Lo Carb Crunch Vanilla Cranberry 40g")</f>
        <v xml:space="preserve"> Aussie Bodies Protein FX Lo Carb Crunch Vanilla Cranberry 40g</v>
      </c>
      <c r="C1594" t="s">
        <v>691</v>
      </c>
      <c r="D1594" t="s">
        <v>371</v>
      </c>
    </row>
    <row r="1595" spans="1:4" x14ac:dyDescent="0.25">
      <c r="B1595" t="str">
        <f>HYPERLINK("https://www.chemistwarehouse.com.au/buy/77320/Aussie-Bodies-Protein-FX-Lo-Carb-Crunch-Blueberry-Almond-40g"," Aussie Bodies Protein FX Lo Carb Crunch Blueberry Almond 40g")</f>
        <v xml:space="preserve"> Aussie Bodies Protein FX Lo Carb Crunch Blueberry Almond 40g</v>
      </c>
      <c r="C1595" t="s">
        <v>691</v>
      </c>
      <c r="D1595" t="s">
        <v>371</v>
      </c>
    </row>
    <row r="1596" spans="1:4" x14ac:dyDescent="0.25">
      <c r="A1596" t="s">
        <v>726</v>
      </c>
    </row>
    <row r="1597" spans="1:4" x14ac:dyDescent="0.25">
      <c r="B1597" t="str">
        <f>HYPERLINK("https://www.chemistwarehouse.com.au/buy/64737/Aussie-Bodies-Protein-FX-Lo-Carb-UHT-Chocolate-250mL"," Aussie Bodies Protein FX Lo Carb UHT Chocolate 250mL")</f>
        <v xml:space="preserve"> Aussie Bodies Protein FX Lo Carb UHT Chocolate 250mL</v>
      </c>
      <c r="C1597" t="s">
        <v>691</v>
      </c>
      <c r="D1597" t="s">
        <v>727</v>
      </c>
    </row>
    <row r="1598" spans="1:4" x14ac:dyDescent="0.25">
      <c r="B1598" t="str">
        <f>HYPERLINK("https://www.chemistwarehouse.com.au/buy/67224/Aussie-Bodies-Protein-FX-Lo-Carb-UHT-Vanilla-250ml"," Aussie Bodies Protein FX Lo Carb UHT Vanilla 250ml")</f>
        <v xml:space="preserve"> Aussie Bodies Protein FX Lo Carb UHT Vanilla 250ml</v>
      </c>
      <c r="C1598" t="s">
        <v>691</v>
      </c>
      <c r="D1598" t="s">
        <v>727</v>
      </c>
    </row>
    <row r="1599" spans="1:4" x14ac:dyDescent="0.25">
      <c r="B1599" t="str">
        <f>HYPERLINK("https://www.chemistwarehouse.com.au/buy/64747/Aussie-Bodies-Protein-Revival-Chocolate-375mL"," Aussie Bodies Protein Revival Chocolate 375mL")</f>
        <v xml:space="preserve"> Aussie Bodies Protein Revival Chocolate 375mL</v>
      </c>
      <c r="C1599" t="s">
        <v>728</v>
      </c>
      <c r="D1599" t="s">
        <v>327</v>
      </c>
    </row>
    <row r="1600" spans="1:4" x14ac:dyDescent="0.25">
      <c r="A1600" t="s">
        <v>729</v>
      </c>
    </row>
    <row r="1601" spans="1:4" x14ac:dyDescent="0.25">
      <c r="B1601" t="str">
        <f>HYPERLINK("https://www.chemistwarehouse.com.au/buy/64396/Aussie-Bodies-HPLC-Bar-Chocolate-100g"," Aussie Bodies HPLC Bar Chocolate 100g")</f>
        <v xml:space="preserve"> Aussie Bodies HPLC Bar Chocolate 100g</v>
      </c>
      <c r="C1601" t="s">
        <v>483</v>
      </c>
      <c r="D1601" t="s">
        <v>312</v>
      </c>
    </row>
    <row r="1602" spans="1:4" x14ac:dyDescent="0.25">
      <c r="B1602" t="str">
        <f>HYPERLINK("https://www.chemistwarehouse.com.au/buy/80569/Aussie-Bodies-HPLC-Peanut-100g"," Aussie Bodies HPLC Peanut 100g")</f>
        <v xml:space="preserve"> Aussie Bodies HPLC Peanut 100g</v>
      </c>
      <c r="C1602" t="s">
        <v>483</v>
      </c>
      <c r="D1602" t="s">
        <v>312</v>
      </c>
    </row>
    <row r="1603" spans="1:4" x14ac:dyDescent="0.25">
      <c r="A1603" t="s">
        <v>730</v>
      </c>
    </row>
    <row r="1604" spans="1:4" x14ac:dyDescent="0.25">
      <c r="B1604" t="str">
        <f>HYPERLINK("https://www.chemistwarehouse.com.au/buy/64395/Aussie-Bodies-Protein-FX-Lo-Carb-Mini-Bar-Chocolate-Raspberry-30g"," Aussie Bodies Protein FX Lo Carb Mini Bar Chocolate Raspberry 30g")</f>
        <v xml:space="preserve"> Aussie Bodies Protein FX Lo Carb Mini Bar Chocolate Raspberry 30g</v>
      </c>
      <c r="C1604" t="s">
        <v>399</v>
      </c>
      <c r="D1604" t="s">
        <v>731</v>
      </c>
    </row>
    <row r="1605" spans="1:4" x14ac:dyDescent="0.25">
      <c r="B1605" t="str">
        <f>HYPERLINK("https://www.chemistwarehouse.com.au/buy/80195/Aussie-Bodies-Protein-Fx-Lo-Carb-Mini-Bar-Almond-Brownie-30g"," Aussie Bodies Protein Fx Lo Carb Mini Bar Almond Brownie 30g")</f>
        <v xml:space="preserve"> Aussie Bodies Protein Fx Lo Carb Mini Bar Almond Brownie 30g</v>
      </c>
      <c r="C1605" t="s">
        <v>399</v>
      </c>
      <c r="D1605" t="s">
        <v>731</v>
      </c>
    </row>
    <row r="1606" spans="1:4" x14ac:dyDescent="0.25">
      <c r="B1606" t="str">
        <f>HYPERLINK("https://www.chemistwarehouse.com.au/buy/80196/Aussie-Bodies-Protein-Fx-Lo-Carb-Mini-Bar-Lemon-Bar-Biscuit-30g"," Aussie Bodies Protein Fx Lo Carb Mini Bar Lemon Bar Biscuit 30g")</f>
        <v xml:space="preserve"> Aussie Bodies Protein Fx Lo Carb Mini Bar Lemon Bar Biscuit 30g</v>
      </c>
      <c r="C1606" t="s">
        <v>399</v>
      </c>
      <c r="D1606" t="s">
        <v>731</v>
      </c>
    </row>
    <row r="1607" spans="1:4" x14ac:dyDescent="0.25">
      <c r="B1607" t="str">
        <f>HYPERLINK("https://www.chemistwarehouse.com.au/buy/64388/Aussie-Bodies-Protein-FX-Lo-Carb-Mini-Bar-Cookies-and-Cream-30g"," Aussie Bodies Protein FX Lo Carb Mini Bar Cookies and Cream 30g")</f>
        <v xml:space="preserve"> Aussie Bodies Protein FX Lo Carb Mini Bar Cookies and Cream 30g</v>
      </c>
      <c r="C1607" t="s">
        <v>399</v>
      </c>
      <c r="D1607" t="s">
        <v>731</v>
      </c>
    </row>
    <row r="1608" spans="1:4" x14ac:dyDescent="0.25">
      <c r="B1608" t="str">
        <f>HYPERLINK("https://www.chemistwarehouse.com.au/buy/67220/Aussie-Bodies-Protein-FX-Lo-Carb-Mini-Bar-Caramel-Fudge-30g"," Aussie Bodies Protein FX Lo Carb Mini Bar Caramel Fudge 30g")</f>
        <v xml:space="preserve"> Aussie Bodies Protein FX Lo Carb Mini Bar Caramel Fudge 30g</v>
      </c>
      <c r="C1608" t="s">
        <v>399</v>
      </c>
      <c r="D1608" t="s">
        <v>731</v>
      </c>
    </row>
    <row r="1609" spans="1:4" x14ac:dyDescent="0.25">
      <c r="B1609" t="str">
        <f>HYPERLINK("https://www.chemistwarehouse.com.au/buy/71385/Aussie-Bodies-Protein-FX-Lo-Carb-Mini-Bar-Peanut-Butter-30g"," Aussie Bodies Protein FX Lo Carb Mini Bar Peanut Butter 30g")</f>
        <v xml:space="preserve"> Aussie Bodies Protein FX Lo Carb Mini Bar Peanut Butter 30g</v>
      </c>
      <c r="C1609" t="s">
        <v>399</v>
      </c>
      <c r="D1609" t="s">
        <v>731</v>
      </c>
    </row>
    <row r="1610" spans="1:4" x14ac:dyDescent="0.25">
      <c r="B1610" t="str">
        <f>HYPERLINK("https://www.chemistwarehouse.com.au/buy/71386/Aussie-Bodies-Protein-FX-Lo-Carb-Mini-Bar-Rocky-Road-30g"," Aussie Bodies Protein FX Lo Carb Mini Bar Rocky Road 30g")</f>
        <v xml:space="preserve"> Aussie Bodies Protein FX Lo Carb Mini Bar Rocky Road 30g</v>
      </c>
      <c r="C1610" t="s">
        <v>399</v>
      </c>
      <c r="D1610" t="s">
        <v>731</v>
      </c>
    </row>
    <row r="1611" spans="1:4" x14ac:dyDescent="0.25">
      <c r="B1611" t="str">
        <f>HYPERLINK("https://www.chemistwarehouse.com.au/buy/79481/Aussie-Bodies-Protein-FX-Lo-Carb-Mini-Bar-Salted-Caramel-30g"," Aussie Bodies Protein FX Lo Carb Mini Bar Salted Caramel 30g")</f>
        <v xml:space="preserve"> Aussie Bodies Protein FX Lo Carb Mini Bar Salted Caramel 30g</v>
      </c>
      <c r="C1611" t="s">
        <v>399</v>
      </c>
      <c r="D1611" t="s">
        <v>731</v>
      </c>
    </row>
    <row r="1612" spans="1:4" x14ac:dyDescent="0.25">
      <c r="B1612" t="str">
        <f>HYPERLINK("https://www.chemistwarehouse.com.au/buy/68530/Aussie-Bodies-Protein-FX-Lo-Carb-Mini-Choc-Honeycomb-30g"," Aussie Bodies Protein FX Lo Carb Mini Choc Honeycomb 30g")</f>
        <v xml:space="preserve"> Aussie Bodies Protein FX Lo Carb Mini Choc Honeycomb 30g</v>
      </c>
      <c r="C1612" t="s">
        <v>399</v>
      </c>
      <c r="D1612" t="s">
        <v>731</v>
      </c>
    </row>
    <row r="1613" spans="1:4" x14ac:dyDescent="0.25">
      <c r="A1613" t="s">
        <v>732</v>
      </c>
    </row>
    <row r="1614" spans="1:4" x14ac:dyDescent="0.25">
      <c r="B1614" t="str">
        <f>HYPERLINK("https://www.chemistwarehouse.com.au/buy/73150/Endura-Sports-Gel-Vanilla-35g"," Endura Sports Gel Vanilla 35g")</f>
        <v xml:space="preserve"> Endura Sports Gel Vanilla 35g</v>
      </c>
      <c r="C1614" t="s">
        <v>733</v>
      </c>
      <c r="D1614" t="s">
        <v>731</v>
      </c>
    </row>
    <row r="1615" spans="1:4" x14ac:dyDescent="0.25">
      <c r="B1615" t="str">
        <f>HYPERLINK("https://www.chemistwarehouse.com.au/buy/74007/Endura-Optimizer-Vanilla"," Endura Optimizer Vanilla")</f>
        <v xml:space="preserve"> Endura Optimizer Vanilla</v>
      </c>
      <c r="C1615" t="s">
        <v>514</v>
      </c>
      <c r="D1615" t="s">
        <v>391</v>
      </c>
    </row>
    <row r="1616" spans="1:4" x14ac:dyDescent="0.25">
      <c r="B1616" t="str">
        <f>HYPERLINK("https://www.chemistwarehouse.com.au/buy/73146/Endura-Sports-Gel-Coffee-35g"," Endura Sports Gel Coffee 35g")</f>
        <v xml:space="preserve"> Endura Sports Gel Coffee 35g</v>
      </c>
      <c r="C1616" t="s">
        <v>733</v>
      </c>
      <c r="D1616" t="s">
        <v>731</v>
      </c>
    </row>
    <row r="1617" spans="1:4" x14ac:dyDescent="0.25">
      <c r="B1617" t="str">
        <f>HYPERLINK("https://www.chemistwarehouse.com.au/buy/80189/Endura-Rehydration-Performance-Fuel-Lemon-Lime-800g"," Endura Rehydration Performance Fuel Lemon Lime 800g")</f>
        <v xml:space="preserve"> Endura Rehydration Performance Fuel Lemon Lime 800g</v>
      </c>
      <c r="C1617" t="s">
        <v>123</v>
      </c>
      <c r="D1617" t="s">
        <v>363</v>
      </c>
    </row>
    <row r="1618" spans="1:4" x14ac:dyDescent="0.25">
      <c r="B1618" t="str">
        <f>HYPERLINK("https://www.chemistwarehouse.com.au/buy/80190/Endura-Rehydration-Performance-Fuel-Raspberry-2kg"," Endura Rehydration Performance Fuel Raspberry 2kg")</f>
        <v xml:space="preserve"> Endura Rehydration Performance Fuel Raspberry 2kg</v>
      </c>
      <c r="C1618" t="s">
        <v>514</v>
      </c>
      <c r="D1618" t="s">
        <v>734</v>
      </c>
    </row>
    <row r="1619" spans="1:4" x14ac:dyDescent="0.25">
      <c r="B1619" t="str">
        <f>HYPERLINK("https://www.chemistwarehouse.com.au/buy/80191/Endura-Rehydration-Performance-Fuel-Raspberry-800g"," Endura Rehydration Performance Fuel Raspberry 800g")</f>
        <v xml:space="preserve"> Endura Rehydration Performance Fuel Raspberry 800g</v>
      </c>
      <c r="C1619" t="s">
        <v>123</v>
      </c>
      <c r="D1619" t="s">
        <v>363</v>
      </c>
    </row>
    <row r="1620" spans="1:4" x14ac:dyDescent="0.25">
      <c r="B1620" t="str">
        <f>HYPERLINK("https://www.chemistwarehouse.com.au/buy/80192/Endura-Sports-Energy-Gel-Cola-Kick-35g"," Endura Sports Energy Gel Cola Kick 35g")</f>
        <v xml:space="preserve"> Endura Sports Energy Gel Cola Kick 35g</v>
      </c>
      <c r="C1620" t="s">
        <v>733</v>
      </c>
      <c r="D1620" t="s">
        <v>731</v>
      </c>
    </row>
    <row r="1621" spans="1:4" x14ac:dyDescent="0.25">
      <c r="B1621" t="str">
        <f>HYPERLINK("https://www.chemistwarehouse.com.au/buy/80194/Endura-Sports-Energy-Gel-Salted-Caramel-35g"," Endura Sports Energy Gel Salted Caramel 35g")</f>
        <v xml:space="preserve"> Endura Sports Energy Gel Salted Caramel 35g</v>
      </c>
      <c r="C1621" t="s">
        <v>733</v>
      </c>
      <c r="D1621" t="s">
        <v>731</v>
      </c>
    </row>
    <row r="1622" spans="1:4" x14ac:dyDescent="0.25">
      <c r="B1622" t="str">
        <f>HYPERLINK("https://www.chemistwarehouse.com.au/buy/82915/Endura-Shaker"," Endura Shaker")</f>
        <v xml:space="preserve"> Endura Shaker</v>
      </c>
      <c r="C1622" t="s">
        <v>353</v>
      </c>
      <c r="D1622">
        <v>0</v>
      </c>
    </row>
    <row r="1623" spans="1:4" x14ac:dyDescent="0.25">
      <c r="B1623" t="str">
        <f>HYPERLINK("https://www.chemistwarehouse.com.au/buy/73149/Endura-Sports-Gel-Raspberry-35g"," Endura Sports Gel Raspberry 35g")</f>
        <v xml:space="preserve"> Endura Sports Gel Raspberry 35g</v>
      </c>
      <c r="C1623" t="s">
        <v>733</v>
      </c>
      <c r="D1623" t="s">
        <v>731</v>
      </c>
    </row>
    <row r="1624" spans="1:4" x14ac:dyDescent="0.25">
      <c r="B1624" t="str">
        <f>HYPERLINK("https://www.chemistwarehouse.com.au/buy/73145/Endura-Sports-Gel-Citrus-35g"," Endura Sports Gel Citrus 35g")</f>
        <v xml:space="preserve"> Endura Sports Gel Citrus 35g</v>
      </c>
      <c r="C1624" t="s">
        <v>733</v>
      </c>
      <c r="D1624" t="s">
        <v>731</v>
      </c>
    </row>
    <row r="1625" spans="1:4" x14ac:dyDescent="0.25">
      <c r="B1625" t="str">
        <f>HYPERLINK("https://www.chemistwarehouse.com.au/buy/80188/Endura-Rehydration-Performance-Fuel-Lemon-Lime-2kg"," Endura Rehydration Performance Fuel Lemon Lime 2kg")</f>
        <v xml:space="preserve"> Endura Rehydration Performance Fuel Lemon Lime 2kg</v>
      </c>
      <c r="C1625" t="s">
        <v>514</v>
      </c>
      <c r="D1625" t="s">
        <v>734</v>
      </c>
    </row>
    <row r="1626" spans="1:4" x14ac:dyDescent="0.25">
      <c r="B1626" t="str">
        <f>HYPERLINK("https://www.chemistwarehouse.com.au/buy/79102/Endura-Max"," Endura Max")</f>
        <v xml:space="preserve"> Endura Max</v>
      </c>
      <c r="C1626" t="s">
        <v>113</v>
      </c>
      <c r="D1626" t="s">
        <v>626</v>
      </c>
    </row>
    <row r="1627" spans="1:4" x14ac:dyDescent="0.25">
      <c r="B1627" t="str">
        <f>HYPERLINK("https://www.chemistwarehouse.com.au/buy/79104/Endura-Optimizer-Chocolate"," Endura Optimizer Chocolate")</f>
        <v xml:space="preserve"> Endura Optimizer Chocolate</v>
      </c>
      <c r="C1627" t="s">
        <v>514</v>
      </c>
      <c r="D1627" t="s">
        <v>391</v>
      </c>
    </row>
    <row r="1628" spans="1:4" x14ac:dyDescent="0.25">
      <c r="A1628" t="s">
        <v>735</v>
      </c>
    </row>
    <row r="1629" spans="1:4" x14ac:dyDescent="0.25">
      <c r="B1629" t="str">
        <f>HYPERLINK("https://www.chemistwarehouse.com.au/buy/62725/Musashi-P-High-Protein-900g-Chocolate"," Musashi P High Protein 900g Chocolate")</f>
        <v xml:space="preserve"> Musashi P High Protein 900g Chocolate</v>
      </c>
      <c r="C1629" t="s">
        <v>736</v>
      </c>
      <c r="D1629" t="s">
        <v>737</v>
      </c>
    </row>
    <row r="1630" spans="1:4" x14ac:dyDescent="0.25">
      <c r="B1630" t="str">
        <f>HYPERLINK("https://www.chemistwarehouse.com.au/buy/76849/Musashi-P8-Mini-Bar-Tiramisu-30g"," Musashi P8 Mini Bar Tiramisu 30g")</f>
        <v xml:space="preserve"> Musashi P8 Mini Bar Tiramisu 30g</v>
      </c>
      <c r="C1630" t="s">
        <v>635</v>
      </c>
      <c r="D1630" t="s">
        <v>327</v>
      </c>
    </row>
    <row r="1631" spans="1:4" x14ac:dyDescent="0.25">
      <c r="B1631" t="str">
        <f>HYPERLINK("https://www.chemistwarehouse.com.au/buy/76850/Musashi-P45-Protein-Bar-Choc-Brownie-90g"," Musashi P45 Protein Bar Choc Brownie 90g")</f>
        <v xml:space="preserve"> Musashi P45 Protein Bar Choc Brownie 90g</v>
      </c>
      <c r="C1631" t="s">
        <v>483</v>
      </c>
      <c r="D1631" t="s">
        <v>738</v>
      </c>
    </row>
    <row r="1632" spans="1:4" x14ac:dyDescent="0.25">
      <c r="B1632" t="str">
        <f>HYPERLINK("https://www.chemistwarehouse.com.au/buy/76851/Musashi-P45-Protein-Bar-Salted-Caramel-90g"," Musashi P45 Protein Bar Salted Caramel 90g")</f>
        <v xml:space="preserve"> Musashi P45 Protein Bar Salted Caramel 90g</v>
      </c>
      <c r="C1632" t="s">
        <v>483</v>
      </c>
      <c r="D1632" t="s">
        <v>738</v>
      </c>
    </row>
    <row r="1633" spans="2:4" x14ac:dyDescent="0.25">
      <c r="B1633" t="str">
        <f>HYPERLINK("https://www.chemistwarehouse.com.au/buy/79483/Musashi-Bulk-Deluxe-Bar-Chocolate-Peanut-90g"," Musashi Bulk Deluxe Bar Chocolate Peanut 90g")</f>
        <v xml:space="preserve"> Musashi Bulk Deluxe Bar Chocolate Peanut 90g</v>
      </c>
      <c r="C1633" t="s">
        <v>483</v>
      </c>
      <c r="D1633" t="s">
        <v>641</v>
      </c>
    </row>
    <row r="1634" spans="2:4" x14ac:dyDescent="0.25">
      <c r="B1634" t="str">
        <f>HYPERLINK("https://www.chemistwarehouse.com.au/buy/43266/Musashi-Mega-Fat-Mobiliser-75-Capsules"," Musashi Mega Fat Mobiliser 75 Capsules")</f>
        <v xml:space="preserve"> Musashi Mega Fat Mobiliser 75 Capsules</v>
      </c>
      <c r="C1634" t="s">
        <v>8</v>
      </c>
      <c r="D1634" t="s">
        <v>739</v>
      </c>
    </row>
    <row r="1635" spans="2:4" x14ac:dyDescent="0.25">
      <c r="B1635" t="str">
        <f>HYPERLINK("https://www.chemistwarehouse.com.au/buy/50466/Musashi-P30-Milk-Drink-Strawberry-375mL"," Musashi P30 Milk Drink Strawberry 375mL")</f>
        <v xml:space="preserve"> Musashi P30 Milk Drink Strawberry 375mL</v>
      </c>
      <c r="C1635" t="s">
        <v>483</v>
      </c>
      <c r="D1635" t="s">
        <v>557</v>
      </c>
    </row>
    <row r="1636" spans="2:4" x14ac:dyDescent="0.25">
      <c r="B1636" t="str">
        <f>HYPERLINK("https://www.chemistwarehouse.com.au/buy/54089/Musashi-L-Carnitine-1g-g-Oral-Powder-50g"," Musashi L-Carnitine 1g/g Oral Powder 50g")</f>
        <v xml:space="preserve"> Musashi L-Carnitine 1g/g Oral Powder 50g</v>
      </c>
      <c r="C1636" t="s">
        <v>1</v>
      </c>
      <c r="D1636" t="s">
        <v>104</v>
      </c>
    </row>
    <row r="1637" spans="2:4" x14ac:dyDescent="0.25">
      <c r="B1637" t="str">
        <f>HYPERLINK("https://www.chemistwarehouse.com.au/buy/72683/Musashi-P45-Protein-Bar-Cookies-and-Cream-90g"," Musashi P45 Protein Bar Cookies and Cream 90g")</f>
        <v xml:space="preserve"> Musashi P45 Protein Bar Cookies and Cream 90g</v>
      </c>
      <c r="C1637" t="s">
        <v>483</v>
      </c>
      <c r="D1637" t="s">
        <v>738</v>
      </c>
    </row>
    <row r="1638" spans="2:4" x14ac:dyDescent="0.25">
      <c r="B1638" t="str">
        <f>HYPERLINK("https://www.chemistwarehouse.com.au/buy/68660/Musashi-Bulk-Mass-Gain-2-28kg-Vanilla"," Musashi Bulk Mass Gain 2.28kg Vanilla")</f>
        <v xml:space="preserve"> Musashi Bulk Mass Gain 2.28kg Vanilla</v>
      </c>
      <c r="C1638" t="s">
        <v>330</v>
      </c>
      <c r="D1638" t="s">
        <v>740</v>
      </c>
    </row>
    <row r="1639" spans="2:4" x14ac:dyDescent="0.25">
      <c r="B1639" t="str">
        <f>HYPERLINK("https://www.chemistwarehouse.com.au/buy/68661/Musashi-Bulk-Mass-Gain-2-28kg-Banana"," Musashi Bulk Mass Gain 2.28kg Banana")</f>
        <v xml:space="preserve"> Musashi Bulk Mass Gain 2.28kg Banana</v>
      </c>
      <c r="C1639" t="s">
        <v>330</v>
      </c>
      <c r="D1639" t="s">
        <v>740</v>
      </c>
    </row>
    <row r="1640" spans="2:4" x14ac:dyDescent="0.25">
      <c r="B1640" t="str">
        <f>HYPERLINK("https://www.chemistwarehouse.com.au/buy/68662/Musashi-Bulk-Mass-Gain-2-28kg-Chocolate"," Musashi Bulk Mass Gain 2.28kg Chocolate")</f>
        <v xml:space="preserve"> Musashi Bulk Mass Gain 2.28kg Chocolate</v>
      </c>
      <c r="C1640" t="s">
        <v>330</v>
      </c>
      <c r="D1640" t="s">
        <v>740</v>
      </c>
    </row>
    <row r="1641" spans="2:4" x14ac:dyDescent="0.25">
      <c r="B1641" t="str">
        <f>HYPERLINK("https://www.chemistwarehouse.com.au/buy/68874/Musashi-Bulk-Mass-Gain-420g-Vanilla"," Musashi Bulk Mass Gain 420g Vanilla")</f>
        <v xml:space="preserve"> Musashi Bulk Mass Gain 420g Vanilla</v>
      </c>
      <c r="C1641" t="s">
        <v>8</v>
      </c>
      <c r="D1641" t="s">
        <v>235</v>
      </c>
    </row>
    <row r="1642" spans="2:4" x14ac:dyDescent="0.25">
      <c r="B1642" t="str">
        <f>HYPERLINK("https://www.chemistwarehouse.com.au/buy/62726/Musashi-P-High-Protein-900g-Vanillla"," Musashi P High Protein 900g Vanillla")</f>
        <v xml:space="preserve"> Musashi P High Protein 900g Vanillla</v>
      </c>
      <c r="C1642" t="s">
        <v>736</v>
      </c>
      <c r="D1642" t="s">
        <v>737</v>
      </c>
    </row>
    <row r="1643" spans="2:4" x14ac:dyDescent="0.25">
      <c r="B1643" t="str">
        <f>HYPERLINK("https://www.chemistwarehouse.com.au/buy/62727/Musashi-P-High-Protein-900g-Strawberry"," Musashi P High Protein 900g Strawberry")</f>
        <v xml:space="preserve"> Musashi P High Protein 900g Strawberry</v>
      </c>
      <c r="C1643" t="s">
        <v>736</v>
      </c>
      <c r="D1643" t="s">
        <v>737</v>
      </c>
    </row>
    <row r="1644" spans="2:4" x14ac:dyDescent="0.25">
      <c r="B1644" t="str">
        <f>HYPERLINK("https://www.chemistwarehouse.com.au/buy/62729/Musashi-P-Low-Carb-Protein-850g-Vanilla"," Musashi P Low Carb Protein 850g Vanilla")</f>
        <v xml:space="preserve"> Musashi P Low Carb Protein 850g Vanilla</v>
      </c>
      <c r="C1644" t="s">
        <v>113</v>
      </c>
      <c r="D1644" t="s">
        <v>550</v>
      </c>
    </row>
    <row r="1645" spans="2:4" x14ac:dyDescent="0.25">
      <c r="B1645" t="str">
        <f>HYPERLINK("https://www.chemistwarehouse.com.au/buy/55196/Musashi-ZMA-60-Capsules"," Musashi ZMA+ 60 Capsules")</f>
        <v xml:space="preserve"> Musashi ZMA+ 60 Capsules</v>
      </c>
      <c r="C1645" t="s">
        <v>8</v>
      </c>
      <c r="D1645" t="s">
        <v>739</v>
      </c>
    </row>
    <row r="1646" spans="2:4" x14ac:dyDescent="0.25">
      <c r="B1646" t="str">
        <f>HYPERLINK("https://www.chemistwarehouse.com.au/buy/72635/Musashi-Fat-Metabolising-Formula-Citrus-250g"," Musashi Fat Metabolising Formula Citrus 250g")</f>
        <v xml:space="preserve"> Musashi Fat Metabolising Formula Citrus 250g</v>
      </c>
      <c r="C1646" t="s">
        <v>113</v>
      </c>
      <c r="D1646" t="s">
        <v>110</v>
      </c>
    </row>
    <row r="1647" spans="2:4" x14ac:dyDescent="0.25">
      <c r="B1647" t="str">
        <f>HYPERLINK("https://www.chemistwarehouse.com.au/buy/72685/Musashi-P8-Mini-Bar-Chocolate-Fudge-30g"," Musashi P8 Mini Bar Chocolate Fudge 30g")</f>
        <v xml:space="preserve"> Musashi P8 Mini Bar Chocolate Fudge 30g</v>
      </c>
      <c r="C1647" t="s">
        <v>635</v>
      </c>
      <c r="D1647" t="s">
        <v>327</v>
      </c>
    </row>
    <row r="1648" spans="2:4" x14ac:dyDescent="0.25">
      <c r="B1648" t="str">
        <f>HYPERLINK("https://www.chemistwarehouse.com.au/buy/75210/Musashi-Bulk-Extreme-Protein-Powder-Choc-Mint-2-25kg"," Musashi Bulk Extreme Protein Powder Choc Mint 2.25kg")</f>
        <v xml:space="preserve"> Musashi Bulk Extreme Protein Powder Choc Mint 2.25kg</v>
      </c>
      <c r="C1648" t="s">
        <v>614</v>
      </c>
      <c r="D1648" t="s">
        <v>439</v>
      </c>
    </row>
    <row r="1649" spans="1:4" x14ac:dyDescent="0.25">
      <c r="B1649" t="str">
        <f>HYPERLINK("https://www.chemistwarehouse.com.au/buy/75211/Musashi-Shred-amp-Burn-Choc-1-6kg"," Musashi Shred &amp; Burn Choc 1.6kg")</f>
        <v xml:space="preserve"> Musashi Shred &amp; Burn Choc 1.6kg</v>
      </c>
      <c r="C1649" t="s">
        <v>566</v>
      </c>
      <c r="D1649" t="s">
        <v>531</v>
      </c>
    </row>
    <row r="1650" spans="1:4" x14ac:dyDescent="0.25">
      <c r="B1650" t="str">
        <f>HYPERLINK("https://www.chemistwarehouse.com.au/buy/75212/Musashi-Shred-amp-Burn-Mocha-1-6kg"," Musashi Shred &amp; Burn Mocha 1.6kg")</f>
        <v xml:space="preserve"> Musashi Shred &amp; Burn Mocha 1.6kg</v>
      </c>
      <c r="C1650" t="s">
        <v>566</v>
      </c>
      <c r="D1650" t="s">
        <v>531</v>
      </c>
    </row>
    <row r="1651" spans="1:4" x14ac:dyDescent="0.25">
      <c r="B1651" t="str">
        <f>HYPERLINK("https://www.chemistwarehouse.com.au/buy/72636/Musashi-Essential-Amino-Formula-Raspberry-250g"," Musashi Essential Amino Formula Raspberry 250g")</f>
        <v xml:space="preserve"> Musashi Essential Amino Formula Raspberry 250g</v>
      </c>
      <c r="C1651" t="s">
        <v>276</v>
      </c>
      <c r="D1651" t="s">
        <v>303</v>
      </c>
    </row>
    <row r="1652" spans="1:4" x14ac:dyDescent="0.25">
      <c r="B1652" t="str">
        <f>HYPERLINK("https://www.chemistwarehouse.com.au/buy/72682/Musashi-P45-Protein-Bar-Chocolate-Nut-90g"," Musashi P45 Protein Bar Chocolate Nut 90g")</f>
        <v xml:space="preserve"> Musashi P45 Protein Bar Chocolate Nut 90g</v>
      </c>
      <c r="C1652" t="s">
        <v>483</v>
      </c>
      <c r="D1652" t="s">
        <v>738</v>
      </c>
    </row>
    <row r="1653" spans="1:4" x14ac:dyDescent="0.25">
      <c r="A1653" t="s">
        <v>741</v>
      </c>
    </row>
    <row r="1654" spans="1:4" x14ac:dyDescent="0.25">
      <c r="B1654" t="str">
        <f>HYPERLINK("https://www.chemistwarehouse.com.au/buy/74337/INC-Diet-Whey-Chocolate-Flavour-500g"," INC Diet Whey Chocolate Flavour 500g")</f>
        <v xml:space="preserve"> INC Diet Whey Chocolate Flavour 500g</v>
      </c>
      <c r="C1654" t="s">
        <v>61</v>
      </c>
      <c r="D1654">
        <v>0</v>
      </c>
    </row>
    <row r="1655" spans="1:4" x14ac:dyDescent="0.25">
      <c r="B1655" t="str">
        <f>HYPERLINK("https://www.chemistwarehouse.com.au/buy/74348/INC-Shred-Max-Pro-Chocolate-Flavour-Bar-60gm"," INC Shred Max Pro Chocolate Flavour Bar 60gm")</f>
        <v xml:space="preserve"> INC Shred Max Pro Chocolate Flavour Bar 60gm</v>
      </c>
      <c r="C1655" t="s">
        <v>691</v>
      </c>
      <c r="D1655">
        <v>0</v>
      </c>
    </row>
    <row r="1656" spans="1:4" x14ac:dyDescent="0.25">
      <c r="B1656" t="str">
        <f>HYPERLINK("https://www.chemistwarehouse.com.au/buy/74334/INC-Carnitine-120-Capsules"," INC Carnitine 120 Capsules")</f>
        <v xml:space="preserve"> INC Carnitine 120 Capsules</v>
      </c>
      <c r="C1656" t="s">
        <v>10</v>
      </c>
      <c r="D1656">
        <v>0</v>
      </c>
    </row>
    <row r="1657" spans="1:4" x14ac:dyDescent="0.25">
      <c r="B1657" t="str">
        <f>HYPERLINK("https://www.chemistwarehouse.com.au/buy/74338/INC-Diet-Whey-Vanilla-Flavour-500g"," INC Diet Whey Vanilla Flavour 500g")</f>
        <v xml:space="preserve"> INC Diet Whey Vanilla Flavour 500g</v>
      </c>
      <c r="C1657" t="s">
        <v>61</v>
      </c>
      <c r="D1657">
        <v>0</v>
      </c>
    </row>
    <row r="1658" spans="1:4" x14ac:dyDescent="0.25">
      <c r="B1658" t="str">
        <f>HYPERLINK("https://www.chemistwarehouse.com.au/buy/77460/INC-Shaker-With-Metal-Ball-600ml"," INC Shaker With Metal Ball 600ml")</f>
        <v xml:space="preserve"> INC Shaker With Metal Ball 600ml</v>
      </c>
      <c r="C1658" t="s">
        <v>92</v>
      </c>
      <c r="D1658">
        <v>0</v>
      </c>
    </row>
    <row r="1659" spans="1:4" x14ac:dyDescent="0.25">
      <c r="B1659" t="str">
        <f>HYPERLINK("https://www.chemistwarehouse.com.au/buy/74336/INC-Creatine-500g"," INC Creatine 500g")</f>
        <v xml:space="preserve"> INC Creatine 500g</v>
      </c>
      <c r="C1659" t="s">
        <v>61</v>
      </c>
      <c r="D1659">
        <v>0</v>
      </c>
    </row>
    <row r="1660" spans="1:4" x14ac:dyDescent="0.25">
      <c r="B1660" t="str">
        <f>HYPERLINK("https://www.chemistwarehouse.com.au/buy/74341/INC-Glutamine-500g"," INC Glutamine 500g")</f>
        <v xml:space="preserve"> INC Glutamine 500g</v>
      </c>
      <c r="C1660" t="s">
        <v>10</v>
      </c>
      <c r="D1660">
        <v>0</v>
      </c>
    </row>
    <row r="1661" spans="1:4" x14ac:dyDescent="0.25">
      <c r="B1661" t="str">
        <f>HYPERLINK("https://www.chemistwarehouse.com.au/buy/74335/INC-Tribu-Test-120-Capsules"," INC Tribu-Test 120 Capsules")</f>
        <v xml:space="preserve"> INC Tribu-Test 120 Capsules</v>
      </c>
      <c r="C1661" t="s">
        <v>1</v>
      </c>
      <c r="D1661">
        <v>0</v>
      </c>
    </row>
    <row r="1662" spans="1:4" x14ac:dyDescent="0.25">
      <c r="B1662" t="str">
        <f>HYPERLINK("https://www.chemistwarehouse.com.au/buy/74329/INC-100-Dynamic-Whey-Chocolate-Flavour-2kg"," INC 100 Dynamic Whey Chocolate Flavour 2kg")</f>
        <v xml:space="preserve"> INC 100 Dynamic Whey Chocolate Flavour 2kg</v>
      </c>
      <c r="C1662" t="s">
        <v>514</v>
      </c>
      <c r="D1662">
        <v>0</v>
      </c>
    </row>
    <row r="1663" spans="1:4" x14ac:dyDescent="0.25">
      <c r="B1663" t="str">
        <f>HYPERLINK("https://www.chemistwarehouse.com.au/buy/74330/INC-100-Dynamic-Whey-Vanilla-Flavour-2kg"," INC 100 Dynamic Whey Vanilla Flavour 2kg")</f>
        <v xml:space="preserve"> INC 100 Dynamic Whey Vanilla Flavour 2kg</v>
      </c>
      <c r="C1663" t="s">
        <v>514</v>
      </c>
      <c r="D1663">
        <v>0</v>
      </c>
    </row>
    <row r="1664" spans="1:4" x14ac:dyDescent="0.25">
      <c r="B1664" t="str">
        <f>HYPERLINK("https://www.chemistwarehouse.com.au/buy/74332/INC-100-WPI-Vanilla-Flavour-2kg"," INC 100 WPI Vanilla Flavour 2kg")</f>
        <v xml:space="preserve"> INC 100 WPI Vanilla Flavour 2kg</v>
      </c>
      <c r="C1664" t="s">
        <v>742</v>
      </c>
      <c r="D1664">
        <v>0</v>
      </c>
    </row>
    <row r="1665" spans="1:4" x14ac:dyDescent="0.25">
      <c r="B1665" t="str">
        <f>HYPERLINK("https://www.chemistwarehouse.com.au/buy/78695/INC-Carnitine-Powder-150g"," INC Carnitine Powder 150g")</f>
        <v xml:space="preserve"> INC Carnitine Powder 150g</v>
      </c>
      <c r="C1665" t="s">
        <v>10</v>
      </c>
      <c r="D1665" t="s">
        <v>162</v>
      </c>
    </row>
    <row r="1666" spans="1:4" x14ac:dyDescent="0.25">
      <c r="B1666" t="str">
        <f>HYPERLINK("https://www.chemistwarehouse.com.au/buy/78696/INC-Protein-Mousse-Strawberry-500g"," INC Protein Mousse Strawberry 500g")</f>
        <v xml:space="preserve"> INC Protein Mousse Strawberry 500g</v>
      </c>
      <c r="C1666" t="s">
        <v>10</v>
      </c>
      <c r="D1666" t="s">
        <v>162</v>
      </c>
    </row>
    <row r="1667" spans="1:4" x14ac:dyDescent="0.25">
      <c r="B1667" t="str">
        <f>HYPERLINK("https://www.chemistwarehouse.com.au/buy/79761/INC-Diet-Whey-Strawberry-Flavour-500g"," INC Diet Whey Strawberry Flavour 500g")</f>
        <v xml:space="preserve"> INC Diet Whey Strawberry Flavour 500g</v>
      </c>
      <c r="C1667" t="s">
        <v>61</v>
      </c>
      <c r="D1667" t="s">
        <v>115</v>
      </c>
    </row>
    <row r="1668" spans="1:4" x14ac:dyDescent="0.25">
      <c r="B1668" t="str">
        <f>HYPERLINK("https://www.chemistwarehouse.com.au/buy/79762/INC-Micellar-Casein-Chocolate-2kg"," INC Micellar Casein Chocolate 2kg")</f>
        <v xml:space="preserve"> INC Micellar Casein Chocolate 2kg</v>
      </c>
      <c r="C1668" t="s">
        <v>614</v>
      </c>
      <c r="D1668" t="s">
        <v>46</v>
      </c>
    </row>
    <row r="1669" spans="1:4" x14ac:dyDescent="0.25">
      <c r="B1669" t="str">
        <f>HYPERLINK("https://www.chemistwarehouse.com.au/buy/79763/INC-Micellar-Casein-Vanilla-2kg"," INC Micellar Casein Vanilla 2kg")</f>
        <v xml:space="preserve"> INC Micellar Casein Vanilla 2kg</v>
      </c>
      <c r="C1669" t="s">
        <v>614</v>
      </c>
      <c r="D1669" t="s">
        <v>46</v>
      </c>
    </row>
    <row r="1670" spans="1:4" x14ac:dyDescent="0.25">
      <c r="B1670" t="str">
        <f>HYPERLINK("https://www.chemistwarehouse.com.au/buy/77556/INC-3IN1-Shaker-700ml"," INC 3IN1 Shaker 700ml")</f>
        <v xml:space="preserve"> INC 3IN1 Shaker 700ml</v>
      </c>
      <c r="C1670" t="s">
        <v>45</v>
      </c>
      <c r="D1670">
        <v>0</v>
      </c>
    </row>
    <row r="1671" spans="1:4" x14ac:dyDescent="0.25">
      <c r="B1671" t="str">
        <f>HYPERLINK("https://www.chemistwarehouse.com.au/buy/78691/INC-Protein-Mousse-Vanilla-500g"," INC Protein Mousse Vanilla 500g")</f>
        <v xml:space="preserve"> INC Protein Mousse Vanilla 500g</v>
      </c>
      <c r="C1671" t="s">
        <v>10</v>
      </c>
      <c r="D1671" t="s">
        <v>162</v>
      </c>
    </row>
    <row r="1672" spans="1:4" x14ac:dyDescent="0.25">
      <c r="B1672" t="str">
        <f>HYPERLINK("https://www.chemistwarehouse.com.au/buy/78692/INC-BCAA-Powder-500g"," INC BCAA Powder 500g")</f>
        <v xml:space="preserve"> INC BCAA Powder 500g</v>
      </c>
      <c r="C1672" t="s">
        <v>113</v>
      </c>
      <c r="D1672" t="s">
        <v>162</v>
      </c>
    </row>
    <row r="1673" spans="1:4" x14ac:dyDescent="0.25">
      <c r="B1673" t="str">
        <f>HYPERLINK("https://www.chemistwarehouse.com.au/buy/78693/INC-Thermogenic-120-Capsules"," INC Thermogenic 120 Capsules")</f>
        <v xml:space="preserve"> INC Thermogenic 120 Capsules</v>
      </c>
      <c r="C1673" t="s">
        <v>10</v>
      </c>
      <c r="D1673" t="s">
        <v>162</v>
      </c>
    </row>
    <row r="1674" spans="1:4" x14ac:dyDescent="0.25">
      <c r="B1674" t="str">
        <f>HYPERLINK("https://www.chemistwarehouse.com.au/buy/78694/INC-Protein-Mousse-Chocolate-500g"," INC Protein Mousse Chocolate 500g")</f>
        <v xml:space="preserve"> INC Protein Mousse Chocolate 500g</v>
      </c>
      <c r="C1674" t="s">
        <v>10</v>
      </c>
      <c r="D1674" t="s">
        <v>162</v>
      </c>
    </row>
    <row r="1675" spans="1:4" x14ac:dyDescent="0.25">
      <c r="B1675" t="str">
        <f>HYPERLINK("https://www.chemistwarehouse.com.au/buy/74333/INC-BCAA-120-Capsules"," INC BCAA 120 Capsules")</f>
        <v xml:space="preserve"> INC BCAA 120 Capsules</v>
      </c>
      <c r="C1675" t="s">
        <v>10</v>
      </c>
      <c r="D1675">
        <v>0</v>
      </c>
    </row>
    <row r="1676" spans="1:4" x14ac:dyDescent="0.25">
      <c r="B1676" t="str">
        <f>HYPERLINK("https://www.chemistwarehouse.com.au/buy/74331/INC-100-WPI-Chocolate-Flavour-2kg"," INC 100 WPI Chocolate Flavour 2kg")</f>
        <v xml:space="preserve"> INC 100 WPI Chocolate Flavour 2kg</v>
      </c>
      <c r="C1676" t="s">
        <v>742</v>
      </c>
      <c r="D1676">
        <v>0</v>
      </c>
    </row>
    <row r="1677" spans="1:4" x14ac:dyDescent="0.25">
      <c r="B1677" t="str">
        <f>HYPERLINK("https://www.chemistwarehouse.com.au/buy/74339/INC-Eternal-Mass-Chocolate-Flavour-2kg"," INC Eternal Mass Chocolate Flavour 2kg")</f>
        <v xml:space="preserve"> INC Eternal Mass Chocolate Flavour 2kg</v>
      </c>
      <c r="C1677" t="s">
        <v>258</v>
      </c>
      <c r="D1677">
        <v>0</v>
      </c>
    </row>
    <row r="1678" spans="1:4" x14ac:dyDescent="0.25">
      <c r="A1678" t="s">
        <v>743</v>
      </c>
    </row>
    <row r="1679" spans="1:4" x14ac:dyDescent="0.25">
      <c r="B1679" t="str">
        <f>HYPERLINK("https://www.chemistwarehouse.com.au/buy/59394/VitalStrength-Total-Plus-Protein-Powder-750g-Vanilla"," VitalStrength Total Plus Protein Powder 750g Vanilla")</f>
        <v xml:space="preserve"> VitalStrength Total Plus Protein Powder 750g Vanilla</v>
      </c>
      <c r="C1679" t="s">
        <v>125</v>
      </c>
      <c r="D1679" t="s">
        <v>64</v>
      </c>
    </row>
    <row r="1680" spans="1:4" x14ac:dyDescent="0.25">
      <c r="B1680" t="str">
        <f>HYPERLINK("https://www.chemistwarehouse.com.au/buy/59398/VitalStrength-WPI-Plus-100-Whey-Protein-Isolate-1Kg-Chocolate"," VitalStrength WPI Plus 100 Whey Protein Isolate 1Kg Chocolate")</f>
        <v xml:space="preserve"> VitalStrength WPI Plus 100 Whey Protein Isolate 1Kg Chocolate</v>
      </c>
      <c r="C1680" t="s">
        <v>514</v>
      </c>
      <c r="D1680" t="s">
        <v>46</v>
      </c>
    </row>
    <row r="1681" spans="2:4" x14ac:dyDescent="0.25">
      <c r="B1681" t="str">
        <f>HYPERLINK("https://www.chemistwarehouse.com.au/buy/59399/VitalStrength-WPI-Plus-100-Whey-Protein-Isolate-1Kg-Vanilla"," VitalStrength WPI Plus 100 Whey Protein Isolate 1Kg Vanilla")</f>
        <v xml:space="preserve"> VitalStrength WPI Plus 100 Whey Protein Isolate 1Kg Vanilla</v>
      </c>
      <c r="C1681" t="s">
        <v>514</v>
      </c>
      <c r="D1681" t="s">
        <v>46</v>
      </c>
    </row>
    <row r="1682" spans="2:4" x14ac:dyDescent="0.25">
      <c r="B1682" t="str">
        <f>HYPERLINK("https://www.chemistwarehouse.com.au/buy/59348/VitalStrength-Launch-Whey-Protein-2kg-Chocolate"," VitalStrength Launch Whey Protein 2kg Chocolate")</f>
        <v xml:space="preserve"> VitalStrength Launch Whey Protein 2kg Chocolate</v>
      </c>
      <c r="C1682" t="s">
        <v>514</v>
      </c>
      <c r="D1682" t="s">
        <v>303</v>
      </c>
    </row>
    <row r="1683" spans="2:4" x14ac:dyDescent="0.25">
      <c r="B1683" t="str">
        <f>HYPERLINK("https://www.chemistwarehouse.com.au/buy/59362/VitalStrength-Hydroxy-Ripped-Workout-Protein-Powder-3Kg-Chocolate"," VitalStrength Hydroxy Ripped Workout Protein Powder 3Kg Chocolate")</f>
        <v xml:space="preserve"> VitalStrength Hydroxy Ripped Workout Protein Powder 3Kg Chocolate</v>
      </c>
      <c r="C1683" t="s">
        <v>744</v>
      </c>
      <c r="D1683" t="s">
        <v>46</v>
      </c>
    </row>
    <row r="1684" spans="2:4" x14ac:dyDescent="0.25">
      <c r="B1684" t="str">
        <f>HYPERLINK("https://www.chemistwarehouse.com.au/buy/59388/VitalStrength-Total-Plus-Protein-Powder-3Kg-Vanilla"," VitalStrength Total Plus Protein Powder 3Kg Vanilla")</f>
        <v xml:space="preserve"> VitalStrength Total Plus Protein Powder 3Kg Vanilla</v>
      </c>
      <c r="C1684" t="s">
        <v>742</v>
      </c>
      <c r="D1684" t="s">
        <v>46</v>
      </c>
    </row>
    <row r="1685" spans="2:4" x14ac:dyDescent="0.25">
      <c r="B1685" t="str">
        <f>HYPERLINK("https://www.chemistwarehouse.com.au/buy/59392/VitalStrength-Total-Plus-Protein-Powder-750g-Chocolate"," VitalStrength Total Plus Protein Powder 750g Chocolate")</f>
        <v xml:space="preserve"> VitalStrength Total Plus Protein Powder 750g Chocolate</v>
      </c>
      <c r="C1685" t="s">
        <v>125</v>
      </c>
      <c r="D1685" t="s">
        <v>64</v>
      </c>
    </row>
    <row r="1686" spans="2:4" x14ac:dyDescent="0.25">
      <c r="B1686" t="str">
        <f>HYPERLINK("https://www.chemistwarehouse.com.au/buy/59364/VitalStrength-Hydroxy-Ripped-Workout-Protein-Powder-3Kg-Vanilla"," VitalStrength Hydroxy Ripped Workout Protein Powder 3Kg Vanilla")</f>
        <v xml:space="preserve"> VitalStrength Hydroxy Ripped Workout Protein Powder 3Kg Vanilla</v>
      </c>
      <c r="C1686" t="s">
        <v>744</v>
      </c>
      <c r="D1686" t="s">
        <v>46</v>
      </c>
    </row>
    <row r="1687" spans="2:4" x14ac:dyDescent="0.25">
      <c r="B1687" t="str">
        <f>HYPERLINK("https://www.chemistwarehouse.com.au/buy/59373/VitalStrength-Pro-Muscle-Plus-Weight-Gainer-1Kg-Chocolate"," VitalStrength Pro-Muscle Plus Weight Gainer 1Kg Chocolate")</f>
        <v xml:space="preserve"> VitalStrength Pro-Muscle Plus Weight Gainer 1Kg Chocolate</v>
      </c>
      <c r="C1687" t="s">
        <v>113</v>
      </c>
      <c r="D1687" t="s">
        <v>46</v>
      </c>
    </row>
    <row r="1688" spans="2:4" x14ac:dyDescent="0.25">
      <c r="B1688" t="str">
        <f>HYPERLINK("https://www.chemistwarehouse.com.au/buy/59374/VitalStrength-Pro-Muscle-Plus-Weight-Gainer-1Kg-Vanilla"," VitalStrength Pro-Muscle Plus Weight Gainer 1Kg Vanilla")</f>
        <v xml:space="preserve"> VitalStrength Pro-Muscle Plus Weight Gainer 1Kg Vanilla</v>
      </c>
      <c r="C1688" t="s">
        <v>113</v>
      </c>
      <c r="D1688" t="s">
        <v>46</v>
      </c>
    </row>
    <row r="1689" spans="2:4" x14ac:dyDescent="0.25">
      <c r="B1689" t="str">
        <f>HYPERLINK("https://www.chemistwarehouse.com.au/buy/59375/VitalStrength-Pro-Muscle-Plus-Weight-Gainer-2Kg-Chocolate"," VitalStrength Pro-Muscle Plus Weight Gainer 2Kg Chocolate")</f>
        <v xml:space="preserve"> VitalStrength Pro-Muscle Plus Weight Gainer 2Kg Chocolate</v>
      </c>
      <c r="C1689" t="s">
        <v>745</v>
      </c>
      <c r="D1689" t="s">
        <v>280</v>
      </c>
    </row>
    <row r="1690" spans="2:4" x14ac:dyDescent="0.25">
      <c r="B1690" t="str">
        <f>HYPERLINK("https://www.chemistwarehouse.com.au/buy/59376/VitalStrength-Pro-Muscle-Plus-Weight-Gainer-2Kg-Vanilla"," VitalStrength Pro-Muscle Plus Weight Gainer 2Kg Vanilla")</f>
        <v xml:space="preserve"> VitalStrength Pro-Muscle Plus Weight Gainer 2Kg Vanilla</v>
      </c>
      <c r="C1690" t="s">
        <v>745</v>
      </c>
      <c r="D1690" t="s">
        <v>280</v>
      </c>
    </row>
    <row r="1691" spans="2:4" x14ac:dyDescent="0.25">
      <c r="B1691" t="str">
        <f>HYPERLINK("https://www.chemistwarehouse.com.au/buy/59383/VitalStrength-Total-Plus-Protein-Powder-1-5Kg-Chocolate"," VitalStrength Total Plus Protein Powder 1.5Kg Chocolate")</f>
        <v xml:space="preserve"> VitalStrength Total Plus Protein Powder 1.5Kg Chocolate</v>
      </c>
      <c r="C1691" t="s">
        <v>746</v>
      </c>
      <c r="D1691" t="s">
        <v>169</v>
      </c>
    </row>
    <row r="1692" spans="2:4" x14ac:dyDescent="0.25">
      <c r="B1692" t="str">
        <f>HYPERLINK("https://www.chemistwarehouse.com.au/buy/59385/VitalStrength-Total-Plus-Protein-Powder-1-5Kg-Vanilla"," VitalStrength Total Plus Protein Powder 1.5Kg Vanilla")</f>
        <v xml:space="preserve"> VitalStrength Total Plus Protein Powder 1.5Kg Vanilla</v>
      </c>
      <c r="C1692" t="s">
        <v>746</v>
      </c>
      <c r="D1692" t="s">
        <v>169</v>
      </c>
    </row>
    <row r="1693" spans="2:4" x14ac:dyDescent="0.25">
      <c r="B1693" t="str">
        <f>HYPERLINK("https://www.chemistwarehouse.com.au/buy/59386/VitalStrength-Total-Plus-Protein-Powder-3Kg-Chocolate"," VitalStrength Total Plus Protein Powder 3Kg Chocolate")</f>
        <v xml:space="preserve"> VitalStrength Total Plus Protein Powder 3Kg Chocolate</v>
      </c>
      <c r="C1693" t="s">
        <v>742</v>
      </c>
      <c r="D1693" t="s">
        <v>46</v>
      </c>
    </row>
    <row r="1694" spans="2:4" x14ac:dyDescent="0.25">
      <c r="B1694" t="str">
        <f>HYPERLINK("https://www.chemistwarehouse.com.au/buy/59349/VitalStrength-Launch-Whey-Protein-2kg-Vanilla"," VitalStrength Launch Whey Protein 2kg Vanilla")</f>
        <v xml:space="preserve"> VitalStrength Launch Whey Protein 2kg Vanilla</v>
      </c>
      <c r="C1694" t="s">
        <v>514</v>
      </c>
      <c r="D1694" t="s">
        <v>303</v>
      </c>
    </row>
    <row r="1695" spans="2:4" x14ac:dyDescent="0.25">
      <c r="B1695" t="str">
        <f>HYPERLINK("https://www.chemistwarehouse.com.au/buy/59351/VitalStrength-Launch-Whey-Protein-3kg-Chocolate"," VitalStrength Launch Whey Protein 3kg Chocolate")</f>
        <v xml:space="preserve"> VitalStrength Launch Whey Protein 3kg Chocolate</v>
      </c>
      <c r="C1695" t="s">
        <v>744</v>
      </c>
      <c r="D1695" t="s">
        <v>46</v>
      </c>
    </row>
    <row r="1696" spans="2:4" x14ac:dyDescent="0.25">
      <c r="B1696" t="str">
        <f>HYPERLINK("https://www.chemistwarehouse.com.au/buy/59352/VitalStrength-Launch-Whey-Protein-3kg-Vanilla"," VitalStrength Launch Whey Protein 3kg Vanilla")</f>
        <v xml:space="preserve"> VitalStrength Launch Whey Protein 3kg Vanilla</v>
      </c>
      <c r="C1696" t="s">
        <v>744</v>
      </c>
      <c r="D1696" t="s">
        <v>46</v>
      </c>
    </row>
    <row r="1697" spans="1:4" x14ac:dyDescent="0.25">
      <c r="B1697" t="str">
        <f>HYPERLINK("https://www.chemistwarehouse.com.au/buy/59356/VitalStrength-Hydroxy-Ripped-Workout-Protein-Powder-1Kg-Chocolate"," VitalStrength Hydroxy Ripped Workout Protein Powder 1Kg Chocolate")</f>
        <v xml:space="preserve"> VitalStrength Hydroxy Ripped Workout Protein Powder 1Kg Chocolate</v>
      </c>
      <c r="C1697" t="s">
        <v>276</v>
      </c>
      <c r="D1697" t="s">
        <v>164</v>
      </c>
    </row>
    <row r="1698" spans="1:4" x14ac:dyDescent="0.25">
      <c r="B1698" t="str">
        <f>HYPERLINK("https://www.chemistwarehouse.com.au/buy/59358/VitalStrength-Hydroxy-Ripped-Workout-Protein-Powder-1Kg-Vanilla"," VitalStrength Hydroxy Ripped Workout Protein Powder 1Kg Vanilla")</f>
        <v xml:space="preserve"> VitalStrength Hydroxy Ripped Workout Protein Powder 1Kg Vanilla</v>
      </c>
      <c r="C1698" t="s">
        <v>276</v>
      </c>
      <c r="D1698" t="s">
        <v>164</v>
      </c>
    </row>
    <row r="1699" spans="1:4" x14ac:dyDescent="0.25">
      <c r="B1699" t="str">
        <f>HYPERLINK("https://www.chemistwarehouse.com.au/buy/59359/VitalStrength-Hydroxy-Ripped-Workout-Protein-Powder-2Kg-Chocolate"," VitalStrength Hydroxy Ripped Workout Protein Powder 2Kg Chocolate")</f>
        <v xml:space="preserve"> VitalStrength Hydroxy Ripped Workout Protein Powder 2Kg Chocolate</v>
      </c>
      <c r="C1699" t="s">
        <v>514</v>
      </c>
      <c r="D1699" t="s">
        <v>303</v>
      </c>
    </row>
    <row r="1700" spans="1:4" x14ac:dyDescent="0.25">
      <c r="B1700" t="str">
        <f>HYPERLINK("https://www.chemistwarehouse.com.au/buy/59361/VitalStrength-Hydroxy-Ripped-Workout-Protein-Powder-2Kg-Vanilla"," VitalStrength Hydroxy Ripped Workout Protein Powder 2Kg Vanilla")</f>
        <v xml:space="preserve"> VitalStrength Hydroxy Ripped Workout Protein Powder 2Kg Vanilla</v>
      </c>
      <c r="C1700" t="s">
        <v>514</v>
      </c>
      <c r="D1700" t="s">
        <v>303</v>
      </c>
    </row>
    <row r="1701" spans="1:4" x14ac:dyDescent="0.25">
      <c r="B1701" t="str">
        <f>HYPERLINK("https://www.chemistwarehouse.com.au/buy/67320/VitalStrength-16-00-Nitroxl-Afternoon-Pre-Workout-Arctic-Blue-360g"," VitalStrength 16:00 Nitroxl Afternoon Pre-Workout Arctic Blue 360g")</f>
        <v xml:space="preserve"> VitalStrength 16:00 Nitroxl Afternoon Pre-Workout Arctic Blue 360g</v>
      </c>
      <c r="C1701" t="s">
        <v>330</v>
      </c>
      <c r="D1701" t="s">
        <v>162</v>
      </c>
    </row>
    <row r="1702" spans="1:4" x14ac:dyDescent="0.25">
      <c r="B1702" t="str">
        <f>HYPERLINK("https://www.chemistwarehouse.com.au/buy/67321/VitalStrength-Biolic5-Recovery-Once-a-day-Formula-Orange-Boost-440g"," VitalStrength Biolic5 Recovery Once a day Formula Orange Boost 440g")</f>
        <v xml:space="preserve"> VitalStrength Biolic5 Recovery Once a day Formula Orange Boost 440g</v>
      </c>
      <c r="C1702" t="s">
        <v>166</v>
      </c>
      <c r="D1702" t="s">
        <v>115</v>
      </c>
    </row>
    <row r="1703" spans="1:4" x14ac:dyDescent="0.25">
      <c r="A1703" t="s">
        <v>747</v>
      </c>
    </row>
    <row r="1704" spans="1:4" x14ac:dyDescent="0.25">
      <c r="B1704" t="str">
        <f>HYPERLINK("https://www.chemistwarehouse.com.au/buy/75882/Ratio-Bar-Cookie-Crunch-58g"," Ratio Bar Cookie Crunch 58g")</f>
        <v xml:space="preserve"> Ratio Bar Cookie Crunch 58g</v>
      </c>
      <c r="C1704" t="s">
        <v>748</v>
      </c>
      <c r="D1704" t="s">
        <v>145</v>
      </c>
    </row>
    <row r="1705" spans="1:4" x14ac:dyDescent="0.25">
      <c r="B1705" t="str">
        <f>HYPERLINK("https://www.chemistwarehouse.com.au/buy/75881/Ratio-Bar-Cake-Batter-52g"," Ratio Bar Cake Batter 52g")</f>
        <v xml:space="preserve"> Ratio Bar Cake Batter 52g</v>
      </c>
      <c r="C1705" t="s">
        <v>748</v>
      </c>
      <c r="D1705" t="s">
        <v>145</v>
      </c>
    </row>
    <row r="1706" spans="1:4" x14ac:dyDescent="0.25">
      <c r="A1706" t="s">
        <v>749</v>
      </c>
    </row>
    <row r="1707" spans="1:4" x14ac:dyDescent="0.25">
      <c r="B1707" t="str">
        <f>HYPERLINK("https://www.chemistwarehouse.com.au/buy/79456/Pure-Warrior-L-Carnitine-120-Capsules"," Pure Warrior L-Carnitine 120 Capsules")</f>
        <v xml:space="preserve"> Pure Warrior L-Carnitine 120 Capsules</v>
      </c>
      <c r="C1707" t="s">
        <v>10</v>
      </c>
      <c r="D1707" t="s">
        <v>162</v>
      </c>
    </row>
    <row r="1708" spans="1:4" x14ac:dyDescent="0.25">
      <c r="B1708" t="str">
        <f>HYPERLINK("https://www.chemistwarehouse.com.au/buy/81470/Pure-Warrior-Pre-Workout-400g"," Pure Warrior Pre Workout 400g")</f>
        <v xml:space="preserve"> Pure Warrior Pre Workout 400g</v>
      </c>
      <c r="C1708" t="s">
        <v>258</v>
      </c>
      <c r="D1708">
        <v>0</v>
      </c>
    </row>
    <row r="1709" spans="1:4" x14ac:dyDescent="0.25">
      <c r="B1709" t="str">
        <f>HYPERLINK("https://www.chemistwarehouse.com.au/buy/77371/Pure-Warrior-Powered-by-Swisse™-Extreme-Bulk-Chocolate-2kg"," Pure Warrior Powered by Swisse™ Extreme Bulk Chocolate 2kg")</f>
        <v xml:space="preserve"> Pure Warrior Powered by Swisse™ Extreme Bulk Chocolate 2kg</v>
      </c>
      <c r="C1709" t="s">
        <v>113</v>
      </c>
      <c r="D1709">
        <v>0</v>
      </c>
    </row>
    <row r="1710" spans="1:4" x14ac:dyDescent="0.25">
      <c r="B1710" t="str">
        <f>HYPERLINK("https://www.chemistwarehouse.com.au/buy/81471/Pure-Warrior-L-Glutamine-400g"," Pure Warrior L-Glutamine 400g")</f>
        <v xml:space="preserve"> Pure Warrior L-Glutamine 400g</v>
      </c>
      <c r="C1710" t="s">
        <v>6</v>
      </c>
      <c r="D1710">
        <v>0</v>
      </c>
    </row>
    <row r="1711" spans="1:4" x14ac:dyDescent="0.25">
      <c r="B1711" t="str">
        <f>HYPERLINK("https://www.chemistwarehouse.com.au/buy/79454/Pure-Warrior-BCAA-120-Capsules"," Pure Warrior BCAA 120 Capsules")</f>
        <v xml:space="preserve"> Pure Warrior BCAA 120 Capsules</v>
      </c>
      <c r="C1711" t="s">
        <v>6</v>
      </c>
      <c r="D1711">
        <v>0</v>
      </c>
    </row>
    <row r="1712" spans="1:4" x14ac:dyDescent="0.25">
      <c r="B1712" t="str">
        <f>HYPERLINK("https://www.chemistwarehouse.com.au/buy/79455/Pure-Warrior-Creatine-Powder-480G"," Pure Warrior Creatine Powder 480G")</f>
        <v xml:space="preserve"> Pure Warrior Creatine Powder 480G</v>
      </c>
      <c r="C1712" t="s">
        <v>1</v>
      </c>
      <c r="D1712" t="s">
        <v>162</v>
      </c>
    </row>
    <row r="1713" spans="1:4" x14ac:dyDescent="0.25">
      <c r="B1713" t="str">
        <f>HYPERLINK("https://www.chemistwarehouse.com.au/buy/77369/Pure-Warrior-Powered-by-Swisse™-100-WPI-Chocolate-2kg"," Pure Warrior Powered by Swisse™ 100% WPI Chocolate 2kg")</f>
        <v xml:space="preserve"> Pure Warrior Powered by Swisse™ 100% WPI Chocolate 2kg</v>
      </c>
      <c r="C1713" t="s">
        <v>750</v>
      </c>
      <c r="D1713">
        <v>0</v>
      </c>
    </row>
    <row r="1714" spans="1:4" x14ac:dyDescent="0.25">
      <c r="B1714" t="str">
        <f>HYPERLINK("https://www.chemistwarehouse.com.au/buy/77370/Pure-Warrior-Powered-by-Swisse™-100-WPI-Vanilla-2kg"," Pure Warrior Powered by Swisse™ 100% WPI Vanilla 2kg")</f>
        <v xml:space="preserve"> Pure Warrior Powered by Swisse™ 100% WPI Vanilla 2kg</v>
      </c>
      <c r="C1714" t="s">
        <v>750</v>
      </c>
      <c r="D1714">
        <v>0</v>
      </c>
    </row>
    <row r="1715" spans="1:4" x14ac:dyDescent="0.25">
      <c r="B1715" t="str">
        <f>HYPERLINK("https://www.chemistwarehouse.com.au/buy/77372/Pure-Warrior-Powered-by-Swisse™-Extreme-Bulk-Vanilla-2kg"," Pure Warrior Powered by Swisse™ Extreme Bulk Vanilla 2kg")</f>
        <v xml:space="preserve"> Pure Warrior Powered by Swisse™ Extreme Bulk Vanilla 2kg</v>
      </c>
      <c r="C1715" t="s">
        <v>113</v>
      </c>
      <c r="D1715">
        <v>0</v>
      </c>
    </row>
    <row r="1716" spans="1:4" x14ac:dyDescent="0.25">
      <c r="B1716" t="str">
        <f>HYPERLINK("https://www.chemistwarehouse.com.au/buy/77373/Pure-Warrior-Powered-by-Swisse™-Extreme-Burn-Chocolate-2kg"," Pure Warrior Powered by Swisse™ Extreme Burn Chocolate 2kg")</f>
        <v xml:space="preserve"> Pure Warrior Powered by Swisse™ Extreme Burn Chocolate 2kg</v>
      </c>
      <c r="C1716" t="s">
        <v>564</v>
      </c>
      <c r="D1716">
        <v>0</v>
      </c>
    </row>
    <row r="1717" spans="1:4" x14ac:dyDescent="0.25">
      <c r="B1717" t="str">
        <f>HYPERLINK("https://www.chemistwarehouse.com.au/buy/77374/Pure-Warrior-Powered-by-Swisse™-Extreme-Burn-Vanilla-2kg"," Pure Warrior Powered by Swisse™ Extreme Burn Vanilla 2kg")</f>
        <v xml:space="preserve"> Pure Warrior Powered by Swisse™ Extreme Burn Vanilla 2kg</v>
      </c>
      <c r="C1717" t="s">
        <v>564</v>
      </c>
      <c r="D1717">
        <v>0</v>
      </c>
    </row>
    <row r="1718" spans="1:4" x14ac:dyDescent="0.25">
      <c r="B1718" t="str">
        <f>HYPERLINK("https://www.chemistwarehouse.com.au/buy/77375/Pure-Warrior-Powered-by-Swisse™-Extreme-Shape-Chocolate-500g"," Pure Warrior Powered by Swisse™ Extreme Shape Chocolate 500g")</f>
        <v xml:space="preserve"> Pure Warrior Powered by Swisse™ Extreme Shape Chocolate 500g</v>
      </c>
      <c r="C1718" t="s">
        <v>6</v>
      </c>
      <c r="D1718">
        <v>0</v>
      </c>
    </row>
    <row r="1719" spans="1:4" x14ac:dyDescent="0.25">
      <c r="B1719" t="str">
        <f>HYPERLINK("https://www.chemistwarehouse.com.au/buy/77376/Pure-Warrior-Powered-by-Swisse™-Extreme-Shape-Vanilla-500g"," Pure Warrior Powered by Swisse™ Extreme Shape Vanilla 500g")</f>
        <v xml:space="preserve"> Pure Warrior Powered by Swisse™ Extreme Shape Vanilla 500g</v>
      </c>
      <c r="C1719" t="s">
        <v>6</v>
      </c>
      <c r="D1719">
        <v>0</v>
      </c>
    </row>
    <row r="1720" spans="1:4" x14ac:dyDescent="0.25">
      <c r="B1720" t="str">
        <f>HYPERLINK("https://www.chemistwarehouse.com.au/buy/77377/Pure-Warrior-Powered-by-Swisse™-Extreme-Whey-Chocolate-2kg"," Pure Warrior Powered by Swisse™ Extreme Whey Chocolate 2kg")</f>
        <v xml:space="preserve"> Pure Warrior Powered by Swisse™ Extreme Whey Chocolate 2kg</v>
      </c>
      <c r="C1720" t="s">
        <v>276</v>
      </c>
      <c r="D1720">
        <v>0</v>
      </c>
    </row>
    <row r="1721" spans="1:4" x14ac:dyDescent="0.25">
      <c r="B1721" t="str">
        <f>HYPERLINK("https://www.chemistwarehouse.com.au/buy/77378/Pure-Warrior-Powered-by-Swisse™-Extreme-Whey-Vanilla-2kg"," Pure Warrior Powered by Swisse™ Extreme Whey Vanilla 2kg")</f>
        <v xml:space="preserve"> Pure Warrior Powered by Swisse™ Extreme Whey Vanilla 2kg</v>
      </c>
      <c r="C1721" t="s">
        <v>276</v>
      </c>
      <c r="D1721">
        <v>0</v>
      </c>
    </row>
    <row r="1722" spans="1:4" x14ac:dyDescent="0.25">
      <c r="B1722" t="str">
        <f>HYPERLINK("https://www.chemistwarehouse.com.au/buy/79457/Pure-Warrior-L-Carnitine-Powder-180G"," Pure Warrior L-Carnitine Powder 180G")</f>
        <v xml:space="preserve"> Pure Warrior L-Carnitine Powder 180G</v>
      </c>
      <c r="C1722" t="s">
        <v>113</v>
      </c>
      <c r="D1722">
        <v>0</v>
      </c>
    </row>
    <row r="1723" spans="1:4" x14ac:dyDescent="0.25">
      <c r="A1723" t="s">
        <v>751</v>
      </c>
    </row>
    <row r="1724" spans="1:4" x14ac:dyDescent="0.25">
      <c r="B1724" t="str">
        <f>HYPERLINK("https://www.chemistwarehouse.com.au/buy/76467/Spark-by-Boomer-Performance-Shot-90ml"," Spark by Boomer Performance Shot 90ml")</f>
        <v xml:space="preserve"> Spark by Boomer Performance Shot 90ml</v>
      </c>
      <c r="C1724" t="s">
        <v>483</v>
      </c>
      <c r="D1724" t="s">
        <v>147</v>
      </c>
    </row>
    <row r="1725" spans="1:4" x14ac:dyDescent="0.25">
      <c r="A1725" t="s">
        <v>752</v>
      </c>
    </row>
    <row r="1726" spans="1:4" x14ac:dyDescent="0.25">
      <c r="B1726" t="str">
        <f>HYPERLINK("https://www.chemistwarehouse.com.au/buy/64818/Vital-Pea-Protein-Chocolate-500g-Powder"," Vital Pea Protein Chocolate 500g Powder")</f>
        <v xml:space="preserve"> Vital Pea Protein Chocolate 500g Powder</v>
      </c>
      <c r="C1726" t="s">
        <v>6</v>
      </c>
      <c r="D1726" t="s">
        <v>160</v>
      </c>
    </row>
    <row r="1727" spans="1:4" x14ac:dyDescent="0.25">
      <c r="B1727" t="str">
        <f>HYPERLINK("https://www.chemistwarehouse.com.au/buy/64819/Vital-Pea-Protein-Vanilla-500g-Powder"," Vital Pea Protein Vanilla 500g Powder")</f>
        <v xml:space="preserve"> Vital Pea Protein Vanilla 500g Powder</v>
      </c>
      <c r="C1727" t="s">
        <v>6</v>
      </c>
      <c r="D1727" t="s">
        <v>160</v>
      </c>
    </row>
    <row r="1728" spans="1:4" x14ac:dyDescent="0.25">
      <c r="B1728" t="str">
        <f>HYPERLINK("https://www.chemistwarehouse.com.au/buy/77906/Vital-Pea-Protein-Unflavoured-1kg"," Vital Pea Protein Unflavoured 1kg")</f>
        <v xml:space="preserve"> Vital Pea Protein Unflavoured 1kg</v>
      </c>
      <c r="C1728" t="s">
        <v>513</v>
      </c>
      <c r="D1728" t="s">
        <v>420</v>
      </c>
    </row>
    <row r="1729" spans="1:4" x14ac:dyDescent="0.25">
      <c r="B1729" t="str">
        <f>HYPERLINK("https://www.chemistwarehouse.com.au/buy/65132/Vital-Pea-Protein-1kg-Chocolate"," Vital Pea Protein 1kg Chocolate")</f>
        <v xml:space="preserve"> Vital Pea Protein 1kg Chocolate</v>
      </c>
      <c r="C1729" t="s">
        <v>513</v>
      </c>
      <c r="D1729" t="s">
        <v>420</v>
      </c>
    </row>
    <row r="1730" spans="1:4" x14ac:dyDescent="0.25">
      <c r="B1730" t="str">
        <f>HYPERLINK("https://www.chemistwarehouse.com.au/buy/65133/Vital-Pea-Protein-1kg-Vanilla"," Vital Pea Protein 1kg Vanilla")</f>
        <v xml:space="preserve"> Vital Pea Protein 1kg Vanilla</v>
      </c>
      <c r="C1730" t="s">
        <v>513</v>
      </c>
      <c r="D1730" t="s">
        <v>420</v>
      </c>
    </row>
    <row r="1731" spans="1:4" x14ac:dyDescent="0.25">
      <c r="B1731" t="str">
        <f>HYPERLINK("https://www.chemistwarehouse.com.au/buy/76249/Vital-Pea-Protein-Strawberry-Powder-500g"," Vital Pea Protein Strawberry Powder 500g")</f>
        <v xml:space="preserve"> Vital Pea Protein Strawberry Powder 500g</v>
      </c>
      <c r="C1731" t="s">
        <v>6</v>
      </c>
      <c r="D1731" t="s">
        <v>160</v>
      </c>
    </row>
    <row r="1732" spans="1:4" x14ac:dyDescent="0.25">
      <c r="A1732" t="s">
        <v>753</v>
      </c>
    </row>
    <row r="1733" spans="1:4" x14ac:dyDescent="0.25">
      <c r="B1733" t="str">
        <f>HYPERLINK("https://www.chemistwarehouse.com.au/buy/79415/Titan-Protein-Powder-Choc-Mint-907g"," Titan Protein Powder Choc Mint 907g")</f>
        <v xml:space="preserve"> Titan Protein Powder Choc Mint 907g</v>
      </c>
      <c r="C1733" t="s">
        <v>258</v>
      </c>
      <c r="D1733">
        <v>0</v>
      </c>
    </row>
    <row r="1734" spans="1:4" x14ac:dyDescent="0.25">
      <c r="B1734" t="str">
        <f>HYPERLINK("https://www.chemistwarehouse.com.au/buy/79423/Titan-Protein-Powder-Vanilla-Caramel-907g"," Titan Protein Powder Vanilla Caramel 907g")</f>
        <v xml:space="preserve"> Titan Protein Powder Vanilla Caramel 907g</v>
      </c>
      <c r="C1734" t="s">
        <v>258</v>
      </c>
      <c r="D1734">
        <v>0</v>
      </c>
    </row>
    <row r="1735" spans="1:4" x14ac:dyDescent="0.25">
      <c r="B1735" t="str">
        <f>HYPERLINK("https://www.chemistwarehouse.com.au/buy/79424/Titan-Shred-Lean-Definition-Formula-Cotton-Candy-210g"," Titan Shred Lean Definition Formula Cotton Candy 210g")</f>
        <v xml:space="preserve"> Titan Shred Lean Definition Formula Cotton Candy 210g</v>
      </c>
      <c r="C1735" t="s">
        <v>6</v>
      </c>
      <c r="D1735" t="s">
        <v>46</v>
      </c>
    </row>
    <row r="1736" spans="1:4" x14ac:dyDescent="0.25">
      <c r="B1736" t="str">
        <f>HYPERLINK("https://www.chemistwarehouse.com.au/buy/79427/Titan-Wafer-Protein-Bar-Choc-Peanut-Butter-38g"," Titan Wafer Protein Bar Choc Peanut Butter 38g")</f>
        <v xml:space="preserve"> Titan Wafer Protein Bar Choc Peanut Butter 38g</v>
      </c>
      <c r="C1736" t="s">
        <v>691</v>
      </c>
      <c r="D1736" t="s">
        <v>754</v>
      </c>
    </row>
    <row r="1737" spans="1:4" x14ac:dyDescent="0.25">
      <c r="B1737" t="str">
        <f>HYPERLINK("https://www.chemistwarehouse.com.au/buy/79428/Titan-Wafer-Protein-Bar-Chocolate-38g"," Titan Wafer Protein Bar Chocolate 38g")</f>
        <v xml:space="preserve"> Titan Wafer Protein Bar Chocolate 38g</v>
      </c>
      <c r="C1737" t="s">
        <v>691</v>
      </c>
      <c r="D1737" t="s">
        <v>754</v>
      </c>
    </row>
    <row r="1738" spans="1:4" x14ac:dyDescent="0.25">
      <c r="B1738" t="str">
        <f>HYPERLINK("https://www.chemistwarehouse.com.au/buy/79429/Titan-Wafer-Protein-Bar-Vanilla-38g"," Titan Wafer Protein Bar Vanilla 38g")</f>
        <v xml:space="preserve"> Titan Wafer Protein Bar Vanilla 38g</v>
      </c>
      <c r="C1738" t="s">
        <v>691</v>
      </c>
      <c r="D1738" t="s">
        <v>754</v>
      </c>
    </row>
    <row r="1739" spans="1:4" x14ac:dyDescent="0.25">
      <c r="B1739" t="str">
        <f>HYPERLINK("https://www.chemistwarehouse.com.au/buy/79430/Titan-Weight-Gainer-Chocolate-2-27kg"," Titan Weight Gainer Chocolate 2.27kg")</f>
        <v xml:space="preserve"> Titan Weight Gainer Chocolate 2.27kg</v>
      </c>
      <c r="C1739" t="s">
        <v>258</v>
      </c>
      <c r="D1739" t="s">
        <v>162</v>
      </c>
    </row>
    <row r="1740" spans="1:4" x14ac:dyDescent="0.25">
      <c r="B1740" t="str">
        <f>HYPERLINK("https://www.chemistwarehouse.com.au/buy/79420/Titan-Protein-Powder-Sea-Salt-Caramel-2-27kg"," Titan Protein Powder Sea Salt Caramel 2.27kg")</f>
        <v xml:space="preserve"> Titan Protein Powder Sea Salt Caramel 2.27kg</v>
      </c>
      <c r="C1740" t="s">
        <v>614</v>
      </c>
      <c r="D1740" t="s">
        <v>46</v>
      </c>
    </row>
    <row r="1741" spans="1:4" x14ac:dyDescent="0.25">
      <c r="B1741" t="str">
        <f>HYPERLINK("https://www.chemistwarehouse.com.au/buy/79432/Titan-Weight-Gainer-Vanilla-2-27kg"," Titan Weight Gainer Vanilla 2.27kg")</f>
        <v xml:space="preserve"> Titan Weight Gainer Vanilla 2.27kg</v>
      </c>
      <c r="C1741" t="s">
        <v>258</v>
      </c>
      <c r="D1741" t="s">
        <v>162</v>
      </c>
    </row>
    <row r="1742" spans="1:4" x14ac:dyDescent="0.25">
      <c r="B1742" t="str">
        <f>HYPERLINK("https://www.chemistwarehouse.com.au/buy/79416/Titan-Protein-Powder-Chocolate-Peanut-Butter-2-27kg"," Titan Protein Powder Chocolate Peanut Butter 2.27kg")</f>
        <v xml:space="preserve"> Titan Protein Powder Chocolate Peanut Butter 2.27kg</v>
      </c>
      <c r="C1742" t="s">
        <v>614</v>
      </c>
      <c r="D1742" t="s">
        <v>46</v>
      </c>
    </row>
    <row r="1743" spans="1:4" x14ac:dyDescent="0.25">
      <c r="B1743" t="str">
        <f>HYPERLINK("https://www.chemistwarehouse.com.au/buy/79418/Titan-Protein-Powder-Cookies-amp-Creme-2-27kg"," Titan Protein Powder Cookies &amp; Creme 2.27kg")</f>
        <v xml:space="preserve"> Titan Protein Powder Cookies &amp; Creme 2.27kg</v>
      </c>
      <c r="C1743" t="s">
        <v>614</v>
      </c>
      <c r="D1743" t="s">
        <v>46</v>
      </c>
    </row>
    <row r="1744" spans="1:4" x14ac:dyDescent="0.25">
      <c r="B1744" t="str">
        <f>HYPERLINK("https://www.chemistwarehouse.com.au/buy/79411/Titan-Micronized-Creatine-500g"," Titan Micronized Creatine 500g")</f>
        <v xml:space="preserve"> Titan Micronized Creatine 500g</v>
      </c>
      <c r="C1744" t="s">
        <v>1</v>
      </c>
      <c r="D1744">
        <v>0</v>
      </c>
    </row>
    <row r="1745" spans="1:4" x14ac:dyDescent="0.25">
      <c r="B1745" t="str">
        <f>HYPERLINK("https://www.chemistwarehouse.com.au/buy/79413/Titan-Pre-Workout-Lemon-Lime-213g"," Titan Pre Workout Lemon Lime 213g")</f>
        <v xml:space="preserve"> Titan Pre Workout Lemon Lime 213g</v>
      </c>
      <c r="C1745" t="s">
        <v>113</v>
      </c>
      <c r="D1745">
        <v>0</v>
      </c>
    </row>
    <row r="1746" spans="1:4" x14ac:dyDescent="0.25">
      <c r="B1746" t="str">
        <f>HYPERLINK("https://www.chemistwarehouse.com.au/buy/79414/Titan-Protein-Powder-Choc-Mint-2-27kg"," Titan Protein Powder Choc Mint 2.27kg")</f>
        <v xml:space="preserve"> Titan Protein Powder Choc Mint 2.27kg</v>
      </c>
      <c r="C1746" t="s">
        <v>614</v>
      </c>
      <c r="D1746" t="s">
        <v>46</v>
      </c>
    </row>
    <row r="1747" spans="1:4" x14ac:dyDescent="0.25">
      <c r="B1747" t="str">
        <f>HYPERLINK("https://www.chemistwarehouse.com.au/buy/79405/Titan-ALCAR-Acetyl-L-Carnitine-250g"," Titan ALCAR Acetyl L Carnitine 250g")</f>
        <v xml:space="preserve"> Titan ALCAR Acetyl L Carnitine 250g</v>
      </c>
      <c r="C1747" t="s">
        <v>113</v>
      </c>
      <c r="D1747">
        <v>0</v>
      </c>
    </row>
    <row r="1748" spans="1:4" x14ac:dyDescent="0.25">
      <c r="B1748" t="str">
        <f>HYPERLINK("https://www.chemistwarehouse.com.au/buy/75876/Titan-Bar-Chocolate-Mint-80g"," Titan Bar Chocolate Mint 80g")</f>
        <v xml:space="preserve"> Titan Bar Chocolate Mint 80g</v>
      </c>
      <c r="C1748" t="s">
        <v>120</v>
      </c>
      <c r="D1748" t="s">
        <v>755</v>
      </c>
    </row>
    <row r="1749" spans="1:4" x14ac:dyDescent="0.25">
      <c r="B1749" t="str">
        <f>HYPERLINK("https://www.chemistwarehouse.com.au/buy/79409/Titan-Glutamine-500g"," Titan Glutamine 500g")</f>
        <v xml:space="preserve"> Titan Glutamine 500g</v>
      </c>
      <c r="C1749" t="s">
        <v>166</v>
      </c>
      <c r="D1749">
        <v>0</v>
      </c>
    </row>
    <row r="1750" spans="1:4" x14ac:dyDescent="0.25">
      <c r="B1750" t="str">
        <f>HYPERLINK("https://www.chemistwarehouse.com.au/buy/79421/Titan-Protein-Powder-Sea-Salt-Caramel-907g"," Titan Protein Powder Sea Salt Caramel 907g")</f>
        <v xml:space="preserve"> Titan Protein Powder Sea Salt Caramel 907g</v>
      </c>
      <c r="C1750" t="s">
        <v>258</v>
      </c>
      <c r="D1750">
        <v>0</v>
      </c>
    </row>
    <row r="1751" spans="1:4" x14ac:dyDescent="0.25">
      <c r="B1751" t="str">
        <f>HYPERLINK("https://www.chemistwarehouse.com.au/buy/79422/Titan-Protein-Powder-Vanilla-Caramel-2-27kg"," Titan Protein Powder Vanilla Caramel 2.27kg")</f>
        <v xml:space="preserve"> Titan Protein Powder Vanilla Caramel 2.27kg</v>
      </c>
      <c r="C1751" t="s">
        <v>614</v>
      </c>
      <c r="D1751" t="s">
        <v>46</v>
      </c>
    </row>
    <row r="1752" spans="1:4" x14ac:dyDescent="0.25">
      <c r="B1752" t="str">
        <f>HYPERLINK("https://www.chemistwarehouse.com.au/buy/79431/Titan-Weight-Gainer-Cookies-and-Cream-2-27kg"," Titan Weight Gainer Cookies and Cream 2.27kg")</f>
        <v xml:space="preserve"> Titan Weight Gainer Cookies and Cream 2.27kg</v>
      </c>
      <c r="C1752" t="s">
        <v>258</v>
      </c>
      <c r="D1752" t="s">
        <v>162</v>
      </c>
    </row>
    <row r="1753" spans="1:4" x14ac:dyDescent="0.25">
      <c r="B1753" t="str">
        <f>HYPERLINK("https://www.chemistwarehouse.com.au/buy/79425/Titan-Shred-Lean-Definition-Formula-Green-Apple-210g"," Titan Shred Lean Definition Formula Green Apple 210g")</f>
        <v xml:space="preserve"> Titan Shred Lean Definition Formula Green Apple 210g</v>
      </c>
      <c r="C1753" t="s">
        <v>6</v>
      </c>
      <c r="D1753" t="s">
        <v>46</v>
      </c>
    </row>
    <row r="1754" spans="1:4" x14ac:dyDescent="0.25">
      <c r="B1754" t="str">
        <f>HYPERLINK("https://www.chemistwarehouse.com.au/buy/79426/Titan-Shred-Lean-Definition-Formula-Raspberry-Lemonade-210g"," Titan Shred Lean Definition Formula Raspberry Lemonade 210g")</f>
        <v xml:space="preserve"> Titan Shred Lean Definition Formula Raspberry Lemonade 210g</v>
      </c>
      <c r="C1754" t="s">
        <v>6</v>
      </c>
      <c r="D1754" t="s">
        <v>46</v>
      </c>
    </row>
    <row r="1755" spans="1:4" x14ac:dyDescent="0.25">
      <c r="B1755" t="str">
        <f>HYPERLINK("https://www.chemistwarehouse.com.au/buy/79410/Titan-BCAA-Intraworkout-Strawberry-Pineapple-390g"," Titan BCAA Intraworkout Strawberry Pineapple 390g")</f>
        <v xml:space="preserve"> Titan BCAA Intraworkout Strawberry Pineapple 390g</v>
      </c>
      <c r="C1755" t="s">
        <v>113</v>
      </c>
      <c r="D1755">
        <v>0</v>
      </c>
    </row>
    <row r="1756" spans="1:4" x14ac:dyDescent="0.25">
      <c r="B1756" t="str">
        <f>HYPERLINK("https://www.chemistwarehouse.com.au/buy/75880/Titan-Bar-Vanilla-Caramel-Nut-80g"," Titan Bar Vanilla Caramel Nut 80g")</f>
        <v xml:space="preserve"> Titan Bar Vanilla Caramel Nut 80g</v>
      </c>
      <c r="C1756" t="s">
        <v>120</v>
      </c>
      <c r="D1756" t="s">
        <v>755</v>
      </c>
    </row>
    <row r="1757" spans="1:4" x14ac:dyDescent="0.25">
      <c r="A1757" t="s">
        <v>756</v>
      </c>
    </row>
    <row r="1758" spans="1:4" x14ac:dyDescent="0.25">
      <c r="B1758" t="str">
        <f>HYPERLINK("https://www.chemistwarehouse.com.au/buy/80060/Quest-Protein-Bar-Chocolate-Chip-Cookie-Dough-60g"," Quest Protein Bar Chocolate Chip Cookie Dough 60g")</f>
        <v xml:space="preserve"> Quest Protein Bar Chocolate Chip Cookie Dough 60g</v>
      </c>
      <c r="C1758" t="s">
        <v>728</v>
      </c>
      <c r="D1758" t="s">
        <v>755</v>
      </c>
    </row>
    <row r="1759" spans="1:4" x14ac:dyDescent="0.25">
      <c r="B1759" t="str">
        <f>HYPERLINK("https://www.chemistwarehouse.com.au/buy/80061/Quest-Protein-Bar-Cookies-and-Cream-60g"," Quest Protein Bar Cookies and Cream 60g")</f>
        <v xml:space="preserve"> Quest Protein Bar Cookies and Cream 60g</v>
      </c>
      <c r="C1759" t="s">
        <v>728</v>
      </c>
      <c r="D1759" t="s">
        <v>755</v>
      </c>
    </row>
    <row r="1760" spans="1:4" x14ac:dyDescent="0.25">
      <c r="B1760" t="str">
        <f>HYPERLINK("https://www.chemistwarehouse.com.au/buy/80062/Quest-Protein-Bar-Double-Chocolate-Chunk-60g"," Quest Protein Bar Double Chocolate Chunk 60g")</f>
        <v xml:space="preserve"> Quest Protein Bar Double Chocolate Chunk 60g</v>
      </c>
      <c r="C1760" t="s">
        <v>728</v>
      </c>
      <c r="D1760" t="s">
        <v>755</v>
      </c>
    </row>
    <row r="1761" spans="1:4" x14ac:dyDescent="0.25">
      <c r="B1761" t="str">
        <f>HYPERLINK("https://www.chemistwarehouse.com.au/buy/80063/Quest-Protein-Bar-White-Chocolate-Raspberry-60g"," Quest Protein Bar White Chocolate Raspberry 60g")</f>
        <v xml:space="preserve"> Quest Protein Bar White Chocolate Raspberry 60g</v>
      </c>
      <c r="C1761" t="s">
        <v>728</v>
      </c>
      <c r="D1761" t="s">
        <v>755</v>
      </c>
    </row>
    <row r="1762" spans="1:4" x14ac:dyDescent="0.25">
      <c r="A1762" t="s">
        <v>757</v>
      </c>
    </row>
    <row r="1763" spans="1:4" x14ac:dyDescent="0.25">
      <c r="B1763" t="str">
        <f>HYPERLINK("https://www.chemistwarehouse.com.au/buy/62241/International-Protein-Extreme-Mass-Vanilla-1-5kg"," International Protein Extreme Mass Vanilla 1.5kg")</f>
        <v xml:space="preserve"> International Protein Extreme Mass Vanilla 1.5kg</v>
      </c>
      <c r="C1763" t="s">
        <v>472</v>
      </c>
      <c r="D1763" t="s">
        <v>758</v>
      </c>
    </row>
    <row r="1764" spans="1:4" x14ac:dyDescent="0.25">
      <c r="B1764" t="str">
        <f>HYPERLINK("https://www.chemistwarehouse.com.au/buy/78857/International-Protein-Amino-Charged-WPI-Banana-1-25kg"," International Protein Amino Charged WPI Banana 1.25kg")</f>
        <v xml:space="preserve"> International Protein Amino Charged WPI Banana 1.25kg</v>
      </c>
      <c r="C1764" t="s">
        <v>614</v>
      </c>
      <c r="D1764" t="s">
        <v>759</v>
      </c>
    </row>
    <row r="1765" spans="1:4" x14ac:dyDescent="0.25">
      <c r="B1765" t="str">
        <f>HYPERLINK("https://www.chemistwarehouse.com.au/buy/78858/International-Protein-Amino-Charged-WPI-Chocolate-1-25kg"," International Protein Amino Charged WPI Chocolate 1.25kg")</f>
        <v xml:space="preserve"> International Protein Amino Charged WPI Chocolate 1.25kg</v>
      </c>
      <c r="C1765" t="s">
        <v>614</v>
      </c>
      <c r="D1765" t="s">
        <v>759</v>
      </c>
    </row>
    <row r="1766" spans="1:4" x14ac:dyDescent="0.25">
      <c r="B1766" t="str">
        <f>HYPERLINK("https://www.chemistwarehouse.com.au/buy/78859/International-Protein-Amino-Charged-WPI-Chocolate-3kg"," International Protein Amino Charged WPI Chocolate 3kg")</f>
        <v xml:space="preserve"> International Protein Amino Charged WPI Chocolate 3kg</v>
      </c>
      <c r="C1766" t="s">
        <v>760</v>
      </c>
      <c r="D1766" t="s">
        <v>761</v>
      </c>
    </row>
    <row r="1767" spans="1:4" x14ac:dyDescent="0.25">
      <c r="B1767" t="str">
        <f>HYPERLINK("https://www.chemistwarehouse.com.au/buy/78860/International-Protein-Amino-Charged-WPI-Vanilla-1-25kg"," International Protein Amino Charged WPI Vanilla 1.25kg")</f>
        <v xml:space="preserve"> International Protein Amino Charged WPI Vanilla 1.25kg</v>
      </c>
      <c r="C1767" t="s">
        <v>614</v>
      </c>
      <c r="D1767" t="s">
        <v>759</v>
      </c>
    </row>
    <row r="1768" spans="1:4" x14ac:dyDescent="0.25">
      <c r="B1768" t="str">
        <f>HYPERLINK("https://www.chemistwarehouse.com.au/buy/78861/International-Protein-Amino-Charged-WPI-Vanilla-3kg"," International Protein Amino Charged WPI Vanilla 3kg")</f>
        <v xml:space="preserve"> International Protein Amino Charged WPI Vanilla 3kg</v>
      </c>
      <c r="C1768" t="s">
        <v>760</v>
      </c>
      <c r="D1768" t="s">
        <v>762</v>
      </c>
    </row>
    <row r="1769" spans="1:4" x14ac:dyDescent="0.25">
      <c r="B1769" t="str">
        <f>HYPERLINK("https://www.chemistwarehouse.com.au/buy/78862/International-Protein-Amino-Recovery-Lemonade-320g"," International Protein Amino Recovery Lemonade 320g")</f>
        <v xml:space="preserve"> International Protein Amino Recovery Lemonade 320g</v>
      </c>
      <c r="C1769" t="s">
        <v>276</v>
      </c>
      <c r="D1769" t="s">
        <v>763</v>
      </c>
    </row>
    <row r="1770" spans="1:4" x14ac:dyDescent="0.25">
      <c r="B1770" t="str">
        <f>HYPERLINK("https://www.chemistwarehouse.com.au/buy/78863/International-Protein-Amino-Recovery-Watermelon-320g"," International Protein Amino Recovery Watermelon 320g")</f>
        <v xml:space="preserve"> International Protein Amino Recovery Watermelon 320g</v>
      </c>
      <c r="C1770" t="s">
        <v>276</v>
      </c>
      <c r="D1770" t="s">
        <v>763</v>
      </c>
    </row>
    <row r="1771" spans="1:4" x14ac:dyDescent="0.25">
      <c r="B1771" t="str">
        <f>HYPERLINK("https://www.chemistwarehouse.com.au/buy/78864/International-Protein-Extreme-Carbs-1-8kg"," International Protein Extreme Carbs 1.8kg")</f>
        <v xml:space="preserve"> International Protein Extreme Carbs 1.8kg</v>
      </c>
      <c r="C1771" t="s">
        <v>6</v>
      </c>
      <c r="D1771" t="s">
        <v>764</v>
      </c>
    </row>
    <row r="1772" spans="1:4" x14ac:dyDescent="0.25">
      <c r="B1772" t="str">
        <f>HYPERLINK("https://www.chemistwarehouse.com.au/buy/78865/International-Protein-Extreme-Mass-Chocolate-Banana-1-5kg"," International Protein Extreme Mass Chocolate Banana 1.5kg")</f>
        <v xml:space="preserve"> International Protein Extreme Mass Chocolate Banana 1.5kg</v>
      </c>
      <c r="C1772" t="s">
        <v>472</v>
      </c>
      <c r="D1772" t="s">
        <v>758</v>
      </c>
    </row>
    <row r="1773" spans="1:4" x14ac:dyDescent="0.25">
      <c r="B1773" t="str">
        <f>HYPERLINK("https://www.chemistwarehouse.com.au/buy/78867/International-Protein-Extreme-Mass-Chocolate-Truffle-1-5kg"," International Protein Extreme Mass Chocolate Truffle 1.5kg")</f>
        <v xml:space="preserve"> International Protein Extreme Mass Chocolate Truffle 1.5kg</v>
      </c>
      <c r="C1773" t="s">
        <v>472</v>
      </c>
      <c r="D1773" t="s">
        <v>758</v>
      </c>
    </row>
    <row r="1774" spans="1:4" x14ac:dyDescent="0.25">
      <c r="B1774" t="str">
        <f>HYPERLINK("https://www.chemistwarehouse.com.au/buy/78869/International-Protein-Extreme-Mass-Vanilla-4kg"," International Protein Extreme Mass Vanilla 4kg")</f>
        <v xml:space="preserve"> International Protein Extreme Mass Vanilla 4kg</v>
      </c>
      <c r="C1774" t="s">
        <v>765</v>
      </c>
      <c r="D1774" t="s">
        <v>766</v>
      </c>
    </row>
    <row r="1775" spans="1:4" x14ac:dyDescent="0.25">
      <c r="B1775" t="str">
        <f>HYPERLINK("https://www.chemistwarehouse.com.au/buy/78870/International-Protein-Glutamine-500g"," International Protein Glutamine 500g")</f>
        <v xml:space="preserve"> International Protein Glutamine 500g</v>
      </c>
      <c r="C1775" t="s">
        <v>113</v>
      </c>
      <c r="D1775" t="s">
        <v>767</v>
      </c>
    </row>
    <row r="1776" spans="1:4" x14ac:dyDescent="0.25">
      <c r="B1776" t="str">
        <f>HYPERLINK("https://www.chemistwarehouse.com.au/buy/78875/International-Protein-Krealkalyn-150g"," International Protein Krealkalyn 150g")</f>
        <v xml:space="preserve"> International Protein Krealkalyn 150g</v>
      </c>
      <c r="C1776" t="s">
        <v>166</v>
      </c>
      <c r="D1776" t="s">
        <v>768</v>
      </c>
    </row>
    <row r="1777" spans="1:4" x14ac:dyDescent="0.25">
      <c r="B1777" t="str">
        <f>HYPERLINK("https://www.chemistwarehouse.com.au/buy/78876/International-Protein-NO-Ignition-Cola-500g"," International Protein NO Ignition Cola 500g")</f>
        <v xml:space="preserve"> International Protein NO Ignition Cola 500g</v>
      </c>
      <c r="C1777" t="s">
        <v>330</v>
      </c>
      <c r="D1777" t="s">
        <v>769</v>
      </c>
    </row>
    <row r="1778" spans="1:4" x14ac:dyDescent="0.25">
      <c r="B1778" t="str">
        <f>HYPERLINK("https://www.chemistwarehouse.com.au/buy/78877/International-Protein-NO-Ignition-Lemonade-500g"," International Protein NO Ignition Lemonade 500g")</f>
        <v xml:space="preserve"> International Protein NO Ignition Lemonade 500g</v>
      </c>
      <c r="C1778" t="s">
        <v>330</v>
      </c>
      <c r="D1778" t="s">
        <v>769</v>
      </c>
    </row>
    <row r="1779" spans="1:4" x14ac:dyDescent="0.25">
      <c r="B1779" t="str">
        <f>HYPERLINK("https://www.chemistwarehouse.com.au/buy/78878/International-Protein-Superior-Whey-Chocolate-2-27kg"," International Protein Superior Whey Chocolate 2.27kg")</f>
        <v xml:space="preserve"> International Protein Superior Whey Chocolate 2.27kg</v>
      </c>
      <c r="C1779" t="s">
        <v>565</v>
      </c>
      <c r="D1779" t="s">
        <v>770</v>
      </c>
    </row>
    <row r="1780" spans="1:4" x14ac:dyDescent="0.25">
      <c r="B1780" t="str">
        <f>HYPERLINK("https://www.chemistwarehouse.com.au/buy/78879/International-Protein-Superior-Whey-Chocolate-4-55kg"," International Protein Superior Whey Chocolate 4.55kg")</f>
        <v xml:space="preserve"> International Protein Superior Whey Chocolate 4.55kg</v>
      </c>
      <c r="C1780" t="s">
        <v>771</v>
      </c>
      <c r="D1780" t="s">
        <v>772</v>
      </c>
    </row>
    <row r="1781" spans="1:4" x14ac:dyDescent="0.25">
      <c r="B1781" t="str">
        <f>HYPERLINK("https://www.chemistwarehouse.com.au/buy/78880/International-Protein-Superior-Whey-Vanilla-2-27kg"," International Protein Superior Whey Vanilla 2.27kg")</f>
        <v xml:space="preserve"> International Protein Superior Whey Vanilla 2.27kg</v>
      </c>
      <c r="C1781" t="s">
        <v>565</v>
      </c>
      <c r="D1781" t="s">
        <v>770</v>
      </c>
    </row>
    <row r="1782" spans="1:4" x14ac:dyDescent="0.25">
      <c r="B1782" t="str">
        <f>HYPERLINK("https://www.chemistwarehouse.com.au/buy/78881/International-Protein-Superior-Whey-Vanilla-4-55kg"," International Protein Superior Whey Vanilla 4.55kg")</f>
        <v xml:space="preserve"> International Protein Superior Whey Vanilla 4.55kg</v>
      </c>
      <c r="C1782" t="s">
        <v>771</v>
      </c>
      <c r="D1782" t="s">
        <v>772</v>
      </c>
    </row>
    <row r="1783" spans="1:4" x14ac:dyDescent="0.25">
      <c r="B1783" t="str">
        <f>HYPERLINK("https://www.chemistwarehouse.com.au/buy/78882/International-Protein-Synergy-5-Chocolate-Banana-1-25kg"," International Protein Synergy 5 Chocolate Banana 1.25kg")</f>
        <v xml:space="preserve"> International Protein Synergy 5 Chocolate Banana 1.25kg</v>
      </c>
      <c r="C1783" t="s">
        <v>614</v>
      </c>
      <c r="D1783" t="s">
        <v>773</v>
      </c>
    </row>
    <row r="1784" spans="1:4" x14ac:dyDescent="0.25">
      <c r="B1784" t="str">
        <f>HYPERLINK("https://www.chemistwarehouse.com.au/buy/78886/International-Protein-Synergy-5-Vanilla-1-25kg"," International Protein Synergy 5 Vanilla 1.25kg")</f>
        <v xml:space="preserve"> International Protein Synergy 5 Vanilla 1.25kg</v>
      </c>
      <c r="C1784" t="s">
        <v>614</v>
      </c>
      <c r="D1784" t="s">
        <v>773</v>
      </c>
    </row>
    <row r="1785" spans="1:4" x14ac:dyDescent="0.25">
      <c r="A1785" t="s">
        <v>774</v>
      </c>
    </row>
    <row r="1786" spans="1:4" x14ac:dyDescent="0.25">
      <c r="B1786" t="str">
        <f>HYPERLINK("https://www.chemistwarehouse.com.au/buy/80699/Atkins-LIFT-Bar-Choc-Chip-Cookie-Dough-60g"," Atkins LIFT Bar  Choc Chip Cookie Dough 60g")</f>
        <v xml:space="preserve"> Atkins LIFT Bar  Choc Chip Cookie Dough 60g</v>
      </c>
      <c r="C1786" t="s">
        <v>775</v>
      </c>
      <c r="D1786" t="s">
        <v>776</v>
      </c>
    </row>
    <row r="1787" spans="1:4" x14ac:dyDescent="0.25">
      <c r="B1787" t="str">
        <f>HYPERLINK("https://www.chemistwarehouse.com.au/buy/80700/Atkins-LIFT-Bar-Chocolate-Almond-60g"," Atkins LIFT Bar Chocolate Almond 60g")</f>
        <v xml:space="preserve"> Atkins LIFT Bar Chocolate Almond 60g</v>
      </c>
      <c r="C1787" t="s">
        <v>775</v>
      </c>
      <c r="D1787" t="s">
        <v>776</v>
      </c>
    </row>
    <row r="1788" spans="1:4" x14ac:dyDescent="0.25">
      <c r="B1788" t="str">
        <f>HYPERLINK("https://www.chemistwarehouse.com.au/buy/80701/Atkins-LIFT-Bar-Peanut-Caramel-60g"," Atkins LIFT Bar Peanut Caramel 60g")</f>
        <v xml:space="preserve"> Atkins LIFT Bar Peanut Caramel 60g</v>
      </c>
      <c r="C1788" t="s">
        <v>775</v>
      </c>
      <c r="D1788" t="s">
        <v>776</v>
      </c>
    </row>
    <row r="1789" spans="1:4" x14ac:dyDescent="0.25">
      <c r="A1789" t="s">
        <v>777</v>
      </c>
    </row>
    <row r="1790" spans="1:4" x14ac:dyDescent="0.25">
      <c r="B1790" t="str">
        <f>HYPERLINK("https://www.chemistwarehouse.com.au/buy/82124/Kapai-Puku-Antioxidant-450g"," Kapai Puku Antioxidant 450g")</f>
        <v xml:space="preserve"> Kapai Puku Antioxidant 450g</v>
      </c>
      <c r="C1790" t="s">
        <v>187</v>
      </c>
      <c r="D1790" t="s">
        <v>162</v>
      </c>
    </row>
    <row r="1791" spans="1:4" x14ac:dyDescent="0.25">
      <c r="B1791" t="str">
        <f>HYPERLINK("https://www.chemistwarehouse.com.au/buy/82125/Kapai-Puku-Heart-450g"," Kapai Puku Heart 450g")</f>
        <v xml:space="preserve"> Kapai Puku Heart 450g</v>
      </c>
      <c r="C1791" t="s">
        <v>187</v>
      </c>
      <c r="D1791" t="s">
        <v>162</v>
      </c>
    </row>
    <row r="1792" spans="1:4" x14ac:dyDescent="0.25">
      <c r="B1792" t="str">
        <f>HYPERLINK("https://www.chemistwarehouse.com.au/buy/82126/Kapai-Puku-Liver-450g"," Kapai Puku Liver 450g")</f>
        <v xml:space="preserve"> Kapai Puku Liver 450g</v>
      </c>
      <c r="C1792" t="s">
        <v>187</v>
      </c>
      <c r="D1792" t="s">
        <v>162</v>
      </c>
    </row>
    <row r="1793" spans="1:4" x14ac:dyDescent="0.25">
      <c r="B1793" t="str">
        <f>HYPERLINK("https://www.chemistwarehouse.com.au/buy/82127/Kapai-Puku-Stomach-450g"," Kapai Puku Stomach 450g")</f>
        <v xml:space="preserve"> Kapai Puku Stomach 450g</v>
      </c>
      <c r="C1793" t="s">
        <v>187</v>
      </c>
      <c r="D1793" t="s">
        <v>162</v>
      </c>
    </row>
    <row r="1794" spans="1:4" x14ac:dyDescent="0.25">
      <c r="A1794" t="s">
        <v>778</v>
      </c>
    </row>
    <row r="1795" spans="1:4" x14ac:dyDescent="0.25">
      <c r="B1795" t="str">
        <f>HYPERLINK("https://www.chemistwarehouse.com.au/buy/82188/Lenny-and-Larry-Birthday-Cake-Complete-Cookie"," Lenny and Larry Birthday Cake Complete Cookie")</f>
        <v xml:space="preserve"> Lenny and Larry Birthday Cake Complete Cookie</v>
      </c>
      <c r="C1795" t="s">
        <v>483</v>
      </c>
      <c r="D1795" t="s">
        <v>147</v>
      </c>
    </row>
    <row r="1796" spans="1:4" x14ac:dyDescent="0.25">
      <c r="B1796" t="str">
        <f>HYPERLINK("https://www.chemistwarehouse.com.au/buy/82190/Lenny-and-Larry-Snickerdoodle-Complete-Cookie"," Lenny and Larry Snickerdoodle Complete Cookie")</f>
        <v xml:space="preserve"> Lenny and Larry Snickerdoodle Complete Cookie</v>
      </c>
      <c r="C1796" t="s">
        <v>483</v>
      </c>
      <c r="D1796" t="s">
        <v>147</v>
      </c>
    </row>
    <row r="1797" spans="1:4" x14ac:dyDescent="0.25">
      <c r="B1797" t="str">
        <f>HYPERLINK("https://www.chemistwarehouse.com.au/buy/82189/Lenny-and-Larry-Chocolate-Chip-Complete-Cookie"," Lenny and Larry Chocolate Chip Complete Cookie")</f>
        <v xml:space="preserve"> Lenny and Larry Chocolate Chip Complete Cookie</v>
      </c>
      <c r="C1797" t="s">
        <v>483</v>
      </c>
      <c r="D1797" t="s">
        <v>147</v>
      </c>
    </row>
    <row r="1798" spans="1:4" x14ac:dyDescent="0.25">
      <c r="A1798" t="s">
        <v>779</v>
      </c>
    </row>
    <row r="1799" spans="1:4" x14ac:dyDescent="0.25">
      <c r="B1799" t="str">
        <f>HYPERLINK("https://www.chemistwarehouse.com.au/buy/82428/Amazonia-RAW-Fermented-Paleo-Protein-Vanilla-amp-Lucuma-1kg"," Amazonia RAW Fermented Paleo Protein Vanilla &amp; Lucuma 1kg")</f>
        <v xml:space="preserve"> Amazonia RAW Fermented Paleo Protein Vanilla &amp; Lucuma 1kg</v>
      </c>
      <c r="C1799" t="s">
        <v>614</v>
      </c>
      <c r="D1799" t="s">
        <v>165</v>
      </c>
    </row>
    <row r="1800" spans="1:4" x14ac:dyDescent="0.25">
      <c r="B1800" t="str">
        <f>HYPERLINK("https://www.chemistwarehouse.com.au/buy/82429/Amazonia-RAW-Protein-Isolate-Cacao-amp-Coconut-1kg"," Amazonia RAW Protein Isolate Cacao &amp; Coconut 1kg")</f>
        <v xml:space="preserve"> Amazonia RAW Protein Isolate Cacao &amp; Coconut 1kg</v>
      </c>
      <c r="C1800" t="s">
        <v>614</v>
      </c>
      <c r="D1800" t="s">
        <v>165</v>
      </c>
    </row>
    <row r="1801" spans="1:4" x14ac:dyDescent="0.25">
      <c r="B1801" t="str">
        <f>HYPERLINK("https://www.chemistwarehouse.com.au/buy/82430/Amazonia-RAW-Protein-Isolate-Natural-1kg"," Amazonia RAW Protein Isolate Natural 1kg")</f>
        <v xml:space="preserve"> Amazonia RAW Protein Isolate Natural 1kg</v>
      </c>
      <c r="C1801" t="s">
        <v>514</v>
      </c>
      <c r="D1801" t="s">
        <v>165</v>
      </c>
    </row>
    <row r="1802" spans="1:4" x14ac:dyDescent="0.25">
      <c r="B1802" t="str">
        <f>HYPERLINK("https://www.chemistwarehouse.com.au/buy/82431/Amazonia-RAW-Protein-Isolate-Vanilla-1kg"," Amazonia RAW Protein Isolate Vanilla 1kg")</f>
        <v xml:space="preserve"> Amazonia RAW Protein Isolate Vanilla 1kg</v>
      </c>
      <c r="C1802" t="s">
        <v>614</v>
      </c>
      <c r="D1802" t="s">
        <v>165</v>
      </c>
    </row>
    <row r="1803" spans="1:4" x14ac:dyDescent="0.25">
      <c r="B1803" t="str">
        <f>HYPERLINK("https://www.chemistwarehouse.com.au/buy/82432/Amazonia-RAW-Purple-Rice-Protein-Cacao-amp-Coconut-900g"," Amazonia RAW Purple Rice Protein Cacao &amp; Coconut 900g")</f>
        <v xml:space="preserve"> Amazonia RAW Purple Rice Protein Cacao &amp; Coconut 900g</v>
      </c>
      <c r="C1803" t="s">
        <v>614</v>
      </c>
      <c r="D1803" t="s">
        <v>165</v>
      </c>
    </row>
    <row r="1804" spans="1:4" x14ac:dyDescent="0.25">
      <c r="B1804" t="str">
        <f>HYPERLINK("https://www.chemistwarehouse.com.au/buy/82433/Amazonia-RAW-Purple-Rice-Protein-Vanilla-amp-Acai-900g"," Amazonia RAW Purple Rice Protein Vanilla &amp; Acai 900g")</f>
        <v xml:space="preserve"> Amazonia RAW Purple Rice Protein Vanilla &amp; Acai 900g</v>
      </c>
      <c r="C1804" t="s">
        <v>614</v>
      </c>
      <c r="D1804" t="s">
        <v>165</v>
      </c>
    </row>
    <row r="1805" spans="1:4" x14ac:dyDescent="0.25">
      <c r="B1805" t="str">
        <f>HYPERLINK("https://www.chemistwarehouse.com.au/buy/82434/Amazonia-RAW-Slim-amp-Tone-Protein-Cacao-amp-Macadamia-1kg"," Amazonia RAW Slim &amp; Tone Protein Cacao &amp; Macadamia 1kg")</f>
        <v xml:space="preserve"> Amazonia RAW Slim &amp; Tone Protein Cacao &amp; Macadamia 1kg</v>
      </c>
      <c r="C1805" t="s">
        <v>614</v>
      </c>
      <c r="D1805" t="s">
        <v>155</v>
      </c>
    </row>
    <row r="1806" spans="1:4" x14ac:dyDescent="0.25">
      <c r="B1806" t="str">
        <f>HYPERLINK("https://www.chemistwarehouse.com.au/buy/82435/Amazonia-RAW-Slim-amp-Tone-Protein-Green-Coffee-160-Espresso-1kg"," Amazonia RAW Slim &amp; Tone Protein Green Coffee Espresso 1kg")</f>
        <v xml:space="preserve"> Amazonia RAW Slim &amp; Tone Protein Green Coffee Espresso 1kg</v>
      </c>
      <c r="C1806" t="s">
        <v>614</v>
      </c>
      <c r="D1806" t="s">
        <v>165</v>
      </c>
    </row>
    <row r="1807" spans="1:4" x14ac:dyDescent="0.25">
      <c r="B1807" t="str">
        <f>HYPERLINK("https://www.chemistwarehouse.com.au/buy/82436/Amazonia-RAW-Slim-amp-Tone-Protein-Vanilla-amp-Cinnamon-1kg"," Amazonia RAW Slim &amp; Tone Protein Vanilla &amp; Cinnamon 1kg")</f>
        <v xml:space="preserve"> Amazonia RAW Slim &amp; Tone Protein Vanilla &amp; Cinnamon 1kg</v>
      </c>
      <c r="C1807" t="s">
        <v>614</v>
      </c>
      <c r="D1807" t="s">
        <v>165</v>
      </c>
    </row>
    <row r="1808" spans="1:4" x14ac:dyDescent="0.25">
      <c r="B1808" t="str">
        <f>HYPERLINK("https://www.chemistwarehouse.com.au/buy/82437/Amazonia-RAW-Workout-120g"," Amazonia RAW Workout 120g ")</f>
        <v xml:space="preserve"> Amazonia RAW Workout 120g </v>
      </c>
      <c r="C1808" t="s">
        <v>6</v>
      </c>
      <c r="D1808" t="s">
        <v>165</v>
      </c>
    </row>
    <row r="1809" spans="1:4" x14ac:dyDescent="0.25">
      <c r="A1809" t="s">
        <v>780</v>
      </c>
    </row>
    <row r="1810" spans="1:4" x14ac:dyDescent="0.25">
      <c r="B1810" t="str">
        <f>HYPERLINK("https://www.chemistwarehouse.com.au/buy/65987/Clean-amp-Clear-Essentials-Toner-100ml"," Clean &amp; Clear Essentials Toner 100ml")</f>
        <v xml:space="preserve"> Clean &amp; Clear Essentials Toner 100ml</v>
      </c>
      <c r="C1810" t="s">
        <v>326</v>
      </c>
      <c r="D1810" t="s">
        <v>781</v>
      </c>
    </row>
    <row r="1811" spans="1:4" x14ac:dyDescent="0.25">
      <c r="B1811" t="str">
        <f>HYPERLINK("https://www.chemistwarehouse.com.au/buy/67153/Clean-amp-Clear-Advantage-Fast-Clearing-Spot-Gel-10g"," Clean &amp; Clear Advantage Fast Clearing Spot Gel 10g")</f>
        <v xml:space="preserve"> Clean &amp; Clear Advantage Fast Clearing Spot Gel 10g</v>
      </c>
      <c r="C1811" t="s">
        <v>782</v>
      </c>
      <c r="D1811" t="s">
        <v>561</v>
      </c>
    </row>
    <row r="1812" spans="1:4" x14ac:dyDescent="0.25">
      <c r="B1812" t="str">
        <f>HYPERLINK("https://www.chemistwarehouse.com.au/buy/67154/Clean-amp-Clear-Advantage-Pimple-Control-Cleanser-150g"," Clean &amp; Clear Advantage Pimple Control Cleanser 150g")</f>
        <v xml:space="preserve"> Clean &amp; Clear Advantage Pimple Control Cleanser 150g</v>
      </c>
      <c r="C1812" t="s">
        <v>98</v>
      </c>
      <c r="D1812" t="s">
        <v>312</v>
      </c>
    </row>
    <row r="1813" spans="1:4" x14ac:dyDescent="0.25">
      <c r="B1813" t="str">
        <f>HYPERLINK("https://www.chemistwarehouse.com.au/buy/67155/Clean-amp-Clear-Essentials-Moisturiser-100ml"," Clean &amp; Clear Essentials Moisturiser 100ml")</f>
        <v xml:space="preserve"> Clean &amp; Clear Essentials Moisturiser 100ml</v>
      </c>
      <c r="C1813" t="s">
        <v>554</v>
      </c>
      <c r="D1813" t="s">
        <v>611</v>
      </c>
    </row>
    <row r="1814" spans="1:4" x14ac:dyDescent="0.25">
      <c r="B1814" t="str">
        <f>HYPERLINK("https://www.chemistwarehouse.com.au/buy/81257/Clean-amp-Clear-Oil-Absorbing-Sheets-50"," Clean &amp; Clear Oil Absorbing Sheets 50")</f>
        <v xml:space="preserve"> Clean &amp; Clear Oil Absorbing Sheets 50</v>
      </c>
      <c r="C1814" t="s">
        <v>375</v>
      </c>
      <c r="D1814" t="s">
        <v>611</v>
      </c>
    </row>
    <row r="1815" spans="1:4" x14ac:dyDescent="0.25">
      <c r="B1815" t="str">
        <f>HYPERLINK("https://www.chemistwarehouse.com.au/buy/81258/Clean-amp-Clear-Oil-Regime-Pack"," Clean &amp; Clear Oil Regime Pack")</f>
        <v xml:space="preserve"> Clean &amp; Clear Oil Regime Pack</v>
      </c>
      <c r="C1815" t="s">
        <v>228</v>
      </c>
      <c r="D1815" t="s">
        <v>121</v>
      </c>
    </row>
    <row r="1816" spans="1:4" x14ac:dyDescent="0.25">
      <c r="B1816" t="str">
        <f>HYPERLINK("https://www.chemistwarehouse.com.au/buy/2455/Clean-amp-Clear-Foaming-Facial-Wash-150mL"," Clean &amp; Clear Foaming Facial Wash 150mL")</f>
        <v xml:space="preserve"> Clean &amp; Clear Foaming Facial Wash 150mL</v>
      </c>
      <c r="C1816" t="s">
        <v>32</v>
      </c>
      <c r="D1816" t="s">
        <v>146</v>
      </c>
    </row>
    <row r="1817" spans="1:4" x14ac:dyDescent="0.25">
      <c r="B1817" t="str">
        <f>HYPERLINK("https://www.chemistwarehouse.com.au/buy/53655/Clean-amp-Clear-Morning-Burst-Facial-Scrub-141g"," Clean &amp; Clear Morning Burst Facial Scrub 141g")</f>
        <v xml:space="preserve"> Clean &amp; Clear Morning Burst Facial Scrub 141g</v>
      </c>
      <c r="C1817" t="s">
        <v>317</v>
      </c>
      <c r="D1817" t="s">
        <v>611</v>
      </c>
    </row>
    <row r="1818" spans="1:4" x14ac:dyDescent="0.25">
      <c r="B1818" t="str">
        <f>HYPERLINK("https://www.chemistwarehouse.com.au/buy/55002/Clean-amp-Clear-Morning-Burst-Facial-Cleanser-with-Bursting-Beads-240ml"," Clean &amp; Clear Morning Burst Facial Cleanser with Bursting Beads 240ml")</f>
        <v xml:space="preserve"> Clean &amp; Clear Morning Burst Facial Cleanser with Bursting Beads 240ml</v>
      </c>
      <c r="C1818" t="s">
        <v>317</v>
      </c>
      <c r="D1818" t="s">
        <v>611</v>
      </c>
    </row>
    <row r="1819" spans="1:4" x14ac:dyDescent="0.25">
      <c r="A1819" t="s">
        <v>783</v>
      </c>
    </row>
    <row r="1820" spans="1:4" x14ac:dyDescent="0.25">
      <c r="B1820" t="str">
        <f>HYPERLINK("https://www.chemistwarehouse.com.au/buy/71997/Biore-Charcoal-Self-Heating-One-Minute-Mask-4-Pack"," Biore Charcoal Self Heating One Minute Mask 4 Pack")</f>
        <v xml:space="preserve"> Biore Charcoal Self Heating One Minute Mask 4 Pack</v>
      </c>
      <c r="C1820" t="s">
        <v>554</v>
      </c>
      <c r="D1820" t="s">
        <v>611</v>
      </c>
    </row>
    <row r="1821" spans="1:4" x14ac:dyDescent="0.25">
      <c r="B1821" t="str">
        <f>HYPERLINK("https://www.chemistwarehouse.com.au/buy/75735/Biore-Charcoal-Deep-Cleaning-Pore-Strips-6"," Biore Charcoal Deep Cleaning Pore Strips 6 ")</f>
        <v xml:space="preserve"> Biore Charcoal Deep Cleaning Pore Strips 6 </v>
      </c>
      <c r="C1821" t="s">
        <v>375</v>
      </c>
      <c r="D1821" t="s">
        <v>784</v>
      </c>
    </row>
    <row r="1822" spans="1:4" x14ac:dyDescent="0.25">
      <c r="B1822" t="str">
        <f>HYPERLINK("https://www.chemistwarehouse.com.au/buy/50424/Biore-Deep-Cleansing-Pore-Strips-6-Ultra"," Biore Deep Cleansing Pore Strips 6 Ultra")</f>
        <v xml:space="preserve"> Biore Deep Cleansing Pore Strips 6 Ultra</v>
      </c>
      <c r="C1822" t="s">
        <v>375</v>
      </c>
      <c r="D1822" t="s">
        <v>611</v>
      </c>
    </row>
    <row r="1823" spans="1:4" x14ac:dyDescent="0.25">
      <c r="B1823" t="str">
        <f>HYPERLINK("https://www.chemistwarehouse.com.au/buy/51612/Biore-Deep-Cleansing-Pore-Strips-14-Combo"," Biore Deep Cleansing Pore Strips 14 Combo")</f>
        <v xml:space="preserve"> Biore Deep Cleansing Pore Strips 14 Combo</v>
      </c>
      <c r="C1823" t="s">
        <v>430</v>
      </c>
      <c r="D1823" t="s">
        <v>785</v>
      </c>
    </row>
    <row r="1824" spans="1:4" x14ac:dyDescent="0.25">
      <c r="B1824" t="str">
        <f>HYPERLINK("https://www.chemistwarehouse.com.au/buy/51057/Biore-Warming-Anti-Blackhead-Cleanser-145ml"," Biore Warming Anti Blackhead Cleanser 145ml")</f>
        <v xml:space="preserve"> Biore Warming Anti Blackhead Cleanser 145ml</v>
      </c>
      <c r="C1824" t="s">
        <v>98</v>
      </c>
      <c r="D1824" t="s">
        <v>312</v>
      </c>
    </row>
    <row r="1825" spans="1:4" x14ac:dyDescent="0.25">
      <c r="B1825" t="str">
        <f>HYPERLINK("https://www.chemistwarehouse.com.au/buy/51060/Biore-Pore-Unclogging-Scrub-135ml"," Biore Pore Unclogging Scrub 135ml")</f>
        <v xml:space="preserve"> Biore Pore Unclogging Scrub 135ml</v>
      </c>
      <c r="C1825" t="s">
        <v>32</v>
      </c>
      <c r="D1825" t="s">
        <v>312</v>
      </c>
    </row>
    <row r="1826" spans="1:4" x14ac:dyDescent="0.25">
      <c r="B1826" t="str">
        <f>HYPERLINK("https://www.chemistwarehouse.com.au/buy/71996/Biore-Deep-Pore-Charcoal-Cleanser-200ml"," Biore Deep Pore Charcoal Cleanser 200ml")</f>
        <v xml:space="preserve"> Biore Deep Pore Charcoal Cleanser 200ml</v>
      </c>
      <c r="C1826" t="s">
        <v>32</v>
      </c>
      <c r="D1826" t="s">
        <v>312</v>
      </c>
    </row>
    <row r="1827" spans="1:4" x14ac:dyDescent="0.25">
      <c r="B1827" t="str">
        <f>HYPERLINK("https://www.chemistwarehouse.com.au/buy/1305/Biore-Deep-Cleansing-Pore-Strips-6-Original"," Biore Deep Cleansing Pore Strips 6 Original")</f>
        <v xml:space="preserve"> Biore Deep Cleansing Pore Strips 6 Original</v>
      </c>
      <c r="C1827" t="s">
        <v>786</v>
      </c>
      <c r="D1827" t="s">
        <v>325</v>
      </c>
    </row>
    <row r="1828" spans="1:4" x14ac:dyDescent="0.25">
      <c r="B1828" t="str">
        <f>HYPERLINK("https://www.chemistwarehouse.com.au/buy/59909/Biore-Nourish-Moisture-Lotion-SPF-15-100ml"," Biore Nourish Moisture Lotion SPF 15 100ml")</f>
        <v xml:space="preserve"> Biore Nourish Moisture Lotion SPF 15 100ml</v>
      </c>
      <c r="C1828" t="s">
        <v>32</v>
      </c>
      <c r="D1828" t="s">
        <v>312</v>
      </c>
    </row>
    <row r="1829" spans="1:4" x14ac:dyDescent="0.25">
      <c r="B1829" t="str">
        <f>HYPERLINK("https://www.chemistwarehouse.com.au/buy/70006/Biore-Blemish-Clearing-Scrub-130ml"," Biore Blemish Clearing Scrub 130ml")</f>
        <v xml:space="preserve"> Biore Blemish Clearing Scrub 130ml</v>
      </c>
      <c r="C1829" t="s">
        <v>32</v>
      </c>
      <c r="D1829" t="s">
        <v>312</v>
      </c>
    </row>
    <row r="1830" spans="1:4" x14ac:dyDescent="0.25">
      <c r="B1830" t="str">
        <f>HYPERLINK("https://www.chemistwarehouse.com.au/buy/51611/Biore-Daily-Pore-Cleansing-Wipes-25"," Biore Daily Pore Cleansing Wipes 25")</f>
        <v xml:space="preserve"> Biore Daily Pore Cleansing Wipes 25</v>
      </c>
      <c r="C1830" t="s">
        <v>242</v>
      </c>
      <c r="D1830" t="s">
        <v>561</v>
      </c>
    </row>
    <row r="1831" spans="1:4" x14ac:dyDescent="0.25">
      <c r="B1831" t="str">
        <f>HYPERLINK("https://www.chemistwarehouse.com.au/buy/51058/Biore-Triple-Action-Toner-250mL"," Biore Triple Action Toner 250mL")</f>
        <v xml:space="preserve"> Biore Triple Action Toner 250mL</v>
      </c>
      <c r="C1831" t="s">
        <v>242</v>
      </c>
      <c r="D1831" t="s">
        <v>561</v>
      </c>
    </row>
    <row r="1832" spans="1:4" x14ac:dyDescent="0.25">
      <c r="B1832" t="str">
        <f>HYPERLINK("https://www.chemistwarehouse.com.au/buy/75736/Biore-Charcoal-Pore-Penetrating-Bar-107g"," Biore Charcoal Pore Penetrating Bar 107g ")</f>
        <v xml:space="preserve"> Biore Charcoal Pore Penetrating Bar 107g </v>
      </c>
      <c r="C1832" t="s">
        <v>483</v>
      </c>
      <c r="D1832" t="s">
        <v>371</v>
      </c>
    </row>
    <row r="1833" spans="1:4" x14ac:dyDescent="0.25">
      <c r="B1833" t="str">
        <f>HYPERLINK("https://www.chemistwarehouse.com.au/buy/79301/Biore-Baking-Soda-Scrub-125g"," Biore Baking Soda Scrub 125g")</f>
        <v xml:space="preserve"> Biore Baking Soda Scrub 125g</v>
      </c>
      <c r="C1833" t="s">
        <v>32</v>
      </c>
      <c r="D1833" t="s">
        <v>312</v>
      </c>
    </row>
    <row r="1834" spans="1:4" x14ac:dyDescent="0.25">
      <c r="B1834" t="str">
        <f>HYPERLINK("https://www.chemistwarehouse.com.au/buy/79302/Biore-Baking-Soda-Liquid-Cleanser-200ml"," Biore Baking Soda Liquid Cleanser 200ml")</f>
        <v xml:space="preserve"> Biore Baking Soda Liquid Cleanser 200ml</v>
      </c>
      <c r="C1834" t="s">
        <v>32</v>
      </c>
      <c r="D1834" t="s">
        <v>312</v>
      </c>
    </row>
    <row r="1835" spans="1:4" x14ac:dyDescent="0.25">
      <c r="B1835" t="str">
        <f>HYPERLINK("https://www.chemistwarehouse.com.au/buy/75734/Biore-Charcoal-Pore-Minimiser-92ml"," Biore Charcoal Pore Minimiser 92ml")</f>
        <v xml:space="preserve"> Biore Charcoal Pore Minimiser 92ml</v>
      </c>
      <c r="C1835" t="s">
        <v>32</v>
      </c>
      <c r="D1835" t="s">
        <v>312</v>
      </c>
    </row>
    <row r="1836" spans="1:4" x14ac:dyDescent="0.25">
      <c r="A1836" t="s">
        <v>787</v>
      </c>
    </row>
    <row r="1837" spans="1:4" x14ac:dyDescent="0.25">
      <c r="B1837" t="str">
        <f>HYPERLINK("https://www.chemistwarehouse.com.au/buy/60410/Clearasil-Daily-Clear-Tinted-Cream-15g"," Clearasil Daily Clear Tinted Cream 15g")</f>
        <v xml:space="preserve"> Clearasil Daily Clear Tinted Cream 15g</v>
      </c>
      <c r="C1837" t="s">
        <v>430</v>
      </c>
      <c r="D1837" t="s">
        <v>318</v>
      </c>
    </row>
    <row r="1838" spans="1:4" x14ac:dyDescent="0.25">
      <c r="B1838" t="str">
        <f>HYPERLINK("https://www.chemistwarehouse.com.au/buy/57211/Clearasil-StayClear-Oil-Free-Daily-Gel-Wash-150ml"," Clearasil StayClear Oil Free Daily Gel Wash 150ml")</f>
        <v xml:space="preserve"> Clearasil StayClear Oil Free Daily Gel Wash 150ml</v>
      </c>
      <c r="C1838" t="s">
        <v>103</v>
      </c>
      <c r="D1838" t="s">
        <v>281</v>
      </c>
    </row>
    <row r="1839" spans="1:4" x14ac:dyDescent="0.25">
      <c r="B1839" t="str">
        <f>HYPERLINK("https://www.chemistwarehouse.com.au/buy/59059/Clearasil-Ultra-Rapid-Treatment-Cream-15ml"," Clearasil Ultra Rapid Treatment Cream 15ml")</f>
        <v xml:space="preserve"> Clearasil Ultra Rapid Treatment Cream 15ml</v>
      </c>
      <c r="C1839" t="s">
        <v>98</v>
      </c>
      <c r="D1839" t="s">
        <v>238</v>
      </c>
    </row>
    <row r="1840" spans="1:4" x14ac:dyDescent="0.25">
      <c r="B1840" t="str">
        <f>HYPERLINK("https://www.chemistwarehouse.com.au/buy/2470/Clearasil-Acne-Treatment-Cream-Extra-Strength-20g"," Clearasil Acne Treatment Cream - Extra Strength 20g")</f>
        <v xml:space="preserve"> Clearasil Acne Treatment Cream - Extra Strength 20g</v>
      </c>
      <c r="C1840" t="s">
        <v>98</v>
      </c>
      <c r="D1840" t="s">
        <v>115</v>
      </c>
    </row>
    <row r="1841" spans="1:4" x14ac:dyDescent="0.25">
      <c r="B1841" t="str">
        <f>HYPERLINK("https://www.chemistwarehouse.com.au/buy/72000/Clearasil-Daily-Clear-Refreshing-Superfruits-Scrub-150ml"," Clearasil Daily Clear Refreshing Superfruits Scrub 150ml")</f>
        <v xml:space="preserve"> Clearasil Daily Clear Refreshing Superfruits Scrub 150ml</v>
      </c>
      <c r="C1841" t="s">
        <v>32</v>
      </c>
      <c r="D1841" t="s">
        <v>312</v>
      </c>
    </row>
    <row r="1842" spans="1:4" x14ac:dyDescent="0.25">
      <c r="B1842" t="str">
        <f>HYPERLINK("https://www.chemistwarehouse.com.au/buy/50897/Clearasil-Ultra-Deep-Pore-Gel-Wash-200ml"," Clearasil Ultra Deep Pore Gel Wash 200ml")</f>
        <v xml:space="preserve"> Clearasil Ultra Deep Pore Gel Wash 200ml</v>
      </c>
      <c r="C1842" t="s">
        <v>98</v>
      </c>
      <c r="D1842" t="s">
        <v>238</v>
      </c>
    </row>
    <row r="1843" spans="1:4" x14ac:dyDescent="0.25">
      <c r="B1843" t="str">
        <f>HYPERLINK("https://www.chemistwarehouse.com.au/buy/50898/Clearasil-Ultra-Deep-Pore-Scrub-150mL"," Clearasil Ultra Deep Pore Scrub 150mL")</f>
        <v xml:space="preserve"> Clearasil Ultra Deep Pore Scrub 150mL</v>
      </c>
      <c r="C1843" t="s">
        <v>98</v>
      </c>
      <c r="D1843" t="s">
        <v>238</v>
      </c>
    </row>
    <row r="1844" spans="1:4" x14ac:dyDescent="0.25">
      <c r="B1844" t="str">
        <f>HYPERLINK("https://www.chemistwarehouse.com.au/buy/50899/Clearasil-Ultra-Rapid-Action-Face-Wipe-Pads-65"," Clearasil Ultra Rapid Action Face Wipe Pads 65")</f>
        <v xml:space="preserve"> Clearasil Ultra Rapid Action Face Wipe Pads 65</v>
      </c>
      <c r="C1844" t="s">
        <v>98</v>
      </c>
      <c r="D1844" t="s">
        <v>238</v>
      </c>
    </row>
    <row r="1845" spans="1:4" x14ac:dyDescent="0.25">
      <c r="B1845" t="str">
        <f>HYPERLINK("https://www.chemistwarehouse.com.au/buy/57208/Clearasil-Blackhead-Control-Clearing-Scrub-150ml"," Clearasil Blackhead Control Clearing Scrub 150ml ")</f>
        <v xml:space="preserve"> Clearasil Blackhead Control Clearing Scrub 150ml </v>
      </c>
      <c r="C1845" t="s">
        <v>103</v>
      </c>
      <c r="D1845" t="s">
        <v>281</v>
      </c>
    </row>
    <row r="1846" spans="1:4" x14ac:dyDescent="0.25">
      <c r="B1846" t="str">
        <f>HYPERLINK("https://www.chemistwarehouse.com.au/buy/57209/Clearasil-StayClear-Clear-amp-Refine-Daily-Scrub-150ml"," Clearasil StayClear Clear &amp; Refine Daily Scrub 150ml")</f>
        <v xml:space="preserve"> Clearasil StayClear Clear &amp; Refine Daily Scrub 150ml</v>
      </c>
      <c r="C1846" t="s">
        <v>103</v>
      </c>
      <c r="D1846" t="s">
        <v>281</v>
      </c>
    </row>
    <row r="1847" spans="1:4" x14ac:dyDescent="0.25">
      <c r="B1847" t="str">
        <f>HYPERLINK("https://www.chemistwarehouse.com.au/buy/59432/Clearasil-StayClear-Regime-Pack"," Clearasil StayClear Regime Pack")</f>
        <v xml:space="preserve"> Clearasil StayClear Regime Pack</v>
      </c>
      <c r="C1847" t="s">
        <v>212</v>
      </c>
      <c r="D1847" t="s">
        <v>291</v>
      </c>
    </row>
    <row r="1848" spans="1:4" x14ac:dyDescent="0.25">
      <c r="B1848" t="str">
        <f>HYPERLINK("https://www.chemistwarehouse.com.au/buy/60409/Clearasil-Daily-Clear-Vanishing-Cream-15g"," Clearasil Daily Clear Vanishing Cream 15g")</f>
        <v xml:space="preserve"> Clearasil Daily Clear Vanishing Cream 15g</v>
      </c>
      <c r="C1848" t="s">
        <v>430</v>
      </c>
      <c r="D1848" t="s">
        <v>318</v>
      </c>
    </row>
    <row r="1849" spans="1:4" x14ac:dyDescent="0.25">
      <c r="B1849" t="str">
        <f>HYPERLINK("https://www.chemistwarehouse.com.au/buy/66671/Clearasil-Ultra-Wash-amp-Mask-150ml"," Clearasil Ultra Wash &amp; Mask 150ml")</f>
        <v xml:space="preserve"> Clearasil Ultra Wash &amp; Mask 150ml</v>
      </c>
      <c r="C1849" t="s">
        <v>98</v>
      </c>
      <c r="D1849" t="s">
        <v>238</v>
      </c>
    </row>
    <row r="1850" spans="1:4" x14ac:dyDescent="0.25">
      <c r="A1850" t="s">
        <v>788</v>
      </c>
    </row>
    <row r="1851" spans="1:4" x14ac:dyDescent="0.25">
      <c r="B1851" t="str">
        <f>HYPERLINK("https://www.chemistwarehouse.com.au/buy/6934/Oxy-5-Acne-Skin-Toned-Cream-22g"," Oxy 5 Acne Skin Toned Cream 22g")</f>
        <v xml:space="preserve"> Oxy 5 Acne Skin Toned Cream 22g</v>
      </c>
      <c r="C1851" t="s">
        <v>317</v>
      </c>
      <c r="D1851" t="s">
        <v>376</v>
      </c>
    </row>
    <row r="1852" spans="1:4" x14ac:dyDescent="0.25">
      <c r="B1852" t="str">
        <f>HYPERLINK("https://www.chemistwarehouse.com.au/buy/6935/Oxy-5-Acne-Vanishing-Cream-25g"," Oxy 5 Acne Vanishing Cream 25g")</f>
        <v xml:space="preserve"> Oxy 5 Acne Vanishing Cream 25g</v>
      </c>
      <c r="C1852" t="s">
        <v>45</v>
      </c>
      <c r="D1852" t="s">
        <v>789</v>
      </c>
    </row>
    <row r="1853" spans="1:4" x14ac:dyDescent="0.25">
      <c r="B1853" t="str">
        <f>HYPERLINK("https://www.chemistwarehouse.com.au/buy/57967/OXY-10-Vanishing-Cream-25g"," OXY 10 Vanishing Cream 25g")</f>
        <v xml:space="preserve"> OXY 10 Vanishing Cream 25g</v>
      </c>
      <c r="C1853" t="s">
        <v>212</v>
      </c>
      <c r="D1853">
        <v>0</v>
      </c>
    </row>
    <row r="1854" spans="1:4" x14ac:dyDescent="0.25">
      <c r="A1854" t="s">
        <v>790</v>
      </c>
    </row>
    <row r="1855" spans="1:4" x14ac:dyDescent="0.25">
      <c r="B1855" t="str">
        <f>HYPERLINK("https://www.chemistwarehouse.com.au/buy/1103/Benzac-AC-Gel-2-5-50g"," Benzac AC Gel 2.5% 50g")</f>
        <v xml:space="preserve"> Benzac AC Gel 2.5% 50g</v>
      </c>
      <c r="C1855" t="s">
        <v>228</v>
      </c>
      <c r="D1855" t="s">
        <v>152</v>
      </c>
    </row>
    <row r="1856" spans="1:4" x14ac:dyDescent="0.25">
      <c r="B1856" t="str">
        <f>HYPERLINK("https://www.chemistwarehouse.com.au/buy/1104/Benzac-AC-Gel-5-50g"," Benzac AC Gel 5% 50g")</f>
        <v xml:space="preserve"> Benzac AC Gel 5% 50g</v>
      </c>
      <c r="C1856" t="s">
        <v>187</v>
      </c>
      <c r="D1856" t="s">
        <v>145</v>
      </c>
    </row>
    <row r="1857" spans="1:4" x14ac:dyDescent="0.25">
      <c r="B1857" t="str">
        <f>HYPERLINK("https://www.chemistwarehouse.com.au/buy/1102/Benzac-AC-Gel-10-50g"," Benzac AC Gel 10% 50g")</f>
        <v xml:space="preserve"> Benzac AC Gel 10% 50g</v>
      </c>
      <c r="C1857" t="s">
        <v>105</v>
      </c>
      <c r="D1857">
        <v>0</v>
      </c>
    </row>
    <row r="1858" spans="1:4" x14ac:dyDescent="0.25">
      <c r="B1858" t="str">
        <f>HYPERLINK("https://www.chemistwarehouse.com.au/buy/1105/Benzac-AC-Wash-5-200mL"," Benzac AC Wash 5% 200mL")</f>
        <v xml:space="preserve"> Benzac AC Wash 5% 200mL</v>
      </c>
      <c r="C1858" t="s">
        <v>187</v>
      </c>
      <c r="D1858" t="s">
        <v>145</v>
      </c>
    </row>
    <row r="1859" spans="1:4" x14ac:dyDescent="0.25">
      <c r="B1859" t="str">
        <f>HYPERLINK("https://www.chemistwarehouse.com.au/buy/76863/Benzac-Blackheads-Facial-Scrub-60g"," Benzac Blackheads Facial Scrub 60g")</f>
        <v xml:space="preserve"> Benzac Blackheads Facial Scrub 60g</v>
      </c>
      <c r="C1859" t="s">
        <v>45</v>
      </c>
      <c r="D1859" t="s">
        <v>397</v>
      </c>
    </row>
    <row r="1860" spans="1:4" x14ac:dyDescent="0.25">
      <c r="B1860" t="str">
        <f>HYPERLINK("https://www.chemistwarehouse.com.au/buy/73569/Benzac-Clear-Skin-Acne-Control-Kit"," Benzac Clear Skin Acne Control Kit")</f>
        <v xml:space="preserve"> Benzac Clear Skin Acne Control Kit</v>
      </c>
      <c r="C1860" t="s">
        <v>262</v>
      </c>
      <c r="D1860" t="s">
        <v>149</v>
      </c>
    </row>
    <row r="1861" spans="1:4" x14ac:dyDescent="0.25">
      <c r="B1861" t="str">
        <f>HYPERLINK("https://www.chemistwarehouse.com.au/buy/70995/Benzac-Daily-Facial-Foam-Cleanser-130ml"," Benzac Daily Facial Foam Cleanser 130ml")</f>
        <v xml:space="preserve"> Benzac Daily Facial Foam Cleanser 130ml</v>
      </c>
      <c r="C1861" t="s">
        <v>45</v>
      </c>
      <c r="D1861" t="s">
        <v>397</v>
      </c>
    </row>
    <row r="1862" spans="1:4" x14ac:dyDescent="0.25">
      <c r="B1862" t="str">
        <f>HYPERLINK("https://www.chemistwarehouse.com.au/buy/70996/Benzac-Daily-Facial-Liquid-Cleanser-300ml"," Benzac Daily Facial Liquid Cleanser 300ml")</f>
        <v xml:space="preserve"> Benzac Daily Facial Liquid Cleanser 300ml</v>
      </c>
      <c r="C1862" t="s">
        <v>202</v>
      </c>
      <c r="D1862" t="s">
        <v>145</v>
      </c>
    </row>
    <row r="1863" spans="1:4" x14ac:dyDescent="0.25">
      <c r="B1863" t="str">
        <f>HYPERLINK("https://www.chemistwarehouse.com.au/buy/70994/Benzac-Daily-Facial-Moisturiser-118ml"," Benzac Daily Facial Moisturiser 118ml")</f>
        <v xml:space="preserve"> Benzac Daily Facial Moisturiser 118ml</v>
      </c>
      <c r="C1863" t="s">
        <v>187</v>
      </c>
      <c r="D1863" t="s">
        <v>145</v>
      </c>
    </row>
    <row r="1864" spans="1:4" x14ac:dyDescent="0.25">
      <c r="A1864" t="s">
        <v>791</v>
      </c>
    </row>
    <row r="1865" spans="1:4" x14ac:dyDescent="0.25">
      <c r="B1865" t="str">
        <f>HYPERLINK("https://www.chemistwarehouse.com.au/buy/62999/Ego-Azclear-Foaming-Wash-150ml"," Ego Azclear Foaming Wash 150ml")</f>
        <v xml:space="preserve"> Ego Azclear Foaming Wash 150ml</v>
      </c>
      <c r="C1865" t="s">
        <v>98</v>
      </c>
      <c r="D1865" t="s">
        <v>397</v>
      </c>
    </row>
    <row r="1866" spans="1:4" x14ac:dyDescent="0.25">
      <c r="B1866" t="str">
        <f>HYPERLINK("https://www.chemistwarehouse.com.au/buy/61040/Ego-Azclear-Action-Lotion-25g"," Ego Azclear Action Lotion 25g")</f>
        <v xml:space="preserve"> Ego Azclear Action Lotion 25g</v>
      </c>
      <c r="C1866" t="s">
        <v>98</v>
      </c>
      <c r="D1866">
        <v>0</v>
      </c>
    </row>
    <row r="1867" spans="1:4" x14ac:dyDescent="0.25">
      <c r="A1867" t="s">
        <v>792</v>
      </c>
    </row>
    <row r="1868" spans="1:4" x14ac:dyDescent="0.25">
      <c r="B1868" t="str">
        <f>HYPERLINK("https://www.chemistwarehouse.com.au/buy/7519/Sapoderm-Medicated-Soap-3-Pack"," Sapoderm Medicated Soap 3 Pack")</f>
        <v xml:space="preserve"> Sapoderm Medicated Soap 3 Pack</v>
      </c>
      <c r="C1868" t="s">
        <v>120</v>
      </c>
      <c r="D1868" t="s">
        <v>611</v>
      </c>
    </row>
    <row r="1869" spans="1:4" x14ac:dyDescent="0.25">
      <c r="B1869" t="str">
        <f>HYPERLINK("https://www.chemistwarehouse.com.au/buy/7120/Phisohex-Antibacterial-Face-Wash-500ml"," Phisohex Antibacterial Face Wash 500ml")</f>
        <v xml:space="preserve"> Phisohex Antibacterial Face Wash 500ml</v>
      </c>
      <c r="C1869" t="s">
        <v>404</v>
      </c>
      <c r="D1869" t="s">
        <v>108</v>
      </c>
    </row>
    <row r="1870" spans="1:4" x14ac:dyDescent="0.25">
      <c r="B1870" t="str">
        <f>HYPERLINK("https://www.chemistwarehouse.com.au/buy/7119/Phisohex-Antibacterial-Face-Wash-200ml"," Phisohex Antibacterial Face Wash 200ml")</f>
        <v xml:space="preserve"> Phisohex Antibacterial Face Wash 200ml</v>
      </c>
      <c r="C1870" t="s">
        <v>32</v>
      </c>
      <c r="D1870" t="s">
        <v>312</v>
      </c>
    </row>
    <row r="1871" spans="1:4" x14ac:dyDescent="0.25">
      <c r="A1871" t="s">
        <v>793</v>
      </c>
    </row>
    <row r="1872" spans="1:4" x14ac:dyDescent="0.25">
      <c r="B1872" t="str">
        <f>HYPERLINK("https://www.chemistwarehouse.com.au/buy/41902/Thursday-Plantation-Tea-Tree-Medicated-Gel-For-Acne-25g"," Thursday Plantation Tea Tree Medicated Gel For Acne 25g")</f>
        <v xml:space="preserve"> Thursday Plantation Tea Tree Medicated Gel For Acne 25g</v>
      </c>
      <c r="C1872" t="s">
        <v>32</v>
      </c>
      <c r="D1872" t="s">
        <v>794</v>
      </c>
    </row>
    <row r="1873" spans="1:4" x14ac:dyDescent="0.25">
      <c r="B1873" t="str">
        <f>HYPERLINK("https://www.chemistwarehouse.com.au/buy/72565/Thursday-Plantation-Tea-Tree-Blemish-Stick-7ml"," Thursday Plantation Tea Tree Blemish Stick 7ml")</f>
        <v xml:space="preserve"> Thursday Plantation Tea Tree Blemish Stick 7ml</v>
      </c>
      <c r="C1873" t="s">
        <v>782</v>
      </c>
      <c r="D1873" t="s">
        <v>795</v>
      </c>
    </row>
    <row r="1874" spans="1:4" x14ac:dyDescent="0.25">
      <c r="B1874" t="str">
        <f>HYPERLINK("https://www.chemistwarehouse.com.au/buy/76178/Thursday-Plantation-Tea-Tree-Face-Wipes-for-Acne-25"," Thursday Plantation Tea Tree Face Wipes for Acne 25")</f>
        <v xml:space="preserve"> Thursday Plantation Tea Tree Face Wipes for Acne 25</v>
      </c>
      <c r="C1874" t="s">
        <v>116</v>
      </c>
      <c r="D1874" t="s">
        <v>397</v>
      </c>
    </row>
    <row r="1875" spans="1:4" x14ac:dyDescent="0.25">
      <c r="B1875" t="str">
        <f>HYPERLINK("https://www.chemistwarehouse.com.au/buy/68087/Thursday-Plantation-Tea-Tree-amp-Witch-Hazel-Face-Toner-100mL"," Thursday Plantation Tea Tree &amp; Witch Hazel Face Toner 100mL")</f>
        <v xml:space="preserve"> Thursday Plantation Tea Tree &amp; Witch Hazel Face Toner 100mL</v>
      </c>
      <c r="C1875" t="s">
        <v>554</v>
      </c>
      <c r="D1875" t="s">
        <v>397</v>
      </c>
    </row>
    <row r="1876" spans="1:4" x14ac:dyDescent="0.25">
      <c r="B1876" t="str">
        <f>HYPERLINK("https://www.chemistwarehouse.com.au/buy/71407/Thursday-Plantation-Tea-Tree-Face-Cream-65g"," Thursday Plantation Tea Tree Face Cream 65g")</f>
        <v xml:space="preserve"> Thursday Plantation Tea Tree Face Cream 65g</v>
      </c>
      <c r="C1876" t="s">
        <v>240</v>
      </c>
      <c r="D1876" t="s">
        <v>796</v>
      </c>
    </row>
    <row r="1877" spans="1:4" x14ac:dyDescent="0.25">
      <c r="B1877" t="str">
        <f>HYPERLINK("https://www.chemistwarehouse.com.au/buy/60984/Thursday-Plantation-Tea-Tree-Acne-Face-Wash-150ml"," Thursday Plantation Tea Tree Acne Face Wash 150ml")</f>
        <v xml:space="preserve"> Thursday Plantation Tea Tree Acne Face Wash 150ml</v>
      </c>
      <c r="C1877" t="s">
        <v>107</v>
      </c>
      <c r="D1877" t="s">
        <v>797</v>
      </c>
    </row>
    <row r="1878" spans="1:4" x14ac:dyDescent="0.25">
      <c r="A1878" t="s">
        <v>798</v>
      </c>
    </row>
    <row r="1879" spans="1:4" x14ac:dyDescent="0.25">
      <c r="B1879" t="str">
        <f>HYPERLINK("https://www.chemistwarehouse.com.au/buy/58283/Nad-39-s-For-Men-Hair-Removal-Cream-200ml"," Nad's For Men Hair Removal Cream 200ml")</f>
        <v xml:space="preserve"> Nad's For Men Hair Removal Cream 200ml</v>
      </c>
      <c r="C1879" t="s">
        <v>103</v>
      </c>
      <c r="D1879" t="s">
        <v>397</v>
      </c>
    </row>
    <row r="1880" spans="1:4" x14ac:dyDescent="0.25">
      <c r="B1880" t="str">
        <f>HYPERLINK("https://www.chemistwarehouse.com.au/buy/58203/Nad-39-s-Facial-Wax-Strips-20"," Nad's Facial Wax Strips 20")</f>
        <v xml:space="preserve"> Nad's Facial Wax Strips 20</v>
      </c>
      <c r="C1880" t="s">
        <v>242</v>
      </c>
      <c r="D1880" t="s">
        <v>329</v>
      </c>
    </row>
    <row r="1881" spans="1:4" x14ac:dyDescent="0.25">
      <c r="B1881" t="str">
        <f>HYPERLINK("https://www.chemistwarehouse.com.au/buy/42906/Nad-39-s-Natural-Facial-Wand-Eyebrow-Shaper-6g"," Nad's Natural Facial Wand Eyebrow Shaper 6g")</f>
        <v xml:space="preserve"> Nad's Natural Facial Wand Eyebrow Shaper 6g</v>
      </c>
      <c r="C1881" t="s">
        <v>211</v>
      </c>
      <c r="D1881" t="s">
        <v>152</v>
      </c>
    </row>
    <row r="1882" spans="1:4" x14ac:dyDescent="0.25">
      <c r="B1882" t="str">
        <f>HYPERLINK("https://www.chemistwarehouse.com.au/buy/50681/Nad-39-s-Ingrow-Solution-125mL"," Nad's Ingrow Solution 125mL")</f>
        <v xml:space="preserve"> Nad's Ingrow Solution 125mL</v>
      </c>
      <c r="C1882" t="s">
        <v>211</v>
      </c>
      <c r="D1882" t="s">
        <v>152</v>
      </c>
    </row>
    <row r="1883" spans="1:4" x14ac:dyDescent="0.25">
      <c r="B1883" t="str">
        <f>HYPERLINK("https://www.chemistwarehouse.com.au/buy/66960/Nad-39-s-Facial-Creme-28g"," Nad's Facial Creme 28g")</f>
        <v xml:space="preserve"> Nad's Facial Creme 28g</v>
      </c>
      <c r="C1883" t="s">
        <v>326</v>
      </c>
      <c r="D1883" t="s">
        <v>682</v>
      </c>
    </row>
    <row r="1884" spans="1:4" x14ac:dyDescent="0.25">
      <c r="B1884" t="str">
        <f>HYPERLINK("https://www.chemistwarehouse.com.au/buy/80259/Nads-Sensitive-Hair-Removal-Cream-150ml"," Nads Sensitive Hair Removal Cream 150ml")</f>
        <v xml:space="preserve"> Nads Sensitive Hair Removal Cream 150ml</v>
      </c>
      <c r="C1884" t="s">
        <v>242</v>
      </c>
      <c r="D1884" t="s">
        <v>121</v>
      </c>
    </row>
    <row r="1885" spans="1:4" x14ac:dyDescent="0.25">
      <c r="B1885" t="str">
        <f>HYPERLINK("https://www.chemistwarehouse.com.au/buy/76886/Nads-Exfoliating-Body-Wax-Strips-20"," Nads Exfoliating Body Wax Strips 20")</f>
        <v xml:space="preserve"> Nads Exfoliating Body Wax Strips 20</v>
      </c>
      <c r="C1885" t="s">
        <v>317</v>
      </c>
      <c r="D1885" t="s">
        <v>376</v>
      </c>
    </row>
    <row r="1886" spans="1:4" x14ac:dyDescent="0.25">
      <c r="B1886" t="str">
        <f>HYPERLINK("https://www.chemistwarehouse.com.au/buy/58202/Nad-39-s-Body-Wax-Strips-20"," Nad's Body Wax Strips 20 ")</f>
        <v xml:space="preserve"> Nad's Body Wax Strips 20 </v>
      </c>
      <c r="C1886" t="s">
        <v>103</v>
      </c>
      <c r="D1886" t="s">
        <v>397</v>
      </c>
    </row>
    <row r="1887" spans="1:4" x14ac:dyDescent="0.25">
      <c r="B1887" t="str">
        <f>HYPERLINK("https://www.chemistwarehouse.com.au/buy/47874/Nad-39-s-Premium-Washable-amp-Reusable-Cotton-Strips-x-20"," Nad's Premium Washable &amp; Reusable Cotton Strips x 20")</f>
        <v xml:space="preserve"> Nad's Premium Washable &amp; Reusable Cotton Strips x 20</v>
      </c>
      <c r="C1887" t="s">
        <v>375</v>
      </c>
      <c r="D1887" t="s">
        <v>799</v>
      </c>
    </row>
    <row r="1888" spans="1:4" x14ac:dyDescent="0.25">
      <c r="B1888" t="str">
        <f>HYPERLINK("https://www.chemistwarehouse.com.au/buy/49660/Nad-39-s-Brazilian-and-Bikini-Wax-140g"," Nad's Brazilian and Bikini Wax 140g")</f>
        <v xml:space="preserve"> Nad's Brazilian and Bikini Wax 140g</v>
      </c>
      <c r="C1888" t="s">
        <v>290</v>
      </c>
      <c r="D1888" t="s">
        <v>406</v>
      </c>
    </row>
    <row r="1889" spans="1:4" x14ac:dyDescent="0.25">
      <c r="B1889" t="str">
        <f>HYPERLINK("https://www.chemistwarehouse.com.au/buy/6387/Nad-39-s-Natural-Hair-Removal-Gel-Tub-350g"," Nad's Natural Hair Removal Gel Tub 350g")</f>
        <v xml:space="preserve"> Nad's Natural Hair Removal Gel Tub 350g</v>
      </c>
      <c r="C1889" t="s">
        <v>211</v>
      </c>
      <c r="D1889" t="s">
        <v>152</v>
      </c>
    </row>
    <row r="1890" spans="1:4" x14ac:dyDescent="0.25">
      <c r="B1890" t="str">
        <f>HYPERLINK("https://www.chemistwarehouse.com.au/buy/65615/Nad-39-s-Warm-Wax-370g"," Nad's Warm Wax 370g")</f>
        <v xml:space="preserve"> Nad's Warm Wax 370g</v>
      </c>
      <c r="C1890" t="s">
        <v>98</v>
      </c>
      <c r="D1890" t="s">
        <v>145</v>
      </c>
    </row>
    <row r="1891" spans="1:4" x14ac:dyDescent="0.25">
      <c r="B1891" t="str">
        <f>HYPERLINK("https://www.chemistwarehouse.com.au/buy/66957/Nad-39-s-Bikini-and-Underarm-24pk"," Nad's Bikini and Underarm 24pk")</f>
        <v xml:space="preserve"> Nad's Bikini and Underarm 24pk</v>
      </c>
      <c r="C1891" t="s">
        <v>32</v>
      </c>
      <c r="D1891" t="s">
        <v>800</v>
      </c>
    </row>
    <row r="1892" spans="1:4" x14ac:dyDescent="0.25">
      <c r="B1892" t="str">
        <f>HYPERLINK("https://www.chemistwarehouse.com.au/buy/77739/Nads-Nose-Wax-12g"," Nads Nose Wax 12g")</f>
        <v xml:space="preserve"> Nads Nose Wax 12g</v>
      </c>
      <c r="C1892" t="s">
        <v>107</v>
      </c>
      <c r="D1892" t="s">
        <v>241</v>
      </c>
    </row>
    <row r="1893" spans="1:4" x14ac:dyDescent="0.25">
      <c r="A1893" t="s">
        <v>801</v>
      </c>
    </row>
    <row r="1894" spans="1:4" x14ac:dyDescent="0.25">
      <c r="B1894" t="str">
        <f>HYPERLINK("https://www.chemistwarehouse.com.au/buy/50314/Nair-Salon-Divine-Body-Wax-400g"," Nair Salon Divine Body Wax 400g")</f>
        <v xml:space="preserve"> Nair Salon Divine Body Wax 400g</v>
      </c>
      <c r="C1894" t="s">
        <v>61</v>
      </c>
      <c r="D1894" t="s">
        <v>802</v>
      </c>
    </row>
    <row r="1895" spans="1:4" x14ac:dyDescent="0.25">
      <c r="B1895" t="str">
        <f>HYPERLINK("https://www.chemistwarehouse.com.au/buy/61185/Nair-Shower-Power-Max-312g"," Nair Shower Power Max 312g")</f>
        <v xml:space="preserve"> Nair Shower Power Max 312g</v>
      </c>
      <c r="C1895" t="s">
        <v>80</v>
      </c>
      <c r="D1895" t="s">
        <v>803</v>
      </c>
    </row>
    <row r="1896" spans="1:4" x14ac:dyDescent="0.25">
      <c r="B1896" t="str">
        <f>HYPERLINK("https://www.chemistwarehouse.com.au/buy/76884/Nair-Sensitive-Face-amp-Body-Hair-Removal-Cream-150g"," Nair Sensitive Face &amp; Body Hair Removal Cream 150g")</f>
        <v xml:space="preserve"> Nair Sensitive Face &amp; Body Hair Removal Cream 150g</v>
      </c>
      <c r="C1896" t="s">
        <v>107</v>
      </c>
      <c r="D1896" t="s">
        <v>121</v>
      </c>
    </row>
    <row r="1897" spans="1:4" x14ac:dyDescent="0.25">
      <c r="B1897" t="str">
        <f>HYPERLINK("https://www.chemistwarehouse.com.au/buy/6392/Nair-Cream-Bleach-for-Face-amp-Body-28g-7g"," Nair Cream Bleach for Face &amp; Body 28g + 7g")</f>
        <v xml:space="preserve"> Nair Cream Bleach for Face &amp; Body 28g + 7g</v>
      </c>
      <c r="C1897" t="s">
        <v>98</v>
      </c>
      <c r="D1897" t="s">
        <v>115</v>
      </c>
    </row>
    <row r="1898" spans="1:4" x14ac:dyDescent="0.25">
      <c r="B1898" t="str">
        <f>HYPERLINK("https://www.chemistwarehouse.com.au/buy/6395/Nair-Hair-Removing-Cream-Sensitive-Skin-75g"," Nair Hair Removing Cream Sensitive Skin 75g")</f>
        <v xml:space="preserve"> Nair Hair Removing Cream Sensitive Skin 75g</v>
      </c>
      <c r="C1898" t="s">
        <v>556</v>
      </c>
      <c r="D1898" t="s">
        <v>611</v>
      </c>
    </row>
    <row r="1899" spans="1:4" x14ac:dyDescent="0.25">
      <c r="B1899" t="str">
        <f>HYPERLINK("https://www.chemistwarehouse.com.au/buy/6396/Nair-Mini-Wax-Strips-20"," Nair Mini Wax Strips 20")</f>
        <v xml:space="preserve"> Nair Mini Wax Strips 20</v>
      </c>
      <c r="C1899" t="s">
        <v>92</v>
      </c>
      <c r="D1899" t="s">
        <v>804</v>
      </c>
    </row>
    <row r="1900" spans="1:4" x14ac:dyDescent="0.25">
      <c r="B1900" t="str">
        <f>HYPERLINK("https://www.chemistwarehouse.com.au/buy/49167/Nair-Easiwax-Wax-Strips-20-Large"," Nair Easiwax Wax Strips 20 Large")</f>
        <v xml:space="preserve"> Nair Easiwax Wax Strips 20 Large</v>
      </c>
      <c r="C1900" t="s">
        <v>242</v>
      </c>
      <c r="D1900" t="s">
        <v>805</v>
      </c>
    </row>
    <row r="1901" spans="1:4" x14ac:dyDescent="0.25">
      <c r="B1901" t="str">
        <f>HYPERLINK("https://www.chemistwarehouse.com.au/buy/49721/Nair-Precision-Facial-Hair-Remover-Cream-Sensitive-20g"," Nair Precision Facial Hair Remover Cream Sensitive 20g")</f>
        <v xml:space="preserve"> Nair Precision Facial Hair Remover Cream Sensitive 20g</v>
      </c>
      <c r="C1901" t="s">
        <v>556</v>
      </c>
      <c r="D1901" t="s">
        <v>611</v>
      </c>
    </row>
    <row r="1902" spans="1:4" x14ac:dyDescent="0.25">
      <c r="B1902" t="str">
        <f>HYPERLINK("https://www.chemistwarehouse.com.au/buy/50311/Nair-Salon-Divine-Sensitive-Wax-for-Delicate-Areas-100g"," Nair Salon Divine Sensitive Wax for Delicate Areas 100g")</f>
        <v xml:space="preserve"> Nair Salon Divine Sensitive Wax for Delicate Areas 100g</v>
      </c>
      <c r="C1902" t="s">
        <v>290</v>
      </c>
      <c r="D1902" t="s">
        <v>241</v>
      </c>
    </row>
    <row r="1903" spans="1:4" x14ac:dyDescent="0.25">
      <c r="B1903" t="str">
        <f>HYPERLINK("https://www.chemistwarehouse.com.au/buy/67188/Nair-Easiwax-Wax-Strips-40-Large"," Nair Easiwax Wax Strips 40 Large")</f>
        <v xml:space="preserve"> Nair Easiwax Wax Strips 40 Large</v>
      </c>
      <c r="C1903" t="s">
        <v>80</v>
      </c>
      <c r="D1903" t="s">
        <v>115</v>
      </c>
    </row>
    <row r="1904" spans="1:4" x14ac:dyDescent="0.25">
      <c r="B1904" t="str">
        <f>HYPERLINK("https://www.chemistwarehouse.com.au/buy/73174/Nair-Toffee-Apple-Sugar-Wax-300g"," Nair Toffee Apple Sugar Wax 300g")</f>
        <v xml:space="preserve"> Nair Toffee Apple Sugar Wax 300g</v>
      </c>
      <c r="C1904" t="s">
        <v>80</v>
      </c>
      <c r="D1904" t="s">
        <v>115</v>
      </c>
    </row>
    <row r="1905" spans="1:4" x14ac:dyDescent="0.25">
      <c r="B1905" t="str">
        <f>HYPERLINK("https://www.chemistwarehouse.com.au/buy/80251/Nair-Sensitive-Wax-Strips-20-Mini"," Nair Sensitive Wax Strips 20 Mini")</f>
        <v xml:space="preserve"> Nair Sensitive Wax Strips 20 Mini</v>
      </c>
      <c r="C1905" t="s">
        <v>782</v>
      </c>
      <c r="D1905" t="s">
        <v>799</v>
      </c>
    </row>
    <row r="1906" spans="1:4" x14ac:dyDescent="0.25">
      <c r="B1906" t="str">
        <f>HYPERLINK("https://www.chemistwarehouse.com.au/buy/80252/Nair-Sensitive-Wax-Strips-20-Large"," Nair Sensitive Wax Strips 20 Large")</f>
        <v xml:space="preserve"> Nair Sensitive Wax Strips 20 Large</v>
      </c>
      <c r="C1906" t="s">
        <v>107</v>
      </c>
      <c r="D1906" t="s">
        <v>329</v>
      </c>
    </row>
    <row r="1907" spans="1:4" x14ac:dyDescent="0.25">
      <c r="B1907" t="str">
        <f>HYPERLINK("https://www.chemistwarehouse.com.au/buy/80253/Nair-Sensitive-Precision-Wax-Wand"," Nair Sensitive Precision Wax Wand")</f>
        <v xml:space="preserve"> Nair Sensitive Precision Wax Wand</v>
      </c>
      <c r="C1907" t="s">
        <v>324</v>
      </c>
      <c r="D1907" t="s">
        <v>806</v>
      </c>
    </row>
    <row r="1908" spans="1:4" x14ac:dyDescent="0.25">
      <c r="B1908" t="str">
        <f>HYPERLINK("https://www.chemistwarehouse.com.au/buy/76885/Nair-Sensitive-Shower-Body-Cream-200ml"," Nair Sensitive Shower Body Cream 200ml")</f>
        <v xml:space="preserve"> Nair Sensitive Shower Body Cream 200ml</v>
      </c>
      <c r="C1908" t="s">
        <v>211</v>
      </c>
      <c r="D1908" t="s">
        <v>121</v>
      </c>
    </row>
    <row r="1909" spans="1:4" x14ac:dyDescent="0.25">
      <c r="B1909" t="str">
        <f>HYPERLINK("https://www.chemistwarehouse.com.au/buy/76887/Nair-Sensitive-Face-amp-Body-Strip-Free-Wax-400g"," Nair Sensitive Face &amp; Body Strip Free Wax 400g")</f>
        <v xml:space="preserve"> Nair Sensitive Face &amp; Body Strip Free Wax 400g</v>
      </c>
      <c r="C1909" t="s">
        <v>495</v>
      </c>
      <c r="D1909" t="s">
        <v>119</v>
      </c>
    </row>
    <row r="1910" spans="1:4" x14ac:dyDescent="0.25">
      <c r="A1910" t="s">
        <v>807</v>
      </c>
    </row>
    <row r="1911" spans="1:4" x14ac:dyDescent="0.25">
      <c r="B1911" t="str">
        <f>HYPERLINK("https://www.chemistwarehouse.com.au/buy/52438/Veet-Hair-Removal-Cream-Sensitive-400mL"," Veet Hair Removal Cream Sensitive 400mL")</f>
        <v xml:space="preserve"> Veet Hair Removal Cream Sensitive 400mL</v>
      </c>
      <c r="C1911" t="s">
        <v>301</v>
      </c>
      <c r="D1911" t="s">
        <v>291</v>
      </c>
    </row>
    <row r="1912" spans="1:4" x14ac:dyDescent="0.25">
      <c r="B1912" t="str">
        <f>HYPERLINK("https://www.chemistwarehouse.com.au/buy/58282/Veet-Spray-On-Hair-Removal-Cream-Sensitive-150ml"," Veet Spray On Hair Removal Cream Sensitive 150ml")</f>
        <v xml:space="preserve"> Veet Spray On Hair Removal Cream Sensitive 150ml</v>
      </c>
      <c r="C1912" t="s">
        <v>212</v>
      </c>
      <c r="D1912" t="s">
        <v>318</v>
      </c>
    </row>
    <row r="1913" spans="1:4" x14ac:dyDescent="0.25">
      <c r="B1913" t="str">
        <f>HYPERLINK("https://www.chemistwarehouse.com.au/buy/81492/Veet-Sensitive-Precision-Beauty-Styler-amp-Hair-Trimmer"," Veet Sensitive Precision Beauty Styler &amp; Hair Trimmer")</f>
        <v xml:space="preserve"> Veet Sensitive Precision Beauty Styler &amp; Hair Trimmer</v>
      </c>
      <c r="C1913" t="s">
        <v>6</v>
      </c>
      <c r="D1913" t="s">
        <v>303</v>
      </c>
    </row>
    <row r="1914" spans="1:4" x14ac:dyDescent="0.25">
      <c r="B1914" t="str">
        <f>HYPERLINK("https://www.chemistwarehouse.com.au/buy/77637/Veet-Spawax-Lily-and-Sugar-Fig-Refill-150g"," Veet Spawax Lily and Sugar Fig Refill 150g")</f>
        <v xml:space="preserve"> Veet Spawax Lily and Sugar Fig Refill 150g</v>
      </c>
      <c r="C1914" t="s">
        <v>45</v>
      </c>
      <c r="D1914" t="s">
        <v>162</v>
      </c>
    </row>
    <row r="1915" spans="1:4" x14ac:dyDescent="0.25">
      <c r="B1915" t="str">
        <f>HYPERLINK("https://www.chemistwarehouse.com.au/buy/73389/Veet-Naturals-In-Shower-Hair-Removal-Cream-150ml"," Veet Naturals In Shower Hair Removal Cream 150ml")</f>
        <v xml:space="preserve"> Veet Naturals In Shower Hair Removal Cream 150ml</v>
      </c>
      <c r="C1915" t="s">
        <v>228</v>
      </c>
      <c r="D1915" t="s">
        <v>121</v>
      </c>
    </row>
    <row r="1916" spans="1:4" x14ac:dyDescent="0.25">
      <c r="B1916" t="str">
        <f>HYPERLINK("https://www.chemistwarehouse.com.au/buy/8274/Veet-Hair-Removal-Cream-Sensitive-100mL"," Veet Hair Removal Cream Sensitive 100mL")</f>
        <v xml:space="preserve"> Veet Hair Removal Cream Sensitive 100mL</v>
      </c>
      <c r="C1916" t="s">
        <v>92</v>
      </c>
      <c r="D1916" t="s">
        <v>593</v>
      </c>
    </row>
    <row r="1917" spans="1:4" x14ac:dyDescent="0.25">
      <c r="B1917" t="str">
        <f>HYPERLINK("https://www.chemistwarehouse.com.au/buy/50645/Veet-EasyGrip-Ready-to-Use-Wax-Strips-Sensitive-20"," Veet EasyGrip Ready-to-Use Wax Strips Sensitive 20")</f>
        <v xml:space="preserve"> Veet EasyGrip Ready-to-Use Wax Strips Sensitive 20</v>
      </c>
      <c r="C1917" t="s">
        <v>317</v>
      </c>
      <c r="D1917" t="s">
        <v>785</v>
      </c>
    </row>
    <row r="1918" spans="1:4" x14ac:dyDescent="0.25">
      <c r="B1918" t="str">
        <f>HYPERLINK("https://www.chemistwarehouse.com.au/buy/50646/Veet-EasyGrip-Ready-to-Use-Wax-Strips-40"," Veet EasyGrip Ready-to-Use Wax Strips 40")</f>
        <v xml:space="preserve"> Veet EasyGrip Ready-to-Use Wax Strips 40</v>
      </c>
      <c r="C1918" t="s">
        <v>237</v>
      </c>
      <c r="D1918" t="s">
        <v>808</v>
      </c>
    </row>
    <row r="1919" spans="1:4" x14ac:dyDescent="0.25">
      <c r="B1919" t="str">
        <f>HYPERLINK("https://www.chemistwarehouse.com.au/buy/8275/Veet-Hair-Removal-Cream-100g"," Veet Hair Removal Cream 100g")</f>
        <v xml:space="preserve"> Veet Hair Removal Cream 100g</v>
      </c>
      <c r="C1919" t="s">
        <v>242</v>
      </c>
      <c r="D1919" t="s">
        <v>781</v>
      </c>
    </row>
    <row r="1920" spans="1:4" x14ac:dyDescent="0.25">
      <c r="B1920" t="str">
        <f>HYPERLINK("https://www.chemistwarehouse.com.au/buy/66958/Veet-Face-Wax-Strips-Sensitive-20"," Veet Face Wax Strips Sensitive 20")</f>
        <v xml:space="preserve"> Veet Face Wax Strips Sensitive 20</v>
      </c>
      <c r="C1920" t="s">
        <v>240</v>
      </c>
      <c r="D1920" t="s">
        <v>561</v>
      </c>
    </row>
    <row r="1921" spans="1:4" x14ac:dyDescent="0.25">
      <c r="B1921" t="str">
        <f>HYPERLINK("https://www.chemistwarehouse.com.au/buy/66959/Veet-Easy-Wax-Replacement-Strips"," Veet Easy Wax Replacement Strips")</f>
        <v xml:space="preserve"> Veet Easy Wax Replacement Strips</v>
      </c>
      <c r="C1921" t="s">
        <v>554</v>
      </c>
      <c r="D1921" t="s">
        <v>611</v>
      </c>
    </row>
    <row r="1922" spans="1:4" x14ac:dyDescent="0.25">
      <c r="B1922" t="str">
        <f>HYPERLINK("https://www.chemistwarehouse.com.au/buy/69591/Veet-Wax-Strips-Sensitive-40"," Veet Wax Strips Sensitive 40")</f>
        <v xml:space="preserve"> Veet Wax Strips Sensitive 40</v>
      </c>
      <c r="C1922" t="s">
        <v>292</v>
      </c>
      <c r="D1922" t="s">
        <v>809</v>
      </c>
    </row>
    <row r="1923" spans="1:4" x14ac:dyDescent="0.25">
      <c r="B1923" t="str">
        <f>HYPERLINK("https://www.chemistwarehouse.com.au/buy/73388/Veet-Naturals-Hair-Removal-Cream-100ml"," Veet Naturals Hair Removal Cream 100ml")</f>
        <v xml:space="preserve"> Veet Naturals Hair Removal Cream 100ml</v>
      </c>
      <c r="C1923" t="s">
        <v>103</v>
      </c>
      <c r="D1923" t="s">
        <v>593</v>
      </c>
    </row>
    <row r="1924" spans="1:4" x14ac:dyDescent="0.25">
      <c r="B1924" t="str">
        <f>HYPERLINK("https://www.chemistwarehouse.com.au/buy/42472/Veet-EasyGrip-Ready-to-Use-Wax-Strips-20"," Veet EasyGrip Ready-to-Use Wax Strips 20")</f>
        <v xml:space="preserve"> Veet EasyGrip Ready-to-Use Wax Strips 20</v>
      </c>
      <c r="C1924" t="s">
        <v>317</v>
      </c>
      <c r="D1924" t="s">
        <v>785</v>
      </c>
    </row>
    <row r="1925" spans="1:4" x14ac:dyDescent="0.25">
      <c r="B1925" t="str">
        <f>HYPERLINK("https://www.chemistwarehouse.com.au/buy/77638/Veet-Spawax-Orchid-and-Vanilla-Refill-150g"," Veet Spawax Orchid and Vanilla Refill 150g  ")</f>
        <v xml:space="preserve"> Veet Spawax Orchid and Vanilla Refill 150g  </v>
      </c>
      <c r="C1925" t="s">
        <v>45</v>
      </c>
      <c r="D1925" t="s">
        <v>162</v>
      </c>
    </row>
    <row r="1926" spans="1:4" x14ac:dyDescent="0.25">
      <c r="B1926" t="str">
        <f>HYPERLINK("https://www.chemistwarehouse.com.au/buy/77639/Veet-Spawax-Stripless-Wax-Warming-Kit-150g"," Veet Spawax Stripless Wax Warming Kit 150g")</f>
        <v xml:space="preserve"> Veet Spawax Stripless Wax Warming Kit 150g</v>
      </c>
      <c r="C1926" t="s">
        <v>6</v>
      </c>
      <c r="D1926" t="s">
        <v>110</v>
      </c>
    </row>
    <row r="1927" spans="1:4" x14ac:dyDescent="0.25">
      <c r="B1927" t="str">
        <f>HYPERLINK("https://www.chemistwarehouse.com.au/buy/8277/Veet-Warm-Wax-375g"," Veet Warm Wax 375g")</f>
        <v xml:space="preserve"> Veet Warm Wax 375g</v>
      </c>
      <c r="C1927" t="s">
        <v>290</v>
      </c>
      <c r="D1927" t="s">
        <v>318</v>
      </c>
    </row>
    <row r="1928" spans="1:4" x14ac:dyDescent="0.25">
      <c r="A1928" t="s">
        <v>810</v>
      </c>
    </row>
    <row r="1929" spans="1:4" x14ac:dyDescent="0.25">
      <c r="B1929" t="str">
        <f>HYPERLINK("https://www.chemistwarehouse.com.au/buy/32016/Andrea-Extra-Strength-Creme-Bleach-42g-28g"," Andrea Extra Strength Creme Bleach 42g + 28g")</f>
        <v xml:space="preserve"> Andrea Extra Strength Creme Bleach 42g + 28g</v>
      </c>
      <c r="C1929" t="s">
        <v>61</v>
      </c>
      <c r="D1929" t="s">
        <v>104</v>
      </c>
    </row>
    <row r="1930" spans="1:4" x14ac:dyDescent="0.25">
      <c r="B1930" t="str">
        <f>HYPERLINK("https://www.chemistwarehouse.com.au/buy/32017/Andrea-Gentle-Cream-Bleach-for-the-Face-42g-28g"," Andrea Gentle Cream Bleach for the Face 42g + 28g")</f>
        <v xml:space="preserve"> Andrea Gentle Cream Bleach for the Face 42g + 28g</v>
      </c>
      <c r="C1930" t="s">
        <v>61</v>
      </c>
      <c r="D1930" t="s">
        <v>104</v>
      </c>
    </row>
    <row r="1931" spans="1:4" x14ac:dyDescent="0.25">
      <c r="A1931" t="s">
        <v>811</v>
      </c>
    </row>
    <row r="1932" spans="1:4" x14ac:dyDescent="0.25">
      <c r="B1932" t="str">
        <f>HYPERLINK("https://www.chemistwarehouse.com.au/buy/58096/Waxaway-Salon-Wax-200g"," Waxaway Salon Wax 200g")</f>
        <v xml:space="preserve"> Waxaway Salon Wax 200g</v>
      </c>
      <c r="C1932" t="s">
        <v>237</v>
      </c>
      <c r="D1932" t="s">
        <v>594</v>
      </c>
    </row>
    <row r="1933" spans="1:4" x14ac:dyDescent="0.25">
      <c r="B1933" t="str">
        <f>HYPERLINK("https://www.chemistwarehouse.com.au/buy/58097/Waxaway-Ready-To-Use-Wax-Face-20-Strips"," Waxaway Ready To Use Wax Face 20 Strips")</f>
        <v xml:space="preserve"> Waxaway Ready To Use Wax Face 20 Strips</v>
      </c>
      <c r="C1933" t="s">
        <v>240</v>
      </c>
      <c r="D1933" t="s">
        <v>812</v>
      </c>
    </row>
    <row r="1934" spans="1:4" x14ac:dyDescent="0.25">
      <c r="B1934" t="str">
        <f>HYPERLINK("https://www.chemistwarehouse.com.au/buy/58098/Waxaway-Ready-To-Use-Wax-Body-20-Strips"," Waxaway Ready To Use Wax Body 20 Strips")</f>
        <v xml:space="preserve"> Waxaway Ready To Use Wax Body 20 Strips</v>
      </c>
      <c r="C1934" t="s">
        <v>430</v>
      </c>
      <c r="D1934" t="s">
        <v>813</v>
      </c>
    </row>
    <row r="1935" spans="1:4" x14ac:dyDescent="0.25">
      <c r="B1935" t="str">
        <f>HYPERLINK("https://www.chemistwarehouse.com.au/buy/58099/Waxaway-After-Care-Lotion-125ml"," Waxaway After Care Lotion 125ml")</f>
        <v xml:space="preserve"> Waxaway After Care Lotion 125ml</v>
      </c>
      <c r="C1935" t="s">
        <v>103</v>
      </c>
      <c r="D1935" t="s">
        <v>814</v>
      </c>
    </row>
    <row r="1936" spans="1:4" x14ac:dyDescent="0.25">
      <c r="B1936" t="str">
        <f>HYPERLINK("https://www.chemistwarehouse.com.au/buy/66704/Waxaway-Ready-To-Use-Sensitive-Wax-Body-20-Strips"," Waxaway Ready To Use Sensitive Wax Body 20 Strips")</f>
        <v xml:space="preserve"> Waxaway Ready To Use Sensitive Wax Body 20 Strips</v>
      </c>
      <c r="C1936" t="s">
        <v>430</v>
      </c>
      <c r="D1936" t="s">
        <v>813</v>
      </c>
    </row>
    <row r="1937" spans="1:4" x14ac:dyDescent="0.25">
      <c r="B1937" t="str">
        <f>HYPERLINK("https://www.chemistwarehouse.com.au/buy/66705/Waxaway-Ready-To-Use-Sensitive-Wax-Face-20-Strips"," Waxaway Ready To Use Sensitive Wax Face 20 Strips")</f>
        <v xml:space="preserve"> Waxaway Ready To Use Sensitive Wax Face 20 Strips</v>
      </c>
      <c r="C1937" t="s">
        <v>240</v>
      </c>
      <c r="D1937" t="s">
        <v>812</v>
      </c>
    </row>
    <row r="1938" spans="1:4" x14ac:dyDescent="0.25">
      <c r="B1938" t="str">
        <f>HYPERLINK("https://www.chemistwarehouse.com.au/buy/81255/Waxaway-Salon-Pro-Mini-Roller-Heater"," Waxaway Salon Pro Mini Roller Heater")</f>
        <v xml:space="preserve"> Waxaway Salon Pro Mini Roller Heater</v>
      </c>
      <c r="C1938" t="s">
        <v>407</v>
      </c>
      <c r="D1938" t="s">
        <v>376</v>
      </c>
    </row>
    <row r="1939" spans="1:4" x14ac:dyDescent="0.25">
      <c r="B1939" t="str">
        <f>HYPERLINK("https://www.chemistwarehouse.com.au/buy/81256/Waxaway-Salon-Pro-Shimmer-Sweet-Rosie-Cartridge-50ml"," Waxaway Salon Pro Shimmer Sweet Rosie Cartridge 50ml")</f>
        <v xml:space="preserve"> Waxaway Salon Pro Shimmer Sweet Rosie Cartridge 50ml</v>
      </c>
      <c r="C1939" t="s">
        <v>554</v>
      </c>
      <c r="D1939" t="s">
        <v>325</v>
      </c>
    </row>
    <row r="1940" spans="1:4" x14ac:dyDescent="0.25">
      <c r="B1940" t="str">
        <f>HYPERLINK("https://www.chemistwarehouse.com.au/buy/58095/Waxaway-Warm-Wax-350g"," Waxaway Warm Wax 350g")</f>
        <v xml:space="preserve"> Waxaway Warm Wax 350g</v>
      </c>
      <c r="C1940" t="s">
        <v>244</v>
      </c>
      <c r="D1940" t="s">
        <v>815</v>
      </c>
    </row>
    <row r="1941" spans="1:4" x14ac:dyDescent="0.25">
      <c r="A1941" t="s">
        <v>816</v>
      </c>
    </row>
    <row r="1942" spans="1:4" x14ac:dyDescent="0.25">
      <c r="B1942" t="str">
        <f>HYPERLINK("https://www.chemistwarehouse.com.au/buy/61182/Bump-eRaiser-Triple-Action-Lotion-125ml"," Bump eRaiser Triple Action Lotion 125ml")</f>
        <v xml:space="preserve"> Bump eRaiser Triple Action Lotion 125ml</v>
      </c>
      <c r="C1942" t="s">
        <v>202</v>
      </c>
      <c r="D1942" t="s">
        <v>817</v>
      </c>
    </row>
    <row r="1943" spans="1:4" x14ac:dyDescent="0.25">
      <c r="B1943" t="str">
        <f>HYPERLINK("https://www.chemistwarehouse.com.au/buy/61183/Bump-eRaiser-Concentrated-Serum-125ml"," Bump eRaiser Concentrated Serum 125ml")</f>
        <v xml:space="preserve"> Bump eRaiser Concentrated Serum 125ml</v>
      </c>
      <c r="C1943" t="s">
        <v>202</v>
      </c>
      <c r="D1943" t="s">
        <v>817</v>
      </c>
    </row>
    <row r="1944" spans="1:4" x14ac:dyDescent="0.25">
      <c r="B1944" t="str">
        <f>HYPERLINK("https://www.chemistwarehouse.com.au/buy/61184/Bump-eRaiser-Medi-Paste-30g"," Bump eRaiser Medi Paste 30g")</f>
        <v xml:space="preserve"> Bump eRaiser Medi Paste 30g</v>
      </c>
      <c r="C1944" t="s">
        <v>202</v>
      </c>
      <c r="D1944" t="s">
        <v>817</v>
      </c>
    </row>
    <row r="1945" spans="1:4" x14ac:dyDescent="0.25">
      <c r="A1945" t="s">
        <v>818</v>
      </c>
    </row>
    <row r="1946" spans="1:4" x14ac:dyDescent="0.25">
      <c r="B1946" t="str">
        <f>HYPERLINK("https://www.chemistwarehouse.com.au/buy/8371/Waxeeze-Depilatory-Wax-375g"," Waxeeze Depilatory Wax 375g")</f>
        <v xml:space="preserve"> Waxeeze Depilatory Wax 375g</v>
      </c>
      <c r="C1946" t="s">
        <v>202</v>
      </c>
      <c r="D1946" t="s">
        <v>281</v>
      </c>
    </row>
    <row r="1947" spans="1:4" x14ac:dyDescent="0.25">
      <c r="A1947" t="s">
        <v>819</v>
      </c>
    </row>
    <row r="1948" spans="1:4" x14ac:dyDescent="0.25">
      <c r="B1948" t="str">
        <f>HYPERLINK("https://www.chemistwarehouse.com.au/buy/36111/Neat-Effect-3B-Action-Cream-75g"," Neat Effect 3B Action Cream 75g")</f>
        <v xml:space="preserve"> Neat Effect 3B Action Cream 75g</v>
      </c>
      <c r="C1948" t="s">
        <v>290</v>
      </c>
      <c r="D1948" t="s">
        <v>406</v>
      </c>
    </row>
    <row r="1949" spans="1:4" x14ac:dyDescent="0.25">
      <c r="B1949" t="str">
        <f>HYPERLINK("https://www.chemistwarehouse.com.au/buy/4012/Ego-Pinetarsol-Gel-500g"," Ego Pinetarsol Gel 500g")</f>
        <v xml:space="preserve"> Ego Pinetarsol Gel 500g</v>
      </c>
      <c r="C1949" t="s">
        <v>61</v>
      </c>
      <c r="D1949" t="s">
        <v>820</v>
      </c>
    </row>
    <row r="1950" spans="1:4" x14ac:dyDescent="0.25">
      <c r="B1950" t="str">
        <f>HYPERLINK("https://www.chemistwarehouse.com.au/buy/39712/Neat-Effect-3B-Action-Cream-100g"," Neat Effect 3B Action Cream 100g")</f>
        <v xml:space="preserve"> Neat Effect 3B Action Cream 100g</v>
      </c>
      <c r="C1950" t="s">
        <v>202</v>
      </c>
      <c r="D1950" t="s">
        <v>157</v>
      </c>
    </row>
    <row r="1951" spans="1:4" x14ac:dyDescent="0.25">
      <c r="B1951" t="str">
        <f>HYPERLINK("https://www.chemistwarehouse.com.au/buy/4011/Ego-Pinetarsol-Gel-100g"," Ego Pinetarsol Gel 100g")</f>
        <v xml:space="preserve"> Ego Pinetarsol Gel 100g</v>
      </c>
      <c r="C1951" t="s">
        <v>240</v>
      </c>
      <c r="D1951" t="s">
        <v>400</v>
      </c>
    </row>
    <row r="1952" spans="1:4" x14ac:dyDescent="0.25">
      <c r="B1952" t="str">
        <f>HYPERLINK("https://www.chemistwarehouse.com.au/buy/81406/Mundicare-Itch-Relief-Spray-25ml"," Mundicare Itch Relief Spray 25ml")</f>
        <v xml:space="preserve"> Mundicare Itch Relief Spray 25ml</v>
      </c>
      <c r="C1952" t="s">
        <v>92</v>
      </c>
      <c r="D1952" t="s">
        <v>312</v>
      </c>
    </row>
    <row r="1953" spans="2:4" x14ac:dyDescent="0.25">
      <c r="B1953" t="str">
        <f>HYPERLINK("https://www.chemistwarehouse.com.au/buy/65072/Ego-Aqium-Hand-Sanitiser-Aloe-375mL"," Ego Aqium Hand Sanitiser Aloe 375mL")</f>
        <v xml:space="preserve"> Ego Aqium Hand Sanitiser Aloe 375mL</v>
      </c>
      <c r="C1953" t="s">
        <v>116</v>
      </c>
      <c r="D1953" t="s">
        <v>147</v>
      </c>
    </row>
    <row r="1954" spans="2:4" x14ac:dyDescent="0.25">
      <c r="B1954" t="str">
        <f>HYPERLINK("https://www.chemistwarehouse.com.au/buy/68716/Bodichek-Alcohol-Swabs"," Bodichek Alcohol Swabs")</f>
        <v xml:space="preserve"> Bodichek Alcohol Swabs</v>
      </c>
      <c r="C1954" t="s">
        <v>554</v>
      </c>
      <c r="D1954" t="s">
        <v>821</v>
      </c>
    </row>
    <row r="1955" spans="2:4" x14ac:dyDescent="0.25">
      <c r="B1955" t="str">
        <f>HYPERLINK("https://www.chemistwarehouse.com.au/buy/4013/Ego-Pinetarsol-Shower-Pump-200ml"," Ego Pinetarsol Shower Pump 200ml")</f>
        <v xml:space="preserve"> Ego Pinetarsol Shower Pump 200ml</v>
      </c>
      <c r="C1955" t="s">
        <v>45</v>
      </c>
      <c r="D1955" t="s">
        <v>822</v>
      </c>
    </row>
    <row r="1956" spans="2:4" x14ac:dyDescent="0.25">
      <c r="B1956" t="str">
        <f>HYPERLINK("https://www.chemistwarehouse.com.au/buy/37082/Hamilton-Skin-Therapy-Wash-1-Litre"," Hamilton Skin Therapy Wash 1 Litre")</f>
        <v xml:space="preserve"> Hamilton Skin Therapy Wash 1 Litre</v>
      </c>
      <c r="C1956" t="s">
        <v>407</v>
      </c>
      <c r="D1956" t="s">
        <v>376</v>
      </c>
    </row>
    <row r="1957" spans="2:4" x14ac:dyDescent="0.25">
      <c r="B1957" t="str">
        <f>HYPERLINK("https://www.chemistwarehouse.com.au/buy/4005/Ego-Pinetarsol-Solution-200mL"," Ego Pinetarsol Solution 200mL")</f>
        <v xml:space="preserve"> Ego Pinetarsol Solution 200mL</v>
      </c>
      <c r="C1957" t="s">
        <v>107</v>
      </c>
      <c r="D1957" t="s">
        <v>823</v>
      </c>
    </row>
    <row r="1958" spans="2:4" x14ac:dyDescent="0.25">
      <c r="B1958" t="str">
        <f>HYPERLINK("https://www.chemistwarehouse.com.au/buy/4006/Ego-Pinetarsol-Bath-Oil-500ml"," Ego Pinetarsol Bath Oil 500ml")</f>
        <v xml:space="preserve"> Ego Pinetarsol Bath Oil 500ml</v>
      </c>
      <c r="C1958" t="s">
        <v>61</v>
      </c>
      <c r="D1958" t="s">
        <v>824</v>
      </c>
    </row>
    <row r="1959" spans="2:4" x14ac:dyDescent="0.25">
      <c r="B1959" t="str">
        <f>HYPERLINK("https://www.chemistwarehouse.com.au/buy/4008/Ego-Pinetarsol-Bar-100g"," Ego Pinetarsol Bar 100g")</f>
        <v xml:space="preserve"> Ego Pinetarsol Bar 100g</v>
      </c>
      <c r="C1959" t="s">
        <v>45</v>
      </c>
      <c r="D1959" t="s">
        <v>825</v>
      </c>
    </row>
    <row r="1960" spans="2:4" x14ac:dyDescent="0.25">
      <c r="B1960" t="str">
        <f>HYPERLINK("https://www.chemistwarehouse.com.au/buy/4010/Ego-Pinetarsol-Bath-Oil-500mL"," Ego Pinetarsol Bath Oil 500mL")</f>
        <v xml:space="preserve"> Ego Pinetarsol Bath Oil 500mL</v>
      </c>
      <c r="C1960" t="s">
        <v>61</v>
      </c>
      <c r="D1960" t="s">
        <v>824</v>
      </c>
    </row>
    <row r="1961" spans="2:4" x14ac:dyDescent="0.25">
      <c r="B1961" t="str">
        <f>HYPERLINK("https://www.chemistwarehouse.com.au/buy/60621/Egoderm-Oinment-25g"," Egoderm Oinment 25g")</f>
        <v xml:space="preserve"> Egoderm Oinment 25g</v>
      </c>
      <c r="C1961" t="s">
        <v>103</v>
      </c>
      <c r="D1961" t="s">
        <v>121</v>
      </c>
    </row>
    <row r="1962" spans="2:4" x14ac:dyDescent="0.25">
      <c r="B1962" t="str">
        <f>HYPERLINK("https://www.chemistwarehouse.com.au/buy/63429/Ego-Pinetarsol-Solution-500ml"," Ego Pinetarsol Solution 500ml")</f>
        <v xml:space="preserve"> Ego Pinetarsol Solution 500ml</v>
      </c>
      <c r="C1962" t="s">
        <v>61</v>
      </c>
      <c r="D1962" t="s">
        <v>824</v>
      </c>
    </row>
    <row r="1963" spans="2:4" x14ac:dyDescent="0.25">
      <c r="B1963" t="str">
        <f>HYPERLINK("https://www.chemistwarehouse.com.au/buy/64461/Animine-Anti-Itch-Lotion-125ml"," Animine Anti-Itch Lotion 125ml")</f>
        <v xml:space="preserve"> Animine Anti-Itch Lotion 125ml</v>
      </c>
      <c r="C1963" t="s">
        <v>103</v>
      </c>
      <c r="D1963">
        <v>0</v>
      </c>
    </row>
    <row r="1964" spans="2:4" x14ac:dyDescent="0.25">
      <c r="B1964" t="str">
        <f>HYPERLINK("https://www.chemistwarehouse.com.au/buy/64464/Microshield-5-Antiseptic-500ML"," Microshield 5 Antiseptic 500ML")</f>
        <v xml:space="preserve"> Microshield 5 Antiseptic 500ML</v>
      </c>
      <c r="C1964" t="s">
        <v>401</v>
      </c>
      <c r="D1964" t="s">
        <v>169</v>
      </c>
    </row>
    <row r="1965" spans="2:4" x14ac:dyDescent="0.25">
      <c r="B1965" t="str">
        <f>HYPERLINK("https://www.chemistwarehouse.com.au/buy/64465/Microshield-Handwash-500ml"," Microshield Handwash 500ml")</f>
        <v xml:space="preserve"> Microshield Handwash 500ml</v>
      </c>
      <c r="C1965" t="s">
        <v>45</v>
      </c>
      <c r="D1965" t="s">
        <v>371</v>
      </c>
    </row>
    <row r="1966" spans="2:4" x14ac:dyDescent="0.25">
      <c r="B1966" t="str">
        <f>HYPERLINK("https://www.chemistwarehouse.com.au/buy/65036/Enya-Hand-Sanitizer-Chamomile-100ml"," Enya Hand Sanitizer Chamomile 100ml")</f>
        <v xml:space="preserve"> Enya Hand Sanitizer Chamomile 100ml</v>
      </c>
      <c r="C1966" t="s">
        <v>146</v>
      </c>
      <c r="D1966">
        <v>0</v>
      </c>
    </row>
    <row r="1967" spans="2:4" x14ac:dyDescent="0.25">
      <c r="B1967" t="str">
        <f>HYPERLINK("https://www.chemistwarehouse.com.au/buy/65070/Enya-Hand-Sanitizer-Aloe-Vera-100ml"," Enya Hand Sanitizer Aloe Vera 100ml")</f>
        <v xml:space="preserve"> Enya Hand Sanitizer Aloe Vera 100ml</v>
      </c>
      <c r="C1967" t="s">
        <v>146</v>
      </c>
      <c r="D1967">
        <v>0</v>
      </c>
    </row>
    <row r="1968" spans="2:4" x14ac:dyDescent="0.25">
      <c r="B1968" t="str">
        <f>HYPERLINK("https://www.chemistwarehouse.com.au/buy/64462/EDP-Antiseptic-First-Aid-Powder-20g"," EDP Antiseptic First Aid Powder 20g")</f>
        <v xml:space="preserve"> EDP Antiseptic First Aid Powder 20g</v>
      </c>
      <c r="C1968" t="s">
        <v>32</v>
      </c>
      <c r="D1968" t="s">
        <v>371</v>
      </c>
    </row>
    <row r="1969" spans="1:4" x14ac:dyDescent="0.25">
      <c r="B1969" t="str">
        <f>HYPERLINK("https://www.chemistwarehouse.com.au/buy/58581/Ego-Pinetarsol-Bath-Oil-200mL"," Ego Pinetarsol Bath Oil 200mL")</f>
        <v xml:space="preserve"> Ego Pinetarsol Bath Oil 200mL</v>
      </c>
      <c r="C1969" t="s">
        <v>317</v>
      </c>
      <c r="D1969" t="s">
        <v>624</v>
      </c>
    </row>
    <row r="1970" spans="1:4" x14ac:dyDescent="0.25">
      <c r="A1970" t="s">
        <v>826</v>
      </c>
    </row>
    <row r="1971" spans="1:4" x14ac:dyDescent="0.25">
      <c r="B1971" t="str">
        <f>HYPERLINK("https://www.chemistwarehouse.com.au/buy/53269/Gamophen-Antibacterial-Medicated-Soap-100g"," Gamophen Antibacterial Medicated Soap 100g")</f>
        <v xml:space="preserve"> Gamophen Antibacterial Medicated Soap 100g</v>
      </c>
      <c r="C1971" t="s">
        <v>827</v>
      </c>
      <c r="D1971" t="s">
        <v>776</v>
      </c>
    </row>
    <row r="1972" spans="1:4" x14ac:dyDescent="0.25">
      <c r="B1972" t="str">
        <f>HYPERLINK("https://www.chemistwarehouse.com.au/buy/46488/Nivea-Visage-Daily-Essentials-Gentle-Facial-Cleansing-Wipes-25"," Nivea Visage Daily Essentials Gentle Facial Cleansing Wipes 25")</f>
        <v xml:space="preserve"> Nivea Visage Daily Essentials Gentle Facial Cleansing Wipes 25</v>
      </c>
      <c r="C1972" t="s">
        <v>116</v>
      </c>
      <c r="D1972" t="s">
        <v>641</v>
      </c>
    </row>
    <row r="1973" spans="1:4" x14ac:dyDescent="0.25">
      <c r="B1973" t="str">
        <f>HYPERLINK("https://www.chemistwarehouse.com.au/buy/6641/Nivea-Visage-Refreshing-Toner-200ml"," Nivea Visage Refreshing Toner 200ml")</f>
        <v xml:space="preserve"> Nivea Visage Refreshing Toner 200ml</v>
      </c>
      <c r="C1973" t="s">
        <v>242</v>
      </c>
      <c r="D1973" t="s">
        <v>828</v>
      </c>
    </row>
    <row r="1974" spans="1:4" x14ac:dyDescent="0.25">
      <c r="B1974" t="str">
        <f>HYPERLINK("https://www.chemistwarehouse.com.au/buy/31737/Natio-Gentle-Foaming-Face-Cleanser-100g"," Natio Gentle Foaming Face Cleanser 100g")</f>
        <v xml:space="preserve"> Natio Gentle Foaming Face Cleanser 100g</v>
      </c>
      <c r="C1974" t="s">
        <v>212</v>
      </c>
      <c r="D1974" t="s">
        <v>799</v>
      </c>
    </row>
    <row r="1975" spans="1:4" x14ac:dyDescent="0.25">
      <c r="B1975" t="str">
        <f>HYPERLINK("https://www.chemistwarehouse.com.au/buy/39572/Nivea-Visage-Daily-Essentials-Refreshing-Facial-Cleansing-Wipes-25"," Nivea Visage Daily Essentials Refreshing Facial Cleansing Wipes 25")</f>
        <v xml:space="preserve"> Nivea Visage Daily Essentials Refreshing Facial Cleansing Wipes 25</v>
      </c>
      <c r="C1975" t="s">
        <v>116</v>
      </c>
      <c r="D1975" t="s">
        <v>641</v>
      </c>
    </row>
    <row r="1976" spans="1:4" x14ac:dyDescent="0.25">
      <c r="B1976" t="str">
        <f>HYPERLINK("https://www.chemistwarehouse.com.au/buy/50460/L-39-Oreal-Dermo-Expertise-Age-Perfect-25-Wipes"," L'Oreal Dermo Expertise Age Perfect 25 Wipes")</f>
        <v xml:space="preserve"> L'Oreal Dermo Expertise Age Perfect 25 Wipes</v>
      </c>
      <c r="C1976" t="s">
        <v>242</v>
      </c>
      <c r="D1976" t="s">
        <v>400</v>
      </c>
    </row>
    <row r="1977" spans="1:4" x14ac:dyDescent="0.25">
      <c r="B1977" t="str">
        <f>HYPERLINK("https://www.chemistwarehouse.com.au/buy/59635/Microshield-2-Chlorhexdine-500ml"," Microshield 2% Chlorhexdine 500ml")</f>
        <v xml:space="preserve"> Microshield 2% Chlorhexdine 500ml</v>
      </c>
      <c r="C1977" t="s">
        <v>290</v>
      </c>
      <c r="D1977" t="s">
        <v>829</v>
      </c>
    </row>
    <row r="1978" spans="1:4" x14ac:dyDescent="0.25">
      <c r="B1978" t="str">
        <f>HYPERLINK("https://www.chemistwarehouse.com.au/buy/31738/Natio-Gentle-Face-Scrub-100g"," Natio Gentle Face Scrub 100g")</f>
        <v xml:space="preserve"> Natio Gentle Face Scrub 100g</v>
      </c>
      <c r="C1978" t="s">
        <v>292</v>
      </c>
      <c r="D1978" t="s">
        <v>329</v>
      </c>
    </row>
    <row r="1979" spans="1:4" x14ac:dyDescent="0.25">
      <c r="B1979" t="str">
        <f>HYPERLINK("https://www.chemistwarehouse.com.au/buy/6639/Nivea-Visage-Daily-Essentials-Refreshing-Gentle-Cleansing-Lotion-200ml"," Nivea Visage Daily Essentials Refreshing Gentle Cleansing Lotion 200ml")</f>
        <v xml:space="preserve"> Nivea Visage Daily Essentials Refreshing Gentle Cleansing Lotion 200ml</v>
      </c>
      <c r="C1979" t="s">
        <v>240</v>
      </c>
      <c r="D1979" t="s">
        <v>830</v>
      </c>
    </row>
    <row r="1980" spans="1:4" x14ac:dyDescent="0.25">
      <c r="B1980" t="str">
        <f>HYPERLINK("https://www.chemistwarehouse.com.au/buy/6637/Nivea-Visage-Extra-Gentle-Eye-Make-Up-Remover-125ml"," Nivea Visage Extra Gentle Eye Make Up Remover 125ml")</f>
        <v xml:space="preserve"> Nivea Visage Extra Gentle Eye Make Up Remover 125ml</v>
      </c>
      <c r="C1980" t="s">
        <v>92</v>
      </c>
      <c r="D1980" t="s">
        <v>606</v>
      </c>
    </row>
    <row r="1981" spans="1:4" x14ac:dyDescent="0.25">
      <c r="B1981" t="str">
        <f>HYPERLINK("https://www.chemistwarehouse.com.au/buy/57186/Clearasil-StayClear-Deep-Cleansing-25-Wipes"," Clearasil StayClear Deep Cleansing 25 Wipes")</f>
        <v xml:space="preserve"> Clearasil StayClear Deep Cleansing 25 Wipes</v>
      </c>
      <c r="C1981" t="s">
        <v>116</v>
      </c>
      <c r="D1981" t="s">
        <v>312</v>
      </c>
    </row>
    <row r="1982" spans="1:4" x14ac:dyDescent="0.25">
      <c r="B1982" t="str">
        <f>HYPERLINK("https://www.chemistwarehouse.com.au/buy/46297/Dove-Beauty-Bar-Sensitive-Skin-Unscented-4-x-100g-Pack"," Dove Beauty Bar Sensitive Skin Unscented 4 x 100g Pack")</f>
        <v xml:space="preserve"> Dove Beauty Bar Sensitive Skin Unscented 4 x 100g Pack</v>
      </c>
      <c r="C1982" t="s">
        <v>554</v>
      </c>
      <c r="D1982" t="s">
        <v>593</v>
      </c>
    </row>
    <row r="1983" spans="1:4" x14ac:dyDescent="0.25">
      <c r="B1983" t="str">
        <f>HYPERLINK("https://www.chemistwarehouse.com.au/buy/67172/Grace-Cole-Boutique-Shower-Gel-White-Nectarine-amp-Pear-Cleansing-500ml"," Grace Cole Boutique Shower Gel White Nectarine &amp; Pear Cleansing 500ml")</f>
        <v xml:space="preserve"> Grace Cole Boutique Shower Gel White Nectarine &amp; Pear Cleansing 500ml</v>
      </c>
      <c r="C1983" t="s">
        <v>556</v>
      </c>
      <c r="D1983">
        <v>0</v>
      </c>
    </row>
    <row r="1984" spans="1:4" x14ac:dyDescent="0.25">
      <c r="A1984" t="s">
        <v>831</v>
      </c>
    </row>
    <row r="1985" spans="2:4" x14ac:dyDescent="0.25">
      <c r="B1985" t="str">
        <f>HYPERLINK("https://www.chemistwarehouse.com.au/buy/51879/Acqua-Di-Gio-for-Men-Eau-de-Toilette-Spray-100ml"," Acqua Di Gio for Men Eau de Toilette Spray 100ml")</f>
        <v xml:space="preserve"> Acqua Di Gio for Men Eau de Toilette Spray 100ml</v>
      </c>
      <c r="C1985" t="s">
        <v>614</v>
      </c>
      <c r="D1985" t="s">
        <v>832</v>
      </c>
    </row>
    <row r="1986" spans="2:4" x14ac:dyDescent="0.25">
      <c r="B1986" t="str">
        <f>HYPERLINK("https://www.chemistwarehouse.com.au/buy/55181/Paco-Rabanne-1-Million-Eau-de-Toilette-Spray-100mL"," Paco Rabanne 1 Million Eau de Toilette Spray 100mL")</f>
        <v xml:space="preserve"> Paco Rabanne 1 Million Eau de Toilette Spray 100mL</v>
      </c>
      <c r="C1986" t="s">
        <v>833</v>
      </c>
      <c r="D1986" t="s">
        <v>834</v>
      </c>
    </row>
    <row r="1987" spans="2:4" x14ac:dyDescent="0.25">
      <c r="B1987" t="str">
        <f>HYPERLINK("https://www.chemistwarehouse.com.au/buy/42826/Joop-Homme-Eau-de-Toilette-Spray-125mL"," Joop! Homme Eau de Toilette Spray 125mL")</f>
        <v xml:space="preserve"> Joop! Homme Eau de Toilette Spray 125mL</v>
      </c>
      <c r="C1987" t="s">
        <v>10</v>
      </c>
      <c r="D1987" t="s">
        <v>835</v>
      </c>
    </row>
    <row r="1988" spans="2:4" x14ac:dyDescent="0.25">
      <c r="B1988" t="str">
        <f>HYPERLINK("https://www.chemistwarehouse.com.au/buy/66452/David-Beckham-Intimately-Men-150ml-Deodorant-Spray"," David Beckham Intimately Men 150ml Deodorant Spray")</f>
        <v xml:space="preserve"> David Beckham Intimately Men 150ml Deodorant Spray</v>
      </c>
      <c r="C1988" t="s">
        <v>556</v>
      </c>
      <c r="D1988" t="s">
        <v>836</v>
      </c>
    </row>
    <row r="1989" spans="2:4" x14ac:dyDescent="0.25">
      <c r="B1989" t="str">
        <f>HYPERLINK("https://www.chemistwarehouse.com.au/buy/49416/Lomani-Pour-Homme-Natural-Eau-de-Toilette-100ml-Spray"," Lomani Pour Homme Natural Eau de Toilette 100ml Spray")</f>
        <v xml:space="preserve"> Lomani Pour Homme Natural Eau de Toilette 100ml Spray</v>
      </c>
      <c r="C1989" t="s">
        <v>45</v>
      </c>
      <c r="D1989">
        <v>0</v>
      </c>
    </row>
    <row r="1990" spans="2:4" x14ac:dyDescent="0.25">
      <c r="B1990" t="str">
        <f>HYPERLINK("https://www.chemistwarehouse.com.au/buy/50071/David-Beckham-Instinct-Eau-De-Toilette-75ml-Spray"," David Beckham Instinct Eau De Toilette 75ml Spray")</f>
        <v xml:space="preserve"> David Beckham Instinct Eau De Toilette 75ml Spray</v>
      </c>
      <c r="C1990" t="s">
        <v>237</v>
      </c>
      <c r="D1990" t="s">
        <v>440</v>
      </c>
    </row>
    <row r="1991" spans="2:4" x14ac:dyDescent="0.25">
      <c r="B1991" t="str">
        <f>HYPERLINK("https://www.chemistwarehouse.com.au/buy/55172/Paco-Rabanne-1-Million-Eau-de-Toilette-Spray-50mL"," Paco Rabanne 1 Million Eau de Toilette Spray 50mL")</f>
        <v xml:space="preserve"> Paco Rabanne 1 Million Eau de Toilette Spray 50mL</v>
      </c>
      <c r="C1991" t="s">
        <v>258</v>
      </c>
      <c r="D1991" t="s">
        <v>837</v>
      </c>
    </row>
    <row r="1992" spans="2:4" x14ac:dyDescent="0.25">
      <c r="B1992" t="str">
        <f>HYPERLINK("https://www.chemistwarehouse.com.au/buy/48128/Davidoff-Cool-Water-for-Men-Eau-De-Toilette-Spray-125mL"," Davidoff Cool Water for Men Eau De Toilette Spray 125mL")</f>
        <v xml:space="preserve"> Davidoff Cool Water for Men Eau De Toilette Spray 125mL</v>
      </c>
      <c r="C1992" t="s">
        <v>166</v>
      </c>
      <c r="D1992" t="s">
        <v>489</v>
      </c>
    </row>
    <row r="1993" spans="2:4" x14ac:dyDescent="0.25">
      <c r="B1993" t="str">
        <f>HYPERLINK("https://www.chemistwarehouse.com.au/buy/55177/Calvin-Klein-Be-Eau-de-Toilette-200ml-Spray"," Calvin Klein Be Eau de Toilette 200ml Spray")</f>
        <v xml:space="preserve"> Calvin Klein Be Eau de Toilette 200ml Spray</v>
      </c>
      <c r="C1993" t="s">
        <v>123</v>
      </c>
      <c r="D1993" t="s">
        <v>838</v>
      </c>
    </row>
    <row r="1994" spans="2:4" x14ac:dyDescent="0.25">
      <c r="B1994" t="str">
        <f>HYPERLINK("https://www.chemistwarehouse.com.au/buy/70534/Playboy-VIP-Male-Eau-De-Toilette-100ml-Spray"," Playboy VIP Male Eau De Toilette 100ml Spray")</f>
        <v xml:space="preserve"> Playboy VIP Male Eau De Toilette 100ml Spray</v>
      </c>
      <c r="C1994" t="s">
        <v>45</v>
      </c>
      <c r="D1994" t="s">
        <v>397</v>
      </c>
    </row>
    <row r="1995" spans="2:4" x14ac:dyDescent="0.25">
      <c r="B1995" t="str">
        <f>HYPERLINK("https://www.chemistwarehouse.com.au/buy/52548/Calvin-Klein-Eternity-for-Men-Eau-de-Toilette-Spray-100mL"," Calvin Klein Eternity for Men Eau de Toilette Spray 100mL")</f>
        <v xml:space="preserve"> Calvin Klein Eternity for Men Eau de Toilette Spray 100mL</v>
      </c>
      <c r="C1995" t="s">
        <v>123</v>
      </c>
      <c r="D1995" t="s">
        <v>838</v>
      </c>
    </row>
    <row r="1996" spans="2:4" x14ac:dyDescent="0.25">
      <c r="B1996" t="str">
        <f>HYPERLINK("https://www.chemistwarehouse.com.au/buy/54870/Issey-Miyake-for-Men-Eau-de-Toilette-125ml-Spray"," Issey Miyake for Men Eau de Toilette 125ml Spray")</f>
        <v xml:space="preserve"> Issey Miyake for Men Eau de Toilette 125ml Spray</v>
      </c>
      <c r="C1996" t="s">
        <v>614</v>
      </c>
      <c r="D1996" t="s">
        <v>839</v>
      </c>
    </row>
    <row r="1997" spans="2:4" x14ac:dyDescent="0.25">
      <c r="B1997" t="str">
        <f>HYPERLINK("https://www.chemistwarehouse.com.au/buy/52554/Calvin-Klein-Obsession-for-Men-Eau-de-Toilette-Spray-125mL"," Calvin Klein Obsession for Men Eau de Toilette Spray 125mL")</f>
        <v xml:space="preserve"> Calvin Klein Obsession for Men Eau de Toilette Spray 125mL</v>
      </c>
      <c r="C1997" t="s">
        <v>166</v>
      </c>
      <c r="D1997" t="s">
        <v>840</v>
      </c>
    </row>
    <row r="1998" spans="2:4" x14ac:dyDescent="0.25">
      <c r="B1998" t="str">
        <f>HYPERLINK("https://www.chemistwarehouse.com.au/buy/72272/Armani-Code-For-Men-125ml-Eau-De-Toilette-Spray"," Armani Code For Men 125ml Eau De Toilette Spray")</f>
        <v xml:space="preserve"> Armani Code For Men 125ml Eau De Toilette Spray</v>
      </c>
      <c r="C1998" t="s">
        <v>585</v>
      </c>
      <c r="D1998" t="s">
        <v>841</v>
      </c>
    </row>
    <row r="1999" spans="2:4" x14ac:dyDescent="0.25">
      <c r="B1999" t="str">
        <f>HYPERLINK("https://www.chemistwarehouse.com.au/buy/67388/Armani-Acqua-Di-Gio-for-Men-200ml-Eau-de-Toilette-Spray"," Armani Acqua Di Gio for Men 200ml Eau de Toilette Spray")</f>
        <v xml:space="preserve"> Armani Acqua Di Gio for Men 200ml Eau de Toilette Spray</v>
      </c>
      <c r="C1999" t="s">
        <v>750</v>
      </c>
      <c r="D1999" t="s">
        <v>841</v>
      </c>
    </row>
    <row r="2000" spans="2:4" x14ac:dyDescent="0.25">
      <c r="B2000" t="str">
        <f>HYPERLINK("https://www.chemistwarehouse.com.au/buy/55173/FCUK-Him-Eau-de-Toilette-Spray-100mL"," FCUK Him Eau de Toilette Spray 100mL")</f>
        <v xml:space="preserve"> FCUK Him Eau de Toilette Spray 100mL</v>
      </c>
      <c r="C2000" t="s">
        <v>237</v>
      </c>
      <c r="D2000" t="s">
        <v>842</v>
      </c>
    </row>
    <row r="2001" spans="1:4" x14ac:dyDescent="0.25">
      <c r="B2001" t="str">
        <f>HYPERLINK("https://www.chemistwarehouse.com.au/buy/57593/David-Beckham-Signature-Men-Eau-de-Toilette-75ml-Spray"," David Beckham Signature Men Eau de Toilette 75ml Spray")</f>
        <v xml:space="preserve"> David Beckham Signature Men Eau de Toilette 75ml Spray</v>
      </c>
      <c r="C2001" t="s">
        <v>237</v>
      </c>
      <c r="D2001" t="s">
        <v>440</v>
      </c>
    </row>
    <row r="2002" spans="1:4" x14ac:dyDescent="0.25">
      <c r="B2002" t="str">
        <f>HYPERLINK("https://www.chemistwarehouse.com.au/buy/74966/Calvin-Klein-Reveal-Men-Eau-De-Toilette-100ml"," Calvin Klein Reveal Men Eau De Toilette 100ml")</f>
        <v xml:space="preserve"> Calvin Klein Reveal Men Eau De Toilette 100ml</v>
      </c>
      <c r="C2002" t="s">
        <v>10</v>
      </c>
      <c r="D2002" t="s">
        <v>843</v>
      </c>
    </row>
    <row r="2003" spans="1:4" x14ac:dyDescent="0.25">
      <c r="B2003" t="str">
        <f>HYPERLINK("https://www.chemistwarehouse.com.au/buy/80100/Hollister-California-Wave-Him-Eau-De-Toilette-50ml"," Hollister California Wave Him Eau De Toilette 50ml")</f>
        <v xml:space="preserve"> Hollister California Wave Him Eau De Toilette 50ml</v>
      </c>
      <c r="C2003" t="s">
        <v>1</v>
      </c>
      <c r="D2003">
        <v>0</v>
      </c>
    </row>
    <row r="2004" spans="1:4" x14ac:dyDescent="0.25">
      <c r="B2004" t="str">
        <f>HYPERLINK("https://www.chemistwarehouse.com.au/buy/57383/Brut-After-Shave-100ml"," Brut After Shave 100ml")</f>
        <v xml:space="preserve"> Brut After Shave 100ml</v>
      </c>
      <c r="C2004" t="s">
        <v>32</v>
      </c>
      <c r="D2004" t="s">
        <v>312</v>
      </c>
    </row>
    <row r="2005" spans="1:4" x14ac:dyDescent="0.25">
      <c r="B2005" t="str">
        <f>HYPERLINK("https://www.chemistwarehouse.com.au/buy/53378/Versace-Eau-Fraiche-Eau-de-Toilette-Spray-100ml"," Versace Eau Fraiche Eau de Toilette Spray 100ml")</f>
        <v xml:space="preserve"> Versace Eau Fraiche Eau de Toilette Spray 100ml</v>
      </c>
      <c r="C2005" t="s">
        <v>276</v>
      </c>
      <c r="D2005" t="s">
        <v>844</v>
      </c>
    </row>
    <row r="2006" spans="1:4" x14ac:dyDescent="0.25">
      <c r="B2006" t="str">
        <f>HYPERLINK("https://www.chemistwarehouse.com.au/buy/47806/Jean-Paul-Gaultier-Le-Male-125ml-Spray"," Jean Paul Gaultier Le Male 125ml Spray")</f>
        <v xml:space="preserve"> Jean Paul Gaultier Le Male 125ml Spray</v>
      </c>
      <c r="C2006" t="s">
        <v>514</v>
      </c>
      <c r="D2006" t="s">
        <v>845</v>
      </c>
    </row>
    <row r="2007" spans="1:4" x14ac:dyDescent="0.25">
      <c r="B2007" t="str">
        <f>HYPERLINK("https://www.chemistwarehouse.com.au/buy/66453/David-Beckham-Signature-150ml-Deodorant-Spray"," David Beckham Signature 150ml Deodorant Spray")</f>
        <v xml:space="preserve"> David Beckham Signature 150ml Deodorant Spray</v>
      </c>
      <c r="C2007" t="s">
        <v>556</v>
      </c>
      <c r="D2007" t="s">
        <v>167</v>
      </c>
    </row>
    <row r="2008" spans="1:4" x14ac:dyDescent="0.25">
      <c r="B2008" t="str">
        <f>HYPERLINK("https://www.chemistwarehouse.com.au/buy/68640/David-Beckham-Classic-Eau-De-Toilette-90ml"," David Beckham Classic Eau De Toilette 90ml")</f>
        <v xml:space="preserve"> David Beckham Classic Eau De Toilette 90ml</v>
      </c>
      <c r="C2008" t="s">
        <v>1</v>
      </c>
      <c r="D2008" t="s">
        <v>510</v>
      </c>
    </row>
    <row r="2009" spans="1:4" x14ac:dyDescent="0.25">
      <c r="A2009" t="s">
        <v>846</v>
      </c>
    </row>
    <row r="2010" spans="1:4" x14ac:dyDescent="0.25">
      <c r="B2010" t="str">
        <f>HYPERLINK("https://www.chemistwarehouse.com.au/buy/48454/Elizabeth-Arden-Green-Tea-100ml-Eau-de-Toilette-Spray-100mL"," Elizabeth Arden Green Tea 100ml Eau de Toilette Spray 100mL")</f>
        <v xml:space="preserve"> Elizabeth Arden Green Tea 100ml Eau de Toilette Spray 100mL</v>
      </c>
      <c r="C2010" t="s">
        <v>187</v>
      </c>
      <c r="D2010" t="s">
        <v>847</v>
      </c>
    </row>
    <row r="2011" spans="1:4" x14ac:dyDescent="0.25">
      <c r="B2011" t="str">
        <f>HYPERLINK("https://www.chemistwarehouse.com.au/buy/47807/Sunflowers-by-Elizabeth-Arden-Eau-De-Toilette-Spray-100ml"," Sunflowers by Elizabeth Arden Eau De Toilette Spray 100ml")</f>
        <v xml:space="preserve"> Sunflowers by Elizabeth Arden Eau De Toilette Spray 100ml</v>
      </c>
      <c r="C2011" t="s">
        <v>187</v>
      </c>
      <c r="D2011" t="s">
        <v>847</v>
      </c>
    </row>
    <row r="2012" spans="1:4" x14ac:dyDescent="0.25">
      <c r="B2012" t="str">
        <f>HYPERLINK("https://www.chemistwarehouse.com.au/buy/50524/Elizabeth-Arden-Blue-Grass-Eau-de-Toilette-Spray-100ml"," Elizabeth Arden Blue Grass Eau de Toilette Spray 100ml")</f>
        <v xml:space="preserve"> Elizabeth Arden Blue Grass Eau de Toilette Spray 100ml</v>
      </c>
      <c r="C2012" t="s">
        <v>187</v>
      </c>
      <c r="D2012" t="s">
        <v>489</v>
      </c>
    </row>
    <row r="2013" spans="1:4" x14ac:dyDescent="0.25">
      <c r="B2013" t="str">
        <f>HYPERLINK("https://www.chemistwarehouse.com.au/buy/40022/Vanderbilt-Eau-De-Toilette-Spray-100mL-by-Gloria-Vanderbilt"," Vanderbilt Eau De Toilette Spray 100mL by Gloria Vanderbilt")</f>
        <v xml:space="preserve"> Vanderbilt Eau De Toilette Spray 100mL by Gloria Vanderbilt</v>
      </c>
      <c r="C2013" t="s">
        <v>45</v>
      </c>
      <c r="D2013" t="s">
        <v>848</v>
      </c>
    </row>
    <row r="2014" spans="1:4" x14ac:dyDescent="0.25">
      <c r="B2014" t="str">
        <f>HYPERLINK("https://www.chemistwarehouse.com.au/buy/50987/Calvin-Klein-CK-One-200ml-Eau-de-Toilette-Spray"," Calvin Klein CK One 200ml Eau de Toilette Spray")</f>
        <v xml:space="preserve"> Calvin Klein CK One 200ml Eau de Toilette Spray</v>
      </c>
      <c r="C2014" t="s">
        <v>123</v>
      </c>
      <c r="D2014" t="s">
        <v>838</v>
      </c>
    </row>
    <row r="2015" spans="1:4" x14ac:dyDescent="0.25">
      <c r="B2015" t="str">
        <f>HYPERLINK("https://www.chemistwarehouse.com.au/buy/78922/Sarah-Jessica-Parker-Lovely-Eau-de-Parfum-30ml-Spray"," Sarah Jessica Parker Lovely Eau de Parfum 30ml Spray")</f>
        <v xml:space="preserve"> Sarah Jessica Parker Lovely Eau de Parfum 30ml Spray</v>
      </c>
      <c r="C2015" t="s">
        <v>237</v>
      </c>
      <c r="D2015">
        <v>0</v>
      </c>
    </row>
    <row r="2016" spans="1:4" x14ac:dyDescent="0.25">
      <c r="B2016" t="str">
        <f>HYPERLINK("https://www.chemistwarehouse.com.au/buy/40011/Maroussia-by-Slavia-Zaitsev-Eau-de-Toilette-Spray-100mL"," Maroussia by Slavia Zaitsev Eau de Toilette Spray 100mL")</f>
        <v xml:space="preserve"> Maroussia by Slavia Zaitsev Eau de Toilette Spray 100mL</v>
      </c>
      <c r="C2016" t="s">
        <v>237</v>
      </c>
      <c r="D2016" t="s">
        <v>849</v>
      </c>
    </row>
    <row r="2017" spans="2:4" x14ac:dyDescent="0.25">
      <c r="B2017" t="str">
        <f>HYPERLINK("https://www.chemistwarehouse.com.au/buy/57817/Jean-Paul-Gaultier-for-Women-Eau-De-Toilette-100ml-Spray"," Jean Paul Gaultier for Women Eau De Toilette 100ml Spray ")</f>
        <v xml:space="preserve"> Jean Paul Gaultier for Women Eau De Toilette 100ml Spray </v>
      </c>
      <c r="C2017" t="s">
        <v>514</v>
      </c>
      <c r="D2017" t="s">
        <v>850</v>
      </c>
    </row>
    <row r="2018" spans="2:4" x14ac:dyDescent="0.25">
      <c r="B2018" t="str">
        <f>HYPERLINK("https://www.chemistwarehouse.com.au/buy/57909/Issey-Miyake-for-Women-Eau-De-Toilette-100ml-Spray"," Issey Miyake for Women Eau De Toilette 100ml Spray ")</f>
        <v xml:space="preserve"> Issey Miyake for Women Eau De Toilette 100ml Spray </v>
      </c>
      <c r="C2018" t="s">
        <v>514</v>
      </c>
      <c r="D2018" t="s">
        <v>850</v>
      </c>
    </row>
    <row r="2019" spans="2:4" x14ac:dyDescent="0.25">
      <c r="B2019" t="str">
        <f>HYPERLINK("https://www.chemistwarehouse.com.au/buy/65153/4711-Colognettes"," 4711 Colognettes")</f>
        <v xml:space="preserve"> 4711 Colognettes</v>
      </c>
      <c r="C2019" t="s">
        <v>556</v>
      </c>
      <c r="D2019" t="s">
        <v>115</v>
      </c>
    </row>
    <row r="2020" spans="2:4" x14ac:dyDescent="0.25">
      <c r="B2020" t="str">
        <f>HYPERLINK("https://www.chemistwarehouse.com.au/buy/59838/Bvlgari-Rose-Essentials-100ml-Eau-de-Toilette-Spray"," Bvlgari Rose Essentials 100ml Eau de Toilette Spray")</f>
        <v xml:space="preserve"> Bvlgari Rose Essentials 100ml Eau de Toilette Spray</v>
      </c>
      <c r="C2020" t="s">
        <v>276</v>
      </c>
      <c r="D2020" t="s">
        <v>851</v>
      </c>
    </row>
    <row r="2021" spans="2:4" x14ac:dyDescent="0.25">
      <c r="B2021" t="str">
        <f>HYPERLINK("https://www.chemistwarehouse.com.au/buy/57845/Calvin-Klein-Euphoria-for-Women-Eau-de-Parfum-100ml-Spray"," Calvin Klein Euphoria for Women Eau de Parfum 100ml Spray")</f>
        <v xml:space="preserve"> Calvin Klein Euphoria for Women Eau de Parfum 100ml Spray</v>
      </c>
      <c r="C2021" t="s">
        <v>276</v>
      </c>
      <c r="D2021" t="s">
        <v>841</v>
      </c>
    </row>
    <row r="2022" spans="2:4" x14ac:dyDescent="0.25">
      <c r="B2022" t="str">
        <f>HYPERLINK("https://www.chemistwarehouse.com.au/buy/65900/Ed-Hardy-Women-Eau-de-Parfum-100ml-Spray"," Ed Hardy Women Eau de Parfum 100ml Spray")</f>
        <v xml:space="preserve"> Ed Hardy Women Eau de Parfum 100ml Spray</v>
      </c>
      <c r="C2022" t="s">
        <v>6</v>
      </c>
      <c r="D2022" t="s">
        <v>852</v>
      </c>
    </row>
    <row r="2023" spans="2:4" x14ac:dyDescent="0.25">
      <c r="B2023" t="str">
        <f>HYPERLINK("https://www.chemistwarehouse.com.au/buy/49911/Lou-Lou-by-Cacharel-Eau-De-Parfum-Spray-30ml"," Lou Lou by Cacharel Eau De Parfum Spray 30ml")</f>
        <v xml:space="preserve"> Lou Lou by Cacharel Eau De Parfum Spray 30ml</v>
      </c>
      <c r="C2023" t="s">
        <v>113</v>
      </c>
      <c r="D2023" t="s">
        <v>853</v>
      </c>
    </row>
    <row r="2024" spans="2:4" x14ac:dyDescent="0.25">
      <c r="B2024" t="str">
        <f>HYPERLINK("https://www.chemistwarehouse.com.au/buy/52337/Chopard-Wish-Eau-de-Parfum-Spray-75mL"," Chopard Wish Eau de Parfum Spray 75mL")</f>
        <v xml:space="preserve"> Chopard Wish Eau de Parfum Spray 75mL</v>
      </c>
      <c r="C2024" t="s">
        <v>6</v>
      </c>
      <c r="D2024" t="s">
        <v>510</v>
      </c>
    </row>
    <row r="2025" spans="2:4" x14ac:dyDescent="0.25">
      <c r="B2025" t="str">
        <f>HYPERLINK("https://www.chemistwarehouse.com.au/buy/65461/Meow-By-Katy-Perry-100ml-Eau-de-Parfum-Spray"," Meow By Katy Perry 100ml Eau de Parfum Spray")</f>
        <v xml:space="preserve"> Meow By Katy Perry 100ml Eau de Parfum Spray</v>
      </c>
      <c r="C2025" t="s">
        <v>63</v>
      </c>
      <c r="D2025" t="s">
        <v>844</v>
      </c>
    </row>
    <row r="2026" spans="2:4" x14ac:dyDescent="0.25">
      <c r="B2026" t="str">
        <f>HYPERLINK("https://www.chemistwarehouse.com.au/buy/67750/Beyonce-Midnight-Heat-Eau-De-Parfum-100ml-Spray"," Beyonce Midnight Heat Eau De Parfum 100ml Spray ")</f>
        <v xml:space="preserve"> Beyonce Midnight Heat Eau De Parfum 100ml Spray </v>
      </c>
      <c r="C2026" t="s">
        <v>61</v>
      </c>
      <c r="D2026" t="s">
        <v>854</v>
      </c>
    </row>
    <row r="2027" spans="2:4" x14ac:dyDescent="0.25">
      <c r="B2027" t="str">
        <f>HYPERLINK("https://www.chemistwarehouse.com.au/buy/79006/Victoria-Secret-Mist-Coconut-Passion-250ml-Spray"," Victoria Secret Mist Coconut Passion 250ml Spray")</f>
        <v xml:space="preserve"> Victoria Secret Mist Coconut Passion 250ml Spray</v>
      </c>
      <c r="C2027" t="s">
        <v>45</v>
      </c>
      <c r="D2027" t="s">
        <v>46</v>
      </c>
    </row>
    <row r="2028" spans="2:4" x14ac:dyDescent="0.25">
      <c r="B2028" t="str">
        <f>HYPERLINK("https://www.chemistwarehouse.com.au/buy/82399/Britney-Spears-Fantasy-In-Bloom-Eau-de-Parfum-100ml"," Britney Spears Fantasy In Bloom Eau de Parfum 100ml")</f>
        <v xml:space="preserve"> Britney Spears Fantasy In Bloom Eau de Parfum 100ml</v>
      </c>
      <c r="C2028" t="s">
        <v>166</v>
      </c>
      <c r="D2028" t="s">
        <v>489</v>
      </c>
    </row>
    <row r="2029" spans="2:4" x14ac:dyDescent="0.25">
      <c r="B2029" t="str">
        <f>HYPERLINK("https://www.chemistwarehouse.com.au/buy/69568/Katy-Perry-Killer-Queen-100ml-Eau-De-Parfum-Spray"," Katy Perry Killer Queen 100ml Eau De Parfum Spray")</f>
        <v xml:space="preserve"> Katy Perry Killer Queen 100ml Eau De Parfum Spray</v>
      </c>
      <c r="C2029" t="s">
        <v>63</v>
      </c>
      <c r="D2029" t="s">
        <v>844</v>
      </c>
    </row>
    <row r="2030" spans="2:4" x14ac:dyDescent="0.25">
      <c r="B2030" t="str">
        <f>HYPERLINK("https://www.chemistwarehouse.com.au/buy/57912/Marc-Jacobs-Daisy-Eau-de-Toilette-100ml-Spray"," Marc Jacobs Daisy Eau de Toilette 100ml Spray")</f>
        <v xml:space="preserve"> Marc Jacobs Daisy Eau de Toilette 100ml Spray</v>
      </c>
      <c r="C2030" t="s">
        <v>833</v>
      </c>
      <c r="D2030" t="s">
        <v>837</v>
      </c>
    </row>
    <row r="2031" spans="2:4" x14ac:dyDescent="0.25">
      <c r="B2031" t="str">
        <f>HYPERLINK("https://www.chemistwarehouse.com.au/buy/52727/Lovely-by-Sarah-Jessica-Parker-Eau-de-Parfum-Spray-100ml"," Lovely by Sarah Jessica Parker Eau de Parfum Spray 100ml")</f>
        <v xml:space="preserve"> Lovely by Sarah Jessica Parker Eau de Parfum Spray 100ml</v>
      </c>
      <c r="C2031" t="s">
        <v>6</v>
      </c>
      <c r="D2031">
        <v>0</v>
      </c>
    </row>
    <row r="2032" spans="2:4" x14ac:dyDescent="0.25">
      <c r="B2032" t="str">
        <f>HYPERLINK("https://www.chemistwarehouse.com.au/buy/51897/Still-By-J-Lo-Eau-de-Parfum-Spray-100mL"," Still By J.Lo Eau de Parfum Spray 100mL")</f>
        <v xml:space="preserve"> Still By J.Lo Eau de Parfum Spray 100mL</v>
      </c>
      <c r="C2032" t="s">
        <v>10</v>
      </c>
      <c r="D2032" t="s">
        <v>835</v>
      </c>
    </row>
    <row r="2033" spans="1:4" x14ac:dyDescent="0.25">
      <c r="B2033" t="str">
        <f>HYPERLINK("https://www.chemistwarehouse.com.au/buy/68103/Marc-Jacobs-Daisy-Eau-So-Fresh-125ml-Eau-de-Toilette"," Marc Jacobs Daisy Eau So Fresh 125ml Eau de Toilette")</f>
        <v xml:space="preserve"> Marc Jacobs Daisy Eau So Fresh 125ml Eau de Toilette</v>
      </c>
      <c r="C2033" t="s">
        <v>614</v>
      </c>
      <c r="D2033" t="s">
        <v>832</v>
      </c>
    </row>
    <row r="2034" spans="1:4" x14ac:dyDescent="0.25">
      <c r="A2034" t="s">
        <v>855</v>
      </c>
    </row>
    <row r="2035" spans="1:4" x14ac:dyDescent="0.25">
      <c r="B2035" t="str">
        <f>HYPERLINK("https://www.chemistwarehouse.com.au/buy/52325/Bvlgari-Black-Eau-De-Toilette-Spray-40mL"," Bvlgari Black Eau De Toilette Spray 40mL")</f>
        <v xml:space="preserve"> Bvlgari Black Eau De Toilette Spray 40mL</v>
      </c>
      <c r="C2035" t="s">
        <v>113</v>
      </c>
      <c r="D2035" t="s">
        <v>837</v>
      </c>
    </row>
    <row r="2036" spans="1:4" x14ac:dyDescent="0.25">
      <c r="B2036" t="str">
        <f>HYPERLINK("https://www.chemistwarehouse.com.au/buy/52329/4711-Cologne-300mL"," 4711 Cologne 300mL")</f>
        <v xml:space="preserve"> 4711 Cologne 300mL</v>
      </c>
      <c r="C2036" t="s">
        <v>113</v>
      </c>
      <c r="D2036" t="s">
        <v>856</v>
      </c>
    </row>
    <row r="2037" spans="1:4" x14ac:dyDescent="0.25">
      <c r="B2037" t="str">
        <f>HYPERLINK("https://www.chemistwarehouse.com.au/buy/78684/Calvin-Klein-CK2-Eau-De-Toilette-100ml"," Calvin Klein CK2 Eau De Toilette 100ml")</f>
        <v xml:space="preserve"> Calvin Klein CK2 Eau De Toilette 100ml</v>
      </c>
      <c r="C2037" t="s">
        <v>833</v>
      </c>
      <c r="D2037" t="s">
        <v>857</v>
      </c>
    </row>
    <row r="2038" spans="1:4" x14ac:dyDescent="0.25">
      <c r="B2038" t="str">
        <f>HYPERLINK("https://www.chemistwarehouse.com.au/buy/78733/Calvin-Klein-CK2-Eau-De-Toilette-50ml"," Calvin Klein CK2 Eau De Toilette 50ml")</f>
        <v xml:space="preserve"> Calvin Klein CK2 Eau De Toilette 50ml</v>
      </c>
      <c r="C2038" t="s">
        <v>514</v>
      </c>
      <c r="D2038" t="s">
        <v>857</v>
      </c>
    </row>
    <row r="2039" spans="1:4" x14ac:dyDescent="0.25">
      <c r="A2039" t="s">
        <v>858</v>
      </c>
    </row>
    <row r="2040" spans="1:4" x14ac:dyDescent="0.25">
      <c r="B2040" t="str">
        <f>HYPERLINK("https://www.chemistwarehouse.com.au/buy/82085/Britney-Spears-Private-Show-Eau-de-Parfum-100ml-3-Piece-Set"," Britney Spears Private Show Eau de Parfum 100ml 3 Piece Set")</f>
        <v xml:space="preserve"> Britney Spears Private Show Eau de Parfum 100ml 3 Piece Set</v>
      </c>
      <c r="C2040" t="s">
        <v>859</v>
      </c>
      <c r="D2040">
        <v>0</v>
      </c>
    </row>
    <row r="2041" spans="1:4" x14ac:dyDescent="0.25">
      <c r="B2041" t="str">
        <f>HYPERLINK("https://www.chemistwarehouse.com.au/buy/77395/Joop-Homme-Eau-De-Toilette-125ML-Aftershave-Set"," Joop Homme Eau De Toilette 125ML + Aftershave Set")</f>
        <v xml:space="preserve"> Joop Homme Eau De Toilette 125ML + Aftershave Set</v>
      </c>
      <c r="C2041" t="s">
        <v>276</v>
      </c>
      <c r="D2041">
        <v>0</v>
      </c>
    </row>
    <row r="2042" spans="1:4" x14ac:dyDescent="0.25">
      <c r="B2042" t="str">
        <f>HYPERLINK("https://www.chemistwarehouse.com.au/buy/58797/Estee-Lauder-Mini-5-Piece-Set"," Estee Lauder Mini 5 Piece Set")</f>
        <v xml:space="preserve"> Estee Lauder Mini 5 Piece Set</v>
      </c>
      <c r="C2042" t="s">
        <v>514</v>
      </c>
      <c r="D2042">
        <v>0</v>
      </c>
    </row>
    <row r="2043" spans="1:4" x14ac:dyDescent="0.25">
      <c r="B2043" t="str">
        <f>HYPERLINK("https://www.chemistwarehouse.com.au/buy/62341/Bvlgari-5-Piece-Miniature-Set"," Bvlgari 5 Piece Miniature Set ")</f>
        <v xml:space="preserve"> Bvlgari 5 Piece Miniature Set </v>
      </c>
      <c r="C2043" t="s">
        <v>276</v>
      </c>
      <c r="D2043">
        <v>0</v>
      </c>
    </row>
    <row r="2044" spans="1:4" x14ac:dyDescent="0.25">
      <c r="B2044" t="str">
        <f>HYPERLINK("https://www.chemistwarehouse.com.au/buy/82089/Kenneth-Cole-100ml-Eau-De-Toilette-4-Piece-Set"," Kenneth Cole 100ml Eau De Toilette 4 Piece Set")</f>
        <v xml:space="preserve"> Kenneth Cole 100ml Eau De Toilette 4 Piece Set</v>
      </c>
      <c r="C2044" t="s">
        <v>113</v>
      </c>
      <c r="D2044">
        <v>0</v>
      </c>
    </row>
    <row r="2045" spans="1:4" x14ac:dyDescent="0.25">
      <c r="B2045" t="str">
        <f>HYPERLINK("https://www.chemistwarehouse.com.au/buy/81894/ACDC-Ladies-Eau-de-Toilette-100ml-3-Piece-Set"," ACDC Ladies Eau de Toilette 100ml 3 Piece Set")</f>
        <v xml:space="preserve"> ACDC Ladies Eau de Toilette 100ml 3 Piece Set</v>
      </c>
      <c r="C2045" t="s">
        <v>187</v>
      </c>
      <c r="D2045">
        <v>0</v>
      </c>
    </row>
    <row r="2046" spans="1:4" x14ac:dyDescent="0.25">
      <c r="B2046" t="str">
        <f>HYPERLINK("https://www.chemistwarehouse.com.au/buy/81895/Beyonce-Heat-Kissed-Eau-De-Parfum-50ml-2-Piece-Set"," Beyonce Heat Kissed Eau De Parfum 50ml 2 Piece Set")</f>
        <v xml:space="preserve"> Beyonce Heat Kissed Eau De Parfum 50ml 2 Piece Set</v>
      </c>
      <c r="C2046" t="s">
        <v>187</v>
      </c>
      <c r="D2046">
        <v>0</v>
      </c>
    </row>
    <row r="2047" spans="1:4" x14ac:dyDescent="0.25">
      <c r="B2047" t="str">
        <f>HYPERLINK("https://www.chemistwarehouse.com.au/buy/49415/Lomani-Gift-Set-Eau-de-Toilette-Spray-100ml-amp-Deod-Gift-Set"," Lomani Gift Set Eau de Toilette Spray 100ml &amp; Deod Gift Set")</f>
        <v xml:space="preserve"> Lomani Gift Set Eau de Toilette Spray 100ml &amp; Deod Gift Set</v>
      </c>
      <c r="C2047" t="s">
        <v>187</v>
      </c>
      <c r="D2047">
        <v>0</v>
      </c>
    </row>
    <row r="2048" spans="1:4" x14ac:dyDescent="0.25">
      <c r="B2048" t="str">
        <f>HYPERLINK("https://www.chemistwarehouse.com.au/buy/73868/Mercedes-Benz-Club-50ml-2-Piece-Set"," Mercedes Benz Club 50ml 2 Piece Set")</f>
        <v xml:space="preserve"> Mercedes Benz Club 50ml 2 Piece Set</v>
      </c>
      <c r="C2048" t="s">
        <v>6</v>
      </c>
      <c r="D2048">
        <v>0</v>
      </c>
    </row>
    <row r="2049" spans="1:4" x14ac:dyDescent="0.25">
      <c r="B2049" t="str">
        <f>HYPERLINK("https://www.chemistwarehouse.com.au/buy/77410/Elizabeth-Arden-5th-Avenue-125ml-3-Piece-Set"," Elizabeth Arden 5th Avenue 125ml 3 Piece Set")</f>
        <v xml:space="preserve"> Elizabeth Arden 5th Avenue 125ml 3 Piece Set</v>
      </c>
      <c r="C2049" t="s">
        <v>6</v>
      </c>
      <c r="D2049">
        <v>0</v>
      </c>
    </row>
    <row r="2050" spans="1:4" x14ac:dyDescent="0.25">
      <c r="B2050" t="str">
        <f>HYPERLINK("https://www.chemistwarehouse.com.au/buy/77438/Jovan-White-Musk-59ml-Spray-and-30ml-2-Piece-Set"," Jovan White Musk 59ml Spray and 30ml 2 Piece Set")</f>
        <v xml:space="preserve"> Jovan White Musk 59ml Spray and 30ml 2 Piece Set</v>
      </c>
      <c r="C2050" t="s">
        <v>1</v>
      </c>
      <c r="D2050">
        <v>0</v>
      </c>
    </row>
    <row r="2051" spans="1:4" x14ac:dyDescent="0.25">
      <c r="B2051" t="str">
        <f>HYPERLINK("https://www.chemistwarehouse.com.au/buy/55373/Vanilla-Fields-50ml-2-Piece-Set"," Vanilla Fields 50ml 2 Piece Set ")</f>
        <v xml:space="preserve"> Vanilla Fields 50ml 2 Piece Set </v>
      </c>
      <c r="C2051" t="s">
        <v>187</v>
      </c>
      <c r="D2051">
        <v>0</v>
      </c>
    </row>
    <row r="2052" spans="1:4" x14ac:dyDescent="0.25">
      <c r="B2052" t="str">
        <f>HYPERLINK("https://www.chemistwarehouse.com.au/buy/67359/Kim-Kardashian-Gold-100ml-3-Piece-Set"," Kim Kardashian Gold 100ml 3 Piece Set")</f>
        <v xml:space="preserve"> Kim Kardashian Gold 100ml 3 Piece Set</v>
      </c>
      <c r="C2052" t="s">
        <v>6</v>
      </c>
      <c r="D2052">
        <v>0</v>
      </c>
    </row>
    <row r="2053" spans="1:4" x14ac:dyDescent="0.25">
      <c r="B2053" t="str">
        <f>HYPERLINK("https://www.chemistwarehouse.com.au/buy/66712/Fcuk-Friction-Her-100ml-3-Piece-Set"," Fcuk Friction Her 100ml 3 Piece Set")</f>
        <v xml:space="preserve"> Fcuk Friction Her 100ml 3 Piece Set</v>
      </c>
      <c r="C2053" t="s">
        <v>6</v>
      </c>
      <c r="D2053">
        <v>0</v>
      </c>
    </row>
    <row r="2054" spans="1:4" x14ac:dyDescent="0.25">
      <c r="B2054" t="str">
        <f>HYPERLINK("https://www.chemistwarehouse.com.au/buy/82086/Taylor-by-Taylor-Swift-30ml-Gift-Set"," Taylor by Taylor Swift 30ml Gift Set")</f>
        <v xml:space="preserve"> Taylor by Taylor Swift 30ml Gift Set</v>
      </c>
      <c r="C2054" t="s">
        <v>276</v>
      </c>
      <c r="D2054">
        <v>0</v>
      </c>
    </row>
    <row r="2055" spans="1:4" x14ac:dyDescent="0.25">
      <c r="B2055" t="str">
        <f>HYPERLINK("https://www.chemistwarehouse.com.au/buy/82063/Laimant-30ml-Eau-De-Toilette-3-Piece-Set"," Laimant 30ml Eau De Toilette 3 Piece Set")</f>
        <v xml:space="preserve"> Laimant 30ml Eau De Toilette 3 Piece Set</v>
      </c>
      <c r="C2055" t="s">
        <v>1</v>
      </c>
      <c r="D2055">
        <v>0</v>
      </c>
    </row>
    <row r="2056" spans="1:4" x14ac:dyDescent="0.25">
      <c r="B2056" t="str">
        <f>HYPERLINK("https://www.chemistwarehouse.com.au/buy/82082/Playboy-Play-It-Wild-100ml-2-Piece-Set"," Playboy Play It Wild 100ml 2 Piece Set")</f>
        <v xml:space="preserve"> Playboy Play It Wild 100ml 2 Piece Set</v>
      </c>
      <c r="C2056" t="s">
        <v>340</v>
      </c>
      <c r="D2056">
        <v>0</v>
      </c>
    </row>
    <row r="2057" spans="1:4" x14ac:dyDescent="0.25">
      <c r="B2057" t="str">
        <f>HYPERLINK("https://www.chemistwarehouse.com.au/buy/82224/Playboy-Play-It-Wild-100ml-3-Piece-Set"," Playboy Play It Wild 100ml 3 Piece Set")</f>
        <v xml:space="preserve"> Playboy Play It Wild 100ml 3 Piece Set</v>
      </c>
      <c r="C2057" t="s">
        <v>187</v>
      </c>
      <c r="D2057">
        <v>0</v>
      </c>
    </row>
    <row r="2058" spans="1:4" x14ac:dyDescent="0.25">
      <c r="B2058" t="str">
        <f>HYPERLINK("https://www.chemistwarehouse.com.au/buy/81897/Jimmy-Choo-Blossom-Eau-de-Parfum-Spray-100ml-3-Piece-Set"," Jimmy Choo Blossom Eau de Parfum Spray 100ml 3 Piece Set")</f>
        <v xml:space="preserve"> Jimmy Choo Blossom Eau de Parfum Spray 100ml 3 Piece Set</v>
      </c>
      <c r="C2058" t="s">
        <v>833</v>
      </c>
      <c r="D2058">
        <v>0</v>
      </c>
    </row>
    <row r="2059" spans="1:4" x14ac:dyDescent="0.25">
      <c r="B2059" t="str">
        <f>HYPERLINK("https://www.chemistwarehouse.com.au/buy/79632/Rihanna-RIRI-100ml-Eau-de-Parfum-3-Piece-Set"," Rihanna RIRI 100ml Eau de Parfum 3 Piece Set")</f>
        <v xml:space="preserve"> Rihanna RIRI 100ml Eau de Parfum 3 Piece Set</v>
      </c>
      <c r="C2059" t="s">
        <v>276</v>
      </c>
      <c r="D2059">
        <v>0</v>
      </c>
    </row>
    <row r="2060" spans="1:4" x14ac:dyDescent="0.25">
      <c r="B2060" t="str">
        <f>HYPERLINK("https://www.chemistwarehouse.com.au/buy/81644/Hollister-California-Wave-Her-Eau-De-Parfum-100ml-plus-Shower-Gel-Set"," Hollister California Wave Her Eau De Parfum 100ml plus Shower Gel Set")</f>
        <v xml:space="preserve"> Hollister California Wave Her Eau De Parfum 100ml plus Shower Gel Set</v>
      </c>
      <c r="C2060" t="s">
        <v>166</v>
      </c>
      <c r="D2060">
        <v>0</v>
      </c>
    </row>
    <row r="2061" spans="1:4" x14ac:dyDescent="0.25">
      <c r="B2061" t="str">
        <f>HYPERLINK("https://www.chemistwarehouse.com.au/buy/73836/Bvlgari-Aqva-Pour-Homme-Eau-de-Toilette-100ml-Spray-3-Piece-Set"," Bvlgari Aqva Pour Homme Eau de Toilette 100ml Spray 3 Piece Set")</f>
        <v xml:space="preserve"> Bvlgari Aqva Pour Homme Eau de Toilette 100ml Spray 3 Piece Set</v>
      </c>
      <c r="C2061" t="s">
        <v>514</v>
      </c>
      <c r="D2061">
        <v>0</v>
      </c>
    </row>
    <row r="2062" spans="1:4" x14ac:dyDescent="0.25">
      <c r="B2062" t="str">
        <f>HYPERLINK("https://www.chemistwarehouse.com.au/buy/76454/Versace-Pour-Homme-Set-Eau-de-Toilette-50ml-plus-Shower-Gel-50ml-plus-Shampoo-50ml"," Versace Pour Homme Set Eau de Toilette 50ml plus Shower Gel 50ml plus Shampoo 50ml")</f>
        <v xml:space="preserve"> Versace Pour Homme Set Eau de Toilette 50ml plus Shower Gel 50ml plus Shampoo 50ml</v>
      </c>
      <c r="C2062" t="s">
        <v>859</v>
      </c>
      <c r="D2062">
        <v>0</v>
      </c>
    </row>
    <row r="2063" spans="1:4" x14ac:dyDescent="0.25">
      <c r="B2063" t="str">
        <f>HYPERLINK("https://www.chemistwarehouse.com.au/buy/76331/Calvin-Klein-Eternity-Eau-de-Toilette-2-Piece-Set"," Calvin Klein Eternity Eau de Toilette 2 Piece Set")</f>
        <v xml:space="preserve"> Calvin Klein Eternity Eau de Toilette 2 Piece Set</v>
      </c>
      <c r="C2063" t="s">
        <v>860</v>
      </c>
      <c r="D2063">
        <v>0</v>
      </c>
    </row>
    <row r="2064" spans="1:4" x14ac:dyDescent="0.25">
      <c r="A2064" t="s">
        <v>861</v>
      </c>
    </row>
    <row r="2065" spans="1:4" x14ac:dyDescent="0.25">
      <c r="B2065" t="str">
        <f>HYPERLINK("https://www.chemistwarehouse.com.au/buy/73276/Ciate-Caviar-Nail-Polish-Tutti-Fruitty-Set"," Ciate Caviar Nail Polish Tutti Fruitty Set")</f>
        <v xml:space="preserve"> Ciate Caviar Nail Polish Tutti Fruitty Set</v>
      </c>
      <c r="C2065" t="s">
        <v>162</v>
      </c>
      <c r="D2065" t="s">
        <v>187</v>
      </c>
    </row>
    <row r="2066" spans="1:4" x14ac:dyDescent="0.25">
      <c r="B2066" t="str">
        <f>HYPERLINK("https://www.chemistwarehouse.com.au/buy/73783/Ciate-Neon-Nail-Polish-Club-Tropicana-Set"," Ciate Neon Nail Polish Club Tropicana Set")</f>
        <v xml:space="preserve"> Ciate Neon Nail Polish Club Tropicana Set</v>
      </c>
      <c r="C2066" t="s">
        <v>162</v>
      </c>
      <c r="D2066" t="s">
        <v>187</v>
      </c>
    </row>
    <row r="2067" spans="1:4" x14ac:dyDescent="0.25">
      <c r="B2067" t="str">
        <f>HYPERLINK("https://www.chemistwarehouse.com.au/buy/73784/Ciate-Neon-Nail-Polish-Foam-Party-Set"," Ciate Neon Nail Polish Foam Party Set")</f>
        <v xml:space="preserve"> Ciate Neon Nail Polish Foam Party Set</v>
      </c>
      <c r="C2067" t="s">
        <v>162</v>
      </c>
      <c r="D2067" t="s">
        <v>187</v>
      </c>
    </row>
    <row r="2068" spans="1:4" x14ac:dyDescent="0.25">
      <c r="B2068" t="str">
        <f>HYPERLINK("https://www.chemistwarehouse.com.au/buy/73785/Ciate-Neon-Nail-Polish-Megaphone-Set"," Ciate Neon Nail Polish Megaphone Set")</f>
        <v xml:space="preserve"> Ciate Neon Nail Polish Megaphone Set</v>
      </c>
      <c r="C2068" t="s">
        <v>162</v>
      </c>
      <c r="D2068" t="s">
        <v>187</v>
      </c>
    </row>
    <row r="2069" spans="1:4" x14ac:dyDescent="0.25">
      <c r="B2069" t="str">
        <f>HYPERLINK("https://www.chemistwarehouse.com.au/buy/73786/Ciate-Neon-Nail-Polish-Shout-Out-Set"," Ciate Neon Nail Polish Shout Out Set")</f>
        <v xml:space="preserve"> Ciate Neon Nail Polish Shout Out Set</v>
      </c>
      <c r="C2069" t="s">
        <v>162</v>
      </c>
      <c r="D2069" t="s">
        <v>187</v>
      </c>
    </row>
    <row r="2070" spans="1:4" x14ac:dyDescent="0.25">
      <c r="B2070" t="str">
        <f>HYPERLINK("https://www.chemistwarehouse.com.au/buy/73271/Ciate-Caviar-Nail-Polish-Black-Pearls-Set"," Ciate Caviar Nail Polish Black Pearls Set")</f>
        <v xml:space="preserve"> Ciate Caviar Nail Polish Black Pearls Set</v>
      </c>
      <c r="C2070" t="s">
        <v>162</v>
      </c>
      <c r="D2070" t="s">
        <v>187</v>
      </c>
    </row>
    <row r="2071" spans="1:4" x14ac:dyDescent="0.25">
      <c r="B2071" t="str">
        <f>HYPERLINK("https://www.chemistwarehouse.com.au/buy/73273/Ciate-Caviar-Nail-Polish-Lemon-Fizz-Set"," Ciate Caviar Nail Polish Lemon Fizz Set")</f>
        <v xml:space="preserve"> Ciate Caviar Nail Polish Lemon Fizz Set</v>
      </c>
      <c r="C2071" t="s">
        <v>162</v>
      </c>
      <c r="D2071" t="s">
        <v>187</v>
      </c>
    </row>
    <row r="2072" spans="1:4" x14ac:dyDescent="0.25">
      <c r="B2072" t="str">
        <f>HYPERLINK("https://www.chemistwarehouse.com.au/buy/73275/Ciate-Caviar-Nail-Polish-Rainbow-Set"," Ciate Caviar Nail Polish Rainbow Set")</f>
        <v xml:space="preserve"> Ciate Caviar Nail Polish Rainbow Set</v>
      </c>
      <c r="C2072" t="s">
        <v>45</v>
      </c>
      <c r="D2072" t="s">
        <v>46</v>
      </c>
    </row>
    <row r="2073" spans="1:4" x14ac:dyDescent="0.25">
      <c r="A2073" t="s">
        <v>862</v>
      </c>
    </row>
    <row r="2074" spans="1:4" x14ac:dyDescent="0.25">
      <c r="B2074" t="str">
        <f>HYPERLINK("https://www.chemistwarehouse.com.au/buy/70558/Revlon-Age-Defying-CC-Cream-Light"," Revlon Age Defying CC Cream Light")</f>
        <v xml:space="preserve"> Revlon Age Defying CC Cream Light</v>
      </c>
      <c r="C2074" t="s">
        <v>448</v>
      </c>
      <c r="D2074" t="s">
        <v>406</v>
      </c>
    </row>
    <row r="2075" spans="1:4" x14ac:dyDescent="0.25">
      <c r="B2075" t="str">
        <f>HYPERLINK("https://www.chemistwarehouse.com.au/buy/70559/Revlon-Age-Defying-CC-Cream-Light-Medium"," Revlon Age Defying CC Cream Light Medium")</f>
        <v xml:space="preserve"> Revlon Age Defying CC Cream Light Medium</v>
      </c>
      <c r="C2075" t="s">
        <v>448</v>
      </c>
      <c r="D2075" t="s">
        <v>406</v>
      </c>
    </row>
    <row r="2076" spans="1:4" x14ac:dyDescent="0.25">
      <c r="B2076" t="str">
        <f>HYPERLINK("https://www.chemistwarehouse.com.au/buy/70560/Revlon-Age-Defying-CC-Cream-Medium"," Revlon Age Defying CC Cream Medium")</f>
        <v xml:space="preserve"> Revlon Age Defying CC Cream Medium</v>
      </c>
      <c r="C2076" t="s">
        <v>448</v>
      </c>
      <c r="D2076" t="s">
        <v>406</v>
      </c>
    </row>
    <row r="2077" spans="1:4" x14ac:dyDescent="0.25">
      <c r="A2077" t="s">
        <v>863</v>
      </c>
    </row>
    <row r="2078" spans="1:4" x14ac:dyDescent="0.25">
      <c r="B2078" t="str">
        <f>HYPERLINK("https://www.chemistwarehouse.com.au/buy/70568/Revlon-Age-Defying-Firming-amp-Lifting-Makeup-Soft-Beige"," Revlon Age Defying Firming &amp; Lifting Makeup Soft Beige")</f>
        <v xml:space="preserve"> Revlon Age Defying Firming &amp; Lifting Makeup Soft Beige</v>
      </c>
      <c r="C2078" t="s">
        <v>864</v>
      </c>
      <c r="D2078" t="s">
        <v>821</v>
      </c>
    </row>
    <row r="2079" spans="1:4" x14ac:dyDescent="0.25">
      <c r="B2079" t="str">
        <f>HYPERLINK("https://www.chemistwarehouse.com.au/buy/70569/Revlon-Age-Defying-Firming-amp-Lifting-Makeup-Toast"," Revlon Age Defying Firming &amp; Lifting Makeup Toast")</f>
        <v xml:space="preserve"> Revlon Age Defying Firming &amp; Lifting Makeup Toast</v>
      </c>
      <c r="C2079" t="s">
        <v>864</v>
      </c>
      <c r="D2079" t="s">
        <v>821</v>
      </c>
    </row>
    <row r="2080" spans="1:4" x14ac:dyDescent="0.25">
      <c r="B2080" t="str">
        <f>HYPERLINK("https://www.chemistwarehouse.com.au/buy/70561/Revlon-Age-Defying-Firming-amp-Lifting-Makeup-Bare-Buff"," Revlon Age Defying Firming &amp; Lifting Makeup Bare Buff")</f>
        <v xml:space="preserve"> Revlon Age Defying Firming &amp; Lifting Makeup Bare Buff</v>
      </c>
      <c r="C2080" t="s">
        <v>864</v>
      </c>
      <c r="D2080" t="s">
        <v>821</v>
      </c>
    </row>
    <row r="2081" spans="1:4" x14ac:dyDescent="0.25">
      <c r="B2081" t="str">
        <f>HYPERLINK("https://www.chemistwarehouse.com.au/buy/70562/Revlon-Age-Defying-Firming-amp-Lifting-Makeup-Cool-Beige"," Revlon Age Defying Firming &amp; Lifting Makeup Cool Beige")</f>
        <v xml:space="preserve"> Revlon Age Defying Firming &amp; Lifting Makeup Cool Beige</v>
      </c>
      <c r="C2081" t="s">
        <v>864</v>
      </c>
      <c r="D2081" t="s">
        <v>821</v>
      </c>
    </row>
    <row r="2082" spans="1:4" x14ac:dyDescent="0.25">
      <c r="B2082" t="str">
        <f>HYPERLINK("https://www.chemistwarehouse.com.au/buy/70563/Revlon-Age-Defying-Firming-amp-Lifting-Makeup-Early-Tan"," Revlon Age Defying Firming &amp; Lifting Makeup Early Tan")</f>
        <v xml:space="preserve"> Revlon Age Defying Firming &amp; Lifting Makeup Early Tan</v>
      </c>
      <c r="C2082" t="s">
        <v>864</v>
      </c>
      <c r="D2082" t="s">
        <v>821</v>
      </c>
    </row>
    <row r="2083" spans="1:4" x14ac:dyDescent="0.25">
      <c r="B2083" t="str">
        <f>HYPERLINK("https://www.chemistwarehouse.com.au/buy/70564/Revlon-Age-Defying-Firming-amp-Lifting-Makeup-Fresh-Ivory"," Revlon Age Defying Firming &amp; Lifting Makeup Fresh Ivory")</f>
        <v xml:space="preserve"> Revlon Age Defying Firming &amp; Lifting Makeup Fresh Ivory</v>
      </c>
      <c r="C2083" t="s">
        <v>864</v>
      </c>
      <c r="D2083" t="s">
        <v>821</v>
      </c>
    </row>
    <row r="2084" spans="1:4" x14ac:dyDescent="0.25">
      <c r="B2084" t="str">
        <f>HYPERLINK("https://www.chemistwarehouse.com.au/buy/70565/Revlon-Age-Defying-Firming-amp-Lifting-Makeup-Honey-Beige"," Revlon Age Defying Firming &amp; Lifting Makeup Honey Beige")</f>
        <v xml:space="preserve"> Revlon Age Defying Firming &amp; Lifting Makeup Honey Beige</v>
      </c>
      <c r="C2084" t="s">
        <v>864</v>
      </c>
      <c r="D2084" t="s">
        <v>821</v>
      </c>
    </row>
    <row r="2085" spans="1:4" x14ac:dyDescent="0.25">
      <c r="B2085" t="str">
        <f>HYPERLINK("https://www.chemistwarehouse.com.au/buy/70566/Revlon-Age-Defying-Firming-amp-Lifting-Makeup-Medium-Beige"," Revlon Age Defying Firming &amp; Lifting Makeup Medium Beige")</f>
        <v xml:space="preserve"> Revlon Age Defying Firming &amp; Lifting Makeup Medium Beige</v>
      </c>
      <c r="C2085" t="s">
        <v>864</v>
      </c>
      <c r="D2085" t="s">
        <v>821</v>
      </c>
    </row>
    <row r="2086" spans="1:4" x14ac:dyDescent="0.25">
      <c r="B2086" t="str">
        <f>HYPERLINK("https://www.chemistwarehouse.com.au/buy/70567/Revlon-Age-Defying-Firming-amp-Lifting-Makeup-Natural-Beige"," Revlon Age Defying Firming &amp; Lifting Makeup Natural Beige")</f>
        <v xml:space="preserve"> Revlon Age Defying Firming &amp; Lifting Makeup Natural Beige</v>
      </c>
      <c r="C2086" t="s">
        <v>864</v>
      </c>
      <c r="D2086" t="s">
        <v>821</v>
      </c>
    </row>
    <row r="2087" spans="1:4" x14ac:dyDescent="0.25">
      <c r="A2087" t="s">
        <v>865</v>
      </c>
    </row>
    <row r="2088" spans="1:4" x14ac:dyDescent="0.25">
      <c r="B2088" t="str">
        <f>HYPERLINK("https://www.chemistwarehouse.com.au/buy/70570/Revlon-Age-Defying-Targeted-Dark-Spot-Concealer-Light"," Revlon Age Defying Targeted Dark Spot Concealer Light")</f>
        <v xml:space="preserve"> Revlon Age Defying Targeted Dark Spot Concealer Light</v>
      </c>
      <c r="C2088" t="s">
        <v>448</v>
      </c>
      <c r="D2088" t="s">
        <v>406</v>
      </c>
    </row>
    <row r="2089" spans="1:4" x14ac:dyDescent="0.25">
      <c r="B2089" t="str">
        <f>HYPERLINK("https://www.chemistwarehouse.com.au/buy/70571/Revlon-Age-Defying-Targeted-Dark-Spot-Concealer-Light-Medium"," Revlon Age Defying Targeted Dark Spot Concealer Light Medium")</f>
        <v xml:space="preserve"> Revlon Age Defying Targeted Dark Spot Concealer Light Medium</v>
      </c>
      <c r="C2089" t="s">
        <v>448</v>
      </c>
      <c r="D2089" t="s">
        <v>406</v>
      </c>
    </row>
    <row r="2090" spans="1:4" x14ac:dyDescent="0.25">
      <c r="B2090" t="str">
        <f>HYPERLINK("https://www.chemistwarehouse.com.au/buy/70572/Revlon-Age-Defying-Targeted-Dark-Spot-Concealer-Medium"," Revlon Age Defying Targeted Dark Spot Concealer Medium")</f>
        <v xml:space="preserve"> Revlon Age Defying Targeted Dark Spot Concealer Medium</v>
      </c>
      <c r="C2090" t="s">
        <v>448</v>
      </c>
      <c r="D2090" t="s">
        <v>406</v>
      </c>
    </row>
    <row r="2091" spans="1:4" x14ac:dyDescent="0.25">
      <c r="A2091" t="s">
        <v>866</v>
      </c>
    </row>
    <row r="2092" spans="1:4" x14ac:dyDescent="0.25">
      <c r="B2092" t="str">
        <f>HYPERLINK("https://www.chemistwarehouse.com.au/buy/70573/Revlon-Age-Defying-with-DNA-Advantage-Cleanser-120ml"," Revlon Age Defying with DNA Advantage Cleanser 120ml")</f>
        <v xml:space="preserve"> Revlon Age Defying with DNA Advantage Cleanser 120ml</v>
      </c>
      <c r="C2092" t="s">
        <v>228</v>
      </c>
      <c r="D2092" t="s">
        <v>329</v>
      </c>
    </row>
    <row r="2093" spans="1:4" x14ac:dyDescent="0.25">
      <c r="B2093" t="str">
        <f>HYPERLINK("https://www.chemistwarehouse.com.au/buy/67723/Revlon-Age-Defying-with-DNA-Advantage-Makeup-Honey-Beige"," Revlon Age Defying with DNA Advantage Makeup Honey Beige")</f>
        <v xml:space="preserve"> Revlon Age Defying with DNA Advantage Makeup Honey Beige</v>
      </c>
      <c r="C2093" t="s">
        <v>864</v>
      </c>
      <c r="D2093" t="s">
        <v>821</v>
      </c>
    </row>
    <row r="2094" spans="1:4" x14ac:dyDescent="0.25">
      <c r="B2094" t="str">
        <f>HYPERLINK("https://www.chemistwarehouse.com.au/buy/67724/Revlon-Age-Defying-with-DNA-Advantage-Makeup-Medium-Beige"," Revlon Age Defying with DNA Advantage Makeup Medium Beige")</f>
        <v xml:space="preserve"> Revlon Age Defying with DNA Advantage Makeup Medium Beige</v>
      </c>
      <c r="C2094" t="s">
        <v>864</v>
      </c>
      <c r="D2094" t="s">
        <v>821</v>
      </c>
    </row>
    <row r="2095" spans="1:4" x14ac:dyDescent="0.25">
      <c r="B2095" t="str">
        <f>HYPERLINK("https://www.chemistwarehouse.com.au/buy/67725/Revlon-Age-Defying-with-DNA-Advantage-Makeup-Soft-Beige"," Revlon Age Defying with DNA Advantage Makeup Soft Beige")</f>
        <v xml:space="preserve"> Revlon Age Defying with DNA Advantage Makeup Soft Beige</v>
      </c>
      <c r="C2095" t="s">
        <v>864</v>
      </c>
      <c r="D2095" t="s">
        <v>821</v>
      </c>
    </row>
    <row r="2096" spans="1:4" x14ac:dyDescent="0.25">
      <c r="B2096" t="str">
        <f>HYPERLINK("https://www.chemistwarehouse.com.au/buy/67727/Revlon-Age-Defying-with-DNA-Advantage-Makeup-Tender-Beige"," Revlon Age Defying with DNA Advantage Makeup Tender Beige")</f>
        <v xml:space="preserve"> Revlon Age Defying with DNA Advantage Makeup Tender Beige</v>
      </c>
      <c r="C2096" t="s">
        <v>864</v>
      </c>
      <c r="D2096" t="s">
        <v>821</v>
      </c>
    </row>
    <row r="2097" spans="1:4" x14ac:dyDescent="0.25">
      <c r="B2097" t="str">
        <f>HYPERLINK("https://www.chemistwarehouse.com.au/buy/67720/Revlon-Age-Defying-with-DNA-Advantage-Makeup-Bare-Buff"," Revlon Age Defying with DNA Advantage Makeup Bare Buff")</f>
        <v xml:space="preserve"> Revlon Age Defying with DNA Advantage Makeup Bare Buff</v>
      </c>
      <c r="C2097" t="s">
        <v>864</v>
      </c>
      <c r="D2097" t="s">
        <v>821</v>
      </c>
    </row>
    <row r="2098" spans="1:4" x14ac:dyDescent="0.25">
      <c r="B2098" t="str">
        <f>HYPERLINK("https://www.chemistwarehouse.com.au/buy/67721/Revlon-Age-Defying-with-DNA-Advantage-Makeup-Early-Tan"," Revlon Age Defying with DNA Advantage Makeup Early Tan")</f>
        <v xml:space="preserve"> Revlon Age Defying with DNA Advantage Makeup Early Tan</v>
      </c>
      <c r="C2098" t="s">
        <v>864</v>
      </c>
      <c r="D2098" t="s">
        <v>821</v>
      </c>
    </row>
    <row r="2099" spans="1:4" x14ac:dyDescent="0.25">
      <c r="B2099" t="str">
        <f>HYPERLINK("https://www.chemistwarehouse.com.au/buy/67722/Revlon-Age-Defying-with-DNA-Advantage-Makeup-Fresh-Ivory"," Revlon Age Defying with DNA Advantage Makeup Fresh Ivory")</f>
        <v xml:space="preserve"> Revlon Age Defying with DNA Advantage Makeup Fresh Ivory</v>
      </c>
      <c r="C2099" t="s">
        <v>864</v>
      </c>
      <c r="D2099" t="s">
        <v>821</v>
      </c>
    </row>
    <row r="2100" spans="1:4" x14ac:dyDescent="0.25">
      <c r="B2100" t="str">
        <f>HYPERLINK("https://www.chemistwarehouse.com.au/buy/70577/Revlon-Age-Defying-with-DNA-Advantage-Day-Cream-50ml"," Revlon Age Defying with DNA Advantage Day Cream 50ml")</f>
        <v xml:space="preserve"> Revlon Age Defying with DNA Advantage Day Cream 50ml</v>
      </c>
      <c r="C2100" t="s">
        <v>493</v>
      </c>
      <c r="D2100" t="s">
        <v>867</v>
      </c>
    </row>
    <row r="2101" spans="1:4" x14ac:dyDescent="0.25">
      <c r="B2101" t="str">
        <f>HYPERLINK("https://www.chemistwarehouse.com.au/buy/70578/Revlon-Age-Defying-with-DNA-Advantage-Eye-Cream-15ml"," Revlon Age Defying with DNA Advantage Eye Cream 15ml")</f>
        <v xml:space="preserve"> Revlon Age Defying with DNA Advantage Eye Cream 15ml</v>
      </c>
      <c r="C2101" t="s">
        <v>493</v>
      </c>
      <c r="D2101" t="s">
        <v>867</v>
      </c>
    </row>
    <row r="2102" spans="1:4" x14ac:dyDescent="0.25">
      <c r="B2102" t="str">
        <f>HYPERLINK("https://www.chemistwarehouse.com.au/buy/70579/Revlon-Age-Defying-with-DNA-Advantage-Night-Cream-50ml"," Revlon Age Defying with DNA Advantage Night Cream 50ml")</f>
        <v xml:space="preserve"> Revlon Age Defying with DNA Advantage Night Cream 50ml</v>
      </c>
      <c r="C2102" t="s">
        <v>493</v>
      </c>
      <c r="D2102" t="s">
        <v>867</v>
      </c>
    </row>
    <row r="2103" spans="1:4" x14ac:dyDescent="0.25">
      <c r="B2103" t="str">
        <f>HYPERLINK("https://www.chemistwarehouse.com.au/buy/70580/Revlon-Age-Defying-with-DNA-Advantage-Powder-Light-Medium"," Revlon Age Defying with DNA Advantage Powder Light Medium")</f>
        <v xml:space="preserve"> Revlon Age Defying with DNA Advantage Powder Light Medium</v>
      </c>
      <c r="C2103" t="s">
        <v>596</v>
      </c>
      <c r="D2103" t="s">
        <v>332</v>
      </c>
    </row>
    <row r="2104" spans="1:4" x14ac:dyDescent="0.25">
      <c r="B2104" t="str">
        <f>HYPERLINK("https://www.chemistwarehouse.com.au/buy/70581/Revlon-Age-Defying-with-DNA-Advantage-Powder-Medium"," Revlon Age Defying with DNA Advantage Powder Medium")</f>
        <v xml:space="preserve"> Revlon Age Defying with DNA Advantage Powder Medium</v>
      </c>
      <c r="C2104" t="s">
        <v>596</v>
      </c>
      <c r="D2104" t="s">
        <v>332</v>
      </c>
    </row>
    <row r="2105" spans="1:4" x14ac:dyDescent="0.25">
      <c r="B2105" t="str">
        <f>HYPERLINK("https://www.chemistwarehouse.com.au/buy/70582/Revlon-Age-Defying-with-DNA-Advantage-Powder-Medium-Deep"," Revlon Age Defying with DNA Advantage Powder Medium Deep")</f>
        <v xml:space="preserve"> Revlon Age Defying with DNA Advantage Powder Medium Deep</v>
      </c>
      <c r="C2105" t="s">
        <v>596</v>
      </c>
      <c r="D2105" t="s">
        <v>332</v>
      </c>
    </row>
    <row r="2106" spans="1:4" x14ac:dyDescent="0.25">
      <c r="B2106" t="str">
        <f>HYPERLINK("https://www.chemistwarehouse.com.au/buy/70583/Revlon-Age-Defying-with-DNA-Advantage-Powder-Transluscent"," Revlon Age Defying with DNA Advantage Powder Transluscent")</f>
        <v xml:space="preserve"> Revlon Age Defying with DNA Advantage Powder Transluscent</v>
      </c>
      <c r="C2106" t="s">
        <v>596</v>
      </c>
      <c r="D2106" t="s">
        <v>332</v>
      </c>
    </row>
    <row r="2107" spans="1:4" x14ac:dyDescent="0.25">
      <c r="B2107" t="str">
        <f>HYPERLINK("https://www.chemistwarehouse.com.au/buy/70584/Revlon-Age-Defying-with-DNA-Advantage-Serum-30ml"," Revlon Age Defying with DNA Advantage Serum 30ml")</f>
        <v xml:space="preserve"> Revlon Age Defying with DNA Advantage Serum 30ml</v>
      </c>
      <c r="C2107" t="s">
        <v>864</v>
      </c>
      <c r="D2107" t="s">
        <v>821</v>
      </c>
    </row>
    <row r="2108" spans="1:4" x14ac:dyDescent="0.25">
      <c r="B2108" t="str">
        <f>HYPERLINK("https://www.chemistwarehouse.com.au/buy/70585/Revlon-Age-Defying-with-DNA-Advantage-Toner-150ml"," Revlon Age Defying with DNA Advantage Toner 150ml")</f>
        <v xml:space="preserve"> Revlon Age Defying with DNA Advantage Toner 150ml</v>
      </c>
      <c r="C2108" t="s">
        <v>228</v>
      </c>
      <c r="D2108" t="s">
        <v>329</v>
      </c>
    </row>
    <row r="2109" spans="1:4" x14ac:dyDescent="0.25">
      <c r="A2109" t="s">
        <v>868</v>
      </c>
    </row>
    <row r="2110" spans="1:4" x14ac:dyDescent="0.25">
      <c r="B2110" t="str">
        <f>HYPERLINK("https://www.chemistwarehouse.com.au/buy/70586/Revlon-Age-Defying-Wrinkle-Filler"," Revlon Age Defying Wrinkle Filler")</f>
        <v xml:space="preserve"> Revlon Age Defying Wrinkle Filler</v>
      </c>
      <c r="C2110" t="s">
        <v>448</v>
      </c>
      <c r="D2110" t="s">
        <v>406</v>
      </c>
    </row>
    <row r="2111" spans="1:4" x14ac:dyDescent="0.25">
      <c r="A2111" t="s">
        <v>869</v>
      </c>
    </row>
    <row r="2112" spans="1:4" x14ac:dyDescent="0.25">
      <c r="B2112" t="str">
        <f>HYPERLINK("https://www.chemistwarehouse.com.au/buy/79036/Revlon-Ultra-High-Definition-Matte-Lip-Color-Addiction"," Revlon Ultra High Definition Matte Lip Color Addiction")</f>
        <v xml:space="preserve"> Revlon Ultra High Definition Matte Lip Color Addiction</v>
      </c>
      <c r="C2112" t="s">
        <v>173</v>
      </c>
      <c r="D2112" t="s">
        <v>145</v>
      </c>
    </row>
    <row r="2113" spans="2:4" x14ac:dyDescent="0.25">
      <c r="B2113" t="str">
        <f>HYPERLINK("https://www.chemistwarehouse.com.au/buy/79037/Revlon-Ultra-High-Definition-Matte-Lip-Color-Devotion"," Revlon Ultra High Definition Matte Lip Color Devotion")</f>
        <v xml:space="preserve"> Revlon Ultra High Definition Matte Lip Color Devotion</v>
      </c>
      <c r="C2113" t="s">
        <v>173</v>
      </c>
      <c r="D2113" t="s">
        <v>145</v>
      </c>
    </row>
    <row r="2114" spans="2:4" x14ac:dyDescent="0.25">
      <c r="B2114" t="str">
        <f>HYPERLINK("https://www.chemistwarehouse.com.au/buy/79038/Revlon-Ultra-High-Definition-Matte-Lip-Color-Flirtation"," Revlon Ultra High Definition Matte Lip Color Flirtation")</f>
        <v xml:space="preserve"> Revlon Ultra High Definition Matte Lip Color Flirtation</v>
      </c>
      <c r="C2114" t="s">
        <v>173</v>
      </c>
      <c r="D2114" t="s">
        <v>145</v>
      </c>
    </row>
    <row r="2115" spans="2:4" x14ac:dyDescent="0.25">
      <c r="B2115" t="str">
        <f>HYPERLINK("https://www.chemistwarehouse.com.au/buy/79039/Revlon-Ultra-High-Definition-Matte-Lip-Color-Love"," Revlon Ultra High Definition Matte Lip Color Love")</f>
        <v xml:space="preserve"> Revlon Ultra High Definition Matte Lip Color Love</v>
      </c>
      <c r="C2115" t="s">
        <v>173</v>
      </c>
      <c r="D2115" t="s">
        <v>145</v>
      </c>
    </row>
    <row r="2116" spans="2:4" x14ac:dyDescent="0.25">
      <c r="B2116" t="str">
        <f>HYPERLINK("https://www.chemistwarehouse.com.au/buy/79040/Revlon-Ultra-High-Definition-Matte-Lip-Color-Obsession"," Revlon Ultra High Definition Matte Lip Color Obsession")</f>
        <v xml:space="preserve"> Revlon Ultra High Definition Matte Lip Color Obsession</v>
      </c>
      <c r="C2116" t="s">
        <v>173</v>
      </c>
      <c r="D2116" t="s">
        <v>145</v>
      </c>
    </row>
    <row r="2117" spans="2:4" x14ac:dyDescent="0.25">
      <c r="B2117" t="str">
        <f>HYPERLINK("https://www.chemistwarehouse.com.au/buy/79041/Revlon-Ultra-High-Definition-Matte-Lip-Color-Passion"," Revlon Ultra High Definition Matte Lip Color Passion")</f>
        <v xml:space="preserve"> Revlon Ultra High Definition Matte Lip Color Passion</v>
      </c>
      <c r="C2117" t="s">
        <v>173</v>
      </c>
      <c r="D2117" t="s">
        <v>145</v>
      </c>
    </row>
    <row r="2118" spans="2:4" x14ac:dyDescent="0.25">
      <c r="B2118" t="str">
        <f>HYPERLINK("https://www.chemistwarehouse.com.au/buy/79043/Revlon-Ultra-High-Definition-Matte-Lip-Color-Temptation"," Revlon Ultra High Definition Matte Lip Color Temptation")</f>
        <v xml:space="preserve"> Revlon Ultra High Definition Matte Lip Color Temptation</v>
      </c>
      <c r="C2118" t="s">
        <v>173</v>
      </c>
      <c r="D2118" t="s">
        <v>145</v>
      </c>
    </row>
    <row r="2119" spans="2:4" x14ac:dyDescent="0.25">
      <c r="B2119" t="str">
        <f>HYPERLINK("https://www.chemistwarehouse.com.au/buy/81481/Revlon-Ultra-High-Definition-Matte-Lipcolor-Crush"," Revlon Ultra High Definition Matte Lipcolor Crush")</f>
        <v xml:space="preserve"> Revlon Ultra High Definition Matte Lipcolor Crush</v>
      </c>
      <c r="C2119" t="s">
        <v>173</v>
      </c>
      <c r="D2119" t="s">
        <v>145</v>
      </c>
    </row>
    <row r="2120" spans="2:4" x14ac:dyDescent="0.25">
      <c r="B2120" t="str">
        <f>HYPERLINK("https://www.chemistwarehouse.com.au/buy/81484/Revlon-Ultra-High-Definition-Matte-Lipcolor-Infatuation"," Revlon Ultra High Definition Matte Lipcolor Infatuation")</f>
        <v xml:space="preserve"> Revlon Ultra High Definition Matte Lipcolor Infatuation</v>
      </c>
      <c r="C2120" t="s">
        <v>173</v>
      </c>
      <c r="D2120" t="s">
        <v>145</v>
      </c>
    </row>
    <row r="2121" spans="2:4" x14ac:dyDescent="0.25">
      <c r="B2121" t="str">
        <f>HYPERLINK("https://www.chemistwarehouse.com.au/buy/81485/Revlon-Ultra-High-Definition-Matte-Lipcolor-Intensity"," Revlon Ultra High Definition Matte Lipcolor Intensity")</f>
        <v xml:space="preserve"> Revlon Ultra High Definition Matte Lipcolor Intensity</v>
      </c>
      <c r="C2121" t="s">
        <v>173</v>
      </c>
      <c r="D2121" t="s">
        <v>145</v>
      </c>
    </row>
    <row r="2122" spans="2:4" x14ac:dyDescent="0.25">
      <c r="B2122" t="str">
        <f>HYPERLINK("https://www.chemistwarehouse.com.au/buy/81488/Revlon-Ultra-High-Definition-Matte-Lipcolor-Spark"," Revlon Ultra High Definition Matte Lipcolor Spark")</f>
        <v xml:space="preserve"> Revlon Ultra High Definition Matte Lipcolor Spark</v>
      </c>
      <c r="C2122" t="s">
        <v>173</v>
      </c>
      <c r="D2122" t="s">
        <v>145</v>
      </c>
    </row>
    <row r="2123" spans="2:4" x14ac:dyDescent="0.25">
      <c r="B2123" t="str">
        <f>HYPERLINK("https://www.chemistwarehouse.com.au/buy/81486/Revlon-Ultra-High-Definition-Matte-Lipcolor-Kisses"," Revlon Ultra High Definition Matte Lipcolor Kisses")</f>
        <v xml:space="preserve"> Revlon Ultra High Definition Matte Lipcolor Kisses</v>
      </c>
      <c r="C2123" t="s">
        <v>173</v>
      </c>
      <c r="D2123" t="s">
        <v>145</v>
      </c>
    </row>
    <row r="2124" spans="2:4" x14ac:dyDescent="0.25">
      <c r="B2124" t="str">
        <f>HYPERLINK("https://www.chemistwarehouse.com.au/buy/81487/Revlon-Ultra-High-Definition-Matte-Lipcolor-Romance"," Revlon Ultra High Definition Matte Lipcolor Romance")</f>
        <v xml:space="preserve"> Revlon Ultra High Definition Matte Lipcolor Romance</v>
      </c>
      <c r="C2124" t="s">
        <v>173</v>
      </c>
      <c r="D2124" t="s">
        <v>145</v>
      </c>
    </row>
    <row r="2125" spans="2:4" x14ac:dyDescent="0.25">
      <c r="B2125" t="str">
        <f>HYPERLINK("https://www.chemistwarehouse.com.au/buy/81482/Revlon-Ultra-High-Definition-Matte-Lipcolor-Embrace"," Revlon Ultra High Definition Matte Lipcolor Embrace")</f>
        <v xml:space="preserve"> Revlon Ultra High Definition Matte Lipcolor Embrace</v>
      </c>
      <c r="C2125" t="s">
        <v>173</v>
      </c>
      <c r="D2125" t="s">
        <v>145</v>
      </c>
    </row>
    <row r="2126" spans="2:4" x14ac:dyDescent="0.25">
      <c r="B2126" t="str">
        <f>HYPERLINK("https://www.chemistwarehouse.com.au/buy/81483/Revlon-Ultra-High-Definition-Matte-Lipcolor-Forever"," Revlon Ultra High Definition Matte Lipcolor Forever")</f>
        <v xml:space="preserve"> Revlon Ultra High Definition Matte Lipcolor Forever</v>
      </c>
      <c r="C2126" t="s">
        <v>173</v>
      </c>
      <c r="D2126" t="s">
        <v>145</v>
      </c>
    </row>
    <row r="2127" spans="2:4" x14ac:dyDescent="0.25">
      <c r="B2127" t="str">
        <f>HYPERLINK("https://www.chemistwarehouse.com.au/buy/79042/Revlon-Ultra-High-Definition-Matte-Lip-Color-Seduction"," Revlon Ultra High Definition Matte Lip Color Seduction")</f>
        <v xml:space="preserve"> Revlon Ultra High Definition Matte Lip Color Seduction</v>
      </c>
      <c r="C2127" t="s">
        <v>173</v>
      </c>
      <c r="D2127" t="s">
        <v>145</v>
      </c>
    </row>
    <row r="2128" spans="2:4" x14ac:dyDescent="0.25">
      <c r="B2128" t="str">
        <f>HYPERLINK("https://www.chemistwarehouse.com.au/buy/74998/Revlon-Ultra-High-Definition-Lipstick-Azalea"," Revlon Ultra High Definition Lipstick Azalea")</f>
        <v xml:space="preserve"> Revlon Ultra High Definition Lipstick Azalea</v>
      </c>
      <c r="C2128" t="s">
        <v>46</v>
      </c>
      <c r="D2128" t="s">
        <v>380</v>
      </c>
    </row>
    <row r="2129" spans="1:4" x14ac:dyDescent="0.25">
      <c r="B2129" t="str">
        <f>HYPERLINK("https://www.chemistwarehouse.com.au/buy/75000/Revlon-Ultra-High-Definition-Lipstick-Dahlia"," Revlon Ultra High Definition Lipstick Dahlia")</f>
        <v xml:space="preserve"> Revlon Ultra High Definition Lipstick Dahlia</v>
      </c>
      <c r="C2129" t="s">
        <v>46</v>
      </c>
      <c r="D2129" t="s">
        <v>380</v>
      </c>
    </row>
    <row r="2130" spans="1:4" x14ac:dyDescent="0.25">
      <c r="B2130" t="str">
        <f>HYPERLINK("https://www.chemistwarehouse.com.au/buy/75004/Revlon-Ultra-High-Definition-Lipstick-Hydrangea"," Revlon Ultra High Definition Lipstick Hydrangea")</f>
        <v xml:space="preserve"> Revlon Ultra High Definition Lipstick Hydrangea</v>
      </c>
      <c r="C2130" t="s">
        <v>46</v>
      </c>
      <c r="D2130" t="s">
        <v>380</v>
      </c>
    </row>
    <row r="2131" spans="1:4" x14ac:dyDescent="0.25">
      <c r="B2131" t="str">
        <f>HYPERLINK("https://www.chemistwarehouse.com.au/buy/75005/Revlon-Ultra-High-Definition-Lipstick-Iris"," Revlon Ultra High Definition Lipstick Iris")</f>
        <v xml:space="preserve"> Revlon Ultra High Definition Lipstick Iris</v>
      </c>
      <c r="C2131" t="s">
        <v>46</v>
      </c>
      <c r="D2131" t="s">
        <v>380</v>
      </c>
    </row>
    <row r="2132" spans="1:4" x14ac:dyDescent="0.25">
      <c r="B2132" t="str">
        <f>HYPERLINK("https://www.chemistwarehouse.com.au/buy/75006/Revlon-Ultra-High-Definition-Lipstick-Magnolia"," Revlon Ultra High Definition Lipstick Magnolia")</f>
        <v xml:space="preserve"> Revlon Ultra High Definition Lipstick Magnolia</v>
      </c>
      <c r="C2132" t="s">
        <v>46</v>
      </c>
      <c r="D2132" t="s">
        <v>380</v>
      </c>
    </row>
    <row r="2133" spans="1:4" x14ac:dyDescent="0.25">
      <c r="B2133" t="str">
        <f>HYPERLINK("https://www.chemistwarehouse.com.au/buy/75007/Revlon-Ultra-High-Definition-Lipstick-Marigold"," Revlon Ultra High Definition Lipstick Marigold")</f>
        <v xml:space="preserve"> Revlon Ultra High Definition Lipstick Marigold</v>
      </c>
      <c r="C2133" t="s">
        <v>46</v>
      </c>
      <c r="D2133" t="s">
        <v>380</v>
      </c>
    </row>
    <row r="2134" spans="1:4" x14ac:dyDescent="0.25">
      <c r="B2134" t="str">
        <f>HYPERLINK("https://www.chemistwarehouse.com.au/buy/75008/Revlon-Ultra-High-Definition-Lipstick-Orchard"," Revlon Ultra High Definition Lipstick Orchard")</f>
        <v xml:space="preserve"> Revlon Ultra High Definition Lipstick Orchard</v>
      </c>
      <c r="C2134" t="s">
        <v>46</v>
      </c>
      <c r="D2134" t="s">
        <v>380</v>
      </c>
    </row>
    <row r="2135" spans="1:4" x14ac:dyDescent="0.25">
      <c r="B2135" t="str">
        <f>HYPERLINK("https://www.chemistwarehouse.com.au/buy/75009/Revlon-Ultra-High-Definition-Lipstick-Peony"," Revlon Ultra High Definition Lipstick Peony")</f>
        <v xml:space="preserve"> Revlon Ultra High Definition Lipstick Peony</v>
      </c>
      <c r="C2135" t="s">
        <v>46</v>
      </c>
      <c r="D2135" t="s">
        <v>380</v>
      </c>
    </row>
    <row r="2136" spans="1:4" x14ac:dyDescent="0.25">
      <c r="A2136" t="s">
        <v>870</v>
      </c>
    </row>
    <row r="2137" spans="1:4" x14ac:dyDescent="0.25">
      <c r="B2137" t="str">
        <f>HYPERLINK("https://www.chemistwarehouse.com.au/buy/70591/Revlon-Colorburst-Lacquer-Balm-Coy"," Revlon Colorburst Lacquer Balm Coy")</f>
        <v xml:space="preserve"> Revlon Colorburst Lacquer Balm Coy</v>
      </c>
      <c r="C2137" t="s">
        <v>187</v>
      </c>
      <c r="D2137" t="s">
        <v>397</v>
      </c>
    </row>
    <row r="2138" spans="1:4" x14ac:dyDescent="0.25">
      <c r="B2138" t="str">
        <f>HYPERLINK("https://www.chemistwarehouse.com.au/buy/70592/Revlon-Colorburst-Lacquer-Balm-Demure"," Revlon Colorburst Lacquer Balm Demure")</f>
        <v xml:space="preserve"> Revlon Colorburst Lacquer Balm Demure</v>
      </c>
      <c r="C2138" t="s">
        <v>187</v>
      </c>
      <c r="D2138" t="s">
        <v>397</v>
      </c>
    </row>
    <row r="2139" spans="1:4" x14ac:dyDescent="0.25">
      <c r="B2139" t="str">
        <f>HYPERLINK("https://www.chemistwarehouse.com.au/buy/70593/Revlon-Colorburst-Lacquer-Balm-Enticing"," Revlon Colorburst Lacquer Balm Enticing")</f>
        <v xml:space="preserve"> Revlon Colorburst Lacquer Balm Enticing</v>
      </c>
      <c r="C2139" t="s">
        <v>187</v>
      </c>
      <c r="D2139" t="s">
        <v>397</v>
      </c>
    </row>
    <row r="2140" spans="1:4" x14ac:dyDescent="0.25">
      <c r="B2140" t="str">
        <f>HYPERLINK("https://www.chemistwarehouse.com.au/buy/70596/Revlon-Colorburst-Lacquer-Balm-Provocateur"," Revlon Colorburst Lacquer Balm Provocateur")</f>
        <v xml:space="preserve"> Revlon Colorburst Lacquer Balm Provocateur</v>
      </c>
      <c r="C2140" t="s">
        <v>187</v>
      </c>
      <c r="D2140" t="s">
        <v>397</v>
      </c>
    </row>
    <row r="2141" spans="1:4" x14ac:dyDescent="0.25">
      <c r="A2141" t="s">
        <v>871</v>
      </c>
    </row>
    <row r="2142" spans="1:4" x14ac:dyDescent="0.25">
      <c r="B2142" t="str">
        <f>HYPERLINK("https://www.chemistwarehouse.com.au/buy/82892/Revlon-Shine-On-Shine-Out"," Revlon Shine On Shine Out")</f>
        <v xml:space="preserve"> Revlon Shine On Shine Out</v>
      </c>
      <c r="C2142" t="s">
        <v>228</v>
      </c>
      <c r="D2142" t="s">
        <v>329</v>
      </c>
    </row>
    <row r="2143" spans="1:4" x14ac:dyDescent="0.25">
      <c r="A2143" t="s">
        <v>872</v>
      </c>
    </row>
    <row r="2144" spans="1:4" x14ac:dyDescent="0.25">
      <c r="B2144" t="str">
        <f>HYPERLINK("https://www.chemistwarehouse.com.au/buy/70634/Revlon-Colorburst-Matte-Balm-Elusive"," Revlon Colorburst Matte Balm Elusive")</f>
        <v xml:space="preserve"> Revlon Colorburst Matte Balm Elusive</v>
      </c>
      <c r="C2144" t="s">
        <v>187</v>
      </c>
      <c r="D2144" t="s">
        <v>397</v>
      </c>
    </row>
    <row r="2145" spans="1:4" x14ac:dyDescent="0.25">
      <c r="B2145" t="str">
        <f>HYPERLINK("https://www.chemistwarehouse.com.au/buy/70637/Revlon-Colorburst-Matte-Balm-Showy"," Revlon Colorburst Matte Balm Showy")</f>
        <v xml:space="preserve"> Revlon Colorburst Matte Balm Showy</v>
      </c>
      <c r="C2145" t="s">
        <v>187</v>
      </c>
      <c r="D2145" t="s">
        <v>397</v>
      </c>
    </row>
    <row r="2146" spans="1:4" x14ac:dyDescent="0.25">
      <c r="B2146" t="str">
        <f>HYPERLINK("https://www.chemistwarehouse.com.au/buy/70638/Revlon-Colorburst-Matte-Balm-Standout"," Revlon Colorburst Matte Balm Standout")</f>
        <v xml:space="preserve"> Revlon Colorburst Matte Balm Standout</v>
      </c>
      <c r="C2146" t="s">
        <v>187</v>
      </c>
      <c r="D2146" t="s">
        <v>397</v>
      </c>
    </row>
    <row r="2147" spans="1:4" x14ac:dyDescent="0.25">
      <c r="B2147" t="str">
        <f>HYPERLINK("https://www.chemistwarehouse.com.au/buy/70639/Revlon-Colorburst-Matte-Balm-Striking"," Revlon Colorburst Matte Balm Striking")</f>
        <v xml:space="preserve"> Revlon Colorburst Matte Balm Striking</v>
      </c>
      <c r="C2147" t="s">
        <v>187</v>
      </c>
      <c r="D2147" t="s">
        <v>397</v>
      </c>
    </row>
    <row r="2148" spans="1:4" x14ac:dyDescent="0.25">
      <c r="B2148" t="str">
        <f>HYPERLINK("https://www.chemistwarehouse.com.au/buy/70640/Revlon-Colorburst-Matte-Balm-Sultry"," Revlon Colorburst Matte Balm Sultry")</f>
        <v xml:space="preserve"> Revlon Colorburst Matte Balm Sultry</v>
      </c>
      <c r="C2148" t="s">
        <v>187</v>
      </c>
      <c r="D2148" t="s">
        <v>397</v>
      </c>
    </row>
    <row r="2149" spans="1:4" x14ac:dyDescent="0.25">
      <c r="B2149" t="str">
        <f>HYPERLINK("https://www.chemistwarehouse.com.au/buy/70641/Revlon-Colorburst-Matte-Balm-Unapologetic"," Revlon Colorburst Matte Balm Unapologetic")</f>
        <v xml:space="preserve"> Revlon Colorburst Matte Balm Unapologetic</v>
      </c>
      <c r="C2149" t="s">
        <v>187</v>
      </c>
      <c r="D2149" t="s">
        <v>397</v>
      </c>
    </row>
    <row r="2150" spans="1:4" x14ac:dyDescent="0.25">
      <c r="B2150" t="str">
        <f>HYPERLINK("https://www.chemistwarehouse.com.au/buy/77229/Revlon-Colorburst-Matte-Enchanting"," Revlon Colorburst Matte Enchanting")</f>
        <v xml:space="preserve"> Revlon Colorburst Matte Enchanting</v>
      </c>
      <c r="C2150" t="s">
        <v>187</v>
      </c>
      <c r="D2150" t="s">
        <v>397</v>
      </c>
    </row>
    <row r="2151" spans="1:4" x14ac:dyDescent="0.25">
      <c r="B2151" t="str">
        <f>HYPERLINK("https://www.chemistwarehouse.com.au/buy/77230/Revlon-Colorburst-Matte-Fierce"," Revlon Colorburst Matte Fierce")</f>
        <v xml:space="preserve"> Revlon Colorburst Matte Fierce</v>
      </c>
      <c r="C2151" t="s">
        <v>187</v>
      </c>
      <c r="D2151" t="s">
        <v>397</v>
      </c>
    </row>
    <row r="2152" spans="1:4" x14ac:dyDescent="0.25">
      <c r="B2152" t="str">
        <f>HYPERLINK("https://www.chemistwarehouse.com.au/buy/77231/Revlon-Colorburst-Matte-Fiery"," Revlon Colorburst Matte Fiery")</f>
        <v xml:space="preserve"> Revlon Colorburst Matte Fiery</v>
      </c>
      <c r="C2152" t="s">
        <v>187</v>
      </c>
      <c r="D2152" t="s">
        <v>397</v>
      </c>
    </row>
    <row r="2153" spans="1:4" x14ac:dyDescent="0.25">
      <c r="B2153" t="str">
        <f>HYPERLINK("https://www.chemistwarehouse.com.au/buy/77232/Revlon-Colorburst-Matte-Passionate"," Revlon Colorburst Matte Passionate")</f>
        <v xml:space="preserve"> Revlon Colorburst Matte Passionate</v>
      </c>
      <c r="C2153" t="s">
        <v>187</v>
      </c>
      <c r="D2153" t="s">
        <v>397</v>
      </c>
    </row>
    <row r="2154" spans="1:4" x14ac:dyDescent="0.25">
      <c r="A2154" t="s">
        <v>873</v>
      </c>
    </row>
    <row r="2155" spans="1:4" x14ac:dyDescent="0.25">
      <c r="B2155" t="str">
        <f>HYPERLINK("https://www.chemistwarehouse.com.au/buy/70656/Revlon-ColorStay-16-Hour-Eye-Shadow-Wild"," Revlon ColorStay 16 Hour Eye Shadow Wild")</f>
        <v xml:space="preserve"> Revlon ColorStay 16 Hour Eye Shadow Wild</v>
      </c>
      <c r="C2155" t="s">
        <v>1</v>
      </c>
      <c r="D2155" t="s">
        <v>145</v>
      </c>
    </row>
    <row r="2156" spans="1:4" x14ac:dyDescent="0.25">
      <c r="B2156" t="str">
        <f>HYPERLINK("https://www.chemistwarehouse.com.au/buy/73078/Revlon-ColorStay-16-Hour-Eye-Shadow-Addictive"," Revlon ColorStay 16 Hour Eye Shadow Addictive")</f>
        <v xml:space="preserve"> Revlon ColorStay 16 Hour Eye Shadow Addictive</v>
      </c>
      <c r="C2156" t="s">
        <v>173</v>
      </c>
      <c r="D2156" t="s">
        <v>145</v>
      </c>
    </row>
    <row r="2157" spans="1:4" x14ac:dyDescent="0.25">
      <c r="B2157" t="str">
        <f>HYPERLINK("https://www.chemistwarehouse.com.au/buy/73079/Revlon-ColorStay-16-Hour-Eye-Shadow-Adventurous"," Revlon ColorStay 16 Hour Eye Shadow Adventurous")</f>
        <v xml:space="preserve"> Revlon ColorStay 16 Hour Eye Shadow Adventurous</v>
      </c>
      <c r="C2157" t="s">
        <v>173</v>
      </c>
      <c r="D2157" t="s">
        <v>145</v>
      </c>
    </row>
    <row r="2158" spans="1:4" x14ac:dyDescent="0.25">
      <c r="B2158" t="str">
        <f>HYPERLINK("https://www.chemistwarehouse.com.au/buy/73080/Revlon-ColorStay-16-Hour-Eye-Shadow-Decadent"," Revlon ColorStay 16 Hour Eye Shadow Decadent")</f>
        <v xml:space="preserve"> Revlon ColorStay 16 Hour Eye Shadow Decadent</v>
      </c>
      <c r="C2158" t="s">
        <v>173</v>
      </c>
      <c r="D2158" t="s">
        <v>145</v>
      </c>
    </row>
    <row r="2159" spans="1:4" x14ac:dyDescent="0.25">
      <c r="B2159" t="str">
        <f>HYPERLINK("https://www.chemistwarehouse.com.au/buy/73082/Revlon-Colorstay-16-Hour-Eye-Shadow-Precocious"," Revlon Colorstay 16 Hour Eye Shadow Precocious")</f>
        <v xml:space="preserve"> Revlon Colorstay 16 Hour Eye Shadow Precocious</v>
      </c>
      <c r="C2159" t="s">
        <v>173</v>
      </c>
      <c r="D2159" t="s">
        <v>145</v>
      </c>
    </row>
    <row r="2160" spans="1:4" x14ac:dyDescent="0.25">
      <c r="B2160" t="str">
        <f>HYPERLINK("https://www.chemistwarehouse.com.au/buy/73083/Revlon-Colorstay-16-Hour-Eye-Shadow-Seductive"," Revlon Colorstay 16 Hour Eye Shadow Seductive")</f>
        <v xml:space="preserve"> Revlon Colorstay 16 Hour Eye Shadow Seductive</v>
      </c>
      <c r="C2160" t="s">
        <v>173</v>
      </c>
      <c r="D2160" t="s">
        <v>145</v>
      </c>
    </row>
    <row r="2161" spans="1:4" x14ac:dyDescent="0.25">
      <c r="B2161" t="str">
        <f>HYPERLINK("https://www.chemistwarehouse.com.au/buy/73084/Revlon-Colorstay-16-Hour-Eye-Shadow-Siren"," Revlon Colorstay 16 Hour Eye Shadow Siren")</f>
        <v xml:space="preserve"> Revlon Colorstay 16 Hour Eye Shadow Siren</v>
      </c>
      <c r="C2161" t="s">
        <v>173</v>
      </c>
      <c r="D2161" t="s">
        <v>145</v>
      </c>
    </row>
    <row r="2162" spans="1:4" x14ac:dyDescent="0.25">
      <c r="B2162" t="str">
        <f>HYPERLINK("https://www.chemistwarehouse.com.au/buy/75716/Revlon-Colorstay-16-Hour-Eyeshadow-Surreal"," Revlon Colorstay 16 Hour Eyeshadow Surreal")</f>
        <v xml:space="preserve"> Revlon Colorstay 16 Hour Eyeshadow Surreal</v>
      </c>
      <c r="C2162" t="s">
        <v>173</v>
      </c>
      <c r="D2162" t="s">
        <v>145</v>
      </c>
    </row>
    <row r="2163" spans="1:4" x14ac:dyDescent="0.25">
      <c r="B2163" t="str">
        <f>HYPERLINK("https://www.chemistwarehouse.com.au/buy/77478/Revlon-Colorstay-16Hr-Eye-Shadow-Romantic"," Revlon Colorstay 16Hr Eye Shadow Romantic")</f>
        <v xml:space="preserve"> Revlon Colorstay 16Hr Eye Shadow Romantic</v>
      </c>
      <c r="C2163" t="s">
        <v>173</v>
      </c>
      <c r="D2163" t="s">
        <v>145</v>
      </c>
    </row>
    <row r="2164" spans="1:4" x14ac:dyDescent="0.25">
      <c r="B2164" t="str">
        <f>HYPERLINK("https://www.chemistwarehouse.com.au/buy/77480/Revlon-Colorstay-16Hr-Eye-Shadow-Flirtatious"," Revlon Colorstay 16Hr Eye Shadow Flirtatious")</f>
        <v xml:space="preserve"> Revlon Colorstay 16Hr Eye Shadow Flirtatious</v>
      </c>
      <c r="C2164" t="s">
        <v>173</v>
      </c>
      <c r="D2164" t="s">
        <v>145</v>
      </c>
    </row>
    <row r="2165" spans="1:4" x14ac:dyDescent="0.25">
      <c r="B2165" t="str">
        <f>HYPERLINK("https://www.chemistwarehouse.com.au/buy/70645/Revlon-ColorStay-16-Hour-Eye-Shadow-Free-Spirit"," Revlon ColorStay 16 Hour Eye Shadow Free Spirit")</f>
        <v xml:space="preserve"> Revlon ColorStay 16 Hour Eye Shadow Free Spirit</v>
      </c>
      <c r="C2165" t="s">
        <v>173</v>
      </c>
      <c r="D2165" t="s">
        <v>145</v>
      </c>
    </row>
    <row r="2166" spans="1:4" x14ac:dyDescent="0.25">
      <c r="B2166" t="str">
        <f>HYPERLINK("https://www.chemistwarehouse.com.au/buy/70646/Revlon-ColorStay-16-Hour-Eye-Shadow-Harmonious"," Revlon ColorStay 16 Hour Eye Shadow Harmonious")</f>
        <v xml:space="preserve"> Revlon ColorStay 16 Hour Eye Shadow Harmonious</v>
      </c>
      <c r="C2166" t="s">
        <v>1</v>
      </c>
      <c r="D2166" t="s">
        <v>145</v>
      </c>
    </row>
    <row r="2167" spans="1:4" x14ac:dyDescent="0.25">
      <c r="B2167" t="str">
        <f>HYPERLINK("https://www.chemistwarehouse.com.au/buy/70651/Revlon-ColorStay-16-Hour-Eye-Shadow-Sea-Mist"," Revlon ColorStay 16 Hour Eye Shadow Sea Mist")</f>
        <v xml:space="preserve"> Revlon ColorStay 16 Hour Eye Shadow Sea Mist</v>
      </c>
      <c r="C2167" t="s">
        <v>1</v>
      </c>
      <c r="D2167" t="s">
        <v>145</v>
      </c>
    </row>
    <row r="2168" spans="1:4" x14ac:dyDescent="0.25">
      <c r="B2168" t="str">
        <f>HYPERLINK("https://www.chemistwarehouse.com.au/buy/77481/Revlon-Colorstay-16Hr-Eye-Shadow-Passionate"," Revlon Colorstay 16Hr Eye Shadow Passionate")</f>
        <v xml:space="preserve"> Revlon Colorstay 16Hr Eye Shadow Passionate</v>
      </c>
      <c r="C2168" t="s">
        <v>173</v>
      </c>
      <c r="D2168" t="s">
        <v>145</v>
      </c>
    </row>
    <row r="2169" spans="1:4" x14ac:dyDescent="0.25">
      <c r="A2169" t="s">
        <v>874</v>
      </c>
    </row>
    <row r="2170" spans="1:4" x14ac:dyDescent="0.25">
      <c r="B2170" t="str">
        <f>HYPERLINK("https://www.chemistwarehouse.com.au/buy/70657/Revlon-ColorStay-Brow-Marker-Brown"," Revlon ColorStay Brow Marker Brown")</f>
        <v xml:space="preserve"> Revlon ColorStay Brow Marker Brown</v>
      </c>
      <c r="C2170" t="s">
        <v>153</v>
      </c>
      <c r="D2170" t="s">
        <v>145</v>
      </c>
    </row>
    <row r="2171" spans="1:4" x14ac:dyDescent="0.25">
      <c r="B2171" t="str">
        <f>HYPERLINK("https://www.chemistwarehouse.com.au/buy/70658/Revlon-ColorStay-Brow-Marker-Light-Brown"," Revlon ColorStay Brow Marker Light Brown")</f>
        <v xml:space="preserve"> Revlon ColorStay Brow Marker Light Brown</v>
      </c>
      <c r="C2171" t="s">
        <v>153</v>
      </c>
      <c r="D2171" t="s">
        <v>145</v>
      </c>
    </row>
    <row r="2172" spans="1:4" x14ac:dyDescent="0.25">
      <c r="A2172" t="s">
        <v>875</v>
      </c>
    </row>
    <row r="2173" spans="1:4" x14ac:dyDescent="0.25">
      <c r="B2173" t="str">
        <f>HYPERLINK("https://www.chemistwarehouse.com.au/buy/70659/Revlon-ColorStay-Creme-Gel-Eye-Liner-Black"," Revlon ColorStay Creme Gel Eye Liner Black")</f>
        <v xml:space="preserve"> Revlon ColorStay Creme Gel Eye Liner Black</v>
      </c>
      <c r="C2173" t="s">
        <v>173</v>
      </c>
      <c r="D2173" t="s">
        <v>145</v>
      </c>
    </row>
    <row r="2174" spans="1:4" x14ac:dyDescent="0.25">
      <c r="B2174" t="str">
        <f>HYPERLINK("https://www.chemistwarehouse.com.au/buy/70661/Revlon-ColorStay-Creme-Gel-Eye-Liner-Charcoal"," Revlon ColorStay Creme Gel Eye Liner Charcoal")</f>
        <v xml:space="preserve"> Revlon ColorStay Creme Gel Eye Liner Charcoal</v>
      </c>
      <c r="C2174" t="s">
        <v>173</v>
      </c>
      <c r="D2174" t="s">
        <v>145</v>
      </c>
    </row>
    <row r="2175" spans="1:4" x14ac:dyDescent="0.25">
      <c r="A2175" t="s">
        <v>876</v>
      </c>
    </row>
    <row r="2176" spans="1:4" x14ac:dyDescent="0.25">
      <c r="B2176" t="str">
        <f>HYPERLINK("https://www.chemistwarehouse.com.au/buy/70662/Revlon-ColorStay-Eyebrow-Liner-Blonde"," Revlon ColorStay Eyebrow Liner Blonde")</f>
        <v xml:space="preserve"> Revlon ColorStay Eyebrow Liner Blonde</v>
      </c>
      <c r="C2176" t="s">
        <v>404</v>
      </c>
      <c r="D2176" t="s">
        <v>152</v>
      </c>
    </row>
    <row r="2177" spans="1:4" x14ac:dyDescent="0.25">
      <c r="B2177" t="str">
        <f>HYPERLINK("https://www.chemistwarehouse.com.au/buy/70663/Revlon-ColorStay-Eyebrow-Liner-Dark-Brown"," Revlon ColorStay Eyebrow Liner Dark Brown")</f>
        <v xml:space="preserve"> Revlon ColorStay Eyebrow Liner Dark Brown</v>
      </c>
      <c r="C2177" t="s">
        <v>404</v>
      </c>
      <c r="D2177" t="s">
        <v>152</v>
      </c>
    </row>
    <row r="2178" spans="1:4" x14ac:dyDescent="0.25">
      <c r="A2178" t="s">
        <v>877</v>
      </c>
    </row>
    <row r="2179" spans="1:4" x14ac:dyDescent="0.25">
      <c r="B2179" t="str">
        <f>HYPERLINK("https://www.chemistwarehouse.com.au/buy/60929/Revlon-ColorStay-Eyeliner-Black"," Revlon ColorStay Eyeliner Black")</f>
        <v xml:space="preserve"> Revlon ColorStay Eyeliner Black</v>
      </c>
      <c r="C2179" t="s">
        <v>1</v>
      </c>
      <c r="D2179" t="s">
        <v>145</v>
      </c>
    </row>
    <row r="2180" spans="1:4" x14ac:dyDescent="0.25">
      <c r="B2180" t="str">
        <f>HYPERLINK("https://www.chemistwarehouse.com.au/buy/70664/Revlon-ColorStay-Eyeliner-Brown"," Revlon ColorStay Eyeliner Brown")</f>
        <v xml:space="preserve"> Revlon ColorStay Eyeliner Brown</v>
      </c>
      <c r="C2180" t="s">
        <v>1</v>
      </c>
      <c r="D2180" t="s">
        <v>145</v>
      </c>
    </row>
    <row r="2181" spans="1:4" x14ac:dyDescent="0.25">
      <c r="B2181" t="str">
        <f>HYPERLINK("https://www.chemistwarehouse.com.au/buy/70665/Revlon-ColorStay-Eyeliner-Charcoal"," Revlon ColorStay Eyeliner Charcoal")</f>
        <v xml:space="preserve"> Revlon ColorStay Eyeliner Charcoal</v>
      </c>
      <c r="C2181" t="s">
        <v>1</v>
      </c>
      <c r="D2181" t="s">
        <v>145</v>
      </c>
    </row>
    <row r="2182" spans="1:4" x14ac:dyDescent="0.25">
      <c r="B2182" t="str">
        <f>HYPERLINK("https://www.chemistwarehouse.com.au/buy/72414/Revlon-ColorStay-Eyeliner-Jade"," Revlon ColorStay Eyeliner Jade")</f>
        <v xml:space="preserve"> Revlon ColorStay Eyeliner Jade</v>
      </c>
      <c r="C2182" t="s">
        <v>1</v>
      </c>
      <c r="D2182" t="s">
        <v>145</v>
      </c>
    </row>
    <row r="2183" spans="1:4" x14ac:dyDescent="0.25">
      <c r="B2183" t="str">
        <f>HYPERLINK("https://www.chemistwarehouse.com.au/buy/72415/Revlon-ColorStay-Eyeliner-Sapphire"," Revlon ColorStay Eyeliner Sapphire")</f>
        <v xml:space="preserve"> Revlon ColorStay Eyeliner Sapphire</v>
      </c>
      <c r="C2183" t="s">
        <v>1</v>
      </c>
      <c r="D2183" t="s">
        <v>145</v>
      </c>
    </row>
    <row r="2184" spans="1:4" x14ac:dyDescent="0.25">
      <c r="B2184" t="str">
        <f>HYPERLINK("https://www.chemistwarehouse.com.au/buy/79754/Revlon-Colorstay-Eyeliner-Skinny-Navy-Shock"," Revlon Colorstay Eyeliner Skinny Navy Shock")</f>
        <v xml:space="preserve"> Revlon Colorstay Eyeliner Skinny Navy Shock</v>
      </c>
      <c r="C2184" t="s">
        <v>153</v>
      </c>
      <c r="D2184" t="s">
        <v>145</v>
      </c>
    </row>
    <row r="2185" spans="1:4" x14ac:dyDescent="0.25">
      <c r="B2185" t="str">
        <f>HYPERLINK("https://www.chemistwarehouse.com.au/buy/81150/Revlon-Colorstay-Eyeliner-Black-Violet"," Revlon Colorstay Eyeliner Black Violet")</f>
        <v xml:space="preserve"> Revlon Colorstay Eyeliner Black Violet</v>
      </c>
      <c r="C2185" t="s">
        <v>1</v>
      </c>
      <c r="D2185" t="s">
        <v>145</v>
      </c>
    </row>
    <row r="2186" spans="1:4" x14ac:dyDescent="0.25">
      <c r="B2186" t="str">
        <f>HYPERLINK("https://www.chemistwarehouse.com.au/buy/81151/Revlon-Colorstay-Eyeliner-Teal"," Revlon Colorstay Eyeliner Teal")</f>
        <v xml:space="preserve"> Revlon Colorstay Eyeliner Teal</v>
      </c>
      <c r="C2186" t="s">
        <v>1</v>
      </c>
      <c r="D2186" t="s">
        <v>145</v>
      </c>
    </row>
    <row r="2187" spans="1:4" x14ac:dyDescent="0.25">
      <c r="B2187" t="str">
        <f>HYPERLINK("https://www.chemistwarehouse.com.au/buy/72412/Revlon-ColorStay-16-Hour-Creme-Gel-Eyeliner-Rio"," Revlon ColorStay 16 Hour Creme Gel Eyeliner Rio")</f>
        <v xml:space="preserve"> Revlon ColorStay 16 Hour Creme Gel Eyeliner Rio</v>
      </c>
      <c r="C2187" t="s">
        <v>173</v>
      </c>
      <c r="D2187" t="s">
        <v>145</v>
      </c>
    </row>
    <row r="2188" spans="1:4" x14ac:dyDescent="0.25">
      <c r="A2188" t="s">
        <v>878</v>
      </c>
    </row>
    <row r="2189" spans="1:4" x14ac:dyDescent="0.25">
      <c r="B2189" t="str">
        <f>HYPERLINK("https://www.chemistwarehouse.com.au/buy/70668/Revlon-ColorStay-Liquid-Liner-Black"," Revlon ColorStay Liquid Liner Black")</f>
        <v xml:space="preserve"> Revlon ColorStay Liquid Liner Black</v>
      </c>
      <c r="C2189" t="s">
        <v>153</v>
      </c>
      <c r="D2189" t="s">
        <v>145</v>
      </c>
    </row>
    <row r="2190" spans="1:4" x14ac:dyDescent="0.25">
      <c r="B2190" t="str">
        <f>HYPERLINK("https://www.chemistwarehouse.com.au/buy/70669/Revlon-ColorStay-Liquid-Liner-Black-Brown"," Revlon ColorStay Liquid Liner Black/Brown")</f>
        <v xml:space="preserve"> Revlon ColorStay Liquid Liner Black/Brown</v>
      </c>
      <c r="C2190" t="s">
        <v>153</v>
      </c>
      <c r="D2190" t="s">
        <v>145</v>
      </c>
    </row>
    <row r="2191" spans="1:4" x14ac:dyDescent="0.25">
      <c r="B2191" t="str">
        <f>HYPERLINK("https://www.chemistwarehouse.com.au/buy/72417/Revlon-ColorStay-Liquid-Eyeliner-Black-Out"," Revlon ColorStay Liquid Eyeliner Black Out")</f>
        <v xml:space="preserve"> Revlon ColorStay Liquid Eyeliner Black Out</v>
      </c>
      <c r="C2191" t="s">
        <v>153</v>
      </c>
      <c r="D2191" t="s">
        <v>145</v>
      </c>
    </row>
    <row r="2192" spans="1:4" x14ac:dyDescent="0.25">
      <c r="B2192" t="str">
        <f>HYPERLINK("https://www.chemistwarehouse.com.au/buy/72419/Revlon-ColorStay-Liquid-Eyeliner-Green-Spark"," Revlon ColorStay Liquid Eyeliner Green Spark")</f>
        <v xml:space="preserve"> Revlon ColorStay Liquid Eyeliner Green Spark</v>
      </c>
      <c r="C2192" t="s">
        <v>153</v>
      </c>
      <c r="D2192" t="s">
        <v>145</v>
      </c>
    </row>
    <row r="2193" spans="1:4" x14ac:dyDescent="0.25">
      <c r="B2193" t="str">
        <f>HYPERLINK("https://www.chemistwarehouse.com.au/buy/72420/Revlon-ColorStay-Liquid-Eyeliner-Mahogany-Flame"," Revlon ColorStay Liquid Eyeliner Mahogany Flame")</f>
        <v xml:space="preserve"> Revlon ColorStay Liquid Eyeliner Mahogany Flame</v>
      </c>
      <c r="C2193" t="s">
        <v>153</v>
      </c>
      <c r="D2193" t="s">
        <v>145</v>
      </c>
    </row>
    <row r="2194" spans="1:4" x14ac:dyDescent="0.25">
      <c r="B2194" t="str">
        <f>HYPERLINK("https://www.chemistwarehouse.com.au/buy/81159/Revlon-Colorstay-Liquid-Eye-Pen-Classic"," Revlon Colorstay Liquid Eye Pen Classic")</f>
        <v xml:space="preserve"> Revlon Colorstay Liquid Eye Pen Classic</v>
      </c>
      <c r="C2194" t="s">
        <v>1</v>
      </c>
      <c r="D2194" t="s">
        <v>157</v>
      </c>
    </row>
    <row r="2195" spans="1:4" x14ac:dyDescent="0.25">
      <c r="B2195" t="str">
        <f>HYPERLINK("https://www.chemistwarehouse.com.au/buy/81160/Revlon-Colorstay-Liquid-Eye-Pen-Precise"," Revlon Colorstay Liquid Eye Pen Precise")</f>
        <v xml:space="preserve"> Revlon Colorstay Liquid Eye Pen Precise</v>
      </c>
      <c r="C2195" t="s">
        <v>1</v>
      </c>
      <c r="D2195" t="s">
        <v>157</v>
      </c>
    </row>
    <row r="2196" spans="1:4" x14ac:dyDescent="0.25">
      <c r="B2196" t="str">
        <f>HYPERLINK("https://www.chemistwarehouse.com.au/buy/81161/Revlon-Colorstay-Liquid-Eye-Pen-Triple-Edge"," Revlon Colorstay Liquid Eye Pen Triple Edge")</f>
        <v xml:space="preserve"> Revlon Colorstay Liquid Eye Pen Triple Edge</v>
      </c>
      <c r="C2196" t="s">
        <v>1</v>
      </c>
      <c r="D2196" t="s">
        <v>157</v>
      </c>
    </row>
    <row r="2197" spans="1:4" x14ac:dyDescent="0.25">
      <c r="B2197" t="str">
        <f>HYPERLINK("https://www.chemistwarehouse.com.au/buy/72418/Revlon-ColorStay-Liquid-Eyeliner-Electric-Blue"," Revlon ColorStay Liquid Eyeliner Electric Blue")</f>
        <v xml:space="preserve"> Revlon ColorStay Liquid Eyeliner Electric Blue</v>
      </c>
      <c r="C2197" t="s">
        <v>46</v>
      </c>
      <c r="D2197" t="s">
        <v>879</v>
      </c>
    </row>
    <row r="2198" spans="1:4" x14ac:dyDescent="0.25">
      <c r="A2198" t="s">
        <v>880</v>
      </c>
    </row>
    <row r="2199" spans="1:4" x14ac:dyDescent="0.25">
      <c r="B2199" t="str">
        <f>HYPERLINK("https://www.chemistwarehouse.com.au/buy/81162/Revlon-Colorstay-Not-Just-Nudes-Eye-Shadow-Palette-Passionate-Nudes"," Revlon Colorstay Not Just Nudes Eye Shadow Palette Passionate Nudes")</f>
        <v xml:space="preserve"> Revlon Colorstay Not Just Nudes Eye Shadow Palette Passionate Nudes</v>
      </c>
      <c r="C2199" t="s">
        <v>230</v>
      </c>
      <c r="D2199" t="s">
        <v>336</v>
      </c>
    </row>
    <row r="2200" spans="1:4" x14ac:dyDescent="0.25">
      <c r="B2200" t="str">
        <f>HYPERLINK("https://www.chemistwarehouse.com.au/buy/81163/Revlon-Colorstay-Not-Just-Nudes-Eye-Shadow-Palette-Romantic-Nudes"," Revlon Colorstay Not Just Nudes Eye Shadow Palette Romantic Nudes")</f>
        <v xml:space="preserve"> Revlon Colorstay Not Just Nudes Eye Shadow Palette Romantic Nudes</v>
      </c>
      <c r="C2200" t="s">
        <v>230</v>
      </c>
      <c r="D2200" t="s">
        <v>336</v>
      </c>
    </row>
    <row r="2201" spans="1:4" x14ac:dyDescent="0.25">
      <c r="B2201" t="str">
        <f>HYPERLINK("https://www.chemistwarehouse.com.au/buy/72467/Revlon-ColorStay-Shadow-Links-Lilac"," Revlon ColorStay Shadow Links Lilac")</f>
        <v xml:space="preserve"> Revlon ColorStay Shadow Links Lilac</v>
      </c>
      <c r="C2201" t="s">
        <v>162</v>
      </c>
      <c r="D2201" t="s">
        <v>572</v>
      </c>
    </row>
    <row r="2202" spans="1:4" x14ac:dyDescent="0.25">
      <c r="B2202" t="str">
        <f>HYPERLINK("https://www.chemistwarehouse.com.au/buy/72471/Revlon-ColorStay-Shadow-Links-Onyx"," Revlon ColorStay Shadow Links Onyx")</f>
        <v xml:space="preserve"> Revlon ColorStay Shadow Links Onyx</v>
      </c>
      <c r="C2202" t="s">
        <v>162</v>
      </c>
      <c r="D2202" t="s">
        <v>572</v>
      </c>
    </row>
    <row r="2203" spans="1:4" x14ac:dyDescent="0.25">
      <c r="A2203" t="s">
        <v>881</v>
      </c>
    </row>
    <row r="2204" spans="1:4" x14ac:dyDescent="0.25">
      <c r="B2204" t="str">
        <f>HYPERLINK("https://www.chemistwarehouse.com.au/buy/70677/Revlon-ColorStay-Blemish-Concealer-Light"," Revlon ColorStay Blemish Concealer Light")</f>
        <v xml:space="preserve"> Revlon ColorStay Blemish Concealer Light</v>
      </c>
      <c r="C2204" t="s">
        <v>448</v>
      </c>
      <c r="D2204" t="s">
        <v>406</v>
      </c>
    </row>
    <row r="2205" spans="1:4" x14ac:dyDescent="0.25">
      <c r="B2205" t="str">
        <f>HYPERLINK("https://www.chemistwarehouse.com.au/buy/70678/Revlon-ColorStay-Blemish-Concealer-Light-Medium"," Revlon ColorStay Blemish Concealer Light Medium")</f>
        <v xml:space="preserve"> Revlon ColorStay Blemish Concealer Light Medium</v>
      </c>
      <c r="C2205" t="s">
        <v>448</v>
      </c>
      <c r="D2205" t="s">
        <v>406</v>
      </c>
    </row>
    <row r="2206" spans="1:4" x14ac:dyDescent="0.25">
      <c r="B2206" t="str">
        <f>HYPERLINK("https://www.chemistwarehouse.com.au/buy/70679/Revlon-ColorStay-Blemish-Concealer-Medium"," Revlon ColorStay Blemish Concealer Medium")</f>
        <v xml:space="preserve"> Revlon ColorStay Blemish Concealer Medium</v>
      </c>
      <c r="C2206" t="s">
        <v>448</v>
      </c>
      <c r="D2206" t="s">
        <v>406</v>
      </c>
    </row>
    <row r="2207" spans="1:4" x14ac:dyDescent="0.25">
      <c r="A2207" t="s">
        <v>882</v>
      </c>
    </row>
    <row r="2208" spans="1:4" x14ac:dyDescent="0.25">
      <c r="B2208" t="str">
        <f>HYPERLINK("https://www.chemistwarehouse.com.au/buy/69998/Revlon-ColorStay-Makeup-with-Time-Release-Technology-for-Normal-Dry-Medium-Beige"," Revlon ColorStay Makeup with Time Release Technology for Normal/Dry Medium Beige")</f>
        <v xml:space="preserve"> Revlon ColorStay Makeup with Time Release Technology for Normal/Dry Medium Beige</v>
      </c>
      <c r="C2208" t="s">
        <v>596</v>
      </c>
      <c r="D2208" t="s">
        <v>332</v>
      </c>
    </row>
    <row r="2209" spans="2:4" x14ac:dyDescent="0.25">
      <c r="B2209" t="str">
        <f>HYPERLINK("https://www.chemistwarehouse.com.au/buy/70001/Revlon-ColorStay-Makeup-with-Time-Release-Technology-for-Normal-Dry-True-Beige"," Revlon ColorStay Makeup with Time Release Technology for Normal/Dry True Beige")</f>
        <v xml:space="preserve"> Revlon ColorStay Makeup with Time Release Technology for Normal/Dry True Beige</v>
      </c>
      <c r="C2209" t="s">
        <v>596</v>
      </c>
      <c r="D2209" t="s">
        <v>332</v>
      </c>
    </row>
    <row r="2210" spans="2:4" x14ac:dyDescent="0.25">
      <c r="B2210" t="str">
        <f>HYPERLINK("https://www.chemistwarehouse.com.au/buy/70002/Revlon-ColorStay-Makeup-with-Time-Release-Technology-for-Combination-Oily-Natural-Tan"," Revlon ColorStay Makeup with Time Release Technology for Combination/Oily Natural Tan")</f>
        <v xml:space="preserve"> Revlon ColorStay Makeup with Time Release Technology for Combination/Oily Natural Tan</v>
      </c>
      <c r="C2210" t="s">
        <v>596</v>
      </c>
      <c r="D2210" t="s">
        <v>332</v>
      </c>
    </row>
    <row r="2211" spans="2:4" x14ac:dyDescent="0.25">
      <c r="B2211" t="str">
        <f>HYPERLINK("https://www.chemistwarehouse.com.au/buy/70003/Revlon-ColorStay-Makeup-with-Time-Release-Technology-for-Normal-Dry-Natural-Beige"," Revlon ColorStay Makeup with Time Release Technology for Normal/Dry Natural Beige")</f>
        <v xml:space="preserve"> Revlon ColorStay Makeup with Time Release Technology for Normal/Dry Natural Beige</v>
      </c>
      <c r="C2211" t="s">
        <v>596</v>
      </c>
      <c r="D2211" t="s">
        <v>332</v>
      </c>
    </row>
    <row r="2212" spans="2:4" x14ac:dyDescent="0.25">
      <c r="B2212" t="str">
        <f>HYPERLINK("https://www.chemistwarehouse.com.au/buy/70004/Revlon-ColorStay-Makeup-with-Time-Release-Technology-for-Combination-Oily-True-Beige"," Revlon ColorStay Makeup with Time Release Technology for Combination/Oily True Beige")</f>
        <v xml:space="preserve"> Revlon ColorStay Makeup with Time Release Technology for Combination/Oily True Beige</v>
      </c>
      <c r="C2212" t="s">
        <v>596</v>
      </c>
      <c r="D2212" t="s">
        <v>332</v>
      </c>
    </row>
    <row r="2213" spans="2:4" x14ac:dyDescent="0.25">
      <c r="B2213" t="str">
        <f>HYPERLINK("https://www.chemistwarehouse.com.au/buy/69999/Revlon-ColorStay-Makeup-with-Time-Release-Technology-for-Combination-Oily-Medium-Beige"," Revlon ColorStay Makeup with Time Release Technology for Combination/Oily Medium Beige")</f>
        <v xml:space="preserve"> Revlon ColorStay Makeup with Time Release Technology for Combination/Oily Medium Beige</v>
      </c>
      <c r="C2213" t="s">
        <v>596</v>
      </c>
      <c r="D2213" t="s">
        <v>332</v>
      </c>
    </row>
    <row r="2214" spans="2:4" x14ac:dyDescent="0.25">
      <c r="B2214" t="str">
        <f>HYPERLINK("https://www.chemistwarehouse.com.au/buy/70000/Revlon-ColorStay-Makeup-with-Time-Release-Technology-for-Normal-Dry-Sand-Beige"," Revlon ColorStay Makeup with Time Release Technology for Normal/Dry Sand Beige")</f>
        <v xml:space="preserve"> Revlon ColorStay Makeup with Time Release Technology for Normal/Dry Sand Beige</v>
      </c>
      <c r="C2214" t="s">
        <v>596</v>
      </c>
      <c r="D2214" t="s">
        <v>332</v>
      </c>
    </row>
    <row r="2215" spans="2:4" x14ac:dyDescent="0.25">
      <c r="B2215" t="str">
        <f>HYPERLINK("https://www.chemistwarehouse.com.au/buy/69987/Revlon-ColorStay-Makeup-with-Time-Release-Technology-for-Normal-Dry-Natural-Tan"," Revlon ColorStay Makeup with Time Release Technology for Normal/Dry Natural Tan")</f>
        <v xml:space="preserve"> Revlon ColorStay Makeup with Time Release Technology for Normal/Dry Natural Tan</v>
      </c>
      <c r="C2215" t="s">
        <v>596</v>
      </c>
      <c r="D2215" t="s">
        <v>332</v>
      </c>
    </row>
    <row r="2216" spans="2:4" x14ac:dyDescent="0.25">
      <c r="B2216" t="str">
        <f>HYPERLINK("https://www.chemistwarehouse.com.au/buy/69988/Revlon-ColorStay-Makeup-with-Time-Release-Technology-for-Combination-Oily-Sand-Beige"," Revlon ColorStay Makeup with Time Release Technology for Combination/Oily Sand Beige")</f>
        <v xml:space="preserve"> Revlon ColorStay Makeup with Time Release Technology for Combination/Oily Sand Beige</v>
      </c>
      <c r="C2216" t="s">
        <v>596</v>
      </c>
      <c r="D2216" t="s">
        <v>332</v>
      </c>
    </row>
    <row r="2217" spans="2:4" x14ac:dyDescent="0.25">
      <c r="B2217" t="str">
        <f>HYPERLINK("https://www.chemistwarehouse.com.au/buy/69989/Revlon-ColorStay-Makeup-with-Time-Release-Technology-for-Normal-Dry-Buff"," Revlon ColorStay Makeup with Time Release Technology for Normal/Dry Buff")</f>
        <v xml:space="preserve"> Revlon ColorStay Makeup with Time Release Technology for Normal/Dry Buff</v>
      </c>
      <c r="C2217" t="s">
        <v>596</v>
      </c>
      <c r="D2217" t="s">
        <v>332</v>
      </c>
    </row>
    <row r="2218" spans="2:4" x14ac:dyDescent="0.25">
      <c r="B2218" t="str">
        <f>HYPERLINK("https://www.chemistwarehouse.com.au/buy/69990/Revlon-ColorStay-Makeup-with-Time-Release-Technology-for-Normal-Dry-Ivory"," Revlon ColorStay Makeup with Time Release Technology for Normal/Dry Ivory")</f>
        <v xml:space="preserve"> Revlon ColorStay Makeup with Time Release Technology for Normal/Dry Ivory</v>
      </c>
      <c r="C2218" t="s">
        <v>596</v>
      </c>
      <c r="D2218" t="s">
        <v>332</v>
      </c>
    </row>
    <row r="2219" spans="2:4" x14ac:dyDescent="0.25">
      <c r="B2219" t="str">
        <f>HYPERLINK("https://www.chemistwarehouse.com.au/buy/69991/Revlon-ColorStay-Makeup-with-Time-Release-Technology-for-Combination-Oily-Nude"," Revlon ColorStay Makeup with Time Release Technology for Combination/Oily Nude")</f>
        <v xml:space="preserve"> Revlon ColorStay Makeup with Time Release Technology for Combination/Oily Nude</v>
      </c>
      <c r="C2219" t="s">
        <v>596</v>
      </c>
      <c r="D2219" t="s">
        <v>332</v>
      </c>
    </row>
    <row r="2220" spans="2:4" x14ac:dyDescent="0.25">
      <c r="B2220" t="str">
        <f>HYPERLINK("https://www.chemistwarehouse.com.au/buy/69992/Revlon-ColorStay-Makeup-with-Time-Release-Technology-for-Combination-Oily-Ivory"," Revlon ColorStay Makeup with Time Release Technology for Combination/Oily Ivory")</f>
        <v xml:space="preserve"> Revlon ColorStay Makeup with Time Release Technology for Combination/Oily Ivory</v>
      </c>
      <c r="C2220" t="s">
        <v>596</v>
      </c>
      <c r="D2220" t="s">
        <v>332</v>
      </c>
    </row>
    <row r="2221" spans="2:4" x14ac:dyDescent="0.25">
      <c r="B2221" t="str">
        <f>HYPERLINK("https://www.chemistwarehouse.com.au/buy/69993/Revlon-ColorStay-Makeup-with-Time-Release-Technology-for-Normal-Dry-Fresh-Beige"," Revlon ColorStay Makeup with Time Release Technology for Normal/Dry Fresh Beige")</f>
        <v xml:space="preserve"> Revlon ColorStay Makeup with Time Release Technology for Normal/Dry Fresh Beige</v>
      </c>
      <c r="C2221" t="s">
        <v>596</v>
      </c>
      <c r="D2221" t="s">
        <v>332</v>
      </c>
    </row>
    <row r="2222" spans="2:4" x14ac:dyDescent="0.25">
      <c r="B2222" t="str">
        <f>HYPERLINK("https://www.chemistwarehouse.com.au/buy/69994/Revlon-ColorStay-Makeup-with-Time-Release-Technology-for-Combination-Oily-Natural-Beige"," Revlon ColorStay Makeup with Time Release Technology for Combination/Oily Natural Beige")</f>
        <v xml:space="preserve"> Revlon ColorStay Makeup with Time Release Technology for Combination/Oily Natural Beige</v>
      </c>
      <c r="C2222" t="s">
        <v>596</v>
      </c>
      <c r="D2222" t="s">
        <v>332</v>
      </c>
    </row>
    <row r="2223" spans="2:4" x14ac:dyDescent="0.25">
      <c r="B2223" t="str">
        <f>HYPERLINK("https://www.chemistwarehouse.com.au/buy/69995/Revlon-ColorStay-Makeup-with-Time-Release-Technology-for-Combination-Oily-Fresh-Beige"," Revlon ColorStay Makeup with Time Release Technology for Combination/Oily Fresh Beige")</f>
        <v xml:space="preserve"> Revlon ColorStay Makeup with Time Release Technology for Combination/Oily Fresh Beige</v>
      </c>
      <c r="C2223" t="s">
        <v>596</v>
      </c>
      <c r="D2223" t="s">
        <v>332</v>
      </c>
    </row>
    <row r="2224" spans="2:4" x14ac:dyDescent="0.25">
      <c r="B2224" t="str">
        <f>HYPERLINK("https://www.chemistwarehouse.com.au/buy/69996/Revlon-ColorStay-Makeup-with-Time-Release-Technology-for-Combination-Oily-Buff-Foundation"," Revlon ColorStay Makeup with Time Release Technology for Combination/Oily Buff Foundation")</f>
        <v xml:space="preserve"> Revlon ColorStay Makeup with Time Release Technology for Combination/Oily Buff Foundation</v>
      </c>
      <c r="C2224" t="s">
        <v>596</v>
      </c>
      <c r="D2224" t="s">
        <v>332</v>
      </c>
    </row>
    <row r="2225" spans="1:4" x14ac:dyDescent="0.25">
      <c r="B2225" t="str">
        <f>HYPERLINK("https://www.chemistwarehouse.com.au/buy/69997/Revlon-ColorStay-Makeup-with-Time-Release-Technology-for-Normal-Dry-Nude"," Revlon ColorStay Makeup with Time Release Technology for Normal/Dry Nude")</f>
        <v xml:space="preserve"> Revlon ColorStay Makeup with Time Release Technology for Normal/Dry Nude</v>
      </c>
      <c r="C2225" t="s">
        <v>596</v>
      </c>
      <c r="D2225" t="s">
        <v>332</v>
      </c>
    </row>
    <row r="2226" spans="1:4" x14ac:dyDescent="0.25">
      <c r="A2226" t="s">
        <v>883</v>
      </c>
    </row>
    <row r="2227" spans="1:4" x14ac:dyDescent="0.25">
      <c r="B2227" t="str">
        <f>HYPERLINK("https://www.chemistwarehouse.com.au/buy/70680/Revlon-Colorstay-Pressed-Powder-Light"," Revlon Colorstay Pressed Powder Light")</f>
        <v xml:space="preserve"> Revlon Colorstay Pressed Powder Light</v>
      </c>
      <c r="C2227" t="s">
        <v>596</v>
      </c>
      <c r="D2227" t="s">
        <v>332</v>
      </c>
    </row>
    <row r="2228" spans="1:4" x14ac:dyDescent="0.25">
      <c r="B2228" t="str">
        <f>HYPERLINK("https://www.chemistwarehouse.com.au/buy/70681/Revlon-Colorstay-Pressed-Powder-Light-Medium"," Revlon Colorstay Pressed Powder Light/Medium")</f>
        <v xml:space="preserve"> Revlon Colorstay Pressed Powder Light/Medium</v>
      </c>
      <c r="C2228" t="s">
        <v>596</v>
      </c>
      <c r="D2228" t="s">
        <v>332</v>
      </c>
    </row>
    <row r="2229" spans="1:4" x14ac:dyDescent="0.25">
      <c r="B2229" t="str">
        <f>HYPERLINK("https://www.chemistwarehouse.com.au/buy/70682/Revlon-Colorstay-Pressed-Powder-Medium"," Revlon Colorstay Pressed Powder Medium")</f>
        <v xml:space="preserve"> Revlon Colorstay Pressed Powder Medium</v>
      </c>
      <c r="C2229" t="s">
        <v>596</v>
      </c>
      <c r="D2229" t="s">
        <v>332</v>
      </c>
    </row>
    <row r="2230" spans="1:4" x14ac:dyDescent="0.25">
      <c r="B2230" t="str">
        <f>HYPERLINK("https://www.chemistwarehouse.com.au/buy/70683/Revlon-Colorstay-Pressed-Powder-Medium-Deep"," Revlon Colorstay Pressed Powder Medium/Deep")</f>
        <v xml:space="preserve"> Revlon Colorstay Pressed Powder Medium/Deep</v>
      </c>
      <c r="C2230" t="s">
        <v>596</v>
      </c>
      <c r="D2230" t="s">
        <v>332</v>
      </c>
    </row>
    <row r="2231" spans="1:4" x14ac:dyDescent="0.25">
      <c r="B2231" t="str">
        <f>HYPERLINK("https://www.chemistwarehouse.com.au/buy/70684/Revlon-Colorstay-Pressed-Powder-Translucent"," Revlon Colorstay Pressed Powder Translucent")</f>
        <v xml:space="preserve"> Revlon Colorstay Pressed Powder Translucent</v>
      </c>
      <c r="C2231" t="s">
        <v>596</v>
      </c>
      <c r="D2231" t="s">
        <v>332</v>
      </c>
    </row>
    <row r="2232" spans="1:4" x14ac:dyDescent="0.25">
      <c r="A2232" t="s">
        <v>884</v>
      </c>
    </row>
    <row r="2233" spans="1:4" x14ac:dyDescent="0.25">
      <c r="B2233" t="str">
        <f>HYPERLINK("https://www.chemistwarehouse.com.au/buy/61767/Revlon-ColorStay-Natural-Makeup-03-Nude"," Revlon ColorStay Natural Makeup 03 Nude")</f>
        <v xml:space="preserve"> Revlon ColorStay Natural Makeup 03 Nude</v>
      </c>
      <c r="C2233" t="s">
        <v>864</v>
      </c>
      <c r="D2233" t="s">
        <v>821</v>
      </c>
    </row>
    <row r="2234" spans="1:4" x14ac:dyDescent="0.25">
      <c r="B2234" t="str">
        <f>HYPERLINK("https://www.chemistwarehouse.com.au/buy/61768/Revlon-ColorStay-Natural-Makeup-05-Natural-Beige"," Revlon ColorStay Natural Makeup 05 Natural Beige")</f>
        <v xml:space="preserve"> Revlon ColorStay Natural Makeup 05 Natural Beige</v>
      </c>
      <c r="C2234" t="s">
        <v>864</v>
      </c>
      <c r="D2234" t="s">
        <v>821</v>
      </c>
    </row>
    <row r="2235" spans="1:4" x14ac:dyDescent="0.25">
      <c r="B2235" t="str">
        <f>HYPERLINK("https://www.chemistwarehouse.com.au/buy/61769/Revlon-ColorStay-Natural-Makeup-04-Sand-Beige"," Revlon ColorStay Natural Makeup 04 Sand Beige")</f>
        <v xml:space="preserve"> Revlon ColorStay Natural Makeup 04 Sand Beige</v>
      </c>
      <c r="C2235" t="s">
        <v>864</v>
      </c>
      <c r="D2235" t="s">
        <v>821</v>
      </c>
    </row>
    <row r="2236" spans="1:4" x14ac:dyDescent="0.25">
      <c r="B2236" t="str">
        <f>HYPERLINK("https://www.chemistwarehouse.com.au/buy/53937/Revlon-ColorStay-Natural-Makeup-True-Beige"," Revlon ColorStay Natural Makeup True Beige")</f>
        <v xml:space="preserve"> Revlon ColorStay Natural Makeup True Beige</v>
      </c>
      <c r="C2236" t="s">
        <v>864</v>
      </c>
      <c r="D2236" t="s">
        <v>821</v>
      </c>
    </row>
    <row r="2237" spans="1:4" x14ac:dyDescent="0.25">
      <c r="B2237" t="str">
        <f>HYPERLINK("https://www.chemistwarehouse.com.au/buy/61764/Revlon-ColorStay-Natural-Makeup-02-Buff"," Revlon ColorStay Natural Makeup 02 Buff")</f>
        <v xml:space="preserve"> Revlon ColorStay Natural Makeup 02 Buff</v>
      </c>
      <c r="C2237" t="s">
        <v>864</v>
      </c>
      <c r="D2237" t="s">
        <v>821</v>
      </c>
    </row>
    <row r="2238" spans="1:4" x14ac:dyDescent="0.25">
      <c r="B2238" t="str">
        <f>HYPERLINK("https://www.chemistwarehouse.com.au/buy/61765/Revlon-ColorStay-Natural-Makeup-07-Honey-Beige"," Revlon ColorStay Natural Makeup 07 Honey Beige")</f>
        <v xml:space="preserve"> Revlon ColorStay Natural Makeup 07 Honey Beige</v>
      </c>
      <c r="C2238" t="s">
        <v>864</v>
      </c>
      <c r="D2238" t="s">
        <v>821</v>
      </c>
    </row>
    <row r="2239" spans="1:4" x14ac:dyDescent="0.25">
      <c r="B2239" t="str">
        <f>HYPERLINK("https://www.chemistwarehouse.com.au/buy/61766/Revlon-ColorStay-Natural-Makeup-06-Medium-Beige"," Revlon ColorStay Natural Makeup 06 Medium Beige")</f>
        <v xml:space="preserve"> Revlon ColorStay Natural Makeup 06 Medium Beige</v>
      </c>
      <c r="C2239" t="s">
        <v>864</v>
      </c>
      <c r="D2239" t="s">
        <v>821</v>
      </c>
    </row>
    <row r="2240" spans="1:4" x14ac:dyDescent="0.25">
      <c r="A2240" t="s">
        <v>885</v>
      </c>
    </row>
    <row r="2241" spans="1:4" x14ac:dyDescent="0.25">
      <c r="B2241" t="str">
        <f>HYPERLINK("https://www.chemistwarehouse.com.au/buy/66642/Revlon-Colorstay-Whipped-Creme-Makeup-Buff"," Revlon Colorstay Whipped Creme Makeup Buff")</f>
        <v xml:space="preserve"> Revlon Colorstay Whipped Creme Makeup Buff</v>
      </c>
      <c r="C2241" t="s">
        <v>493</v>
      </c>
      <c r="D2241" t="s">
        <v>867</v>
      </c>
    </row>
    <row r="2242" spans="1:4" x14ac:dyDescent="0.25">
      <c r="B2242" t="str">
        <f>HYPERLINK("https://www.chemistwarehouse.com.au/buy/66643/Revlon-Colorstay-Whipped-Creme-Makeup-Medium-Beige"," Revlon Colorstay Whipped Creme Makeup Medium Beige")</f>
        <v xml:space="preserve"> Revlon Colorstay Whipped Creme Makeup Medium Beige</v>
      </c>
      <c r="C2242" t="s">
        <v>493</v>
      </c>
      <c r="D2242" t="s">
        <v>867</v>
      </c>
    </row>
    <row r="2243" spans="1:4" x14ac:dyDescent="0.25">
      <c r="B2243" t="str">
        <f>HYPERLINK("https://www.chemistwarehouse.com.au/buy/66644/Revlon-Colorstay-Whipped-Creme-Makeup-Natural-Beige"," Revlon Colorstay Whipped Creme Makeup Natural Beige ")</f>
        <v xml:space="preserve"> Revlon Colorstay Whipped Creme Makeup Natural Beige </v>
      </c>
      <c r="C2243" t="s">
        <v>493</v>
      </c>
      <c r="D2243" t="s">
        <v>867</v>
      </c>
    </row>
    <row r="2244" spans="1:4" x14ac:dyDescent="0.25">
      <c r="B2244" t="str">
        <f>HYPERLINK("https://www.chemistwarehouse.com.au/buy/66645/Revlon-Colorstay-Whipped-Creme-Makeup-Nude"," Revlon Colorstay Whipped Creme Makeup Nude")</f>
        <v xml:space="preserve"> Revlon Colorstay Whipped Creme Makeup Nude</v>
      </c>
      <c r="C2244" t="s">
        <v>493</v>
      </c>
      <c r="D2244" t="s">
        <v>867</v>
      </c>
    </row>
    <row r="2245" spans="1:4" x14ac:dyDescent="0.25">
      <c r="B2245" t="str">
        <f>HYPERLINK("https://www.chemistwarehouse.com.au/buy/66646/Revlon-Colorstay-Whipped-Creme-Makeup-Sand-Beige"," Revlon Colorstay Whipped Creme Makeup Sand Beige")</f>
        <v xml:space="preserve"> Revlon Colorstay Whipped Creme Makeup Sand Beige</v>
      </c>
      <c r="C2245" t="s">
        <v>493</v>
      </c>
      <c r="D2245" t="s">
        <v>867</v>
      </c>
    </row>
    <row r="2246" spans="1:4" x14ac:dyDescent="0.25">
      <c r="B2246" t="str">
        <f>HYPERLINK("https://www.chemistwarehouse.com.au/buy/66647/Revlon-Colorstay-Whipped-Creme-Makeup-True-Beige"," Revlon Colorstay Whipped Creme Makeup True Beige")</f>
        <v xml:space="preserve"> Revlon Colorstay Whipped Creme Makeup True Beige</v>
      </c>
      <c r="C2246" t="s">
        <v>493</v>
      </c>
      <c r="D2246" t="s">
        <v>867</v>
      </c>
    </row>
    <row r="2247" spans="1:4" x14ac:dyDescent="0.25">
      <c r="B2247" t="str">
        <f>HYPERLINK("https://www.chemistwarehouse.com.au/buy/66648/Revlon-Colorstay-Whipped-Creme-Makeup-Warm-Golden"," Revlon Colorstay Whipped Creme Makeup Warm Golden")</f>
        <v xml:space="preserve"> Revlon Colorstay Whipped Creme Makeup Warm Golden</v>
      </c>
      <c r="C2247" t="s">
        <v>493</v>
      </c>
      <c r="D2247" t="s">
        <v>867</v>
      </c>
    </row>
    <row r="2248" spans="1:4" x14ac:dyDescent="0.25">
      <c r="A2248" t="s">
        <v>886</v>
      </c>
    </row>
    <row r="2249" spans="1:4" x14ac:dyDescent="0.25">
      <c r="B2249" t="str">
        <f>HYPERLINK("https://www.chemistwarehouse.com.au/buy/78339/Revlon-ColorStay-2-IN-1-Make-Up-and-Concaler-True-Beige"," Revlon ColorStay 2-IN-1 Make Up and Concaler True Beige")</f>
        <v xml:space="preserve"> Revlon ColorStay 2-IN-1 Make Up and Concaler True Beige</v>
      </c>
      <c r="C2249" t="s">
        <v>596</v>
      </c>
      <c r="D2249" t="s">
        <v>332</v>
      </c>
    </row>
    <row r="2250" spans="1:4" x14ac:dyDescent="0.25">
      <c r="B2250" t="str">
        <f>HYPERLINK("https://www.chemistwarehouse.com.au/buy/78340/Revlon-ColorStay-2-IN-1-Make-Up-and-Concealer-Golden-Beige"," Revlon ColorStay 2-IN-1 Make Up and Concealer Golden Beige")</f>
        <v xml:space="preserve"> Revlon ColorStay 2-IN-1 Make Up and Concealer Golden Beige</v>
      </c>
      <c r="C2250" t="s">
        <v>596</v>
      </c>
      <c r="D2250" t="s">
        <v>332</v>
      </c>
    </row>
    <row r="2251" spans="1:4" x14ac:dyDescent="0.25">
      <c r="B2251" t="str">
        <f>HYPERLINK("https://www.chemistwarehouse.com.au/buy/78341/Revlon-ColorStay-2-IN-1-Make-Up-and-Concealer-Natural-Tan"," Revlon ColorStay 2-IN-1 Make Up and Concealer Natural Tan")</f>
        <v xml:space="preserve"> Revlon ColorStay 2-IN-1 Make Up and Concealer Natural Tan</v>
      </c>
      <c r="C2251" t="s">
        <v>596</v>
      </c>
      <c r="D2251" t="s">
        <v>332</v>
      </c>
    </row>
    <row r="2252" spans="1:4" x14ac:dyDescent="0.25">
      <c r="B2252" t="str">
        <f>HYPERLINK("https://www.chemistwarehouse.com.au/buy/78342/Revlon-ColorStay-2-IN-1-Make-Up-and-Concealer-Nude"," Revlon ColorStay 2-IN-1 Make Up and Concealer Nude")</f>
        <v xml:space="preserve"> Revlon ColorStay 2-IN-1 Make Up and Concealer Nude</v>
      </c>
      <c r="C2252" t="s">
        <v>596</v>
      </c>
      <c r="D2252" t="s">
        <v>332</v>
      </c>
    </row>
    <row r="2253" spans="1:4" x14ac:dyDescent="0.25">
      <c r="B2253" t="str">
        <f>HYPERLINK("https://www.chemistwarehouse.com.au/buy/78343/Revlon-ColorStay-2-IN-1-Make-Up-and-Concealer-Buff"," Revlon ColorStay 2-IN-1 Make Up and Concealer Buff")</f>
        <v xml:space="preserve"> Revlon ColorStay 2-IN-1 Make Up and Concealer Buff</v>
      </c>
      <c r="C2253" t="s">
        <v>596</v>
      </c>
      <c r="D2253" t="s">
        <v>332</v>
      </c>
    </row>
    <row r="2254" spans="1:4" x14ac:dyDescent="0.25">
      <c r="B2254" t="str">
        <f>HYPERLINK("https://www.chemistwarehouse.com.au/buy/78344/Revlon-ColorStay-2-IN-1-Make-Up-and-Concealer-Ivory"," Revlon ColorStay 2-IN-1 Make Up and Concealer Ivory")</f>
        <v xml:space="preserve"> Revlon ColorStay 2-IN-1 Make Up and Concealer Ivory</v>
      </c>
      <c r="C2254" t="s">
        <v>596</v>
      </c>
      <c r="D2254" t="s">
        <v>332</v>
      </c>
    </row>
    <row r="2255" spans="1:4" x14ac:dyDescent="0.25">
      <c r="B2255" t="str">
        <f>HYPERLINK("https://www.chemistwarehouse.com.au/buy/78345/Revlon-ColorStay-2-IN-1-Make-Up-and-Concealer-Medium-Beige"," Revlon ColorStay 2-IN-1 Make Up and Concealer Medium Beige")</f>
        <v xml:space="preserve"> Revlon ColorStay 2-IN-1 Make Up and Concealer Medium Beige</v>
      </c>
      <c r="C2255" t="s">
        <v>596</v>
      </c>
      <c r="D2255" t="s">
        <v>332</v>
      </c>
    </row>
    <row r="2256" spans="1:4" x14ac:dyDescent="0.25">
      <c r="B2256" t="str">
        <f>HYPERLINK("https://www.chemistwarehouse.com.au/buy/78346/Revlon-ColorStay-2-IN-1-Make-Up-and-Concealer-Natural-Beige"," Revlon ColorStay 2-IN-1 Make Up and Concealer Natural Beige")</f>
        <v xml:space="preserve"> Revlon ColorStay 2-IN-1 Make Up and Concealer Natural Beige</v>
      </c>
      <c r="C2256" t="s">
        <v>596</v>
      </c>
      <c r="D2256" t="s">
        <v>332</v>
      </c>
    </row>
    <row r="2257" spans="1:4" x14ac:dyDescent="0.25">
      <c r="B2257" t="str">
        <f>HYPERLINK("https://www.chemistwarehouse.com.au/buy/78347/Revlon-ColorStay-2-IN-1-Make-Up-and-Concealer-Sand-Beige"," Revlon ColorStay 2-IN-1 Make Up and Concealer Sand Beige")</f>
        <v xml:space="preserve"> Revlon ColorStay 2-IN-1 Make Up and Concealer Sand Beige</v>
      </c>
      <c r="C2257" t="s">
        <v>596</v>
      </c>
      <c r="D2257" t="s">
        <v>332</v>
      </c>
    </row>
    <row r="2258" spans="1:4" x14ac:dyDescent="0.25">
      <c r="A2258" t="s">
        <v>887</v>
      </c>
    </row>
    <row r="2259" spans="1:4" x14ac:dyDescent="0.25">
      <c r="B2259" t="str">
        <f>HYPERLINK("https://www.chemistwarehouse.com.au/buy/70686/Revlon-ColorStay-Lipliner-Mauve"," Revlon ColorStay Lipliner Mauve")</f>
        <v xml:space="preserve"> Revlon ColorStay Lipliner Mauve</v>
      </c>
      <c r="C2259" t="s">
        <v>404</v>
      </c>
      <c r="D2259" t="s">
        <v>152</v>
      </c>
    </row>
    <row r="2260" spans="1:4" x14ac:dyDescent="0.25">
      <c r="B2260" t="str">
        <f>HYPERLINK("https://www.chemistwarehouse.com.au/buy/70687/Revlon-ColorStay-Lipliner-Nudes"," Revlon ColorStay Lipliner Nudes")</f>
        <v xml:space="preserve"> Revlon ColorStay Lipliner Nudes</v>
      </c>
      <c r="C2260" t="s">
        <v>404</v>
      </c>
      <c r="D2260" t="s">
        <v>152</v>
      </c>
    </row>
    <row r="2261" spans="1:4" x14ac:dyDescent="0.25">
      <c r="B2261" t="str">
        <f>HYPERLINK("https://www.chemistwarehouse.com.au/buy/70688/Revlon-ColorStay-Lipliner-Pinks"," Revlon ColorStay Lipliner Pinks")</f>
        <v xml:space="preserve"> Revlon ColorStay Lipliner Pinks</v>
      </c>
      <c r="C2261" t="s">
        <v>404</v>
      </c>
      <c r="D2261" t="s">
        <v>152</v>
      </c>
    </row>
    <row r="2262" spans="1:4" x14ac:dyDescent="0.25">
      <c r="B2262" t="str">
        <f>HYPERLINK("https://www.chemistwarehouse.com.au/buy/70689/Revlon-ColorStay-Lipliner-Plums"," Revlon ColorStay Lipliner Plums")</f>
        <v xml:space="preserve"> Revlon ColorStay Lipliner Plums</v>
      </c>
      <c r="C2262" t="s">
        <v>404</v>
      </c>
      <c r="D2262" t="s">
        <v>152</v>
      </c>
    </row>
    <row r="2263" spans="1:4" x14ac:dyDescent="0.25">
      <c r="B2263" t="str">
        <f>HYPERLINK("https://www.chemistwarehouse.com.au/buy/70690/Revlon-ColorStay-Lipliner-Raisin"," Revlon ColorStay Lipliner Raisin")</f>
        <v xml:space="preserve"> Revlon ColorStay Lipliner Raisin</v>
      </c>
      <c r="C2263" t="s">
        <v>404</v>
      </c>
      <c r="D2263" t="s">
        <v>152</v>
      </c>
    </row>
    <row r="2264" spans="1:4" x14ac:dyDescent="0.25">
      <c r="B2264" t="str">
        <f>HYPERLINK("https://www.chemistwarehouse.com.au/buy/70691/Revlon-ColorStay-Lipliner-Reds"," Revlon ColorStay Lipliner Reds")</f>
        <v xml:space="preserve"> Revlon ColorStay Lipliner Reds</v>
      </c>
      <c r="C2264" t="s">
        <v>404</v>
      </c>
      <c r="D2264" t="s">
        <v>152</v>
      </c>
    </row>
    <row r="2265" spans="1:4" x14ac:dyDescent="0.25">
      <c r="B2265" t="str">
        <f>HYPERLINK("https://www.chemistwarehouse.com.au/buy/70693/Revlon-ColorStay-Lipliner-Siennas"," Revlon ColorStay Lipliner Siennas")</f>
        <v xml:space="preserve"> Revlon ColorStay Lipliner Siennas</v>
      </c>
      <c r="C2265" t="s">
        <v>404</v>
      </c>
      <c r="D2265" t="s">
        <v>152</v>
      </c>
    </row>
    <row r="2266" spans="1:4" x14ac:dyDescent="0.25">
      <c r="B2266" t="str">
        <f>HYPERLINK("https://www.chemistwarehouse.com.au/buy/70694/Revlon-ColorStay-Lipliner-Wines"," Revlon ColorStay Lipliner Wines")</f>
        <v xml:space="preserve"> Revlon ColorStay Lipliner Wines</v>
      </c>
      <c r="C2266" t="s">
        <v>404</v>
      </c>
      <c r="D2266" t="s">
        <v>152</v>
      </c>
    </row>
    <row r="2267" spans="1:4" x14ac:dyDescent="0.25">
      <c r="B2267" t="str">
        <f>HYPERLINK("https://www.chemistwarehouse.com.au/buy/75717/Revlon-Colorstay-Lip-Liner-Soft-Pink"," Revlon Colorstay Lip Liner Soft Pink")</f>
        <v xml:space="preserve"> Revlon Colorstay Lip Liner Soft Pink</v>
      </c>
      <c r="C2267" t="s">
        <v>404</v>
      </c>
      <c r="D2267" t="s">
        <v>152</v>
      </c>
    </row>
    <row r="2268" spans="1:4" x14ac:dyDescent="0.25">
      <c r="B2268" t="str">
        <f>HYPERLINK("https://www.chemistwarehouse.com.au/buy/77477/Revlon-Colorstay-Lipliner-Natural"," Revlon Colorstay Lipliner Natural")</f>
        <v xml:space="preserve"> Revlon Colorstay Lipliner Natural</v>
      </c>
      <c r="C2268" t="s">
        <v>404</v>
      </c>
      <c r="D2268" t="s">
        <v>152</v>
      </c>
    </row>
    <row r="2269" spans="1:4" x14ac:dyDescent="0.25">
      <c r="B2269" t="str">
        <f>HYPERLINK("https://www.chemistwarehouse.com.au/buy/77482/Revlon-Colorstay-Lipliner-Blush"," Revlon Colorstay Lipliner Blush")</f>
        <v xml:space="preserve"> Revlon Colorstay Lipliner Blush</v>
      </c>
      <c r="C2269" t="s">
        <v>404</v>
      </c>
      <c r="D2269" t="s">
        <v>152</v>
      </c>
    </row>
    <row r="2270" spans="1:4" x14ac:dyDescent="0.25">
      <c r="B2270" t="str">
        <f>HYPERLINK("https://www.chemistwarehouse.com.au/buy/74685/Revlon-Colorstay-Lip-Liner-Fuchsia"," Revlon Colorstay Lip Liner Fuchsia")</f>
        <v xml:space="preserve"> Revlon Colorstay Lip Liner Fuchsia</v>
      </c>
      <c r="C2270" t="s">
        <v>404</v>
      </c>
      <c r="D2270" t="s">
        <v>152</v>
      </c>
    </row>
    <row r="2271" spans="1:4" x14ac:dyDescent="0.25">
      <c r="A2271" t="s">
        <v>888</v>
      </c>
    </row>
    <row r="2272" spans="1:4" x14ac:dyDescent="0.25">
      <c r="B2272" t="str">
        <f>HYPERLINK("https://www.chemistwarehouse.com.au/buy/74100/Revlon-Colorstay-Moisture-Lip-Stain-Shanghai-Sizzle"," Revlon Colorstay Moisture Lip Stain Shanghai Sizzle")</f>
        <v xml:space="preserve"> Revlon Colorstay Moisture Lip Stain Shanghai Sizzle</v>
      </c>
      <c r="C2272" t="s">
        <v>153</v>
      </c>
      <c r="D2272" t="s">
        <v>145</v>
      </c>
    </row>
    <row r="2273" spans="1:4" x14ac:dyDescent="0.25">
      <c r="B2273" t="str">
        <f>HYPERLINK("https://www.chemistwarehouse.com.au/buy/74090/Revlon-Colorstay-Moisture-Lip-Stain-Barcelona-Nights"," Revlon Colorstay Moisture Lip Stain Barcelona Nights")</f>
        <v xml:space="preserve"> Revlon Colorstay Moisture Lip Stain Barcelona Nights</v>
      </c>
      <c r="C2273" t="s">
        <v>153</v>
      </c>
      <c r="D2273" t="s">
        <v>145</v>
      </c>
    </row>
    <row r="2274" spans="1:4" x14ac:dyDescent="0.25">
      <c r="B2274" t="str">
        <f>HYPERLINK("https://www.chemistwarehouse.com.au/buy/74091/Revlon-Colorstay-Moisture-Lip-Stain-Cannes-Crush"," Revlon Colorstay Moisture Lip Stain Cannes Crush")</f>
        <v xml:space="preserve"> Revlon Colorstay Moisture Lip Stain Cannes Crush</v>
      </c>
      <c r="C2274" t="s">
        <v>153</v>
      </c>
      <c r="D2274" t="s">
        <v>145</v>
      </c>
    </row>
    <row r="2275" spans="1:4" x14ac:dyDescent="0.25">
      <c r="B2275" t="str">
        <f>HYPERLINK("https://www.chemistwarehouse.com.au/buy/74092/Revlon-Colorstay-Moisture-Lip-Stain-India-Intrigue"," Revlon Colorstay Moisture Lip Stain India Intrigue")</f>
        <v xml:space="preserve"> Revlon Colorstay Moisture Lip Stain India Intrigue</v>
      </c>
      <c r="C2275" t="s">
        <v>153</v>
      </c>
      <c r="D2275" t="s">
        <v>145</v>
      </c>
    </row>
    <row r="2276" spans="1:4" x14ac:dyDescent="0.25">
      <c r="B2276" t="str">
        <f>HYPERLINK("https://www.chemistwarehouse.com.au/buy/74093/Revlon-Colorstay-Moisture-Lip-Stain-La-Exclusive"," Revlon Colorstay Moisture Lip Stain La Exclusive")</f>
        <v xml:space="preserve"> Revlon Colorstay Moisture Lip Stain La Exclusive</v>
      </c>
      <c r="C2276" t="s">
        <v>153</v>
      </c>
      <c r="D2276" t="s">
        <v>145</v>
      </c>
    </row>
    <row r="2277" spans="1:4" x14ac:dyDescent="0.25">
      <c r="B2277" t="str">
        <f>HYPERLINK("https://www.chemistwarehouse.com.au/buy/74094/Revlon-Colorstay-Moisture-Lip-Stain-London-Posh"," Revlon Colorstay Moisture Lip Stain London Posh")</f>
        <v xml:space="preserve"> Revlon Colorstay Moisture Lip Stain London Posh</v>
      </c>
      <c r="C2277" t="s">
        <v>153</v>
      </c>
      <c r="D2277" t="s">
        <v>145</v>
      </c>
    </row>
    <row r="2278" spans="1:4" x14ac:dyDescent="0.25">
      <c r="B2278" t="str">
        <f>HYPERLINK("https://www.chemistwarehouse.com.au/buy/74095/Revlon-Colorstay-Moisture-Lip-Stain-Miami-Fever"," Revlon Colorstay Moisture Lip Stain Miami Fever")</f>
        <v xml:space="preserve"> Revlon Colorstay Moisture Lip Stain Miami Fever</v>
      </c>
      <c r="C2278" t="s">
        <v>153</v>
      </c>
      <c r="D2278" t="s">
        <v>145</v>
      </c>
    </row>
    <row r="2279" spans="1:4" x14ac:dyDescent="0.25">
      <c r="B2279" t="str">
        <f>HYPERLINK("https://www.chemistwarehouse.com.au/buy/74096/Revlon-Colorstay-Moisture-Lip-Stain-Milan-Moment"," Revlon Colorstay Moisture Lip Stain Milan Moment")</f>
        <v xml:space="preserve"> Revlon Colorstay Moisture Lip Stain Milan Moment</v>
      </c>
      <c r="C2279" t="s">
        <v>153</v>
      </c>
      <c r="D2279" t="s">
        <v>145</v>
      </c>
    </row>
    <row r="2280" spans="1:4" x14ac:dyDescent="0.25">
      <c r="B2280" t="str">
        <f>HYPERLINK("https://www.chemistwarehouse.com.au/buy/74097/Revlon-Colorstay-Moisture-Lip-Stain-New-York-Scene"," Revlon Colorstay Moisture Lip Stain New York Scene")</f>
        <v xml:space="preserve"> Revlon Colorstay Moisture Lip Stain New York Scene</v>
      </c>
      <c r="C2280" t="s">
        <v>153</v>
      </c>
      <c r="D2280" t="s">
        <v>145</v>
      </c>
    </row>
    <row r="2281" spans="1:4" x14ac:dyDescent="0.25">
      <c r="B2281" t="str">
        <f>HYPERLINK("https://www.chemistwarehouse.com.au/buy/74098/Revlon-Colorstay-Moisture-Lip-Stain-Parisian-Passion"," Revlon Colorstay Moisture Lip Stain Parisian Passion")</f>
        <v xml:space="preserve"> Revlon Colorstay Moisture Lip Stain Parisian Passion</v>
      </c>
      <c r="C2281" t="s">
        <v>153</v>
      </c>
      <c r="D2281" t="s">
        <v>145</v>
      </c>
    </row>
    <row r="2282" spans="1:4" x14ac:dyDescent="0.25">
      <c r="B2282" t="str">
        <f>HYPERLINK("https://www.chemistwarehouse.com.au/buy/74099/Revlon-Colorstay-Moisture-Lip-Stain-Rio-Rush"," Revlon Colorstay Moisture Lip Stain Rio Rush")</f>
        <v xml:space="preserve"> Revlon Colorstay Moisture Lip Stain Rio Rush</v>
      </c>
      <c r="C2282" t="s">
        <v>153</v>
      </c>
      <c r="D2282" t="s">
        <v>145</v>
      </c>
    </row>
    <row r="2283" spans="1:4" x14ac:dyDescent="0.25">
      <c r="B2283" t="str">
        <f>HYPERLINK("https://www.chemistwarehouse.com.au/buy/74101/Revlon-Colorstay-Moisture-Lip-Stain-Stockholm-Chic"," Revlon Colorstay Moisture Lip Stain Stockholm Chic")</f>
        <v xml:space="preserve"> Revlon Colorstay Moisture Lip Stain Stockholm Chic</v>
      </c>
      <c r="C2283" t="s">
        <v>153</v>
      </c>
      <c r="D2283" t="s">
        <v>145</v>
      </c>
    </row>
    <row r="2284" spans="1:4" x14ac:dyDescent="0.25">
      <c r="A2284" t="s">
        <v>889</v>
      </c>
    </row>
    <row r="2285" spans="1:4" x14ac:dyDescent="0.25">
      <c r="B2285" t="str">
        <f>HYPERLINK("https://www.chemistwarehouse.com.au/buy/73087/Revlon-Colorstay-Overtime-Lipcolor-Always-Sienna"," Revlon Colorstay Overtime Lipcolor Always Sienna")</f>
        <v xml:space="preserve"> Revlon Colorstay Overtime Lipcolor Always Sienna</v>
      </c>
      <c r="C2285" t="s">
        <v>890</v>
      </c>
      <c r="D2285" t="s">
        <v>406</v>
      </c>
    </row>
    <row r="2286" spans="1:4" x14ac:dyDescent="0.25">
      <c r="B2286" t="str">
        <f>HYPERLINK("https://www.chemistwarehouse.com.au/buy/73088/Revlon-Colorstay-Overtime-Lipcolor-Bare-Maximum"," Revlon Colorstay Overtime Lipcolor Bare Maximum")</f>
        <v xml:space="preserve"> Revlon Colorstay Overtime Lipcolor Bare Maximum</v>
      </c>
      <c r="C2286" t="s">
        <v>890</v>
      </c>
      <c r="D2286" t="s">
        <v>406</v>
      </c>
    </row>
    <row r="2287" spans="1:4" x14ac:dyDescent="0.25">
      <c r="B2287" t="str">
        <f>HYPERLINK("https://www.chemistwarehouse.com.au/buy/75712/Revlon-Colorstay-Overtime-Lipcolor-Keep-Blushing"," Revlon Colorstay Overtime Lipcolor Keep Blushing")</f>
        <v xml:space="preserve"> Revlon Colorstay Overtime Lipcolor Keep Blushing</v>
      </c>
      <c r="C2287" t="s">
        <v>890</v>
      </c>
      <c r="D2287" t="s">
        <v>406</v>
      </c>
    </row>
    <row r="2288" spans="1:4" x14ac:dyDescent="0.25">
      <c r="B2288" t="str">
        <f>HYPERLINK("https://www.chemistwarehouse.com.au/buy/75713/Revlon-Colorstay-Overtime-Lipcolor-Forever-Scarlet"," Revlon Colorstay Overtime Lipcolor Forever Scarlet")</f>
        <v xml:space="preserve"> Revlon Colorstay Overtime Lipcolor Forever Scarlet</v>
      </c>
      <c r="C2288" t="s">
        <v>890</v>
      </c>
      <c r="D2288" t="s">
        <v>406</v>
      </c>
    </row>
    <row r="2289" spans="1:4" x14ac:dyDescent="0.25">
      <c r="B2289" t="str">
        <f>HYPERLINK("https://www.chemistwarehouse.com.au/buy/75714/Revlon-Colorstay-Overtime-Lipcolor-Eternal-Rose"," Revlon Colorstay Overtime Lipcolor Eternal Rose")</f>
        <v xml:space="preserve"> Revlon Colorstay Overtime Lipcolor Eternal Rose</v>
      </c>
      <c r="C2289" t="s">
        <v>890</v>
      </c>
      <c r="D2289" t="s">
        <v>406</v>
      </c>
    </row>
    <row r="2290" spans="1:4" x14ac:dyDescent="0.25">
      <c r="B2290" t="str">
        <f>HYPERLINK("https://www.chemistwarehouse.com.au/buy/75715/Revlon-Colorstay-Overtime-Lipcolor-Relentless-Raisin"," Revlon Colorstay Overtime Lipcolor Relentless Raisin")</f>
        <v xml:space="preserve"> Revlon Colorstay Overtime Lipcolor Relentless Raisin</v>
      </c>
      <c r="C2290" t="s">
        <v>890</v>
      </c>
      <c r="D2290" t="s">
        <v>406</v>
      </c>
    </row>
    <row r="2291" spans="1:4" x14ac:dyDescent="0.25">
      <c r="B2291" t="str">
        <f>HYPERLINK("https://www.chemistwarehouse.com.au/buy/77474/Revlon-Colorstay-Overtime-Lipcolor-For-Keeps-Pink"," Revlon Colorstay Overtime Lipcolor For Keeps Pink")</f>
        <v xml:space="preserve"> Revlon Colorstay Overtime Lipcolor For Keeps Pink</v>
      </c>
      <c r="C2291" t="s">
        <v>890</v>
      </c>
      <c r="D2291" t="s">
        <v>406</v>
      </c>
    </row>
    <row r="2292" spans="1:4" x14ac:dyDescent="0.25">
      <c r="B2292" t="str">
        <f>HYPERLINK("https://www.chemistwarehouse.com.au/buy/77475/Revlon-Colorstay-Overtime-Lipcolor-All-Night-Fuchsia"," Revlon Colorstay Overtime Lipcolor All Night Fuchsia")</f>
        <v xml:space="preserve"> Revlon Colorstay Overtime Lipcolor All Night Fuchsia</v>
      </c>
      <c r="C2292" t="s">
        <v>890</v>
      </c>
      <c r="D2292" t="s">
        <v>406</v>
      </c>
    </row>
    <row r="2293" spans="1:4" x14ac:dyDescent="0.25">
      <c r="B2293" t="str">
        <f>HYPERLINK("https://www.chemistwarehouse.com.au/buy/77483/Revlon-Colorstay-Overtime-Lipcolor-Unending-Red"," Revlon Colorstay Overtime Lipcolor Unending Red")</f>
        <v xml:space="preserve"> Revlon Colorstay Overtime Lipcolor Unending Red</v>
      </c>
      <c r="C2293" t="s">
        <v>890</v>
      </c>
      <c r="D2293" t="s">
        <v>406</v>
      </c>
    </row>
    <row r="2294" spans="1:4" x14ac:dyDescent="0.25">
      <c r="B2294" t="str">
        <f>HYPERLINK("https://www.chemistwarehouse.com.au/buy/70697/Revlon-ColorStay-Overtime-Lipcolor-Constantly-Coral"," Revlon ColorStay Overtime Lipcolor Constantly Coral")</f>
        <v xml:space="preserve"> Revlon ColorStay Overtime Lipcolor Constantly Coral</v>
      </c>
      <c r="C2294" t="s">
        <v>890</v>
      </c>
      <c r="D2294" t="s">
        <v>406</v>
      </c>
    </row>
    <row r="2295" spans="1:4" x14ac:dyDescent="0.25">
      <c r="B2295" t="str">
        <f>HYPERLINK("https://www.chemistwarehouse.com.au/buy/70698/Revlon-ColorStay-Overtime-Lipcolor-Endless-Spice"," Revlon ColorStay Overtime Lipcolor Endless Spice")</f>
        <v xml:space="preserve"> Revlon ColorStay Overtime Lipcolor Endless Spice</v>
      </c>
      <c r="C2295" t="s">
        <v>890</v>
      </c>
      <c r="D2295" t="s">
        <v>406</v>
      </c>
    </row>
    <row r="2296" spans="1:4" x14ac:dyDescent="0.25">
      <c r="B2296" t="str">
        <f>HYPERLINK("https://www.chemistwarehouse.com.au/buy/70699/Revlon-Colorstay-Overtime-Lipcolor-Forever-Pink"," Revlon Colorstay Overtime Lipcolor Forever Pink")</f>
        <v xml:space="preserve"> Revlon Colorstay Overtime Lipcolor Forever Pink</v>
      </c>
      <c r="C2296" t="s">
        <v>890</v>
      </c>
      <c r="D2296" t="s">
        <v>406</v>
      </c>
    </row>
    <row r="2297" spans="1:4" x14ac:dyDescent="0.25">
      <c r="B2297" t="str">
        <f>HYPERLINK("https://www.chemistwarehouse.com.au/buy/70700/Revlon-Colorstay-Overtime-Lipcolor-Infinite-Raspberry"," Revlon Colorstay Overtime Lipcolor Infinite Raspberry")</f>
        <v xml:space="preserve"> Revlon Colorstay Overtime Lipcolor Infinite Raspberry</v>
      </c>
      <c r="C2297" t="s">
        <v>890</v>
      </c>
      <c r="D2297" t="s">
        <v>406</v>
      </c>
    </row>
    <row r="2298" spans="1:4" x14ac:dyDescent="0.25">
      <c r="B2298" t="str">
        <f>HYPERLINK("https://www.chemistwarehouse.com.au/buy/70701/Revlon-Colorstay-Overtime-Lipcolor-Non-Stop-Cherry"," Revlon Colorstay Overtime Lipcolor Non-Stop Cherry")</f>
        <v xml:space="preserve"> Revlon Colorstay Overtime Lipcolor Non-Stop Cherry</v>
      </c>
      <c r="C2298" t="s">
        <v>890</v>
      </c>
      <c r="D2298" t="s">
        <v>406</v>
      </c>
    </row>
    <row r="2299" spans="1:4" x14ac:dyDescent="0.25">
      <c r="B2299" t="str">
        <f>HYPERLINK("https://www.chemistwarehouse.com.au/buy/70703/Revlon-Colorstay-Overtime-Lipcolor-Perennial-Plum"," Revlon Colorstay Overtime Lipcolor Perennial Plum")</f>
        <v xml:space="preserve"> Revlon Colorstay Overtime Lipcolor Perennial Plum</v>
      </c>
      <c r="C2299" t="s">
        <v>890</v>
      </c>
      <c r="D2299" t="s">
        <v>406</v>
      </c>
    </row>
    <row r="2300" spans="1:4" x14ac:dyDescent="0.25">
      <c r="B2300" t="str">
        <f>HYPERLINK("https://www.chemistwarehouse.com.au/buy/70704/Revlon-Colorstay-Overtime-Lipcolor-Ultimate-Wine"," Revlon Colorstay Overtime Lipcolor Ultimate Wine")</f>
        <v xml:space="preserve"> Revlon Colorstay Overtime Lipcolor Ultimate Wine</v>
      </c>
      <c r="C2300" t="s">
        <v>890</v>
      </c>
      <c r="D2300" t="s">
        <v>406</v>
      </c>
    </row>
    <row r="2301" spans="1:4" x14ac:dyDescent="0.25">
      <c r="B2301" t="str">
        <f>HYPERLINK("https://www.chemistwarehouse.com.au/buy/70702/Revlon-Colorstay-Overtime-Lipcolor-Perennial-Pink"," Revlon Colorstay Overtime Lipcolor Perennial Pink")</f>
        <v xml:space="preserve"> Revlon Colorstay Overtime Lipcolor Perennial Pink</v>
      </c>
      <c r="C2301" t="s">
        <v>890</v>
      </c>
      <c r="D2301" t="s">
        <v>406</v>
      </c>
    </row>
    <row r="2302" spans="1:4" x14ac:dyDescent="0.25">
      <c r="A2302" t="s">
        <v>891</v>
      </c>
    </row>
    <row r="2303" spans="1:4" x14ac:dyDescent="0.25">
      <c r="B2303" t="str">
        <f>HYPERLINK("https://www.chemistwarehouse.com.au/buy/70724/Revlon-Colorstay-Ultimate-Suede-Lipstick-Iconic"," Revlon Colorstay Ultimate Suede Lipstick Iconic")</f>
        <v xml:space="preserve"> Revlon Colorstay Ultimate Suede Lipstick Iconic</v>
      </c>
      <c r="C2303" t="s">
        <v>448</v>
      </c>
      <c r="D2303" t="s">
        <v>406</v>
      </c>
    </row>
    <row r="2304" spans="1:4" x14ac:dyDescent="0.25">
      <c r="B2304" t="str">
        <f>HYPERLINK("https://www.chemistwarehouse.com.au/buy/70726/Revlon-Colorstay-Ultimate-Suede-Lipstick-Muse"," Revlon Colorstay Ultimate Suede Lipstick Muse")</f>
        <v xml:space="preserve"> Revlon Colorstay Ultimate Suede Lipstick Muse</v>
      </c>
      <c r="C2304" t="s">
        <v>448</v>
      </c>
      <c r="D2304" t="s">
        <v>406</v>
      </c>
    </row>
    <row r="2305" spans="2:4" x14ac:dyDescent="0.25">
      <c r="B2305" t="str">
        <f>HYPERLINK("https://www.chemistwarehouse.com.au/buy/70727/Revlon-Colorstay-Ultimate-Suede-Lipstick-Preview"," Revlon Colorstay Ultimate Suede Lipstick Preview")</f>
        <v xml:space="preserve"> Revlon Colorstay Ultimate Suede Lipstick Preview</v>
      </c>
      <c r="C2305" t="s">
        <v>448</v>
      </c>
      <c r="D2305" t="s">
        <v>406</v>
      </c>
    </row>
    <row r="2306" spans="2:4" x14ac:dyDescent="0.25">
      <c r="B2306" t="str">
        <f>HYPERLINK("https://www.chemistwarehouse.com.au/buy/70728/Revlon-Colorstay-Ultimate-Suede-Lipstick-Private-Viewing"," Revlon Colorstay Ultimate Suede Lipstick Private Viewing")</f>
        <v xml:space="preserve"> Revlon Colorstay Ultimate Suede Lipstick Private Viewing</v>
      </c>
      <c r="C2306" t="s">
        <v>448</v>
      </c>
      <c r="D2306" t="s">
        <v>406</v>
      </c>
    </row>
    <row r="2307" spans="2:4" x14ac:dyDescent="0.25">
      <c r="B2307" t="str">
        <f>HYPERLINK("https://www.chemistwarehouse.com.au/buy/70729/Revlon-Colorstay-Ultimate-Suede-Lipstick-Runway"," Revlon Colorstay Ultimate Suede Lipstick Runway")</f>
        <v xml:space="preserve"> Revlon Colorstay Ultimate Suede Lipstick Runway</v>
      </c>
      <c r="C2307" t="s">
        <v>448</v>
      </c>
      <c r="D2307" t="s">
        <v>406</v>
      </c>
    </row>
    <row r="2308" spans="2:4" x14ac:dyDescent="0.25">
      <c r="B2308" t="str">
        <f>HYPERLINK("https://www.chemistwarehouse.com.au/buy/70730/Revlon-Colorstay-Ultimate-Suede-Lipstick-Silhouette"," Revlon Colorstay Ultimate Suede Lipstick Silhouette")</f>
        <v xml:space="preserve"> Revlon Colorstay Ultimate Suede Lipstick Silhouette</v>
      </c>
      <c r="C2308" t="s">
        <v>448</v>
      </c>
      <c r="D2308" t="s">
        <v>406</v>
      </c>
    </row>
    <row r="2309" spans="2:4" x14ac:dyDescent="0.25">
      <c r="B2309" t="str">
        <f>HYPERLINK("https://www.chemistwarehouse.com.au/buy/70731/Revlon-Colorstay-Ultimate-Suede-Lipstick-Socialite"," Revlon Colorstay Ultimate Suede Lipstick Socialite")</f>
        <v xml:space="preserve"> Revlon Colorstay Ultimate Suede Lipstick Socialite</v>
      </c>
      <c r="C2309" t="s">
        <v>448</v>
      </c>
      <c r="D2309" t="s">
        <v>406</v>
      </c>
    </row>
    <row r="2310" spans="2:4" x14ac:dyDescent="0.25">
      <c r="B2310" t="str">
        <f>HYPERLINK("https://www.chemistwarehouse.com.au/buy/70732/Revlon-Colorstay-Ultimate-Suede-Lipstick-Super-Model"," Revlon Colorstay Ultimate Suede Lipstick Super Model")</f>
        <v xml:space="preserve"> Revlon Colorstay Ultimate Suede Lipstick Super Model</v>
      </c>
      <c r="C2310" t="s">
        <v>448</v>
      </c>
      <c r="D2310" t="s">
        <v>406</v>
      </c>
    </row>
    <row r="2311" spans="2:4" x14ac:dyDescent="0.25">
      <c r="B2311" t="str">
        <f>HYPERLINK("https://www.chemistwarehouse.com.au/buy/70734/Revlon-Colorstay-Ultimate-Suede-Lipstick-Womenswear"," Revlon Colorstay Ultimate Suede Lipstick Womenswear")</f>
        <v xml:space="preserve"> Revlon Colorstay Ultimate Suede Lipstick Womenswear</v>
      </c>
      <c r="C2311" t="s">
        <v>448</v>
      </c>
      <c r="D2311" t="s">
        <v>406</v>
      </c>
    </row>
    <row r="2312" spans="2:4" x14ac:dyDescent="0.25">
      <c r="B2312" t="str">
        <f>HYPERLINK("https://www.chemistwarehouse.com.au/buy/74686/Revlon-Colorstay-Ultimate-Suede-Lipstick-Boho-Chic"," Revlon Colorstay Ultimate Suede Lipstick Boho Chic")</f>
        <v xml:space="preserve"> Revlon Colorstay Ultimate Suede Lipstick Boho Chic</v>
      </c>
      <c r="C2312" t="s">
        <v>448</v>
      </c>
      <c r="D2312" t="s">
        <v>406</v>
      </c>
    </row>
    <row r="2313" spans="2:4" x14ac:dyDescent="0.25">
      <c r="B2313" t="str">
        <f>HYPERLINK("https://www.chemistwarehouse.com.au/buy/74688/Revlon-Colorstay-Ultimate-Suede-Lipstick-Stylist"," Revlon Colorstay Ultimate Suede Lipstick Stylist")</f>
        <v xml:space="preserve"> Revlon Colorstay Ultimate Suede Lipstick Stylist</v>
      </c>
      <c r="C2313" t="s">
        <v>448</v>
      </c>
      <c r="D2313" t="s">
        <v>406</v>
      </c>
    </row>
    <row r="2314" spans="2:4" x14ac:dyDescent="0.25">
      <c r="B2314" t="str">
        <f>HYPERLINK("https://www.chemistwarehouse.com.au/buy/74689/Revlon-Colorstay-Ultimate-Suede-Lipstick-Wardrobe"," Revlon Colorstay Ultimate Suede Lipstick Wardrobe")</f>
        <v xml:space="preserve"> Revlon Colorstay Ultimate Suede Lipstick Wardrobe</v>
      </c>
      <c r="C2314" t="s">
        <v>448</v>
      </c>
      <c r="D2314" t="s">
        <v>406</v>
      </c>
    </row>
    <row r="2315" spans="2:4" x14ac:dyDescent="0.25">
      <c r="B2315" t="str">
        <f>HYPERLINK("https://www.chemistwarehouse.com.au/buy/81164/Revlon-Colorstay-Ultimate-Suede-Lipstick-Influencer"," Revlon Colorstay Ultimate Suede Lipstick Influencer")</f>
        <v xml:space="preserve"> Revlon Colorstay Ultimate Suede Lipstick Influencer</v>
      </c>
      <c r="C2315" t="s">
        <v>153</v>
      </c>
      <c r="D2315" t="s">
        <v>145</v>
      </c>
    </row>
    <row r="2316" spans="2:4" x14ac:dyDescent="0.25">
      <c r="B2316" t="str">
        <f>HYPERLINK("https://www.chemistwarehouse.com.au/buy/81165/Revlon-Colorstay-Ultimate-Suede-Lipstick-Ingenue"," Revlon Colorstay Ultimate Suede Lipstick Ingenue")</f>
        <v xml:space="preserve"> Revlon Colorstay Ultimate Suede Lipstick Ingenue</v>
      </c>
      <c r="C2316" t="s">
        <v>153</v>
      </c>
      <c r="D2316" t="s">
        <v>145</v>
      </c>
    </row>
    <row r="2317" spans="2:4" x14ac:dyDescent="0.25">
      <c r="B2317" t="str">
        <f>HYPERLINK("https://www.chemistwarehouse.com.au/buy/70715/Revlon-Colorstay-Ultimate-Suede-Lipstick-Backstage"," Revlon Colorstay Ultimate Suede Lipstick Backstage")</f>
        <v xml:space="preserve"> Revlon Colorstay Ultimate Suede Lipstick Backstage</v>
      </c>
      <c r="C2317" t="s">
        <v>448</v>
      </c>
      <c r="D2317" t="s">
        <v>406</v>
      </c>
    </row>
    <row r="2318" spans="2:4" x14ac:dyDescent="0.25">
      <c r="B2318" t="str">
        <f>HYPERLINK("https://www.chemistwarehouse.com.au/buy/70717/Revlon-Colorstay-Ultimate-Suede-Lipstick-Couture"," Revlon Colorstay Ultimate Suede Lipstick Couture")</f>
        <v xml:space="preserve"> Revlon Colorstay Ultimate Suede Lipstick Couture</v>
      </c>
      <c r="C2318" t="s">
        <v>448</v>
      </c>
      <c r="D2318" t="s">
        <v>406</v>
      </c>
    </row>
    <row r="2319" spans="2:4" x14ac:dyDescent="0.25">
      <c r="B2319" t="str">
        <f>HYPERLINK("https://www.chemistwarehouse.com.au/buy/70718/Revlon-Colorstay-Ultimate-Suede-Lipstick-Cruse-Collection"," Revlon Colorstay Ultimate Suede Lipstick Cruse Collection")</f>
        <v xml:space="preserve"> Revlon Colorstay Ultimate Suede Lipstick Cruse Collection</v>
      </c>
      <c r="C2319" t="s">
        <v>448</v>
      </c>
      <c r="D2319" t="s">
        <v>406</v>
      </c>
    </row>
    <row r="2320" spans="2:4" x14ac:dyDescent="0.25">
      <c r="B2320" t="str">
        <f>HYPERLINK("https://www.chemistwarehouse.com.au/buy/70719/Revlon-Colorstay-Ultimate-Suede-Lipstick-Fashionista"," Revlon Colorstay Ultimate Suede Lipstick Fashionista")</f>
        <v xml:space="preserve"> Revlon Colorstay Ultimate Suede Lipstick Fashionista</v>
      </c>
      <c r="C2320" t="s">
        <v>448</v>
      </c>
      <c r="D2320" t="s">
        <v>406</v>
      </c>
    </row>
    <row r="2321" spans="1:4" x14ac:dyDescent="0.25">
      <c r="B2321" t="str">
        <f>HYPERLINK("https://www.chemistwarehouse.com.au/buy/70720/Revlon-Colorstay-Ultimate-Suede-Lipstick-Finale"," Revlon Colorstay Ultimate Suede Lipstick Finale")</f>
        <v xml:space="preserve"> Revlon Colorstay Ultimate Suede Lipstick Finale</v>
      </c>
      <c r="C2321" t="s">
        <v>448</v>
      </c>
      <c r="D2321" t="s">
        <v>406</v>
      </c>
    </row>
    <row r="2322" spans="1:4" x14ac:dyDescent="0.25">
      <c r="B2322" t="str">
        <f>HYPERLINK("https://www.chemistwarehouse.com.au/buy/70723/Revlon-Colorstay-Ultimate-Suede-Lipstick-High-Heels"," Revlon Colorstay Ultimate Suede Lipstick High Heels")</f>
        <v xml:space="preserve"> Revlon Colorstay Ultimate Suede Lipstick High Heels</v>
      </c>
      <c r="C2322" t="s">
        <v>448</v>
      </c>
      <c r="D2322" t="s">
        <v>406</v>
      </c>
    </row>
    <row r="2323" spans="1:4" x14ac:dyDescent="0.25">
      <c r="A2323" t="s">
        <v>892</v>
      </c>
    </row>
    <row r="2324" spans="1:4" x14ac:dyDescent="0.25">
      <c r="B2324" t="str">
        <f>HYPERLINK("https://www.chemistwarehouse.com.au/buy/72430/Revlon-ColorStay-Gel-Envy-Double-Down"," Revlon ColorStay Gel Envy Double Down")</f>
        <v xml:space="preserve"> Revlon ColorStay Gel Envy Double Down</v>
      </c>
      <c r="C2324" t="s">
        <v>46</v>
      </c>
      <c r="D2324" t="s">
        <v>353</v>
      </c>
    </row>
    <row r="2325" spans="1:4" x14ac:dyDescent="0.25">
      <c r="B2325" t="str">
        <f>HYPERLINK("https://www.chemistwarehouse.com.au/buy/72431/Revlon-ColorStay-Gel-Envy-Full-House"," Revlon ColorStay Gel Envy Full House")</f>
        <v xml:space="preserve"> Revlon ColorStay Gel Envy Full House</v>
      </c>
      <c r="C2325" t="s">
        <v>46</v>
      </c>
      <c r="D2325" t="s">
        <v>353</v>
      </c>
    </row>
    <row r="2326" spans="1:4" x14ac:dyDescent="0.25">
      <c r="B2326" t="str">
        <f>HYPERLINK("https://www.chemistwarehouse.com.au/buy/72432/Revlon-ColorStay-Gel-Envy-High-Roller"," Revlon ColorStay Gel Envy High Roller")</f>
        <v xml:space="preserve"> Revlon ColorStay Gel Envy High Roller</v>
      </c>
      <c r="C2326" t="s">
        <v>46</v>
      </c>
      <c r="D2326" t="s">
        <v>353</v>
      </c>
    </row>
    <row r="2327" spans="1:4" x14ac:dyDescent="0.25">
      <c r="B2327" t="str">
        <f>HYPERLINK("https://www.chemistwarehouse.com.au/buy/72434/Revlon-ColorStay-Gel-Envy-Hold-Em"," Revlon ColorStay Gel Envy Hold Em")</f>
        <v xml:space="preserve"> Revlon ColorStay Gel Envy Hold Em</v>
      </c>
      <c r="C2327" t="s">
        <v>46</v>
      </c>
      <c r="D2327" t="s">
        <v>353</v>
      </c>
    </row>
    <row r="2328" spans="1:4" x14ac:dyDescent="0.25">
      <c r="B2328" t="str">
        <f>HYPERLINK("https://www.chemistwarehouse.com.au/buy/72435/Revlon-ColorStay-Gel-Envy-Hot-Hand"," Revlon ColorStay Gel Envy Hot Hand")</f>
        <v xml:space="preserve"> Revlon ColorStay Gel Envy Hot Hand</v>
      </c>
      <c r="C2328" t="s">
        <v>46</v>
      </c>
      <c r="D2328" t="s">
        <v>353</v>
      </c>
    </row>
    <row r="2329" spans="1:4" x14ac:dyDescent="0.25">
      <c r="B2329" t="str">
        <f>HYPERLINK("https://www.chemistwarehouse.com.au/buy/72437/Revlon-ColorStay-Gel-Envy-Jackpot"," Revlon ColorStay Gel Envy Jackpot")</f>
        <v xml:space="preserve"> Revlon ColorStay Gel Envy Jackpot</v>
      </c>
      <c r="C2329" t="s">
        <v>46</v>
      </c>
      <c r="D2329" t="s">
        <v>353</v>
      </c>
    </row>
    <row r="2330" spans="1:4" x14ac:dyDescent="0.25">
      <c r="B2330" t="str">
        <f>HYPERLINK("https://www.chemistwarehouse.com.au/buy/72438/Revlon-ColorStay-Gel-Envy-Jokers-Wild"," Revlon ColorStay Gel Envy Jokers Wild")</f>
        <v xml:space="preserve"> Revlon ColorStay Gel Envy Jokers Wild</v>
      </c>
      <c r="C2330" t="s">
        <v>46</v>
      </c>
      <c r="D2330" t="s">
        <v>353</v>
      </c>
    </row>
    <row r="2331" spans="1:4" x14ac:dyDescent="0.25">
      <c r="B2331" t="str">
        <f>HYPERLINK("https://www.chemistwarehouse.com.au/buy/72439/Revlon-ColorStay-Gel-Envy-Lady-Luck"," Revlon ColorStay Gel Envy Lady Luck")</f>
        <v xml:space="preserve"> Revlon ColorStay Gel Envy Lady Luck</v>
      </c>
      <c r="C2331" t="s">
        <v>46</v>
      </c>
      <c r="D2331" t="s">
        <v>353</v>
      </c>
    </row>
    <row r="2332" spans="1:4" x14ac:dyDescent="0.25">
      <c r="B2332" t="str">
        <f>HYPERLINK("https://www.chemistwarehouse.com.au/buy/72440/Revlon-ColorStay-Gel-Envy-Long-Shot"," Revlon ColorStay Gel Envy Long Shot")</f>
        <v xml:space="preserve"> Revlon ColorStay Gel Envy Long Shot</v>
      </c>
      <c r="C2332" t="s">
        <v>46</v>
      </c>
      <c r="D2332" t="s">
        <v>353</v>
      </c>
    </row>
    <row r="2333" spans="1:4" x14ac:dyDescent="0.25">
      <c r="B2333" t="str">
        <f>HYPERLINK("https://www.chemistwarehouse.com.au/buy/72441/Revlon-ColorStay-Gel-Envy-Pocket-Aces"," Revlon ColorStay Gel Envy Pocket Aces")</f>
        <v xml:space="preserve"> Revlon ColorStay Gel Envy Pocket Aces</v>
      </c>
      <c r="C2333" t="s">
        <v>46</v>
      </c>
      <c r="D2333" t="s">
        <v>353</v>
      </c>
    </row>
    <row r="2334" spans="1:4" x14ac:dyDescent="0.25">
      <c r="B2334" t="str">
        <f>HYPERLINK("https://www.chemistwarehouse.com.au/buy/72442/Revlon-ColorStay-Gel-Envy-Queen-Of-Hearts"," Revlon ColorStay Gel Envy Queen Of Hearts")</f>
        <v xml:space="preserve"> Revlon ColorStay Gel Envy Queen Of Hearts</v>
      </c>
      <c r="C2334" t="s">
        <v>46</v>
      </c>
      <c r="D2334" t="s">
        <v>353</v>
      </c>
    </row>
    <row r="2335" spans="1:4" x14ac:dyDescent="0.25">
      <c r="B2335" t="str">
        <f>HYPERLINK("https://www.chemistwarehouse.com.au/buy/72443/Revlon-ColorStay-Gel-Envy-Roulette-Rush"," Revlon ColorStay Gel Envy Roulette Rush")</f>
        <v xml:space="preserve"> Revlon ColorStay Gel Envy Roulette Rush</v>
      </c>
      <c r="C2335" t="s">
        <v>46</v>
      </c>
      <c r="D2335" t="s">
        <v>353</v>
      </c>
    </row>
    <row r="2336" spans="1:4" x14ac:dyDescent="0.25">
      <c r="B2336" t="str">
        <f>HYPERLINK("https://www.chemistwarehouse.com.au/buy/72444/Revlon-ColorStay-Gel-Envy-Royal-Flush"," Revlon ColorStay Gel Envy Royal Flush")</f>
        <v xml:space="preserve"> Revlon ColorStay Gel Envy Royal Flush</v>
      </c>
      <c r="C2336" t="s">
        <v>46</v>
      </c>
      <c r="D2336" t="s">
        <v>353</v>
      </c>
    </row>
    <row r="2337" spans="1:4" x14ac:dyDescent="0.25">
      <c r="B2337" t="str">
        <f>HYPERLINK("https://www.chemistwarehouse.com.au/buy/72445/Revlon-ColorStay-Gel-Envy-Showtime"," Revlon ColorStay Gel Envy Showtime")</f>
        <v xml:space="preserve"> Revlon ColorStay Gel Envy Showtime</v>
      </c>
      <c r="C2337" t="s">
        <v>46</v>
      </c>
      <c r="D2337" t="s">
        <v>353</v>
      </c>
    </row>
    <row r="2338" spans="1:4" x14ac:dyDescent="0.25">
      <c r="B2338" t="str">
        <f>HYPERLINK("https://www.chemistwarehouse.com.au/buy/72446/Revlon-ColorStay-Gel-Envy-Skys-The-Limit"," Revlon ColorStay Gel Envy Skys The Limit")</f>
        <v xml:space="preserve"> Revlon ColorStay Gel Envy Skys The Limit</v>
      </c>
      <c r="C2338" t="s">
        <v>46</v>
      </c>
      <c r="D2338" t="s">
        <v>353</v>
      </c>
    </row>
    <row r="2339" spans="1:4" x14ac:dyDescent="0.25">
      <c r="B2339" t="str">
        <f>HYPERLINK("https://www.chemistwarehouse.com.au/buy/72447/Revlon-ColorStay-Gel-Envy-Sure-Thing"," Revlon ColorStay Gel Envy Sure Thing")</f>
        <v xml:space="preserve"> Revlon ColorStay Gel Envy Sure Thing</v>
      </c>
      <c r="C2339" t="s">
        <v>46</v>
      </c>
      <c r="D2339" t="s">
        <v>353</v>
      </c>
    </row>
    <row r="2340" spans="1:4" x14ac:dyDescent="0.25">
      <c r="B2340" t="str">
        <f>HYPERLINK("https://www.chemistwarehouse.com.au/buy/72448/Revlon-ColorStay-Gel-Envy-Top-Coat"," Revlon ColorStay Gel Envy Top Coat")</f>
        <v xml:space="preserve"> Revlon ColorStay Gel Envy Top Coat</v>
      </c>
      <c r="C2340" t="s">
        <v>46</v>
      </c>
      <c r="D2340" t="s">
        <v>353</v>
      </c>
    </row>
    <row r="2341" spans="1:4" x14ac:dyDescent="0.25">
      <c r="B2341" t="str">
        <f>HYPERLINK("https://www.chemistwarehouse.com.au/buy/72449/Revlon-ColorStay-Gel-Envy-Up-The-Ante"," Revlon ColorStay Gel Envy Up The Ante")</f>
        <v xml:space="preserve"> Revlon ColorStay Gel Envy Up The Ante</v>
      </c>
      <c r="C2341" t="s">
        <v>46</v>
      </c>
      <c r="D2341" t="s">
        <v>353</v>
      </c>
    </row>
    <row r="2342" spans="1:4" x14ac:dyDescent="0.25">
      <c r="B2342" t="str">
        <f>HYPERLINK("https://www.chemistwarehouse.com.au/buy/72450/Revlon-ColorStay-Gel-Envy-Wild-Card"," Revlon ColorStay Gel Envy Wild Card")</f>
        <v xml:space="preserve"> Revlon ColorStay Gel Envy Wild Card</v>
      </c>
      <c r="C2342" t="s">
        <v>46</v>
      </c>
      <c r="D2342" t="s">
        <v>353</v>
      </c>
    </row>
    <row r="2343" spans="1:4" x14ac:dyDescent="0.25">
      <c r="B2343" t="str">
        <f>HYPERLINK("https://www.chemistwarehouse.com.au/buy/72451/Revlon-ColorStay-Gel-Envy-Winning-Streak"," Revlon ColorStay Gel Envy Winning Streak")</f>
        <v xml:space="preserve"> Revlon ColorStay Gel Envy Winning Streak</v>
      </c>
      <c r="C2343" t="s">
        <v>46</v>
      </c>
      <c r="D2343" t="s">
        <v>353</v>
      </c>
    </row>
    <row r="2344" spans="1:4" x14ac:dyDescent="0.25">
      <c r="B2344" t="str">
        <f>HYPERLINK("https://www.chemistwarehouse.com.au/buy/78055/Revlon-Colorstay-Gel-Envy-2-Of-A-Kind"," Revlon Colorstay Gel Envy 2 Of A Kind")</f>
        <v xml:space="preserve"> Revlon Colorstay Gel Envy 2 Of A Kind</v>
      </c>
      <c r="C2344" t="s">
        <v>46</v>
      </c>
      <c r="D2344" t="s">
        <v>353</v>
      </c>
    </row>
    <row r="2345" spans="1:4" x14ac:dyDescent="0.25">
      <c r="B2345" t="str">
        <f>HYPERLINK("https://www.chemistwarehouse.com.au/buy/78056/Revlon-Colorstay-Gel-Envy-Bet-On-Love"," Revlon Colorstay Gel Envy Bet On Love")</f>
        <v xml:space="preserve"> Revlon Colorstay Gel Envy Bet On Love</v>
      </c>
      <c r="C2345" t="s">
        <v>46</v>
      </c>
      <c r="D2345" t="s">
        <v>353</v>
      </c>
    </row>
    <row r="2346" spans="1:4" x14ac:dyDescent="0.25">
      <c r="B2346" t="str">
        <f>HYPERLINK("https://www.chemistwarehouse.com.au/buy/78057/Revlon-Colorstay-Gel-Envy-Gambling-Heart"," Revlon Colorstay Gel Envy Gambling Heart")</f>
        <v xml:space="preserve"> Revlon Colorstay Gel Envy Gambling Heart</v>
      </c>
      <c r="C2346" t="s">
        <v>46</v>
      </c>
      <c r="D2346" t="s">
        <v>353</v>
      </c>
    </row>
    <row r="2347" spans="1:4" x14ac:dyDescent="0.25">
      <c r="B2347" t="str">
        <f>HYPERLINK("https://www.chemistwarehouse.com.au/buy/78058/Revlon-Colorstay-Gel-Envy-Get-Lucky"," Revlon Colorstay Gel Envy Get Lucky")</f>
        <v xml:space="preserve"> Revlon Colorstay Gel Envy Get Lucky</v>
      </c>
      <c r="C2347" t="s">
        <v>46</v>
      </c>
      <c r="D2347" t="s">
        <v>353</v>
      </c>
    </row>
    <row r="2348" spans="1:4" x14ac:dyDescent="0.25">
      <c r="A2348" t="s">
        <v>893</v>
      </c>
    </row>
    <row r="2349" spans="1:4" x14ac:dyDescent="0.25">
      <c r="B2349" t="str">
        <f>HYPERLINK("https://www.chemistwarehouse.com.au/buy/70776/Revlon-Just-Bitten-Kissable-Lip-Balm-Romantic"," Revlon Just Bitten Kissable Lip Balm Romantic")</f>
        <v xml:space="preserve"> Revlon Just Bitten Kissable Lip Balm Romantic</v>
      </c>
      <c r="C2349" t="s">
        <v>187</v>
      </c>
      <c r="D2349" t="s">
        <v>397</v>
      </c>
    </row>
    <row r="2350" spans="1:4" x14ac:dyDescent="0.25">
      <c r="B2350" t="str">
        <f>HYPERLINK("https://www.chemistwarehouse.com.au/buy/70769/Revlon-Just-Bitten-Kissable-Balm-Stain-Adore"," Revlon Just Bitten Kissable Balm Stain Adore")</f>
        <v xml:space="preserve"> Revlon Just Bitten Kissable Balm Stain Adore</v>
      </c>
      <c r="C2350" t="s">
        <v>187</v>
      </c>
      <c r="D2350" t="s">
        <v>397</v>
      </c>
    </row>
    <row r="2351" spans="1:4" x14ac:dyDescent="0.25">
      <c r="B2351" t="str">
        <f>HYPERLINK("https://www.chemistwarehouse.com.au/buy/70767/Revlon-Just-Bitten-Kissable-Balm-Stain-Crush"," Revlon Just Bitten Kissable Balm Stain Crush")</f>
        <v xml:space="preserve"> Revlon Just Bitten Kissable Balm Stain Crush</v>
      </c>
      <c r="C2351" t="s">
        <v>187</v>
      </c>
      <c r="D2351" t="s">
        <v>397</v>
      </c>
    </row>
    <row r="2352" spans="1:4" x14ac:dyDescent="0.25">
      <c r="B2352" t="str">
        <f>HYPERLINK("https://www.chemistwarehouse.com.au/buy/70768/Revlon-Just-Bitten-Kissable-Balm-Stain-Rendezvous"," Revlon Just Bitten Kissable Balm Stain Rendezvous")</f>
        <v xml:space="preserve"> Revlon Just Bitten Kissable Balm Stain Rendezvous</v>
      </c>
      <c r="C2352" t="s">
        <v>187</v>
      </c>
      <c r="D2352" t="s">
        <v>397</v>
      </c>
    </row>
    <row r="2353" spans="1:4" x14ac:dyDescent="0.25">
      <c r="B2353" t="str">
        <f>HYPERLINK("https://www.chemistwarehouse.com.au/buy/70771/Revlon-Just-Bitten-Kissable-Balm-Stain-Cherish"," Revlon Just Bitten Kissable Balm Stain Cherish")</f>
        <v xml:space="preserve"> Revlon Just Bitten Kissable Balm Stain Cherish</v>
      </c>
      <c r="C2353" t="s">
        <v>187</v>
      </c>
      <c r="D2353" t="s">
        <v>397</v>
      </c>
    </row>
    <row r="2354" spans="1:4" x14ac:dyDescent="0.25">
      <c r="B2354" t="str">
        <f>HYPERLINK("https://www.chemistwarehouse.com.au/buy/70773/Revlon-Just-Bitten-Kissable-Balm-Stain-Honey"," Revlon Just Bitten Kissable Balm Stain Honey")</f>
        <v xml:space="preserve"> Revlon Just Bitten Kissable Balm Stain Honey</v>
      </c>
      <c r="C2354" t="s">
        <v>187</v>
      </c>
      <c r="D2354" t="s">
        <v>397</v>
      </c>
    </row>
    <row r="2355" spans="1:4" x14ac:dyDescent="0.25">
      <c r="B2355" t="str">
        <f>HYPERLINK("https://www.chemistwarehouse.com.au/buy/70777/Revlon-Just-Bitten-Kissable-Lip-Balm-Smitten"," Revlon Just Bitten Kissable Lip Balm Smitten")</f>
        <v xml:space="preserve"> Revlon Just Bitten Kissable Lip Balm Smitten</v>
      </c>
      <c r="C2355" t="s">
        <v>187</v>
      </c>
      <c r="D2355" t="s">
        <v>397</v>
      </c>
    </row>
    <row r="2356" spans="1:4" x14ac:dyDescent="0.25">
      <c r="B2356" t="str">
        <f>HYPERLINK("https://www.chemistwarehouse.com.au/buy/70778/Revlon-Just-Bitten-Kissable-Lip-Balm-Sweetheart"," Revlon Just Bitten Kissable Lip Balm Sweetheart")</f>
        <v xml:space="preserve"> Revlon Just Bitten Kissable Lip Balm Sweetheart</v>
      </c>
      <c r="C2356" t="s">
        <v>187</v>
      </c>
      <c r="D2356" t="s">
        <v>397</v>
      </c>
    </row>
    <row r="2357" spans="1:4" x14ac:dyDescent="0.25">
      <c r="A2357" t="s">
        <v>894</v>
      </c>
    </row>
    <row r="2358" spans="1:4" x14ac:dyDescent="0.25">
      <c r="B2358" t="str">
        <f>HYPERLINK("https://www.chemistwarehouse.com.au/buy/70816/Revlon-Nail-Enamel-Nail-Expressionist-Vin-Van-Gold"," Revlon Nail Enamel Nail Expressionist Vin Van Gold")</f>
        <v xml:space="preserve"> Revlon Nail Enamel Nail Expressionist Vin Van Gold</v>
      </c>
      <c r="C2358" t="s">
        <v>230</v>
      </c>
      <c r="D2358" t="s">
        <v>336</v>
      </c>
    </row>
    <row r="2359" spans="1:4" x14ac:dyDescent="0.25">
      <c r="A2359" t="s">
        <v>895</v>
      </c>
    </row>
    <row r="2360" spans="1:4" x14ac:dyDescent="0.25">
      <c r="B2360" t="str">
        <f>HYPERLINK("https://www.chemistwarehouse.com.au/buy/74108/Revlon-Nail-Enamel-Sun-Candy-Fiery-Sky"," Revlon Nail Enamel Sun Candy Fiery Sky")</f>
        <v xml:space="preserve"> Revlon Nail Enamel Sun Candy Fiery Sky</v>
      </c>
      <c r="C2360" t="s">
        <v>46</v>
      </c>
      <c r="D2360">
        <v>0</v>
      </c>
    </row>
    <row r="2361" spans="1:4" x14ac:dyDescent="0.25">
      <c r="B2361" t="str">
        <f>HYPERLINK("https://www.chemistwarehouse.com.au/buy/74109/Revlon-Nail-Enamel-Sun-Candy-Lava-Flame"," Revlon Nail Enamel Sun Candy Lava Flame")</f>
        <v xml:space="preserve"> Revlon Nail Enamel Sun Candy Lava Flame</v>
      </c>
      <c r="C2361" t="s">
        <v>46</v>
      </c>
      <c r="D2361">
        <v>0</v>
      </c>
    </row>
    <row r="2362" spans="1:4" x14ac:dyDescent="0.25">
      <c r="B2362" t="str">
        <f>HYPERLINK("https://www.chemistwarehouse.com.au/buy/74115/Revlon-Nail-Enamel-Sun-Candy-Sun-Shower"," Revlon Nail Enamel Sun Candy Sun Shower")</f>
        <v xml:space="preserve"> Revlon Nail Enamel Sun Candy Sun Shower</v>
      </c>
      <c r="C2362" t="s">
        <v>46</v>
      </c>
      <c r="D2362">
        <v>0</v>
      </c>
    </row>
    <row r="2363" spans="1:4" x14ac:dyDescent="0.25">
      <c r="B2363" t="str">
        <f>HYPERLINK("https://www.chemistwarehouse.com.au/buy/74110/Revlon-Nail-Enamel-Sun-Candy-Northern-Lights"," Revlon Nail Enamel Sun Candy Northern Lights")</f>
        <v xml:space="preserve"> Revlon Nail Enamel Sun Candy Northern Lights</v>
      </c>
      <c r="C2363" t="s">
        <v>46</v>
      </c>
      <c r="D2363">
        <v>0</v>
      </c>
    </row>
    <row r="2364" spans="1:4" x14ac:dyDescent="0.25">
      <c r="B2364" t="str">
        <f>HYPERLINK("https://www.chemistwarehouse.com.au/buy/74111/Revlon-Nail-Enamel-Sun-Candy-Pink-Dawn"," Revlon Nail Enamel Sun Candy Pink Dawn")</f>
        <v xml:space="preserve"> Revlon Nail Enamel Sun Candy Pink Dawn</v>
      </c>
      <c r="C2364" t="s">
        <v>46</v>
      </c>
      <c r="D2364">
        <v>0</v>
      </c>
    </row>
    <row r="2365" spans="1:4" x14ac:dyDescent="0.25">
      <c r="B2365" t="str">
        <f>HYPERLINK("https://www.chemistwarehouse.com.au/buy/74112/Revlon-Nail-Enamel-Sun-Candy-Shimmer-Sunset"," Revlon Nail Enamel Sun Candy Shimmer Sunset")</f>
        <v xml:space="preserve"> Revlon Nail Enamel Sun Candy Shimmer Sunset</v>
      </c>
      <c r="C2365" t="s">
        <v>46</v>
      </c>
      <c r="D2365">
        <v>0</v>
      </c>
    </row>
    <row r="2366" spans="1:4" x14ac:dyDescent="0.25">
      <c r="A2366" t="s">
        <v>896</v>
      </c>
    </row>
    <row r="2367" spans="1:4" x14ac:dyDescent="0.25">
      <c r="B2367" t="str">
        <f>HYPERLINK("https://www.chemistwarehouse.com.au/buy/70870/Revlon-Nail-Enamel-Pure-Pearl"," Revlon Nail Enamel Pure Pearl")</f>
        <v xml:space="preserve"> Revlon Nail Enamel Pure Pearl</v>
      </c>
      <c r="C2367" t="s">
        <v>46</v>
      </c>
      <c r="D2367" t="s">
        <v>897</v>
      </c>
    </row>
    <row r="2368" spans="1:4" x14ac:dyDescent="0.25">
      <c r="B2368" t="str">
        <f>HYPERLINK("https://www.chemistwarehouse.com.au/buy/70882/Revlon-Nail-Enamel-Seductive"," Revlon Nail Enamel Seductive")</f>
        <v xml:space="preserve"> Revlon Nail Enamel Seductive</v>
      </c>
      <c r="C2368" t="s">
        <v>46</v>
      </c>
      <c r="D2368" t="s">
        <v>897</v>
      </c>
    </row>
    <row r="2369" spans="2:4" x14ac:dyDescent="0.25">
      <c r="B2369" t="str">
        <f>HYPERLINK("https://www.chemistwarehouse.com.au/buy/70883/Revlon-Nail-Enamel-Sheer-Petal"," Revlon Nail Enamel Sheer Petal")</f>
        <v xml:space="preserve"> Revlon Nail Enamel Sheer Petal</v>
      </c>
      <c r="C2369" t="s">
        <v>46</v>
      </c>
      <c r="D2369" t="s">
        <v>897</v>
      </c>
    </row>
    <row r="2370" spans="2:4" x14ac:dyDescent="0.25">
      <c r="B2370" t="str">
        <f>HYPERLINK("https://www.chemistwarehouse.com.au/buy/70872/Revlon-Nail-Enamel-Quick-Dry-Lily"," Revlon Nail Enamel Quick Dry Lily")</f>
        <v xml:space="preserve"> Revlon Nail Enamel Quick Dry Lily</v>
      </c>
      <c r="C2370" t="s">
        <v>46</v>
      </c>
      <c r="D2370" t="s">
        <v>355</v>
      </c>
    </row>
    <row r="2371" spans="2:4" x14ac:dyDescent="0.25">
      <c r="B2371" t="str">
        <f>HYPERLINK("https://www.chemistwarehouse.com.au/buy/70873/Revlon-Nail-Enamel-Radiant"," Revlon Nail Enamel Radiant")</f>
        <v xml:space="preserve"> Revlon Nail Enamel Radiant</v>
      </c>
      <c r="C2371" t="s">
        <v>46</v>
      </c>
      <c r="D2371" t="s">
        <v>897</v>
      </c>
    </row>
    <row r="2372" spans="2:4" x14ac:dyDescent="0.25">
      <c r="B2372" t="str">
        <f>HYPERLINK("https://www.chemistwarehouse.com.au/buy/70874/Revlon-Nail-Enamel-Raven-Red"," Revlon Nail Enamel Raven Red")</f>
        <v xml:space="preserve"> Revlon Nail Enamel Raven Red</v>
      </c>
      <c r="C2372" t="s">
        <v>46</v>
      </c>
      <c r="D2372" t="s">
        <v>897</v>
      </c>
    </row>
    <row r="2373" spans="2:4" x14ac:dyDescent="0.25">
      <c r="B2373" t="str">
        <f>HYPERLINK("https://www.chemistwarehouse.com.au/buy/70875/Revlon-Nail-Enamel-Remover-Acetone-Free"," Revlon Nail Enamel Remover Acetone Free")</f>
        <v xml:space="preserve"> Revlon Nail Enamel Remover Acetone Free</v>
      </c>
      <c r="C2373" t="s">
        <v>46</v>
      </c>
      <c r="D2373" t="s">
        <v>898</v>
      </c>
    </row>
    <row r="2374" spans="2:4" x14ac:dyDescent="0.25">
      <c r="B2374" t="str">
        <f>HYPERLINK("https://www.chemistwarehouse.com.au/buy/70876/Revlon-Nail-Enamel-Revlon-Red"," Revlon Nail Enamel Revlon Red")</f>
        <v xml:space="preserve"> Revlon Nail Enamel Revlon Red</v>
      </c>
      <c r="C2374" t="s">
        <v>46</v>
      </c>
      <c r="D2374" t="s">
        <v>897</v>
      </c>
    </row>
    <row r="2375" spans="2:4" x14ac:dyDescent="0.25">
      <c r="B2375" t="str">
        <f>HYPERLINK("https://www.chemistwarehouse.com.au/buy/70880/Revlon-Nail-Enamel-Saucy"," Revlon Nail Enamel Saucy")</f>
        <v xml:space="preserve"> Revlon Nail Enamel Saucy</v>
      </c>
      <c r="C2375" t="s">
        <v>46</v>
      </c>
      <c r="D2375" t="s">
        <v>897</v>
      </c>
    </row>
    <row r="2376" spans="2:4" x14ac:dyDescent="0.25">
      <c r="B2376" t="str">
        <f>HYPERLINK("https://www.chemistwarehouse.com.au/buy/70887/Revlon-Nail-Enamel-Siren"," Revlon Nail Enamel Siren")</f>
        <v xml:space="preserve"> Revlon Nail Enamel Siren</v>
      </c>
      <c r="C2376" t="s">
        <v>46</v>
      </c>
      <c r="D2376" t="s">
        <v>897</v>
      </c>
    </row>
    <row r="2377" spans="2:4" x14ac:dyDescent="0.25">
      <c r="B2377" t="str">
        <f>HYPERLINK("https://www.chemistwarehouse.com.au/buy/70890/Revlon-Nail-Enamel-Teak-Rose"," Revlon Nail Enamel Teak Rose")</f>
        <v xml:space="preserve"> Revlon Nail Enamel Teak Rose</v>
      </c>
      <c r="C2377" t="s">
        <v>46</v>
      </c>
      <c r="D2377" t="s">
        <v>897</v>
      </c>
    </row>
    <row r="2378" spans="2:4" x14ac:dyDescent="0.25">
      <c r="B2378" t="str">
        <f>HYPERLINK("https://www.chemistwarehouse.com.au/buy/77946/Revlon-Nail-Enamel-Coy"," Revlon Nail Enamel Coy")</f>
        <v xml:space="preserve"> Revlon Nail Enamel Coy</v>
      </c>
      <c r="C2378" t="s">
        <v>46</v>
      </c>
      <c r="D2378" t="s">
        <v>897</v>
      </c>
    </row>
    <row r="2379" spans="2:4" x14ac:dyDescent="0.25">
      <c r="B2379" t="str">
        <f>HYPERLINK("https://www.chemistwarehouse.com.au/buy/77947/Revlon-Nail-Enamel-Privileged"," Revlon Nail Enamel Privileged")</f>
        <v xml:space="preserve"> Revlon Nail Enamel Privileged</v>
      </c>
      <c r="C2379" t="s">
        <v>46</v>
      </c>
      <c r="D2379" t="s">
        <v>897</v>
      </c>
    </row>
    <row r="2380" spans="2:4" x14ac:dyDescent="0.25">
      <c r="B2380" t="str">
        <f>HYPERLINK("https://www.chemistwarehouse.com.au/buy/77949/Revlon-Nail-Enamel-Socialite"," Revlon Nail Enamel Socialite")</f>
        <v xml:space="preserve"> Revlon Nail Enamel Socialite</v>
      </c>
      <c r="C2380" t="s">
        <v>46</v>
      </c>
      <c r="D2380" t="s">
        <v>897</v>
      </c>
    </row>
    <row r="2381" spans="2:4" x14ac:dyDescent="0.25">
      <c r="B2381" t="str">
        <f>HYPERLINK("https://www.chemistwarehouse.com.au/buy/77951/Revlon-Nail-Enamel-Sultry"," Revlon Nail Enamel Sultry")</f>
        <v xml:space="preserve"> Revlon Nail Enamel Sultry</v>
      </c>
      <c r="C2381" t="s">
        <v>46</v>
      </c>
      <c r="D2381" t="s">
        <v>897</v>
      </c>
    </row>
    <row r="2382" spans="2:4" x14ac:dyDescent="0.25">
      <c r="B2382" t="str">
        <f>HYPERLINK("https://www.chemistwarehouse.com.au/buy/70832/Revlon-Nail-Enamel-Clear"," Revlon Nail Enamel Clear")</f>
        <v xml:space="preserve"> Revlon Nail Enamel Clear</v>
      </c>
      <c r="C2382" t="s">
        <v>46</v>
      </c>
      <c r="D2382" t="s">
        <v>897</v>
      </c>
    </row>
    <row r="2383" spans="2:4" x14ac:dyDescent="0.25">
      <c r="B2383" t="str">
        <f>HYPERLINK("https://www.chemistwarehouse.com.au/buy/70833/Revlon-Nail-Enamel-Copper-Penny"," Revlon Nail Enamel Copper Penny")</f>
        <v xml:space="preserve"> Revlon Nail Enamel Copper Penny</v>
      </c>
      <c r="C2383" t="s">
        <v>46</v>
      </c>
      <c r="D2383" t="s">
        <v>897</v>
      </c>
    </row>
    <row r="2384" spans="2:4" x14ac:dyDescent="0.25">
      <c r="B2384" t="str">
        <f>HYPERLINK("https://www.chemistwarehouse.com.au/buy/70835/Revlon-Nail-Enamel-Creme-Brulee"," Revlon Nail Enamel Creme Brulee")</f>
        <v xml:space="preserve"> Revlon Nail Enamel Creme Brulee</v>
      </c>
      <c r="C2384" t="s">
        <v>46</v>
      </c>
      <c r="D2384" t="s">
        <v>897</v>
      </c>
    </row>
    <row r="2385" spans="1:4" x14ac:dyDescent="0.25">
      <c r="B2385" t="str">
        <f>HYPERLINK("https://www.chemistwarehouse.com.au/buy/70836/Revlon-Nail-Enamel-Divine"," Revlon Nail Enamel Divine")</f>
        <v xml:space="preserve"> Revlon Nail Enamel Divine</v>
      </c>
      <c r="C2385" t="s">
        <v>46</v>
      </c>
      <c r="D2385" t="s">
        <v>897</v>
      </c>
    </row>
    <row r="2386" spans="1:4" x14ac:dyDescent="0.25">
      <c r="B2386" t="str">
        <f>HYPERLINK("https://www.chemistwarehouse.com.au/buy/70839/Revlon-Nail-Enamel-Elegant"," Revlon Nail Enamel Elegant")</f>
        <v xml:space="preserve"> Revlon Nail Enamel Elegant</v>
      </c>
      <c r="C2386" t="s">
        <v>46</v>
      </c>
      <c r="D2386" t="s">
        <v>897</v>
      </c>
    </row>
    <row r="2387" spans="1:4" x14ac:dyDescent="0.25">
      <c r="B2387" t="str">
        <f>HYPERLINK("https://www.chemistwarehouse.com.au/buy/70841/Revlon-Nail-Enamel-Angelic"," Revlon Nail Enamel Angelic")</f>
        <v xml:space="preserve"> Revlon Nail Enamel Angelic</v>
      </c>
      <c r="C2387" t="s">
        <v>46</v>
      </c>
      <c r="D2387" t="s">
        <v>897</v>
      </c>
    </row>
    <row r="2388" spans="1:4" x14ac:dyDescent="0.25">
      <c r="B2388" t="str">
        <f>HYPERLINK("https://www.chemistwarehouse.com.au/buy/70842/Revlon-Nail-Enamel-Bewitching"," Revlon Nail Enamel Bewitching")</f>
        <v xml:space="preserve"> Revlon Nail Enamel Bewitching</v>
      </c>
      <c r="C2388" t="s">
        <v>46</v>
      </c>
      <c r="D2388" t="s">
        <v>897</v>
      </c>
    </row>
    <row r="2389" spans="1:4" x14ac:dyDescent="0.25">
      <c r="B2389" t="str">
        <f>HYPERLINK("https://www.chemistwarehouse.com.au/buy/70846/Revlon-Nail-Enamel-Cherries-in-the-Snow"," Revlon Nail Enamel Cherries in the Snow")</f>
        <v xml:space="preserve"> Revlon Nail Enamel Cherries in the Snow</v>
      </c>
      <c r="C2389" t="s">
        <v>46</v>
      </c>
      <c r="D2389" t="s">
        <v>897</v>
      </c>
    </row>
    <row r="2390" spans="1:4" x14ac:dyDescent="0.25">
      <c r="B2390" t="str">
        <f>HYPERLINK("https://www.chemistwarehouse.com.au/buy/70849/Revlon-Nail-Enamel-Enchanting"," Revlon Nail Enamel Enchanting")</f>
        <v xml:space="preserve"> Revlon Nail Enamel Enchanting</v>
      </c>
      <c r="C2390" t="s">
        <v>162</v>
      </c>
      <c r="D2390" t="s">
        <v>899</v>
      </c>
    </row>
    <row r="2391" spans="1:4" x14ac:dyDescent="0.25">
      <c r="A2391" t="s">
        <v>900</v>
      </c>
    </row>
    <row r="2392" spans="1:4" x14ac:dyDescent="0.25">
      <c r="B2392" t="str">
        <f>HYPERLINK("https://www.chemistwarehouse.com.au/buy/70898/Revlon-Nail-Enamel-Top-Speed-Charmed"," Revlon Nail Enamel Top Speed Charmed")</f>
        <v xml:space="preserve"> Revlon Nail Enamel Top Speed Charmed</v>
      </c>
      <c r="C2392" t="s">
        <v>162</v>
      </c>
      <c r="D2392" t="s">
        <v>409</v>
      </c>
    </row>
    <row r="2393" spans="1:4" x14ac:dyDescent="0.25">
      <c r="B2393" t="str">
        <f>HYPERLINK("https://www.chemistwarehouse.com.au/buy/70900/Revlon-Nail-Enamel-Top-Speed-Chilli"," Revlon Nail Enamel Top Speed Chilli")</f>
        <v xml:space="preserve"> Revlon Nail Enamel Top Speed Chilli</v>
      </c>
      <c r="C2393" t="s">
        <v>46</v>
      </c>
      <c r="D2393" t="s">
        <v>355</v>
      </c>
    </row>
    <row r="2394" spans="1:4" x14ac:dyDescent="0.25">
      <c r="B2394" t="str">
        <f>HYPERLINK("https://www.chemistwarehouse.com.au/buy/70901/Revlon-Nail-Enamel-Top-Speed-Crystal-Glow"," Revlon Nail Enamel Top Speed Crystal Glow")</f>
        <v xml:space="preserve"> Revlon Nail Enamel Top Speed Crystal Glow</v>
      </c>
      <c r="C2394" t="s">
        <v>46</v>
      </c>
      <c r="D2394" t="s">
        <v>355</v>
      </c>
    </row>
    <row r="2395" spans="1:4" x14ac:dyDescent="0.25">
      <c r="B2395" t="str">
        <f>HYPERLINK("https://www.chemistwarehouse.com.au/buy/70905/Revlon-Nail-Enamel-Top-Speed-Ocean"," Revlon Nail Enamel Top Speed Ocean")</f>
        <v xml:space="preserve"> Revlon Nail Enamel Top Speed Ocean</v>
      </c>
      <c r="C2395" t="s">
        <v>46</v>
      </c>
      <c r="D2395" t="s">
        <v>355</v>
      </c>
    </row>
    <row r="2396" spans="1:4" x14ac:dyDescent="0.25">
      <c r="B2396" t="str">
        <f>HYPERLINK("https://www.chemistwarehouse.com.au/buy/70912/Revlon-Nail-Enamel-Top-Speed-Superstitious"," Revlon Nail Enamel Top Speed Superstitious")</f>
        <v xml:space="preserve"> Revlon Nail Enamel Top Speed Superstitious</v>
      </c>
      <c r="C2396" t="s">
        <v>46</v>
      </c>
      <c r="D2396" t="s">
        <v>355</v>
      </c>
    </row>
    <row r="2397" spans="1:4" x14ac:dyDescent="0.25">
      <c r="B2397" t="str">
        <f>HYPERLINK("https://www.chemistwarehouse.com.au/buy/70917/Revlon-Nail-Enamel-Top-Speed-Violet"," Revlon Nail Enamel Top Speed Violet")</f>
        <v xml:space="preserve"> Revlon Nail Enamel Top Speed Violet</v>
      </c>
      <c r="C2397" t="s">
        <v>46</v>
      </c>
      <c r="D2397" t="s">
        <v>355</v>
      </c>
    </row>
    <row r="2398" spans="1:4" x14ac:dyDescent="0.25">
      <c r="B2398" t="str">
        <f>HYPERLINK("https://www.chemistwarehouse.com.au/buy/70897/Revlon-Nail-Enamel-Top-Speed-Candy"," Revlon Nail Enamel Top Speed Candy")</f>
        <v xml:space="preserve"> Revlon Nail Enamel Top Speed Candy</v>
      </c>
      <c r="C2398" t="s">
        <v>46</v>
      </c>
      <c r="D2398" t="s">
        <v>355</v>
      </c>
    </row>
    <row r="2399" spans="1:4" x14ac:dyDescent="0.25">
      <c r="B2399" t="str">
        <f>HYPERLINK("https://www.chemistwarehouse.com.au/buy/70913/Revlon-Nail-Enamel-Top-Speed-Sugar-Plum"," Revlon Nail Enamel Top Speed Sugar Plum")</f>
        <v xml:space="preserve"> Revlon Nail Enamel Top Speed Sugar Plum</v>
      </c>
      <c r="C2399" t="s">
        <v>46</v>
      </c>
      <c r="D2399" t="s">
        <v>355</v>
      </c>
    </row>
    <row r="2400" spans="1:4" x14ac:dyDescent="0.25">
      <c r="B2400" t="str">
        <f>HYPERLINK("https://www.chemistwarehouse.com.au/buy/70914/Revlon-Nail-Enamel-Top-Speed-Topper-Celestial-FX"," Revlon Nail Enamel Top Speed Topper Celestial FX")</f>
        <v xml:space="preserve"> Revlon Nail Enamel Top Speed Topper Celestial FX</v>
      </c>
      <c r="C2400" t="s">
        <v>162</v>
      </c>
      <c r="D2400" t="s">
        <v>409</v>
      </c>
    </row>
    <row r="2401" spans="1:4" x14ac:dyDescent="0.25">
      <c r="B2401" t="str">
        <f>HYPERLINK("https://www.chemistwarehouse.com.au/buy/70909/Revlon-Nail-Enamel-Top-Speed-Sheer-Pearl"," Revlon Nail Enamel Top Speed Sheer Pearl")</f>
        <v xml:space="preserve"> Revlon Nail Enamel Top Speed Sheer Pearl</v>
      </c>
      <c r="C2401" t="s">
        <v>46</v>
      </c>
      <c r="D2401" t="s">
        <v>355</v>
      </c>
    </row>
    <row r="2402" spans="1:4" x14ac:dyDescent="0.25">
      <c r="B2402" t="str">
        <f>HYPERLINK("https://www.chemistwarehouse.com.au/buy/70911/Revlon-Nail-Enamel-Top-Speed-Stormy"," Revlon Nail Enamel Top Speed Stormy")</f>
        <v xml:space="preserve"> Revlon Nail Enamel Top Speed Stormy</v>
      </c>
      <c r="C2402" t="s">
        <v>46</v>
      </c>
      <c r="D2402" t="s">
        <v>355</v>
      </c>
    </row>
    <row r="2403" spans="1:4" x14ac:dyDescent="0.25">
      <c r="B2403" t="str">
        <f>HYPERLINK("https://www.chemistwarehouse.com.au/buy/70902/Revlon-Nail-Enamel-Top-Speed-Essence"," Revlon Nail Enamel Top Speed Essence")</f>
        <v xml:space="preserve"> Revlon Nail Enamel Top Speed Essence</v>
      </c>
      <c r="C2403" t="s">
        <v>162</v>
      </c>
      <c r="D2403" t="s">
        <v>409</v>
      </c>
    </row>
    <row r="2404" spans="1:4" x14ac:dyDescent="0.25">
      <c r="A2404" t="s">
        <v>901</v>
      </c>
    </row>
    <row r="2405" spans="1:4" x14ac:dyDescent="0.25">
      <c r="B2405" t="str">
        <f>HYPERLINK("https://www.chemistwarehouse.com.au/buy/72808/Revlon-Nail-Enamel-Scented-Balsam-Fir"," Revlon Nail Enamel Scented Balsam Fir")</f>
        <v xml:space="preserve"> Revlon Nail Enamel Scented Balsam Fir</v>
      </c>
      <c r="C2405" t="s">
        <v>46</v>
      </c>
      <c r="D2405" t="s">
        <v>355</v>
      </c>
    </row>
    <row r="2406" spans="1:4" x14ac:dyDescent="0.25">
      <c r="B2406" t="str">
        <f>HYPERLINK("https://www.chemistwarehouse.com.au/buy/72809/Revlon-Nail-Enamel-Scented-Beachy"," Revlon Nail Enamel Scented Beachy")</f>
        <v xml:space="preserve"> Revlon Nail Enamel Scented Beachy</v>
      </c>
      <c r="C2406" t="s">
        <v>46</v>
      </c>
      <c r="D2406" t="s">
        <v>355</v>
      </c>
    </row>
    <row r="2407" spans="1:4" x14ac:dyDescent="0.25">
      <c r="B2407" t="str">
        <f>HYPERLINK("https://www.chemistwarehouse.com.au/buy/72817/Revlon-Nail-Enamel-Scented-Lime-Basil"," Revlon Nail Enamel Scented Lime Basil")</f>
        <v xml:space="preserve"> Revlon Nail Enamel Scented Lime Basil</v>
      </c>
      <c r="C2407" t="s">
        <v>46</v>
      </c>
      <c r="D2407" t="s">
        <v>355</v>
      </c>
    </row>
    <row r="2408" spans="1:4" x14ac:dyDescent="0.25">
      <c r="B2408" t="str">
        <f>HYPERLINK("https://www.chemistwarehouse.com.au/buy/72818/Revlon-Nail-Enamel-Scented-Moonlit-Woods"," Revlon Nail Enamel Scented Moonlit Woods")</f>
        <v xml:space="preserve"> Revlon Nail Enamel Scented Moonlit Woods</v>
      </c>
      <c r="C2408" t="s">
        <v>46</v>
      </c>
      <c r="D2408" t="s">
        <v>355</v>
      </c>
    </row>
    <row r="2409" spans="1:4" x14ac:dyDescent="0.25">
      <c r="B2409" t="str">
        <f>HYPERLINK("https://www.chemistwarehouse.com.au/buy/72819/Revlon-Nail-Enamel-Scented-Orange-Blossom"," Revlon Nail Enamel Scented Orange Blossom")</f>
        <v xml:space="preserve"> Revlon Nail Enamel Scented Orange Blossom</v>
      </c>
      <c r="C2409" t="s">
        <v>46</v>
      </c>
      <c r="D2409" t="s">
        <v>355</v>
      </c>
    </row>
    <row r="2410" spans="1:4" x14ac:dyDescent="0.25">
      <c r="B2410" t="str">
        <f>HYPERLINK("https://www.chemistwarehouse.com.au/buy/72811/Revlon-Nail-Enamel-Scented-China-Flower"," Revlon Nail Enamel Scented China Flower")</f>
        <v xml:space="preserve"> Revlon Nail Enamel Scented China Flower</v>
      </c>
      <c r="C2410" t="s">
        <v>46</v>
      </c>
      <c r="D2410" t="s">
        <v>355</v>
      </c>
    </row>
    <row r="2411" spans="1:4" x14ac:dyDescent="0.25">
      <c r="B2411" t="str">
        <f>HYPERLINK("https://www.chemistwarehouse.com.au/buy/72812/Revlon-Nail-Enamel-Scented-Espresso"," Revlon Nail Enamel Scented Espresso")</f>
        <v xml:space="preserve"> Revlon Nail Enamel Scented Espresso</v>
      </c>
      <c r="C2411" t="s">
        <v>46</v>
      </c>
      <c r="D2411" t="s">
        <v>355</v>
      </c>
    </row>
    <row r="2412" spans="1:4" x14ac:dyDescent="0.25">
      <c r="B2412" t="str">
        <f>HYPERLINK("https://www.chemistwarehouse.com.au/buy/72824/Revlon-Nail-Enamel-Scented-Tropical-Rain"," Revlon Nail Enamel Scented Tropical Rain")</f>
        <v xml:space="preserve"> Revlon Nail Enamel Scented Tropical Rain</v>
      </c>
      <c r="C2412" t="s">
        <v>46</v>
      </c>
      <c r="D2412" t="s">
        <v>355</v>
      </c>
    </row>
    <row r="2413" spans="1:4" x14ac:dyDescent="0.25">
      <c r="B2413" t="str">
        <f>HYPERLINK("https://www.chemistwarehouse.com.au/buy/72826/Revlon-Nail-Enamel-Scented-Wintermint"," Revlon Nail Enamel Scented Wintermint")</f>
        <v xml:space="preserve"> Revlon Nail Enamel Scented Wintermint</v>
      </c>
      <c r="C2413" t="s">
        <v>46</v>
      </c>
      <c r="D2413" t="s">
        <v>355</v>
      </c>
    </row>
    <row r="2414" spans="1:4" x14ac:dyDescent="0.25">
      <c r="B2414" t="str">
        <f>HYPERLINK("https://www.chemistwarehouse.com.au/buy/72843/Revlon-Nail-Enamel-Scented-Powder-Puff"," Revlon Nail Enamel Scented Powder Puff")</f>
        <v xml:space="preserve"> Revlon Nail Enamel Scented Powder Puff</v>
      </c>
      <c r="C2414" t="s">
        <v>46</v>
      </c>
      <c r="D2414" t="s">
        <v>355</v>
      </c>
    </row>
    <row r="2415" spans="1:4" x14ac:dyDescent="0.25">
      <c r="B2415" t="str">
        <f>HYPERLINK("https://www.chemistwarehouse.com.au/buy/72814/Revlon-Nail-Enamel-Scented-Ginger-Melon"," Revlon Nail Enamel Scented Ginger Melon")</f>
        <v xml:space="preserve"> Revlon Nail Enamel Scented Ginger Melon</v>
      </c>
      <c r="C2415" t="s">
        <v>46</v>
      </c>
      <c r="D2415" t="s">
        <v>355</v>
      </c>
    </row>
    <row r="2416" spans="1:4" x14ac:dyDescent="0.25">
      <c r="B2416" t="str">
        <f>HYPERLINK("https://www.chemistwarehouse.com.au/buy/72820/Revlon-Nail-Enamel-Scented-Pink-Pineapple"," Revlon Nail Enamel Scented Pink Pineapple")</f>
        <v xml:space="preserve"> Revlon Nail Enamel Scented Pink Pineapple</v>
      </c>
      <c r="C2416" t="s">
        <v>46</v>
      </c>
      <c r="D2416" t="s">
        <v>355</v>
      </c>
    </row>
    <row r="2417" spans="1:4" x14ac:dyDescent="0.25">
      <c r="B2417" t="str">
        <f>HYPERLINK("https://www.chemistwarehouse.com.au/buy/72821/Revlon-Nail-Enamel-Scented-Spun-Sugar"," Revlon Nail Enamel Scented Spun Sugar")</f>
        <v xml:space="preserve"> Revlon Nail Enamel Scented Spun Sugar</v>
      </c>
      <c r="C2417" t="s">
        <v>46</v>
      </c>
      <c r="D2417" t="s">
        <v>355</v>
      </c>
    </row>
    <row r="2418" spans="1:4" x14ac:dyDescent="0.25">
      <c r="B2418" t="str">
        <f>HYPERLINK("https://www.chemistwarehouse.com.au/buy/72823/Revlon-Nail-Enamel-Scented-Surf-Spray"," Revlon Nail Enamel Scented Surf Spray")</f>
        <v xml:space="preserve"> Revlon Nail Enamel Scented Surf Spray</v>
      </c>
      <c r="C2418" t="s">
        <v>46</v>
      </c>
      <c r="D2418" t="s">
        <v>355</v>
      </c>
    </row>
    <row r="2419" spans="1:4" x14ac:dyDescent="0.25">
      <c r="B2419" t="str">
        <f>HYPERLINK("https://www.chemistwarehouse.com.au/buy/72810/Revlon-Nail-Enamel-Scented-Bordeaux"," Revlon Nail Enamel Scented Bordeaux")</f>
        <v xml:space="preserve"> Revlon Nail Enamel Scented Bordeaux</v>
      </c>
      <c r="C2419" t="s">
        <v>46</v>
      </c>
      <c r="D2419" t="s">
        <v>355</v>
      </c>
    </row>
    <row r="2420" spans="1:4" x14ac:dyDescent="0.25">
      <c r="B2420" t="str">
        <f>HYPERLINK("https://www.chemistwarehouse.com.au/buy/72805/Revlon-Nail-Enamel-Scented-African-Tea-Rose"," Revlon Nail Enamel Scented African Tea Rose")</f>
        <v xml:space="preserve"> Revlon Nail Enamel Scented African Tea Rose</v>
      </c>
      <c r="C2420" t="s">
        <v>46</v>
      </c>
      <c r="D2420" t="s">
        <v>355</v>
      </c>
    </row>
    <row r="2421" spans="1:4" x14ac:dyDescent="0.25">
      <c r="B2421" t="str">
        <f>HYPERLINK("https://www.chemistwarehouse.com.au/buy/72806/Revlon-Nail-Enamel-Scented-Apricot-Nectar"," Revlon Nail Enamel Scented Apricot Nectar")</f>
        <v xml:space="preserve"> Revlon Nail Enamel Scented Apricot Nectar</v>
      </c>
      <c r="C2421" t="s">
        <v>46</v>
      </c>
      <c r="D2421" t="s">
        <v>355</v>
      </c>
    </row>
    <row r="2422" spans="1:4" x14ac:dyDescent="0.25">
      <c r="A2422" t="s">
        <v>902</v>
      </c>
    </row>
    <row r="2423" spans="1:4" x14ac:dyDescent="0.25">
      <c r="B2423" t="str">
        <f>HYPERLINK("https://www.chemistwarehouse.com.au/buy/75941/Revlon-Transforming-Effects-Nail-Enamel-Pink-Glaze"," Revlon Transforming Effects Nail Enamel Pink Glaze")</f>
        <v xml:space="preserve"> Revlon Transforming Effects Nail Enamel Pink Glaze</v>
      </c>
      <c r="C2423" t="s">
        <v>46</v>
      </c>
      <c r="D2423" t="s">
        <v>897</v>
      </c>
    </row>
    <row r="2424" spans="1:4" x14ac:dyDescent="0.25">
      <c r="B2424" t="str">
        <f>HYPERLINK("https://www.chemistwarehouse.com.au/buy/75935/Revlon-Transforming-Effects-Nail-Enamel-Cosmic-Flake"," Revlon Transforming Effects Nail Enamel Cosmic Flake")</f>
        <v xml:space="preserve"> Revlon Transforming Effects Nail Enamel Cosmic Flake</v>
      </c>
      <c r="C2424" t="s">
        <v>46</v>
      </c>
      <c r="D2424" t="s">
        <v>897</v>
      </c>
    </row>
    <row r="2425" spans="1:4" x14ac:dyDescent="0.25">
      <c r="A2425" t="s">
        <v>903</v>
      </c>
    </row>
    <row r="2426" spans="1:4" x14ac:dyDescent="0.25">
      <c r="B2426" t="str">
        <f>HYPERLINK("https://www.chemistwarehouse.com.au/buy/70920/Revlon-Nearly-Naked-Mineral-Powder-Foundation-Medium"," Revlon Nearly Naked Mineral Powder Foundation Medium")</f>
        <v xml:space="preserve"> Revlon Nearly Naked Mineral Powder Foundation Medium</v>
      </c>
      <c r="C2426" t="s">
        <v>230</v>
      </c>
      <c r="D2426" t="s">
        <v>336</v>
      </c>
    </row>
    <row r="2427" spans="1:4" x14ac:dyDescent="0.25">
      <c r="B2427" t="str">
        <f>HYPERLINK("https://www.chemistwarehouse.com.au/buy/70921/Revlon-Nearly-Naked-Mineral-Powder-Foundation-Medium-Deep"," Revlon Nearly Naked Mineral Powder Foundation Medium Deep")</f>
        <v xml:space="preserve"> Revlon Nearly Naked Mineral Powder Foundation Medium Deep</v>
      </c>
      <c r="C2427" t="s">
        <v>230</v>
      </c>
      <c r="D2427" t="s">
        <v>336</v>
      </c>
    </row>
    <row r="2428" spans="1:4" x14ac:dyDescent="0.25">
      <c r="B2428" t="str">
        <f>HYPERLINK("https://www.chemistwarehouse.com.au/buy/70918/Revlon-Nearly-Naked-Mineral-Powder-Foundation-Fair"," Revlon Nearly Naked Mineral Powder Foundation Fair")</f>
        <v xml:space="preserve"> Revlon Nearly Naked Mineral Powder Foundation Fair</v>
      </c>
      <c r="C2428" t="s">
        <v>230</v>
      </c>
      <c r="D2428" t="s">
        <v>336</v>
      </c>
    </row>
    <row r="2429" spans="1:4" x14ac:dyDescent="0.25">
      <c r="B2429" t="str">
        <f>HYPERLINK("https://www.chemistwarehouse.com.au/buy/70919/Revlon-Nearly-Naked-Mineral-Powder-Foundation-Light"," Revlon Nearly Naked Mineral Powder Foundation Light")</f>
        <v xml:space="preserve"> Revlon Nearly Naked Mineral Powder Foundation Light</v>
      </c>
      <c r="C2429" t="s">
        <v>230</v>
      </c>
      <c r="D2429" t="s">
        <v>336</v>
      </c>
    </row>
    <row r="2430" spans="1:4" x14ac:dyDescent="0.25">
      <c r="A2430" t="s">
        <v>904</v>
      </c>
    </row>
    <row r="2431" spans="1:4" x14ac:dyDescent="0.25">
      <c r="B2431" t="str">
        <f>HYPERLINK("https://www.chemistwarehouse.com.au/buy/69107/Revlon-Nearly-Naked-Pressed-Powder-Dark"," Revlon Nearly Naked Pressed Powder Dark")</f>
        <v xml:space="preserve"> Revlon Nearly Naked Pressed Powder Dark</v>
      </c>
      <c r="C2431" t="s">
        <v>46</v>
      </c>
      <c r="D2431" t="s">
        <v>879</v>
      </c>
    </row>
    <row r="2432" spans="1:4" x14ac:dyDescent="0.25">
      <c r="B2432" t="str">
        <f>HYPERLINK("https://www.chemistwarehouse.com.au/buy/69108/Revlon-Nearly-Naked-Pressed-Powder-Deep"," Revlon Nearly Naked Pressed Powder Deep")</f>
        <v xml:space="preserve"> Revlon Nearly Naked Pressed Powder Deep</v>
      </c>
      <c r="C2432" t="s">
        <v>46</v>
      </c>
      <c r="D2432" t="s">
        <v>879</v>
      </c>
    </row>
    <row r="2433" spans="1:4" x14ac:dyDescent="0.25">
      <c r="B2433" t="str">
        <f>HYPERLINK("https://www.chemistwarehouse.com.au/buy/69109/Revlon-Nearly-Naked-Pressed-Powder-Fair-Light"," Revlon Nearly Naked Pressed Powder Fair/Light")</f>
        <v xml:space="preserve"> Revlon Nearly Naked Pressed Powder Fair/Light</v>
      </c>
      <c r="C2433" t="s">
        <v>153</v>
      </c>
      <c r="D2433" t="s">
        <v>145</v>
      </c>
    </row>
    <row r="2434" spans="1:4" x14ac:dyDescent="0.25">
      <c r="B2434" t="str">
        <f>HYPERLINK("https://www.chemistwarehouse.com.au/buy/69111/Revlon-Nearly-Naked-Pressed-Powder-Medium"," Revlon Nearly Naked Pressed Powder Medium")</f>
        <v xml:space="preserve"> Revlon Nearly Naked Pressed Powder Medium</v>
      </c>
      <c r="C2434" t="s">
        <v>153</v>
      </c>
      <c r="D2434" t="s">
        <v>145</v>
      </c>
    </row>
    <row r="2435" spans="1:4" x14ac:dyDescent="0.25">
      <c r="B2435" t="str">
        <f>HYPERLINK("https://www.chemistwarehouse.com.au/buy/69112/Revlon-Nearly-Naked-Pressed-Powder-Medium-Deep"," Revlon Nearly Naked Pressed Powder Medium/Deep")</f>
        <v xml:space="preserve"> Revlon Nearly Naked Pressed Powder Medium/Deep</v>
      </c>
      <c r="C2435" t="s">
        <v>153</v>
      </c>
      <c r="D2435" t="s">
        <v>145</v>
      </c>
    </row>
    <row r="2436" spans="1:4" x14ac:dyDescent="0.25">
      <c r="B2436" t="str">
        <f>HYPERLINK("https://www.chemistwarehouse.com.au/buy/69110/Revlon-Nearly-Naked-Pressed-Powder-Light-Medium"," Revlon Nearly Naked Pressed Powder Light/Medium")</f>
        <v xml:space="preserve"> Revlon Nearly Naked Pressed Powder Light/Medium</v>
      </c>
      <c r="C2436" t="s">
        <v>46</v>
      </c>
      <c r="D2436" t="s">
        <v>879</v>
      </c>
    </row>
    <row r="2437" spans="1:4" x14ac:dyDescent="0.25">
      <c r="A2437" t="s">
        <v>905</v>
      </c>
    </row>
    <row r="2438" spans="1:4" x14ac:dyDescent="0.25">
      <c r="B2438" t="str">
        <f>HYPERLINK("https://www.chemistwarehouse.com.au/buy/70943/Revlon-Photoready-BB-Cream-Light-Medium"," Revlon Photoready BB Cream Light Medium")</f>
        <v xml:space="preserve"> Revlon Photoready BB Cream Light Medium</v>
      </c>
      <c r="C2438" t="s">
        <v>173</v>
      </c>
      <c r="D2438" t="s">
        <v>145</v>
      </c>
    </row>
    <row r="2439" spans="1:4" x14ac:dyDescent="0.25">
      <c r="B2439" t="str">
        <f>HYPERLINK("https://www.chemistwarehouse.com.au/buy/70944/Revlon-Photoready-BB-Cream-Medium"," Revlon Photoready BB Cream Medium")</f>
        <v xml:space="preserve"> Revlon Photoready BB Cream Medium</v>
      </c>
      <c r="C2439" t="s">
        <v>173</v>
      </c>
      <c r="D2439" t="s">
        <v>145</v>
      </c>
    </row>
    <row r="2440" spans="1:4" x14ac:dyDescent="0.25">
      <c r="B2440" t="str">
        <f>HYPERLINK("https://www.chemistwarehouse.com.au/buy/70942/Revlon-Photoready-BB-Cream-Light"," Revlon Photoready BB Cream Light")</f>
        <v xml:space="preserve"> Revlon Photoready BB Cream Light</v>
      </c>
      <c r="C2440" t="s">
        <v>173</v>
      </c>
      <c r="D2440" t="s">
        <v>145</v>
      </c>
    </row>
    <row r="2441" spans="1:4" x14ac:dyDescent="0.25">
      <c r="A2441" t="s">
        <v>906</v>
      </c>
    </row>
    <row r="2442" spans="1:4" x14ac:dyDescent="0.25">
      <c r="B2442" t="str">
        <f>HYPERLINK("https://www.chemistwarehouse.com.au/buy/70946/Revlon-Photoready-Concealer-Light"," Revlon Photoready Concealer Light")</f>
        <v xml:space="preserve"> Revlon Photoready Concealer Light</v>
      </c>
      <c r="C2442" t="s">
        <v>173</v>
      </c>
      <c r="D2442" t="s">
        <v>145</v>
      </c>
    </row>
    <row r="2443" spans="1:4" x14ac:dyDescent="0.25">
      <c r="B2443" t="str">
        <f>HYPERLINK("https://www.chemistwarehouse.com.au/buy/70947/Revlon-Photoready-Concealer-Light-Medium"," Revlon Photoready Concealer Light Medium")</f>
        <v xml:space="preserve"> Revlon Photoready Concealer Light Medium</v>
      </c>
      <c r="C2443" t="s">
        <v>173</v>
      </c>
      <c r="D2443" t="s">
        <v>145</v>
      </c>
    </row>
    <row r="2444" spans="1:4" x14ac:dyDescent="0.25">
      <c r="B2444" t="str">
        <f>HYPERLINK("https://www.chemistwarehouse.com.au/buy/70948/Revlon-Photoready-Concealer-Medium"," Revlon Photoready Concealer Medium")</f>
        <v xml:space="preserve"> Revlon Photoready Concealer Medium</v>
      </c>
      <c r="C2444" t="s">
        <v>173</v>
      </c>
      <c r="D2444" t="s">
        <v>145</v>
      </c>
    </row>
    <row r="2445" spans="1:4" x14ac:dyDescent="0.25">
      <c r="B2445" t="str">
        <f>HYPERLINK("https://www.chemistwarehouse.com.au/buy/74381/Revlon-PhotoReady-Insta-Fix-Makeup-Natural-Beige"," Revlon PhotoReady Insta-Fix Makeup Natural Beige")</f>
        <v xml:space="preserve"> Revlon PhotoReady Insta-Fix Makeup Natural Beige</v>
      </c>
      <c r="C2445" t="s">
        <v>230</v>
      </c>
      <c r="D2445" t="s">
        <v>336</v>
      </c>
    </row>
    <row r="2446" spans="1:4" x14ac:dyDescent="0.25">
      <c r="B2446" t="str">
        <f>HYPERLINK("https://www.chemistwarehouse.com.au/buy/74382/Revlon-PhotoReady-Insta-Fix-Makeup-Golden-Beige"," Revlon PhotoReady Insta-Fix Makeup Golden Beige")</f>
        <v xml:space="preserve"> Revlon PhotoReady Insta-Fix Makeup Golden Beige</v>
      </c>
      <c r="C2446" t="s">
        <v>230</v>
      </c>
      <c r="D2446" t="s">
        <v>336</v>
      </c>
    </row>
    <row r="2447" spans="1:4" x14ac:dyDescent="0.25">
      <c r="B2447" t="str">
        <f>HYPERLINK("https://www.chemistwarehouse.com.au/buy/74383/Revlon-PhotoReady-Insta-Fix-Makeup-Medium-Beige"," Revlon PhotoReady Insta-Fix Makeup Medium Beige")</f>
        <v xml:space="preserve"> Revlon PhotoReady Insta-Fix Makeup Medium Beige</v>
      </c>
      <c r="C2447" t="s">
        <v>230</v>
      </c>
      <c r="D2447" t="s">
        <v>336</v>
      </c>
    </row>
    <row r="2448" spans="1:4" x14ac:dyDescent="0.25">
      <c r="B2448" t="str">
        <f>HYPERLINK("https://www.chemistwarehouse.com.au/buy/74384/Revlon-PhotoReady-Insta-Fix-Makeup-Nude"," Revlon PhotoReady Insta-Fix Makeup Nude")</f>
        <v xml:space="preserve"> Revlon PhotoReady Insta-Fix Makeup Nude</v>
      </c>
      <c r="C2448" t="s">
        <v>230</v>
      </c>
      <c r="D2448" t="s">
        <v>336</v>
      </c>
    </row>
    <row r="2449" spans="1:4" x14ac:dyDescent="0.25">
      <c r="B2449" t="str">
        <f>HYPERLINK("https://www.chemistwarehouse.com.au/buy/74385/Revlon-PhotoReady-Insta-Fix-Makeup-Shell"," Revlon PhotoReady Insta-Fix Makeup Shell")</f>
        <v xml:space="preserve"> Revlon PhotoReady Insta-Fix Makeup Shell</v>
      </c>
      <c r="C2449" t="s">
        <v>230</v>
      </c>
      <c r="D2449" t="s">
        <v>336</v>
      </c>
    </row>
    <row r="2450" spans="1:4" x14ac:dyDescent="0.25">
      <c r="B2450" t="str">
        <f>HYPERLINK("https://www.chemistwarehouse.com.au/buy/74386/Revlon-PhotoReady-Insta-Fix-Makeup-Vanilla"," Revlon PhotoReady Insta-Fix Makeup Vanilla")</f>
        <v xml:space="preserve"> Revlon PhotoReady Insta-Fix Makeup Vanilla</v>
      </c>
      <c r="C2450" t="s">
        <v>230</v>
      </c>
      <c r="D2450" t="s">
        <v>336</v>
      </c>
    </row>
    <row r="2451" spans="1:4" x14ac:dyDescent="0.25">
      <c r="B2451" t="str">
        <f>HYPERLINK("https://www.chemistwarehouse.com.au/buy/82890/Revlon-PhotoReady-Insta-Fix-Highlighter-Stick-Gold-Light"," Revlon PhotoReady Insta Fix Highlighter Stick Gold Light")</f>
        <v xml:space="preserve"> Revlon PhotoReady Insta Fix Highlighter Stick Gold Light</v>
      </c>
      <c r="C2451" t="s">
        <v>230</v>
      </c>
      <c r="D2451" t="s">
        <v>336</v>
      </c>
    </row>
    <row r="2452" spans="1:4" x14ac:dyDescent="0.25">
      <c r="B2452" t="str">
        <f>HYPERLINK("https://www.chemistwarehouse.com.au/buy/82891/Revlon-PhotoReady-Insta-Fix-Highlighter-Stick-Pink-Light"," Revlon PhotoReady Insta Fix Highlighter Stick Pink Light")</f>
        <v xml:space="preserve"> Revlon PhotoReady Insta Fix Highlighter Stick Pink Light</v>
      </c>
      <c r="C2452" t="s">
        <v>230</v>
      </c>
      <c r="D2452" t="s">
        <v>336</v>
      </c>
    </row>
    <row r="2453" spans="1:4" x14ac:dyDescent="0.25">
      <c r="A2453" t="s">
        <v>907</v>
      </c>
    </row>
    <row r="2454" spans="1:4" x14ac:dyDescent="0.25">
      <c r="B2454" t="str">
        <f>HYPERLINK("https://www.chemistwarehouse.com.au/buy/70967/Revlon-PhotoReady-Primer-Color-Correcting"," Revlon PhotoReady Primer Color Correcting")</f>
        <v xml:space="preserve"> Revlon PhotoReady Primer Color Correcting</v>
      </c>
      <c r="C2454" t="s">
        <v>230</v>
      </c>
      <c r="D2454" t="s">
        <v>336</v>
      </c>
    </row>
    <row r="2455" spans="1:4" x14ac:dyDescent="0.25">
      <c r="B2455" t="str">
        <f>HYPERLINK("https://www.chemistwarehouse.com.au/buy/74563/Revlon-Photoready-Prime-Anti-Shine-Balm"," Revlon Photoready Prime + Anti Shine Balm")</f>
        <v xml:space="preserve"> Revlon Photoready Prime + Anti Shine Balm</v>
      </c>
      <c r="C2455" t="s">
        <v>448</v>
      </c>
      <c r="D2455" t="s">
        <v>406</v>
      </c>
    </row>
    <row r="2456" spans="1:4" x14ac:dyDescent="0.25">
      <c r="B2456" t="str">
        <f>HYPERLINK("https://www.chemistwarehouse.com.au/buy/74693/Revlon-Photoready-Primer-Shadow-Eclectric"," Revlon Photoready Primer + Shadow Eclectric")</f>
        <v xml:space="preserve"> Revlon Photoready Primer + Shadow Eclectric</v>
      </c>
      <c r="C2456" t="s">
        <v>153</v>
      </c>
      <c r="D2456" t="s">
        <v>145</v>
      </c>
    </row>
    <row r="2457" spans="1:4" x14ac:dyDescent="0.25">
      <c r="B2457" t="str">
        <f>HYPERLINK("https://www.chemistwarehouse.com.au/buy/79330/Revlon-Photoready-Primer-Plus-Shadow-Romanticism"," Revlon Photoready Primer Plus Shadow Romanticism")</f>
        <v xml:space="preserve"> Revlon Photoready Primer Plus Shadow Romanticism</v>
      </c>
      <c r="C2457" t="s">
        <v>153</v>
      </c>
      <c r="D2457" t="s">
        <v>145</v>
      </c>
    </row>
    <row r="2458" spans="1:4" x14ac:dyDescent="0.25">
      <c r="B2458" t="str">
        <f>HYPERLINK("https://www.chemistwarehouse.com.au/buy/70969/Revlon-PhotoReady-Primer-Perfecting"," Revlon PhotoReady Primer Perfecting")</f>
        <v xml:space="preserve"> Revlon PhotoReady Primer Perfecting</v>
      </c>
      <c r="C2458" t="s">
        <v>230</v>
      </c>
      <c r="D2458" t="s">
        <v>336</v>
      </c>
    </row>
    <row r="2459" spans="1:4" x14ac:dyDescent="0.25">
      <c r="A2459" t="s">
        <v>908</v>
      </c>
    </row>
    <row r="2460" spans="1:4" x14ac:dyDescent="0.25">
      <c r="B2460" t="str">
        <f>HYPERLINK("https://www.chemistwarehouse.com.au/buy/73100/Revlon-Photoready-Powder-Transparent"," Revlon Photoready Powder Transparent")</f>
        <v xml:space="preserve"> Revlon Photoready Powder Transparent</v>
      </c>
      <c r="C2460" t="s">
        <v>493</v>
      </c>
      <c r="D2460" t="s">
        <v>867</v>
      </c>
    </row>
    <row r="2461" spans="1:4" x14ac:dyDescent="0.25">
      <c r="B2461" t="str">
        <f>HYPERLINK("https://www.chemistwarehouse.com.au/buy/60934/Revlon-Photoready-Powder-Medium-Deep-030"," Revlon Photoready Powder Medium / Deep 030")</f>
        <v xml:space="preserve"> Revlon Photoready Powder Medium / Deep 030</v>
      </c>
      <c r="C2461" t="s">
        <v>493</v>
      </c>
      <c r="D2461" t="s">
        <v>867</v>
      </c>
    </row>
    <row r="2462" spans="1:4" x14ac:dyDescent="0.25">
      <c r="B2462" t="str">
        <f>HYPERLINK("https://www.chemistwarehouse.com.au/buy/60935/Revlon-PhotoReady-Powder-Light-Medium-020"," Revlon PhotoReady Powder Light / Medium 020")</f>
        <v xml:space="preserve"> Revlon PhotoReady Powder Light / Medium 020</v>
      </c>
      <c r="C2462" t="s">
        <v>493</v>
      </c>
      <c r="D2462" t="s">
        <v>867</v>
      </c>
    </row>
    <row r="2463" spans="1:4" x14ac:dyDescent="0.25">
      <c r="B2463" t="str">
        <f>HYPERLINK("https://www.chemistwarehouse.com.au/buy/60937/Revlon-PhotoReady-Powder-Fair-Light-010"," Revlon PhotoReady Powder Fair / Light 010")</f>
        <v xml:space="preserve"> Revlon PhotoReady Powder Fair / Light 010</v>
      </c>
      <c r="C2463" t="s">
        <v>493</v>
      </c>
      <c r="D2463" t="s">
        <v>867</v>
      </c>
    </row>
    <row r="2464" spans="1:4" x14ac:dyDescent="0.25">
      <c r="A2464" t="s">
        <v>909</v>
      </c>
    </row>
    <row r="2465" spans="1:4" x14ac:dyDescent="0.25">
      <c r="B2465" t="str">
        <f>HYPERLINK("https://www.chemistwarehouse.com.au/buy/70975/Revlon-PhotoReady-Skinlights-Face-Illuminator-Bronze"," Revlon PhotoReady Skinlights Face Illuminator Bronze")</f>
        <v xml:space="preserve"> Revlon PhotoReady Skinlights Face Illuminator Bronze</v>
      </c>
      <c r="C2465" t="s">
        <v>230</v>
      </c>
      <c r="D2465" t="s">
        <v>336</v>
      </c>
    </row>
    <row r="2466" spans="1:4" x14ac:dyDescent="0.25">
      <c r="A2466" t="s">
        <v>910</v>
      </c>
    </row>
    <row r="2467" spans="1:4" x14ac:dyDescent="0.25">
      <c r="B2467" t="str">
        <f>HYPERLINK("https://www.chemistwarehouse.com.au/buy/73097/Revlon-Photoready-Creme-Blush-Charmed"," Revlon Photoready Creme Blush Charmed")</f>
        <v xml:space="preserve"> Revlon Photoready Creme Blush Charmed</v>
      </c>
      <c r="C2467" t="s">
        <v>164</v>
      </c>
      <c r="D2467" t="s">
        <v>911</v>
      </c>
    </row>
    <row r="2468" spans="1:4" x14ac:dyDescent="0.25">
      <c r="B2468" t="str">
        <f>HYPERLINK("https://www.chemistwarehouse.com.au/buy/73098/Revlon-Photoready-Creme-Blush-Flushed"," Revlon Photoready Creme Blush Flushed")</f>
        <v xml:space="preserve"> Revlon Photoready Creme Blush Flushed</v>
      </c>
      <c r="C2468" t="s">
        <v>46</v>
      </c>
      <c r="D2468" t="s">
        <v>912</v>
      </c>
    </row>
    <row r="2469" spans="1:4" x14ac:dyDescent="0.25">
      <c r="B2469" t="str">
        <f>HYPERLINK("https://www.chemistwarehouse.com.au/buy/73099/Revlon-Photoready-Creme-Blush-Pinched"," Revlon Photoready Creme Blush Pinched")</f>
        <v xml:space="preserve"> Revlon Photoready Creme Blush Pinched</v>
      </c>
      <c r="C2469" t="s">
        <v>46</v>
      </c>
      <c r="D2469" t="s">
        <v>912</v>
      </c>
    </row>
    <row r="2470" spans="1:4" x14ac:dyDescent="0.25">
      <c r="A2470" t="s">
        <v>913</v>
      </c>
    </row>
    <row r="2471" spans="1:4" x14ac:dyDescent="0.25">
      <c r="B2471" t="str">
        <f>HYPERLINK("https://www.chemistwarehouse.com.au/buy/73817/Revlon-Photoready-Makeup-Natural-Beige"," Revlon Photoready Makeup Natural Beige")</f>
        <v xml:space="preserve"> Revlon Photoready Makeup Natural Beige</v>
      </c>
      <c r="C2471" t="s">
        <v>493</v>
      </c>
      <c r="D2471" t="s">
        <v>867</v>
      </c>
    </row>
    <row r="2472" spans="1:4" x14ac:dyDescent="0.25">
      <c r="B2472" t="str">
        <f>HYPERLINK("https://www.chemistwarehouse.com.au/buy/73816/Revlon-Photoready-Makeup-Medium-Beige"," Revlon Photoready Makeup Medium Beige")</f>
        <v xml:space="preserve"> Revlon Photoready Makeup Medium Beige</v>
      </c>
      <c r="C2472" t="s">
        <v>493</v>
      </c>
      <c r="D2472" t="s">
        <v>867</v>
      </c>
    </row>
    <row r="2473" spans="1:4" x14ac:dyDescent="0.25">
      <c r="B2473" t="str">
        <f>HYPERLINK("https://www.chemistwarehouse.com.au/buy/73814/Revlon-Photoready-Makeup-Cool-Beige"," Revlon Photoready Makeup Cool Beige")</f>
        <v xml:space="preserve"> Revlon Photoready Makeup Cool Beige</v>
      </c>
      <c r="C2473" t="s">
        <v>493</v>
      </c>
      <c r="D2473" t="s">
        <v>867</v>
      </c>
    </row>
    <row r="2474" spans="1:4" x14ac:dyDescent="0.25">
      <c r="B2474" t="str">
        <f>HYPERLINK("https://www.chemistwarehouse.com.au/buy/73815/Revlon-Photoready-Makeup-Golden-Beige"," Revlon Photoready Makeup Golden Beige")</f>
        <v xml:space="preserve"> Revlon Photoready Makeup Golden Beige</v>
      </c>
      <c r="C2474" t="s">
        <v>493</v>
      </c>
      <c r="D2474" t="s">
        <v>867</v>
      </c>
    </row>
    <row r="2475" spans="1:4" x14ac:dyDescent="0.25">
      <c r="B2475" t="str">
        <f>HYPERLINK("https://www.chemistwarehouse.com.au/buy/73818/Revlon-Photoready-Makeup-Nude"," Revlon Photoready Makeup Nude")</f>
        <v xml:space="preserve"> Revlon Photoready Makeup Nude</v>
      </c>
      <c r="C2475" t="s">
        <v>493</v>
      </c>
      <c r="D2475" t="s">
        <v>867</v>
      </c>
    </row>
    <row r="2476" spans="1:4" x14ac:dyDescent="0.25">
      <c r="B2476" t="str">
        <f>HYPERLINK("https://www.chemistwarehouse.com.au/buy/73819/Revlon-Photoready-Makeup-Rich-Ginger"," Revlon Photoready Makeup Rich Ginger")</f>
        <v xml:space="preserve"> Revlon Photoready Makeup Rich Ginger</v>
      </c>
      <c r="C2476" t="s">
        <v>493</v>
      </c>
      <c r="D2476" t="s">
        <v>867</v>
      </c>
    </row>
    <row r="2477" spans="1:4" x14ac:dyDescent="0.25">
      <c r="B2477" t="str">
        <f>HYPERLINK("https://www.chemistwarehouse.com.au/buy/73820/Revlon-Photoready-Makeup-Shell"," Revlon Photoready Makeup Shell")</f>
        <v xml:space="preserve"> Revlon Photoready Makeup Shell</v>
      </c>
      <c r="C2477" t="s">
        <v>493</v>
      </c>
      <c r="D2477" t="s">
        <v>867</v>
      </c>
    </row>
    <row r="2478" spans="1:4" x14ac:dyDescent="0.25">
      <c r="B2478" t="str">
        <f>HYPERLINK("https://www.chemistwarehouse.com.au/buy/73821/Revlon-Photoready-Makeup-Toast"," Revlon Photoready Makeup Toast")</f>
        <v xml:space="preserve"> Revlon Photoready Makeup Toast</v>
      </c>
      <c r="C2478" t="s">
        <v>493</v>
      </c>
      <c r="D2478" t="s">
        <v>867</v>
      </c>
    </row>
    <row r="2479" spans="1:4" x14ac:dyDescent="0.25">
      <c r="B2479" t="str">
        <f>HYPERLINK("https://www.chemistwarehouse.com.au/buy/73822/Revlon-Photoready-Makeup-Vanilla"," Revlon Photoready Makeup Vanilla")</f>
        <v xml:space="preserve"> Revlon Photoready Makeup Vanilla</v>
      </c>
      <c r="C2479" t="s">
        <v>493</v>
      </c>
      <c r="D2479" t="s">
        <v>867</v>
      </c>
    </row>
    <row r="2480" spans="1:4" x14ac:dyDescent="0.25">
      <c r="A2480" t="s">
        <v>914</v>
      </c>
    </row>
    <row r="2481" spans="1:4" x14ac:dyDescent="0.25">
      <c r="B2481" t="str">
        <f>HYPERLINK("https://www.chemistwarehouse.com.au/buy/75214/Revlon-Photoready-Eye-Art-Burnshed-Bling"," Revlon Photoready Eye Art Burnshed Bling")</f>
        <v xml:space="preserve"> Revlon Photoready Eye Art Burnshed Bling</v>
      </c>
      <c r="C2481" t="s">
        <v>495</v>
      </c>
      <c r="D2481" t="s">
        <v>152</v>
      </c>
    </row>
    <row r="2482" spans="1:4" x14ac:dyDescent="0.25">
      <c r="B2482" t="str">
        <f>HYPERLINK("https://www.chemistwarehouse.com.au/buy/75215/Revlon-Photoready-Eye-Art-Cobalt-Crystal"," Revlon Photoready Eye Art Cobalt Crystal")</f>
        <v xml:space="preserve"> Revlon Photoready Eye Art Cobalt Crystal</v>
      </c>
      <c r="C2482" t="s">
        <v>495</v>
      </c>
      <c r="D2482" t="s">
        <v>152</v>
      </c>
    </row>
    <row r="2483" spans="1:4" x14ac:dyDescent="0.25">
      <c r="B2483" t="str">
        <f>HYPERLINK("https://www.chemistwarehouse.com.au/buy/75216/Revlon-Photoready-Eye-Art-Desert-Dazzle"," Revlon Photoready Eye Art Desert Dazzle")</f>
        <v xml:space="preserve"> Revlon Photoready Eye Art Desert Dazzle</v>
      </c>
      <c r="C2483" t="s">
        <v>495</v>
      </c>
      <c r="D2483" t="s">
        <v>152</v>
      </c>
    </row>
    <row r="2484" spans="1:4" x14ac:dyDescent="0.25">
      <c r="B2484" t="str">
        <f>HYPERLINK("https://www.chemistwarehouse.com.au/buy/75221/Revlon-Photoready-Eye-Art-Peach-Prism"," Revlon Photoready Eye Art Peach Prism")</f>
        <v xml:space="preserve"> Revlon Photoready Eye Art Peach Prism</v>
      </c>
      <c r="C2484" t="s">
        <v>495</v>
      </c>
      <c r="D2484" t="s">
        <v>152</v>
      </c>
    </row>
    <row r="2485" spans="1:4" x14ac:dyDescent="0.25">
      <c r="B2485" t="str">
        <f>HYPERLINK("https://www.chemistwarehouse.com.au/buy/75222/Revlon-Photoready-Eye-Art-Topaz-Twinkle"," Revlon Photoready Eye Art Topaz Twinkle")</f>
        <v xml:space="preserve"> Revlon Photoready Eye Art Topaz Twinkle</v>
      </c>
      <c r="C2485" t="s">
        <v>495</v>
      </c>
      <c r="D2485" t="s">
        <v>152</v>
      </c>
    </row>
    <row r="2486" spans="1:4" x14ac:dyDescent="0.25">
      <c r="B2486" t="str">
        <f>HYPERLINK("https://www.chemistwarehouse.com.au/buy/81178/Revlon-PhotoReady-Eye-Art-Mdnight-Glitz"," Revlon PhotoReady Eye Art Mdnight Glitz")</f>
        <v xml:space="preserve"> Revlon PhotoReady Eye Art Mdnight Glitz</v>
      </c>
      <c r="C2486" t="s">
        <v>495</v>
      </c>
      <c r="D2486" t="s">
        <v>152</v>
      </c>
    </row>
    <row r="2487" spans="1:4" x14ac:dyDescent="0.25">
      <c r="B2487" t="str">
        <f>HYPERLINK("https://www.chemistwarehouse.com.au/buy/81179/Revlon-PhotoReady-Eye-Art-Steel-Spark"," Revlon PhotoReady Eye Art Steel Spark")</f>
        <v xml:space="preserve"> Revlon PhotoReady Eye Art Steel Spark</v>
      </c>
      <c r="C2487" t="s">
        <v>495</v>
      </c>
      <c r="D2487" t="s">
        <v>152</v>
      </c>
    </row>
    <row r="2488" spans="1:4" x14ac:dyDescent="0.25">
      <c r="B2488" t="str">
        <f>HYPERLINK("https://www.chemistwarehouse.com.au/buy/75219/Revlon-Photoready-Eye-Art-Green-Glimmer"," Revlon Photoready Eye Art Green Glimmer")</f>
        <v xml:space="preserve"> Revlon Photoready Eye Art Green Glimmer</v>
      </c>
      <c r="C2488" t="s">
        <v>495</v>
      </c>
      <c r="D2488" t="s">
        <v>152</v>
      </c>
    </row>
    <row r="2489" spans="1:4" x14ac:dyDescent="0.25">
      <c r="B2489" t="str">
        <f>HYPERLINK("https://www.chemistwarehouse.com.au/buy/75220/Revlon-Photoready-Eye-Art-Lilac-Luster"," Revlon Photoready Eye Art Lilac Luster")</f>
        <v xml:space="preserve"> Revlon Photoready Eye Art Lilac Luster</v>
      </c>
      <c r="C2489" t="s">
        <v>46</v>
      </c>
      <c r="D2489" t="s">
        <v>359</v>
      </c>
    </row>
    <row r="2490" spans="1:4" x14ac:dyDescent="0.25">
      <c r="B2490" t="str">
        <f>HYPERLINK("https://www.chemistwarehouse.com.au/buy/75213/Revlon-Photoready-Eye-Art-Black-Brilliance"," Revlon Photoready Eye Art Black Brilliance")</f>
        <v xml:space="preserve"> Revlon Photoready Eye Art Black Brilliance</v>
      </c>
      <c r="C2490" t="s">
        <v>46</v>
      </c>
      <c r="D2490" t="s">
        <v>359</v>
      </c>
    </row>
    <row r="2491" spans="1:4" x14ac:dyDescent="0.25">
      <c r="B2491" t="str">
        <f>HYPERLINK("https://www.chemistwarehouse.com.au/buy/75217/Revlon-Photoready-Eye-Art-Fuchsia-Flash"," Revlon Photoready Eye Art Fuchsia Flash")</f>
        <v xml:space="preserve"> Revlon Photoready Eye Art Fuchsia Flash</v>
      </c>
      <c r="C2491" t="s">
        <v>46</v>
      </c>
      <c r="D2491" t="s">
        <v>359</v>
      </c>
    </row>
    <row r="2492" spans="1:4" x14ac:dyDescent="0.25">
      <c r="B2492" t="str">
        <f>HYPERLINK("https://www.chemistwarehouse.com.au/buy/75218/Revlon-Photoready-Eye-Art-Gold-Glitz"," Revlon Photoready Eye Art Gold Glitz")</f>
        <v xml:space="preserve"> Revlon Photoready Eye Art Gold Glitz</v>
      </c>
      <c r="C2492" t="s">
        <v>46</v>
      </c>
      <c r="D2492" t="s">
        <v>359</v>
      </c>
    </row>
    <row r="2493" spans="1:4" x14ac:dyDescent="0.25">
      <c r="A2493" t="s">
        <v>915</v>
      </c>
    </row>
    <row r="2494" spans="1:4" x14ac:dyDescent="0.25">
      <c r="B2494" t="str">
        <f>HYPERLINK("https://www.chemistwarehouse.com.au/buy/75223/Revlon-Photoready-Kajal-Eye-Pen-Charcoal"," Revlon Photoready Kajal Eye Pen Charcoal")</f>
        <v xml:space="preserve"> Revlon Photoready Kajal Eye Pen Charcoal</v>
      </c>
      <c r="C2494" t="s">
        <v>1</v>
      </c>
      <c r="D2494" t="s">
        <v>145</v>
      </c>
    </row>
    <row r="2495" spans="1:4" x14ac:dyDescent="0.25">
      <c r="B2495" t="str">
        <f>HYPERLINK("https://www.chemistwarehouse.com.au/buy/75224/Revlon-Photoready-Kajal-Eye-Pen-Coal"," Revlon Photoready Kajal Eye Pen Coal")</f>
        <v xml:space="preserve"> Revlon Photoready Kajal Eye Pen Coal</v>
      </c>
      <c r="C2495" t="s">
        <v>1</v>
      </c>
      <c r="D2495" t="s">
        <v>145</v>
      </c>
    </row>
    <row r="2496" spans="1:4" x14ac:dyDescent="0.25">
      <c r="B2496" t="str">
        <f>HYPERLINK("https://www.chemistwarehouse.com.au/buy/75225/Revlon-Photoready-Kajal-Eye-Pen-Lemon"," Revlon Photoready Kajal Eye Pen Lemon")</f>
        <v xml:space="preserve"> Revlon Photoready Kajal Eye Pen Lemon</v>
      </c>
      <c r="C2496" t="s">
        <v>1</v>
      </c>
      <c r="D2496" t="s">
        <v>145</v>
      </c>
    </row>
    <row r="2497" spans="1:4" x14ac:dyDescent="0.25">
      <c r="B2497" t="str">
        <f>HYPERLINK("https://www.chemistwarehouse.com.au/buy/75226/Revlon-Photoready-Kajal-Eye-Pen-Marine"," Revlon Photoready Kajal Eye Pen Marine")</f>
        <v xml:space="preserve"> Revlon Photoready Kajal Eye Pen Marine</v>
      </c>
      <c r="C2497" t="s">
        <v>1</v>
      </c>
      <c r="D2497" t="s">
        <v>145</v>
      </c>
    </row>
    <row r="2498" spans="1:4" x14ac:dyDescent="0.25">
      <c r="B2498" t="str">
        <f>HYPERLINK("https://www.chemistwarehouse.com.au/buy/75227/Revlon-Photoready-Kajal-Eye-Pen-Matte-Espresso"," Revlon Photoready Kajal Eye Pen Matte Espresso")</f>
        <v xml:space="preserve"> Revlon Photoready Kajal Eye Pen Matte Espresso</v>
      </c>
      <c r="C2498" t="s">
        <v>1</v>
      </c>
      <c r="D2498" t="s">
        <v>145</v>
      </c>
    </row>
    <row r="2499" spans="1:4" x14ac:dyDescent="0.25">
      <c r="A2499" t="s">
        <v>916</v>
      </c>
    </row>
    <row r="2500" spans="1:4" x14ac:dyDescent="0.25">
      <c r="B2500" t="str">
        <f>HYPERLINK("https://www.chemistwarehouse.com.au/buy/70956/Revlon-Photoready-Eyeshadow-Avant-Garde"," Revlon Photoready Eyeshadow Avant Garde")</f>
        <v xml:space="preserve"> Revlon Photoready Eyeshadow Avant Garde</v>
      </c>
      <c r="C2500" t="s">
        <v>153</v>
      </c>
      <c r="D2500" t="s">
        <v>145</v>
      </c>
    </row>
    <row r="2501" spans="1:4" x14ac:dyDescent="0.25">
      <c r="B2501" t="str">
        <f>HYPERLINK("https://www.chemistwarehouse.com.au/buy/70958/Revlon-Photoready-Eyeshadow-Impressionist"," Revlon Photoready Eyeshadow Impressionist")</f>
        <v xml:space="preserve"> Revlon Photoready Eyeshadow Impressionist</v>
      </c>
      <c r="C2501" t="s">
        <v>153</v>
      </c>
      <c r="D2501" t="s">
        <v>145</v>
      </c>
    </row>
    <row r="2502" spans="1:4" x14ac:dyDescent="0.25">
      <c r="B2502" t="str">
        <f>HYPERLINK("https://www.chemistwarehouse.com.au/buy/70959/Revlon-Photoready-Eyeshadow-Metropolitan"," Revlon Photoready Eyeshadow Metropolitan")</f>
        <v xml:space="preserve"> Revlon Photoready Eyeshadow Metropolitan</v>
      </c>
      <c r="C2502" t="s">
        <v>153</v>
      </c>
      <c r="D2502" t="s">
        <v>145</v>
      </c>
    </row>
    <row r="2503" spans="1:4" x14ac:dyDescent="0.25">
      <c r="B2503" t="str">
        <f>HYPERLINK("https://www.chemistwarehouse.com.au/buy/70960/Revlon-Photoready-Eyeshadow-Pop-Art"," Revlon Photoready Eyeshadow Pop Art")</f>
        <v xml:space="preserve"> Revlon Photoready Eyeshadow Pop Art</v>
      </c>
      <c r="C2503" t="s">
        <v>153</v>
      </c>
      <c r="D2503" t="s">
        <v>145</v>
      </c>
    </row>
    <row r="2504" spans="1:4" x14ac:dyDescent="0.25">
      <c r="B2504" t="str">
        <f>HYPERLINK("https://www.chemistwarehouse.com.au/buy/70962/Revlon-Photoready-Eyeshadow-Watercolours"," Revlon Photoready Eyeshadow Watercolours")</f>
        <v xml:space="preserve"> Revlon Photoready Eyeshadow Watercolours</v>
      </c>
      <c r="C2504" t="s">
        <v>153</v>
      </c>
      <c r="D2504" t="s">
        <v>145</v>
      </c>
    </row>
    <row r="2505" spans="1:4" x14ac:dyDescent="0.25">
      <c r="B2505" t="str">
        <f>HYPERLINK("https://www.chemistwarehouse.com.au/buy/70968/Revlon-PhotoReady-Primer-Eye-Primer-amp-Brightener"," Revlon PhotoReady Primer Eye Primer &amp; Brightener")</f>
        <v xml:space="preserve"> Revlon PhotoReady Primer Eye Primer &amp; Brightener</v>
      </c>
      <c r="C2505" t="s">
        <v>173</v>
      </c>
      <c r="D2505" t="s">
        <v>145</v>
      </c>
    </row>
    <row r="2506" spans="1:4" x14ac:dyDescent="0.25">
      <c r="B2506" t="str">
        <f>HYPERLINK("https://www.chemistwarehouse.com.au/buy/79624/Revlon-Photoready-Primer-Plus-Shadow-Gilded-Metals"," Revlon Photoready Primer Plus Shadow Gilded Metals")</f>
        <v xml:space="preserve"> Revlon Photoready Primer Plus Shadow Gilded Metals</v>
      </c>
      <c r="C2506" t="s">
        <v>153</v>
      </c>
      <c r="D2506" t="s">
        <v>145</v>
      </c>
    </row>
    <row r="2507" spans="1:4" x14ac:dyDescent="0.25">
      <c r="B2507" t="str">
        <f>HYPERLINK("https://www.chemistwarehouse.com.au/buy/70970/Revlon-Photoready-Shadow-Primer-Muse"," Revlon Photoready Shadow + Primer Muse")</f>
        <v xml:space="preserve"> Revlon Photoready Shadow + Primer Muse</v>
      </c>
      <c r="C2507" t="s">
        <v>46</v>
      </c>
      <c r="D2507" t="s">
        <v>879</v>
      </c>
    </row>
    <row r="2508" spans="1:4" x14ac:dyDescent="0.25">
      <c r="A2508" t="s">
        <v>917</v>
      </c>
    </row>
    <row r="2509" spans="1:4" x14ac:dyDescent="0.25">
      <c r="B2509" t="str">
        <f>HYPERLINK("https://www.chemistwarehouse.com.au/buy/70929/Revlon-New-Complexion-One-Step-Compact-Makeup-Ivory-Beige"," Revlon New Complexion One-Step Compact Makeup Ivory Beige")</f>
        <v xml:space="preserve"> Revlon New Complexion One-Step Compact Makeup Ivory Beige</v>
      </c>
      <c r="C2509" t="s">
        <v>230</v>
      </c>
      <c r="D2509" t="s">
        <v>336</v>
      </c>
    </row>
    <row r="2510" spans="1:4" x14ac:dyDescent="0.25">
      <c r="B2510" t="str">
        <f>HYPERLINK("https://www.chemistwarehouse.com.au/buy/70930/Revlon-New-Complexion-One-Step-Compact-Makeup-Medium-Beige"," Revlon New Complexion One-Step Compact Makeup Medium Beige")</f>
        <v xml:space="preserve"> Revlon New Complexion One-Step Compact Makeup Medium Beige</v>
      </c>
      <c r="C2510" t="s">
        <v>230</v>
      </c>
      <c r="D2510" t="s">
        <v>336</v>
      </c>
    </row>
    <row r="2511" spans="1:4" x14ac:dyDescent="0.25">
      <c r="B2511" t="str">
        <f>HYPERLINK("https://www.chemistwarehouse.com.au/buy/70931/Revlon-New-Complexion-One-Step-Compact-Makeup-Natural-Beige"," Revlon New Complexion One-Step Compact Makeup Natural Beige")</f>
        <v xml:space="preserve"> Revlon New Complexion One-Step Compact Makeup Natural Beige</v>
      </c>
      <c r="C2511" t="s">
        <v>230</v>
      </c>
      <c r="D2511" t="s">
        <v>336</v>
      </c>
    </row>
    <row r="2512" spans="1:4" x14ac:dyDescent="0.25">
      <c r="B2512" t="str">
        <f>HYPERLINK("https://www.chemistwarehouse.com.au/buy/70932/Revlon-New-Complexion-One-Step-Compact-Makeup-Natural-Tan"," Revlon New Complexion One-Step Compact Makeup Natural Tan")</f>
        <v xml:space="preserve"> Revlon New Complexion One-Step Compact Makeup Natural Tan</v>
      </c>
      <c r="C2512" t="s">
        <v>230</v>
      </c>
      <c r="D2512" t="s">
        <v>336</v>
      </c>
    </row>
    <row r="2513" spans="1:4" x14ac:dyDescent="0.25">
      <c r="B2513" t="str">
        <f>HYPERLINK("https://www.chemistwarehouse.com.au/buy/70933/Revlon-New-Complexion-One-Step-Compact-Makeup-Sand-Beige"," Revlon New Complexion One-Step Compact Makeup Sand Beige")</f>
        <v xml:space="preserve"> Revlon New Complexion One-Step Compact Makeup Sand Beige</v>
      </c>
      <c r="C2513" t="s">
        <v>230</v>
      </c>
      <c r="D2513" t="s">
        <v>336</v>
      </c>
    </row>
    <row r="2514" spans="1:4" x14ac:dyDescent="0.25">
      <c r="B2514" t="str">
        <f>HYPERLINK("https://www.chemistwarehouse.com.au/buy/70934/Revlon-New-Complexion-One-Step-Compact-Makeup-Tender-Peach"," Revlon New Complexion One-Step Compact Makeup Tender Peach")</f>
        <v xml:space="preserve"> Revlon New Complexion One-Step Compact Makeup Tender Peach</v>
      </c>
      <c r="C2514" t="s">
        <v>230</v>
      </c>
      <c r="D2514" t="s">
        <v>336</v>
      </c>
    </row>
    <row r="2515" spans="1:4" x14ac:dyDescent="0.25">
      <c r="A2515" t="s">
        <v>918</v>
      </c>
    </row>
    <row r="2516" spans="1:4" x14ac:dyDescent="0.25">
      <c r="B2516" t="str">
        <f>HYPERLINK("https://www.chemistwarehouse.com.au/buy/70983/Revlon-Super-Lustrous-Lip-Gloss-Fatal-Apple"," Revlon Super Lustrous Lip Gloss Fatal Apple")</f>
        <v xml:space="preserve"> Revlon Super Lustrous Lip Gloss Fatal Apple</v>
      </c>
      <c r="C2516" t="s">
        <v>404</v>
      </c>
      <c r="D2516" t="s">
        <v>152</v>
      </c>
    </row>
    <row r="2517" spans="1:4" x14ac:dyDescent="0.25">
      <c r="B2517" t="str">
        <f>HYPERLINK("https://www.chemistwarehouse.com.au/buy/70986/Revlon-Super-Lustrous-Lip-Gloss-Pango-Peach"," Revlon Super Lustrous Lip Gloss Pango Peach")</f>
        <v xml:space="preserve"> Revlon Super Lustrous Lip Gloss Pango Peach</v>
      </c>
      <c r="C2517" t="s">
        <v>404</v>
      </c>
      <c r="D2517" t="s">
        <v>152</v>
      </c>
    </row>
    <row r="2518" spans="1:4" x14ac:dyDescent="0.25">
      <c r="B2518" t="str">
        <f>HYPERLINK("https://www.chemistwarehouse.com.au/buy/70987/Revlon-Super-Lustrous-Lip-Gloss-Pink-Pop"," Revlon Super Lustrous Lip Gloss Pink Pop")</f>
        <v xml:space="preserve"> Revlon Super Lustrous Lip Gloss Pink Pop</v>
      </c>
      <c r="C2518" t="s">
        <v>404</v>
      </c>
      <c r="D2518" t="s">
        <v>152</v>
      </c>
    </row>
    <row r="2519" spans="1:4" x14ac:dyDescent="0.25">
      <c r="B2519" t="str">
        <f>HYPERLINK("https://www.chemistwarehouse.com.au/buy/70988/Revlon-Super-Lustrous-Lip-Gloss-Pinkissimo"," Revlon Super Lustrous Lip Gloss Pinkissimo")</f>
        <v xml:space="preserve"> Revlon Super Lustrous Lip Gloss Pinkissimo</v>
      </c>
      <c r="C2519" t="s">
        <v>404</v>
      </c>
      <c r="D2519" t="s">
        <v>152</v>
      </c>
    </row>
    <row r="2520" spans="1:4" x14ac:dyDescent="0.25">
      <c r="B2520" t="str">
        <f>HYPERLINK("https://www.chemistwarehouse.com.au/buy/70990/Revlon-Super-Lustrous-Lip-Gloss-Rosy-Future"," Revlon Super Lustrous Lip Gloss Rosy Future")</f>
        <v xml:space="preserve"> Revlon Super Lustrous Lip Gloss Rosy Future</v>
      </c>
      <c r="C2520" t="s">
        <v>404</v>
      </c>
      <c r="D2520" t="s">
        <v>152</v>
      </c>
    </row>
    <row r="2521" spans="1:4" x14ac:dyDescent="0.25">
      <c r="B2521" t="str">
        <f>HYPERLINK("https://www.chemistwarehouse.com.au/buy/70991/Revlon-Super-Lustrous-Lip-Gloss-Snow-Pink"," Revlon Super Lustrous Lip Gloss Snow Pink")</f>
        <v xml:space="preserve"> Revlon Super Lustrous Lip Gloss Snow Pink</v>
      </c>
      <c r="C2521" t="s">
        <v>404</v>
      </c>
      <c r="D2521" t="s">
        <v>152</v>
      </c>
    </row>
    <row r="2522" spans="1:4" x14ac:dyDescent="0.25">
      <c r="B2522" t="str">
        <f>HYPERLINK("https://www.chemistwarehouse.com.au/buy/70992/Revlon-Super-Lustrous-Lip-Gloss-Sugar-Violet"," Revlon Super Lustrous Lip Gloss Sugar Violet")</f>
        <v xml:space="preserve"> Revlon Super Lustrous Lip Gloss Sugar Violet</v>
      </c>
      <c r="C2522" t="s">
        <v>404</v>
      </c>
      <c r="D2522" t="s">
        <v>152</v>
      </c>
    </row>
    <row r="2523" spans="1:4" x14ac:dyDescent="0.25">
      <c r="B2523" t="str">
        <f>HYPERLINK("https://www.chemistwarehouse.com.au/buy/70993/Revlon-Super-Lustrous-Lip-Gloss-Super-Natural"," Revlon Super Lustrous Lip Gloss Super Natural")</f>
        <v xml:space="preserve"> Revlon Super Lustrous Lip Gloss Super Natural</v>
      </c>
      <c r="C2523" t="s">
        <v>404</v>
      </c>
      <c r="D2523" t="s">
        <v>152</v>
      </c>
    </row>
    <row r="2524" spans="1:4" x14ac:dyDescent="0.25">
      <c r="B2524" t="str">
        <f>HYPERLINK("https://www.chemistwarehouse.com.au/buy/79325/Revlon-Super-Lustrous-Lip-Gloss-Something-Special"," Revlon Super Lustrous Lip Gloss Something Special")</f>
        <v xml:space="preserve"> Revlon Super Lustrous Lip Gloss Something Special</v>
      </c>
      <c r="C2524" t="s">
        <v>212</v>
      </c>
      <c r="D2524" t="s">
        <v>799</v>
      </c>
    </row>
    <row r="2525" spans="1:4" x14ac:dyDescent="0.25">
      <c r="B2525" t="str">
        <f>HYPERLINK("https://www.chemistwarehouse.com.au/buy/81491/Revlon-Super-Lustrous-Lipstick-Love-Is-On"," Revlon Super Lustrous Lipstick Love Is On")</f>
        <v xml:space="preserve"> Revlon Super Lustrous Lipstick Love Is On</v>
      </c>
      <c r="C2525" t="s">
        <v>404</v>
      </c>
      <c r="D2525" t="s">
        <v>152</v>
      </c>
    </row>
    <row r="2526" spans="1:4" x14ac:dyDescent="0.25">
      <c r="A2526" t="s">
        <v>919</v>
      </c>
    </row>
    <row r="2527" spans="1:4" x14ac:dyDescent="0.25">
      <c r="B2527" t="str">
        <f>HYPERLINK("https://www.chemistwarehouse.com.au/buy/71093/Revlon-Super-Lustrous-Lipstick-Plumalicious"," Revlon Super Lustrous Lipstick Plumalicious")</f>
        <v xml:space="preserve"> Revlon Super Lustrous Lipstick Plumalicious</v>
      </c>
      <c r="C2527" t="s">
        <v>404</v>
      </c>
      <c r="D2527" t="s">
        <v>152</v>
      </c>
    </row>
    <row r="2528" spans="1:4" x14ac:dyDescent="0.25">
      <c r="B2528" t="str">
        <f>HYPERLINK("https://www.chemistwarehouse.com.au/buy/71095/Revlon-Super-Lustrous-Lipstick-Raisin-Rage"," Revlon Super Lustrous Lipstick Raisin Rage")</f>
        <v xml:space="preserve"> Revlon Super Lustrous Lipstick Raisin Rage</v>
      </c>
      <c r="C2528" t="s">
        <v>404</v>
      </c>
      <c r="D2528" t="s">
        <v>152</v>
      </c>
    </row>
    <row r="2529" spans="2:4" x14ac:dyDescent="0.25">
      <c r="B2529" t="str">
        <f>HYPERLINK("https://www.chemistwarehouse.com.au/buy/71072/Revlon-Super-Lustrous-Lipstick-Gold-Pearl-Plum"," Revlon Super Lustrous Lipstick Gold Pearl Plum")</f>
        <v xml:space="preserve"> Revlon Super Lustrous Lipstick Gold Pearl Plum</v>
      </c>
      <c r="C2529" t="s">
        <v>404</v>
      </c>
      <c r="D2529" t="s">
        <v>152</v>
      </c>
    </row>
    <row r="2530" spans="2:4" x14ac:dyDescent="0.25">
      <c r="B2530" t="str">
        <f>HYPERLINK("https://www.chemistwarehouse.com.au/buy/71065/Revlon-Super-Lustrous-Lipstick-Coral-Berry"," Revlon Super Lustrous Lipstick Coral Berry")</f>
        <v xml:space="preserve"> Revlon Super Lustrous Lipstick Coral Berry</v>
      </c>
      <c r="C2530" t="s">
        <v>404</v>
      </c>
      <c r="D2530" t="s">
        <v>152</v>
      </c>
    </row>
    <row r="2531" spans="2:4" x14ac:dyDescent="0.25">
      <c r="B2531" t="str">
        <f>HYPERLINK("https://www.chemistwarehouse.com.au/buy/71066/Revlon-Super-Lustrous-Lipstick-Demure"," Revlon Super Lustrous Lipstick Demure")</f>
        <v xml:space="preserve"> Revlon Super Lustrous Lipstick Demure</v>
      </c>
      <c r="C2531" t="s">
        <v>404</v>
      </c>
      <c r="D2531" t="s">
        <v>152</v>
      </c>
    </row>
    <row r="2532" spans="2:4" x14ac:dyDescent="0.25">
      <c r="B2532" t="str">
        <f>HYPERLINK("https://www.chemistwarehouse.com.au/buy/71067/Revlon-Super-Lustrous-Lipstick-Fire-amp-Ice"," Revlon Super Lustrous Lipstick Fire &amp; Ice")</f>
        <v xml:space="preserve"> Revlon Super Lustrous Lipstick Fire &amp; Ice</v>
      </c>
      <c r="C2532" t="s">
        <v>404</v>
      </c>
      <c r="D2532" t="s">
        <v>152</v>
      </c>
    </row>
    <row r="2533" spans="2:4" x14ac:dyDescent="0.25">
      <c r="B2533" t="str">
        <f>HYPERLINK("https://www.chemistwarehouse.com.au/buy/71068/Revlon-Super-Lustrous-Lipstick-Sultry-Samba"," Revlon Super Lustrous Lipstick Sultry Samba")</f>
        <v xml:space="preserve"> Revlon Super Lustrous Lipstick Sultry Samba</v>
      </c>
      <c r="C2533" t="s">
        <v>404</v>
      </c>
      <c r="D2533" t="s">
        <v>152</v>
      </c>
    </row>
    <row r="2534" spans="2:4" x14ac:dyDescent="0.25">
      <c r="B2534" t="str">
        <f>HYPERLINK("https://www.chemistwarehouse.com.au/buy/71069/Revlon-Super-Lustrous-Lipstick-Fuchsia-Fusion"," Revlon Super Lustrous Lipstick Fuchsia Fusion")</f>
        <v xml:space="preserve"> Revlon Super Lustrous Lipstick Fuchsia Fusion</v>
      </c>
      <c r="C2534" t="s">
        <v>404</v>
      </c>
      <c r="D2534" t="s">
        <v>152</v>
      </c>
    </row>
    <row r="2535" spans="2:4" x14ac:dyDescent="0.25">
      <c r="B2535" t="str">
        <f>HYPERLINK("https://www.chemistwarehouse.com.au/buy/71070/Revlon-Super-Lustrous-Lipstick-Fuschia-Shock"," Revlon Super Lustrous Lipstick Fuschia Shock")</f>
        <v xml:space="preserve"> Revlon Super Lustrous Lipstick Fuschia Shock</v>
      </c>
      <c r="C2535" t="s">
        <v>404</v>
      </c>
      <c r="D2535" t="s">
        <v>152</v>
      </c>
    </row>
    <row r="2536" spans="2:4" x14ac:dyDescent="0.25">
      <c r="B2536" t="str">
        <f>HYPERLINK("https://www.chemistwarehouse.com.au/buy/71098/Revlon-Super-Lustrous-Lipstick-Rich-Girl-Red"," Revlon Super Lustrous Lipstick Rich Girl Red")</f>
        <v xml:space="preserve"> Revlon Super Lustrous Lipstick Rich Girl Red</v>
      </c>
      <c r="C2536" t="s">
        <v>404</v>
      </c>
      <c r="D2536" t="s">
        <v>152</v>
      </c>
    </row>
    <row r="2537" spans="2:4" x14ac:dyDescent="0.25">
      <c r="B2537" t="str">
        <f>HYPERLINK("https://www.chemistwarehouse.com.au/buy/71099/Revlon-Super-Lustrous-Lipstick-Rum-Raisin"," Revlon Super Lustrous Lipstick Rum Raisin")</f>
        <v xml:space="preserve"> Revlon Super Lustrous Lipstick Rum Raisin</v>
      </c>
      <c r="C2537" t="s">
        <v>404</v>
      </c>
      <c r="D2537" t="s">
        <v>152</v>
      </c>
    </row>
    <row r="2538" spans="2:4" x14ac:dyDescent="0.25">
      <c r="B2538" t="str">
        <f>HYPERLINK("https://www.chemistwarehouse.com.au/buy/71101/Revlon-Super-Lustrous-Lipstick-Sky-Abstract-Orange"," Revlon Super Lustrous Lipstick Sky Abstract Orange")</f>
        <v xml:space="preserve"> Revlon Super Lustrous Lipstick Sky Abstract Orange</v>
      </c>
      <c r="C2538" t="s">
        <v>404</v>
      </c>
      <c r="D2538" t="s">
        <v>152</v>
      </c>
    </row>
    <row r="2539" spans="2:4" x14ac:dyDescent="0.25">
      <c r="B2539" t="str">
        <f>HYPERLINK("https://www.chemistwarehouse.com.au/buy/71103/Revlon-Super-Lustrous-Lipstick-Sky-Violet-Frenzy"," Revlon Super Lustrous Lipstick Sky Violet Frenzy")</f>
        <v xml:space="preserve"> Revlon Super Lustrous Lipstick Sky Violet Frenzy</v>
      </c>
      <c r="C2539" t="s">
        <v>404</v>
      </c>
      <c r="D2539" t="s">
        <v>152</v>
      </c>
    </row>
    <row r="2540" spans="2:4" x14ac:dyDescent="0.25">
      <c r="B2540" t="str">
        <f>HYPERLINK("https://www.chemistwarehouse.com.au/buy/71104/Revlon-Super-Lustrous-Lipstick-Smokey-Rose"," Revlon Super Lustrous Lipstick Smokey Rose")</f>
        <v xml:space="preserve"> Revlon Super Lustrous Lipstick Smokey Rose</v>
      </c>
      <c r="C2540" t="s">
        <v>404</v>
      </c>
      <c r="D2540" t="s">
        <v>152</v>
      </c>
    </row>
    <row r="2541" spans="2:4" x14ac:dyDescent="0.25">
      <c r="B2541" t="str">
        <f>HYPERLINK("https://www.chemistwarehouse.com.au/buy/71107/Revlon-Super-Lustrous-Lipstick-Softsilver-Rose"," Revlon Super Lustrous Lipstick Softsilver Rose")</f>
        <v xml:space="preserve"> Revlon Super Lustrous Lipstick Softsilver Rose</v>
      </c>
      <c r="C2541" t="s">
        <v>404</v>
      </c>
      <c r="D2541" t="s">
        <v>152</v>
      </c>
    </row>
    <row r="2542" spans="2:4" x14ac:dyDescent="0.25">
      <c r="B2542" t="str">
        <f>HYPERLINK("https://www.chemistwarehouse.com.au/buy/71108/Revlon-Super-Lustrous-Lipstick-Teak-Rose"," Revlon Super Lustrous Lipstick Teak Rose")</f>
        <v xml:space="preserve"> Revlon Super Lustrous Lipstick Teak Rose</v>
      </c>
      <c r="C2542" t="s">
        <v>404</v>
      </c>
      <c r="D2542" t="s">
        <v>152</v>
      </c>
    </row>
    <row r="2543" spans="2:4" x14ac:dyDescent="0.25">
      <c r="B2543" t="str">
        <f>HYPERLINK("https://www.chemistwarehouse.com.au/buy/71112/Revlon-Super-Lustrous-Lipstick-Wine-with-Everything"," Revlon Super Lustrous Lipstick Wine with Everything")</f>
        <v xml:space="preserve"> Revlon Super Lustrous Lipstick Wine with Everything</v>
      </c>
      <c r="C2543" t="s">
        <v>404</v>
      </c>
      <c r="D2543" t="s">
        <v>152</v>
      </c>
    </row>
    <row r="2544" spans="2:4" x14ac:dyDescent="0.25">
      <c r="B2544" t="str">
        <f>HYPERLINK("https://www.chemistwarehouse.com.au/buy/71052/Revlon-Super-Lustrous-Lipstick-Berry-Haute"," Revlon Super Lustrous Lipstick Berry Haute")</f>
        <v xml:space="preserve"> Revlon Super Lustrous Lipstick Berry Haute</v>
      </c>
      <c r="C2544" t="s">
        <v>404</v>
      </c>
      <c r="D2544" t="s">
        <v>152</v>
      </c>
    </row>
    <row r="2545" spans="1:4" x14ac:dyDescent="0.25">
      <c r="B2545" t="str">
        <f>HYPERLINK("https://www.chemistwarehouse.com.au/buy/71053/Revlon-Super-Lustrous-Lipstick-Blush-Mauve"," Revlon Super Lustrous Lipstick Blush Mauve")</f>
        <v xml:space="preserve"> Revlon Super Lustrous Lipstick Blush Mauve</v>
      </c>
      <c r="C2545" t="s">
        <v>404</v>
      </c>
      <c r="D2545" t="s">
        <v>152</v>
      </c>
    </row>
    <row r="2546" spans="1:4" x14ac:dyDescent="0.25">
      <c r="B2546" t="str">
        <f>HYPERLINK("https://www.chemistwarehouse.com.au/buy/71054/Revlon-Super-Lustrous-Lipstick-Blushed"," Revlon Super Lustrous Lipstick Blushed")</f>
        <v xml:space="preserve"> Revlon Super Lustrous Lipstick Blushed</v>
      </c>
      <c r="C2546" t="s">
        <v>404</v>
      </c>
      <c r="D2546" t="s">
        <v>152</v>
      </c>
    </row>
    <row r="2547" spans="1:4" x14ac:dyDescent="0.25">
      <c r="B2547" t="str">
        <f>HYPERLINK("https://www.chemistwarehouse.com.au/buy/71055/Revlon-Super-Lustrous-Lipstick-Blushing-Nude"," Revlon Super Lustrous Lipstick Blushing Nude")</f>
        <v xml:space="preserve"> Revlon Super Lustrous Lipstick Blushing Nude</v>
      </c>
      <c r="C2547" t="s">
        <v>404</v>
      </c>
      <c r="D2547" t="s">
        <v>152</v>
      </c>
    </row>
    <row r="2548" spans="1:4" x14ac:dyDescent="0.25">
      <c r="B2548" t="str">
        <f>HYPERLINK("https://www.chemistwarehouse.com.au/buy/71057/Revlon-Super-Lustrous-Lipstick-Caramel-Glace"," Revlon Super Lustrous Lipstick Caramel Glace")</f>
        <v xml:space="preserve"> Revlon Super Lustrous Lipstick Caramel Glace</v>
      </c>
      <c r="C2548" t="s">
        <v>404</v>
      </c>
      <c r="D2548" t="s">
        <v>152</v>
      </c>
    </row>
    <row r="2549" spans="1:4" x14ac:dyDescent="0.25">
      <c r="B2549" t="str">
        <f>HYPERLINK("https://www.chemistwarehouse.com.au/buy/71058/Revlon-Super-Lustrous-Lipstick-Certainly-Red"," Revlon Super Lustrous Lipstick Certainly Red")</f>
        <v xml:space="preserve"> Revlon Super Lustrous Lipstick Certainly Red</v>
      </c>
      <c r="C2549" t="s">
        <v>404</v>
      </c>
      <c r="D2549" t="s">
        <v>152</v>
      </c>
    </row>
    <row r="2550" spans="1:4" x14ac:dyDescent="0.25">
      <c r="B2550" t="str">
        <f>HYPERLINK("https://www.chemistwarehouse.com.au/buy/71060/Revlon-Super-Lustrous-Lipstick-Cherries-In-The-Snow"," Revlon Super Lustrous Lipstick Cherries In The Snow")</f>
        <v xml:space="preserve"> Revlon Super Lustrous Lipstick Cherries In The Snow</v>
      </c>
      <c r="C2550" t="s">
        <v>404</v>
      </c>
      <c r="D2550" t="s">
        <v>152</v>
      </c>
    </row>
    <row r="2551" spans="1:4" x14ac:dyDescent="0.25">
      <c r="A2551" t="s">
        <v>920</v>
      </c>
    </row>
    <row r="2552" spans="1:4" x14ac:dyDescent="0.25">
      <c r="B2552" t="str">
        <f>HYPERLINK("https://www.chemistwarehouse.com.au/buy/71127/Revlon-Touch-amp-Glow-Face-Powder-Transluscent-No-1"," Revlon Touch &amp; Glow Face Powder Transluscent No. 1")</f>
        <v xml:space="preserve"> Revlon Touch &amp; Glow Face Powder Transluscent No. 1</v>
      </c>
      <c r="C2552" t="s">
        <v>493</v>
      </c>
      <c r="D2552" t="s">
        <v>867</v>
      </c>
    </row>
    <row r="2553" spans="1:4" x14ac:dyDescent="0.25">
      <c r="B2553" t="str">
        <f>HYPERLINK("https://www.chemistwarehouse.com.au/buy/74691/Revlon-Glow-Powder-Blush-Sun-Glow"," Revlon Glow Powder Blush Sun Glow")</f>
        <v xml:space="preserve"> Revlon Glow Powder Blush Sun Glow</v>
      </c>
      <c r="C2553" t="s">
        <v>448</v>
      </c>
      <c r="D2553" t="s">
        <v>406</v>
      </c>
    </row>
    <row r="2554" spans="1:4" x14ac:dyDescent="0.25">
      <c r="B2554" t="str">
        <f>HYPERLINK("https://www.chemistwarehouse.com.au/buy/71126/Revlon-Touch-amp-Glow-Face-Powder-Translucent-No-2"," Revlon Touch &amp; Glow Face Powder Translucent No. 2")</f>
        <v xml:space="preserve"> Revlon Touch &amp; Glow Face Powder Translucent No. 2</v>
      </c>
      <c r="C2554" t="s">
        <v>493</v>
      </c>
      <c r="D2554" t="s">
        <v>867</v>
      </c>
    </row>
    <row r="2555" spans="1:4" x14ac:dyDescent="0.25">
      <c r="A2555" t="s">
        <v>921</v>
      </c>
    </row>
    <row r="2556" spans="1:4" x14ac:dyDescent="0.25">
      <c r="B2556" t="str">
        <f>HYPERLINK("https://www.chemistwarehouse.com.au/buy/56246/Revlon-Eterna-27-24-Hour-Repair-Creme-50ml"," Revlon Eterna 27+ 24 Hour Repair Creme 50ml")</f>
        <v xml:space="preserve"> Revlon Eterna 27+ 24 Hour Repair Creme 50ml</v>
      </c>
      <c r="C2556" t="s">
        <v>922</v>
      </c>
      <c r="D2556" t="s">
        <v>488</v>
      </c>
    </row>
    <row r="2557" spans="1:4" x14ac:dyDescent="0.25">
      <c r="B2557" t="str">
        <f>HYPERLINK("https://www.chemistwarehouse.com.au/buy/56248/Revlon-Eterna-27-instant-Wonder-Cream-50ml"," Revlon Eterna 27+ instant Wonder Cream 50ml")</f>
        <v xml:space="preserve"> Revlon Eterna 27+ instant Wonder Cream 50ml</v>
      </c>
      <c r="C2557" t="s">
        <v>922</v>
      </c>
      <c r="D2557" t="s">
        <v>488</v>
      </c>
    </row>
    <row r="2558" spans="1:4" x14ac:dyDescent="0.25">
      <c r="B2558" t="str">
        <f>HYPERLINK("https://www.chemistwarehouse.com.au/buy/77484/Revlon-Eterna-27-24-Hour-Eye-Cream-15ml"," Revlon Eterna 27+ 24 Hour Eye Cream 15ml")</f>
        <v xml:space="preserve"> Revlon Eterna 27+ 24 Hour Eye Cream 15ml</v>
      </c>
      <c r="C2558" t="s">
        <v>245</v>
      </c>
      <c r="D2558" t="s">
        <v>923</v>
      </c>
    </row>
    <row r="2559" spans="1:4" x14ac:dyDescent="0.25">
      <c r="B2559" t="str">
        <f>HYPERLINK("https://www.chemistwarehouse.com.au/buy/78249/Revlon-Eterna-27-Repair-Fluid-50ml"," Revlon Eterna 27+ Repair Fluid 50ml")</f>
        <v xml:space="preserve"> Revlon Eterna 27+ Repair Fluid 50ml</v>
      </c>
      <c r="C2559" t="s">
        <v>6</v>
      </c>
      <c r="D2559" t="s">
        <v>500</v>
      </c>
    </row>
    <row r="2560" spans="1:4" x14ac:dyDescent="0.25">
      <c r="B2560" t="str">
        <f>HYPERLINK("https://www.chemistwarehouse.com.au/buy/78250/Revlon-Eterna-27-Soft-Cleansing-Milk-200ml"," Revlon Eterna 27+ Soft Cleansing Milk 200ml")</f>
        <v xml:space="preserve"> Revlon Eterna 27+ Soft Cleansing Milk 200ml</v>
      </c>
      <c r="C2560" t="s">
        <v>924</v>
      </c>
      <c r="D2560" t="s">
        <v>466</v>
      </c>
    </row>
    <row r="2561" spans="1:4" x14ac:dyDescent="0.25">
      <c r="B2561" t="str">
        <f>HYPERLINK("https://www.chemistwarehouse.com.au/buy/78251/Revlon-Eterna-27-Soothing-Toner-Water-200ml"," Revlon Eterna 27+ Soothing Toner Water 200ml")</f>
        <v xml:space="preserve"> Revlon Eterna 27+ Soothing Toner Water 200ml</v>
      </c>
      <c r="C2561" t="s">
        <v>924</v>
      </c>
      <c r="D2561" t="s">
        <v>466</v>
      </c>
    </row>
    <row r="2562" spans="1:4" x14ac:dyDescent="0.25">
      <c r="A2562" t="s">
        <v>925</v>
      </c>
    </row>
    <row r="2563" spans="1:4" x14ac:dyDescent="0.25">
      <c r="B2563" t="str">
        <f>HYPERLINK("https://www.chemistwarehouse.com.au/buy/70789/Revlon-Matte-Lipstick-Nude-Attitude"," Revlon Matte Lipstick Nude Attitude")</f>
        <v xml:space="preserve"> Revlon Matte Lipstick Nude Attitude</v>
      </c>
      <c r="C2563" t="s">
        <v>404</v>
      </c>
      <c r="D2563" t="s">
        <v>152</v>
      </c>
    </row>
    <row r="2564" spans="1:4" x14ac:dyDescent="0.25">
      <c r="B2564" t="str">
        <f>HYPERLINK("https://www.chemistwarehouse.com.au/buy/70790/Revlon-Matte-Lipstick-Really-Red"," Revlon Matte Lipstick Really Red ")</f>
        <v xml:space="preserve"> Revlon Matte Lipstick Really Red </v>
      </c>
      <c r="C2564" t="s">
        <v>404</v>
      </c>
      <c r="D2564" t="s">
        <v>152</v>
      </c>
    </row>
    <row r="2565" spans="1:4" x14ac:dyDescent="0.25">
      <c r="B2565" t="str">
        <f>HYPERLINK("https://www.chemistwarehouse.com.au/buy/77486/Revlon-Matte-Lipstick-Pink-Pout"," Revlon Matte Lipstick Pink Pout")</f>
        <v xml:space="preserve"> Revlon Matte Lipstick Pink Pout</v>
      </c>
      <c r="C2565" t="s">
        <v>404</v>
      </c>
      <c r="D2565" t="s">
        <v>152</v>
      </c>
    </row>
    <row r="2566" spans="1:4" x14ac:dyDescent="0.25">
      <c r="A2566" t="s">
        <v>926</v>
      </c>
    </row>
    <row r="2567" spans="1:4" x14ac:dyDescent="0.25">
      <c r="B2567" t="str">
        <f>HYPERLINK("https://www.chemistwarehouse.com.au/buy/70587/Revlon-Brow-Fantasy-Brunette"," Revlon Brow Fantasy Brunette")</f>
        <v xml:space="preserve"> Revlon Brow Fantasy Brunette</v>
      </c>
      <c r="C2567" t="s">
        <v>1</v>
      </c>
      <c r="D2567" t="s">
        <v>145</v>
      </c>
    </row>
    <row r="2568" spans="1:4" x14ac:dyDescent="0.25">
      <c r="B2568" t="str">
        <f>HYPERLINK("https://www.chemistwarehouse.com.au/buy/70588/Revlon-Brow-Fantasy-Dark-Blonde"," Revlon Brow Fantasy Dark Blonde")</f>
        <v xml:space="preserve"> Revlon Brow Fantasy Dark Blonde</v>
      </c>
      <c r="C2568" t="s">
        <v>1</v>
      </c>
      <c r="D2568" t="s">
        <v>145</v>
      </c>
    </row>
    <row r="2569" spans="1:4" x14ac:dyDescent="0.25">
      <c r="B2569" t="str">
        <f>HYPERLINK("https://www.chemistwarehouse.com.au/buy/70589/Revlon-Brow-Fantasy-Dark-Brown"," Revlon Brow Fantasy Dark Brown")</f>
        <v xml:space="preserve"> Revlon Brow Fantasy Dark Brown</v>
      </c>
      <c r="C2569" t="s">
        <v>1</v>
      </c>
      <c r="D2569" t="s">
        <v>145</v>
      </c>
    </row>
    <row r="2570" spans="1:4" x14ac:dyDescent="0.25">
      <c r="A2570" t="s">
        <v>927</v>
      </c>
    </row>
    <row r="2571" spans="1:4" x14ac:dyDescent="0.25">
      <c r="B2571" t="str">
        <f>HYPERLINK("https://www.chemistwarehouse.com.au/buy/78780/Revlon-Ultimate-All-In-One-Mascara-Black"," Revlon Ultimate All In One Mascara Black")</f>
        <v xml:space="preserve"> Revlon Ultimate All In One Mascara Black</v>
      </c>
      <c r="C2571" t="s">
        <v>46</v>
      </c>
      <c r="D2571" t="s">
        <v>380</v>
      </c>
    </row>
    <row r="2572" spans="1:4" x14ac:dyDescent="0.25">
      <c r="B2572" t="str">
        <f>HYPERLINK("https://www.chemistwarehouse.com.au/buy/81181/Revlon-Ultimate-All-In-One-Mascara-Blackest-Black-Waterproof"," Revlon Ultimate All In One Mascara Blackest Black Waterproof")</f>
        <v xml:space="preserve"> Revlon Ultimate All In One Mascara Blackest Black Waterproof</v>
      </c>
      <c r="C2572" t="s">
        <v>46</v>
      </c>
      <c r="D2572" t="s">
        <v>380</v>
      </c>
    </row>
    <row r="2573" spans="1:4" x14ac:dyDescent="0.25">
      <c r="B2573" t="str">
        <f>HYPERLINK("https://www.chemistwarehouse.com.au/buy/77765/Revlon-Ultimate-All-In-One-Mascara-Blackened-Brown"," Revlon Ultimate All In One Mascara Blackened Brown")</f>
        <v xml:space="preserve"> Revlon Ultimate All In One Mascara Blackened Brown</v>
      </c>
      <c r="C2573" t="s">
        <v>46</v>
      </c>
      <c r="D2573" t="s">
        <v>359</v>
      </c>
    </row>
    <row r="2574" spans="1:4" x14ac:dyDescent="0.25">
      <c r="B2574" t="str">
        <f>HYPERLINK("https://www.chemistwarehouse.com.au/buy/77766/Revlon-Ultimate-All-In-One-Mascara-Blackest-Black"," Revlon Ultimate All In One Mascara Blackest Black")</f>
        <v xml:space="preserve"> Revlon Ultimate All In One Mascara Blackest Black</v>
      </c>
      <c r="C2574" t="s">
        <v>46</v>
      </c>
      <c r="D2574" t="s">
        <v>359</v>
      </c>
    </row>
    <row r="2575" spans="1:4" x14ac:dyDescent="0.25">
      <c r="A2575" t="s">
        <v>928</v>
      </c>
    </row>
    <row r="2576" spans="1:4" x14ac:dyDescent="0.25">
      <c r="B2576" t="str">
        <f>HYPERLINK("https://www.chemistwarehouse.com.au/buy/78771/Revlon-Dramatic-Definition-Mascara-Black"," Revlon Dramatic Definition Mascara Black")</f>
        <v xml:space="preserve"> Revlon Dramatic Definition Mascara Black</v>
      </c>
      <c r="C2576" t="s">
        <v>46</v>
      </c>
      <c r="D2576" t="s">
        <v>359</v>
      </c>
    </row>
    <row r="2577" spans="1:4" x14ac:dyDescent="0.25">
      <c r="B2577" t="str">
        <f>HYPERLINK("https://www.chemistwarehouse.com.au/buy/78772/Revlon-Dramatic-Definition-Mascara-Blackened-Brown"," Revlon Dramatic Definition Mascara Blackened Brown")</f>
        <v xml:space="preserve"> Revlon Dramatic Definition Mascara Blackened Brown</v>
      </c>
      <c r="C2577" t="s">
        <v>46</v>
      </c>
      <c r="D2577" t="s">
        <v>359</v>
      </c>
    </row>
    <row r="2578" spans="1:4" x14ac:dyDescent="0.25">
      <c r="B2578" t="str">
        <f>HYPERLINK("https://www.chemistwarehouse.com.au/buy/78773/Revlon-Dramatic-Definition-Mascara-Blackest-Black"," Revlon Dramatic Definition Mascara Blackest Black")</f>
        <v xml:space="preserve"> Revlon Dramatic Definition Mascara Blackest Black</v>
      </c>
      <c r="C2578" t="s">
        <v>46</v>
      </c>
      <c r="D2578" t="s">
        <v>359</v>
      </c>
    </row>
    <row r="2579" spans="1:4" x14ac:dyDescent="0.25">
      <c r="B2579" t="str">
        <f>HYPERLINK("https://www.chemistwarehouse.com.au/buy/78774/Revlon-Dramatic-Definition-Mascara-Blackest-Black-Waterproof"," Revlon Dramatic Definition Mascara Blackest Black Waterproof")</f>
        <v xml:space="preserve"> Revlon Dramatic Definition Mascara Blackest Black Waterproof</v>
      </c>
      <c r="C2579" t="s">
        <v>46</v>
      </c>
      <c r="D2579" t="s">
        <v>359</v>
      </c>
    </row>
    <row r="2580" spans="1:4" x14ac:dyDescent="0.25">
      <c r="A2580" t="s">
        <v>929</v>
      </c>
    </row>
    <row r="2581" spans="1:4" x14ac:dyDescent="0.25">
      <c r="B2581" t="str">
        <f>HYPERLINK("https://www.chemistwarehouse.com.au/buy/78776/Revlon-Super-Length-Mascara-Blackened-Brown"," Revlon Super Length Mascara Blackened Brown")</f>
        <v xml:space="preserve"> Revlon Super Length Mascara Blackened Brown</v>
      </c>
      <c r="C2581" t="s">
        <v>46</v>
      </c>
      <c r="D2581" t="s">
        <v>359</v>
      </c>
    </row>
    <row r="2582" spans="1:4" x14ac:dyDescent="0.25">
      <c r="B2582" t="str">
        <f>HYPERLINK("https://www.chemistwarehouse.com.au/buy/78777/Revlon-Super-Length-Mascara-Blackest-Black"," Revlon Super Length Mascara Blackest Black")</f>
        <v xml:space="preserve"> Revlon Super Length Mascara Blackest Black</v>
      </c>
      <c r="C2582" t="s">
        <v>46</v>
      </c>
      <c r="D2582" t="s">
        <v>359</v>
      </c>
    </row>
    <row r="2583" spans="1:4" x14ac:dyDescent="0.25">
      <c r="B2583" t="str">
        <f>HYPERLINK("https://www.chemistwarehouse.com.au/buy/78778/Revlon-Super-Length-Mascara-Blackest-Black-Waterproof"," Revlon Super Length Mascara Blackest Black Waterproof")</f>
        <v xml:space="preserve"> Revlon Super Length Mascara Blackest Black Waterproof</v>
      </c>
      <c r="C2583" t="s">
        <v>46</v>
      </c>
      <c r="D2583" t="s">
        <v>359</v>
      </c>
    </row>
    <row r="2584" spans="1:4" x14ac:dyDescent="0.25">
      <c r="B2584" t="str">
        <f>HYPERLINK("https://www.chemistwarehouse.com.au/buy/78775/Revlon-Super-Length-Mascara-Black"," Revlon Super Length Mascara Black")</f>
        <v xml:space="preserve"> Revlon Super Length Mascara Black</v>
      </c>
      <c r="C2584" t="s">
        <v>46</v>
      </c>
      <c r="D2584" t="s">
        <v>359</v>
      </c>
    </row>
    <row r="2585" spans="1:4" x14ac:dyDescent="0.25">
      <c r="A2585" t="s">
        <v>930</v>
      </c>
    </row>
    <row r="2586" spans="1:4" x14ac:dyDescent="0.25">
      <c r="B2586" t="str">
        <f>HYPERLINK("https://www.chemistwarehouse.com.au/buy/78781/Revlon-Ultra-Volume-Mascara-Black"," Revlon Ultra Volume Mascara Black")</f>
        <v xml:space="preserve"> Revlon Ultra Volume Mascara Black</v>
      </c>
      <c r="C2586" t="s">
        <v>46</v>
      </c>
      <c r="D2586" t="s">
        <v>359</v>
      </c>
    </row>
    <row r="2587" spans="1:4" x14ac:dyDescent="0.25">
      <c r="B2587" t="str">
        <f>HYPERLINK("https://www.chemistwarehouse.com.au/buy/78782/Revlon-Ultra-Volume-Mascara-Blackened-Brown"," Revlon Ultra Volume Mascara Blackened Brown")</f>
        <v xml:space="preserve"> Revlon Ultra Volume Mascara Blackened Brown</v>
      </c>
      <c r="C2587" t="s">
        <v>46</v>
      </c>
      <c r="D2587" t="s">
        <v>359</v>
      </c>
    </row>
    <row r="2588" spans="1:4" x14ac:dyDescent="0.25">
      <c r="B2588" t="str">
        <f>HYPERLINK("https://www.chemistwarehouse.com.au/buy/78783/Revlon-Ultra-Volume-Mascara-Blackest-Black"," Revlon Ultra Volume Mascara Blackest Black")</f>
        <v xml:space="preserve"> Revlon Ultra Volume Mascara Blackest Black</v>
      </c>
      <c r="C2588" t="s">
        <v>46</v>
      </c>
      <c r="D2588" t="s">
        <v>359</v>
      </c>
    </row>
    <row r="2589" spans="1:4" x14ac:dyDescent="0.25">
      <c r="B2589" t="str">
        <f>HYPERLINK("https://www.chemistwarehouse.com.au/buy/78784/Revlon-Ultra-Volume-Mascara-Blackest-Black-Waterproof"," Revlon Ultra Volume Mascara Blackest Black Waterproof")</f>
        <v xml:space="preserve"> Revlon Ultra Volume Mascara Blackest Black Waterproof</v>
      </c>
      <c r="C2589" t="s">
        <v>46</v>
      </c>
      <c r="D2589" t="s">
        <v>359</v>
      </c>
    </row>
    <row r="2590" spans="1:4" x14ac:dyDescent="0.25">
      <c r="A2590" t="s">
        <v>931</v>
      </c>
    </row>
    <row r="2591" spans="1:4" x14ac:dyDescent="0.25">
      <c r="B2591" t="str">
        <f>HYPERLINK("https://www.chemistwarehouse.com.au/buy/78785/Revlon-Volume-Length-Magnified-Mascara-Black"," Revlon Volume Length Magnified Mascara Black")</f>
        <v xml:space="preserve"> Revlon Volume Length Magnified Mascara Black</v>
      </c>
      <c r="C2591" t="s">
        <v>46</v>
      </c>
      <c r="D2591" t="s">
        <v>359</v>
      </c>
    </row>
    <row r="2592" spans="1:4" x14ac:dyDescent="0.25">
      <c r="B2592" t="str">
        <f>HYPERLINK("https://www.chemistwarehouse.com.au/buy/78786/Revlon-Volume-Length-Magnified-Mascara-Blackened-Brown"," Revlon Volume Length Magnified Mascara Blackened Brown")</f>
        <v xml:space="preserve"> Revlon Volume Length Magnified Mascara Blackened Brown</v>
      </c>
      <c r="C2592" t="s">
        <v>46</v>
      </c>
      <c r="D2592" t="s">
        <v>359</v>
      </c>
    </row>
    <row r="2593" spans="1:4" x14ac:dyDescent="0.25">
      <c r="B2593" t="str">
        <f>HYPERLINK("https://www.chemistwarehouse.com.au/buy/78787/Revlon-Volume-Length-Magnified-Mascara-Blackest-Black"," Revlon Volume Length Magnified Mascara Blackest Black")</f>
        <v xml:space="preserve"> Revlon Volume Length Magnified Mascara Blackest Black</v>
      </c>
      <c r="C2593" t="s">
        <v>46</v>
      </c>
      <c r="D2593" t="s">
        <v>359</v>
      </c>
    </row>
    <row r="2594" spans="1:4" x14ac:dyDescent="0.25">
      <c r="B2594" t="str">
        <f>HYPERLINK("https://www.chemistwarehouse.com.au/buy/78788/Revlon-Volume-Length-Magnified-Mascara-Blackest-Black-Waterproof"," Revlon Volume Length Magnified Mascara Blackest Black Waterproof")</f>
        <v xml:space="preserve"> Revlon Volume Length Magnified Mascara Blackest Black Waterproof</v>
      </c>
      <c r="C2594" t="s">
        <v>46</v>
      </c>
      <c r="D2594" t="s">
        <v>359</v>
      </c>
    </row>
    <row r="2595" spans="1:4" x14ac:dyDescent="0.25">
      <c r="A2595" t="s">
        <v>932</v>
      </c>
    </row>
    <row r="2596" spans="1:4" x14ac:dyDescent="0.25">
      <c r="B2596" t="str">
        <f>HYPERLINK("https://www.chemistwarehouse.com.au/buy/80212/Revlon-Eyes-Cheeks-and-Lips-Palette-Berry-In-Love"," Revlon Eyes Cheeks and Lips Palette Berry In Love")</f>
        <v xml:space="preserve"> Revlon Eyes Cheeks and Lips Palette Berry In Love</v>
      </c>
      <c r="C2596" t="s">
        <v>230</v>
      </c>
      <c r="D2596" t="s">
        <v>336</v>
      </c>
    </row>
    <row r="2597" spans="1:4" x14ac:dyDescent="0.25">
      <c r="B2597" t="str">
        <f>HYPERLINK("https://www.chemistwarehouse.com.au/buy/80213/Revlon-Eyes-Cheeks-and-Lips-Palette-Romantic-Nudes"," Revlon Eyes Cheeks and Lips Palette Romantic Nudes")</f>
        <v xml:space="preserve"> Revlon Eyes Cheeks and Lips Palette Romantic Nudes</v>
      </c>
      <c r="C2597" t="s">
        <v>230</v>
      </c>
      <c r="D2597" t="s">
        <v>336</v>
      </c>
    </row>
    <row r="2598" spans="1:4" x14ac:dyDescent="0.25">
      <c r="B2598" t="str">
        <f>HYPERLINK("https://www.chemistwarehouse.com.au/buy/80214/Revlon-Eyes-Cheeks-and-Lips-Palette-Seductive-Smokies"," Revlon Eyes Cheeks and Lips Palette Seductive Smokies")</f>
        <v xml:space="preserve"> Revlon Eyes Cheeks and Lips Palette Seductive Smokies</v>
      </c>
      <c r="C2598" t="s">
        <v>230</v>
      </c>
      <c r="D2598" t="s">
        <v>336</v>
      </c>
    </row>
    <row r="2599" spans="1:4" x14ac:dyDescent="0.25">
      <c r="A2599" t="s">
        <v>933</v>
      </c>
    </row>
    <row r="2600" spans="1:4" x14ac:dyDescent="0.25">
      <c r="B2600" t="str">
        <f>HYPERLINK("https://www.chemistwarehouse.com.au/buy/74203/Revlon-Beauty-Tools-Designer-Collection-Slanted-Tweezers"," Revlon Beauty Tools Designer Collection Slanted Tweezers")</f>
        <v xml:space="preserve"> Revlon Beauty Tools Designer Collection Slanted Tweezers</v>
      </c>
      <c r="C2600" t="s">
        <v>98</v>
      </c>
      <c r="D2600" t="s">
        <v>150</v>
      </c>
    </row>
    <row r="2601" spans="1:4" x14ac:dyDescent="0.25">
      <c r="B2601" t="str">
        <f>HYPERLINK("https://www.chemistwarehouse.com.au/buy/77945/Revlon-Gold-Series-Tweezer-Spotlight"," Revlon Gold Series Tweezer Spotlight")</f>
        <v xml:space="preserve"> Revlon Gold Series Tweezer Spotlight</v>
      </c>
      <c r="C2601" t="s">
        <v>393</v>
      </c>
      <c r="D2601">
        <v>0</v>
      </c>
    </row>
    <row r="2602" spans="1:4" x14ac:dyDescent="0.25">
      <c r="B2602" t="str">
        <f>HYPERLINK("https://www.chemistwarehouse.com.au/buy/74226/Revlon-Beauty-Tools-Nail-Clipper"," Revlon Beauty Tools Nail Clipper")</f>
        <v xml:space="preserve"> Revlon Beauty Tools Nail Clipper</v>
      </c>
      <c r="C2602" t="s">
        <v>375</v>
      </c>
      <c r="D2602" t="s">
        <v>325</v>
      </c>
    </row>
    <row r="2603" spans="1:4" x14ac:dyDescent="0.25">
      <c r="B2603" t="str">
        <f>HYPERLINK("https://www.chemistwarehouse.com.au/buy/74231/Revlon-Beauty-Tools-Sensation-Foot-File"," Revlon Beauty Tools Sensation Foot File")</f>
        <v xml:space="preserve"> Revlon Beauty Tools Sensation Foot File</v>
      </c>
      <c r="C2603" t="s">
        <v>242</v>
      </c>
      <c r="D2603" t="s">
        <v>400</v>
      </c>
    </row>
    <row r="2604" spans="1:4" x14ac:dyDescent="0.25">
      <c r="B2604" t="str">
        <f>HYPERLINK("https://www.chemistwarehouse.com.au/buy/74232/Revlon-Beauty-Tools-ShapeNBuff"," Revlon Beauty Tools ShapeNBuff")</f>
        <v xml:space="preserve"> Revlon Beauty Tools ShapeNBuff</v>
      </c>
      <c r="C2604" t="s">
        <v>32</v>
      </c>
      <c r="D2604" t="s">
        <v>150</v>
      </c>
    </row>
    <row r="2605" spans="1:4" x14ac:dyDescent="0.25">
      <c r="B2605" t="str">
        <f>HYPERLINK("https://www.chemistwarehouse.com.au/buy/74233/Revlon-Beauty-Tools-Slant-Tip-Perf-Tweezer"," Revlon Beauty Tools Slant Tip Perf Tweezer")</f>
        <v xml:space="preserve"> Revlon Beauty Tools Slant Tip Perf Tweezer</v>
      </c>
      <c r="C2605" t="s">
        <v>32</v>
      </c>
      <c r="D2605" t="s">
        <v>150</v>
      </c>
    </row>
    <row r="2606" spans="1:4" x14ac:dyDescent="0.25">
      <c r="B2606" t="str">
        <f>HYPERLINK("https://www.chemistwarehouse.com.au/buy/74236/Revlon-Beauty-Tools-Style-Files"," Revlon Beauty Tools Style Files")</f>
        <v xml:space="preserve"> Revlon Beauty Tools Style Files</v>
      </c>
      <c r="C2606" t="s">
        <v>399</v>
      </c>
      <c r="D2606" t="s">
        <v>327</v>
      </c>
    </row>
    <row r="2607" spans="1:4" x14ac:dyDescent="0.25">
      <c r="B2607" t="str">
        <f>HYPERLINK("https://www.chemistwarehouse.com.au/buy/74237/Revlon-Beauty-Tools-Toenail-Clip"," Revlon Beauty Tools Toenail Clip")</f>
        <v xml:space="preserve"> Revlon Beauty Tools Toenail Clip</v>
      </c>
      <c r="C2607" t="s">
        <v>554</v>
      </c>
      <c r="D2607" t="s">
        <v>325</v>
      </c>
    </row>
    <row r="2608" spans="1:4" x14ac:dyDescent="0.25">
      <c r="B2608" t="str">
        <f>HYPERLINK("https://www.chemistwarehouse.com.au/buy/74240/Revlon-Beauty-Tools-Tweezers-Slant-Tip"," Revlon Beauty Tools Tweezers Slant Tip")</f>
        <v xml:space="preserve"> Revlon Beauty Tools Tweezers Slant Tip</v>
      </c>
      <c r="C2608" t="s">
        <v>240</v>
      </c>
      <c r="D2608" t="s">
        <v>400</v>
      </c>
    </row>
    <row r="2609" spans="1:4" x14ac:dyDescent="0.25">
      <c r="B2609" t="str">
        <f>HYPERLINK("https://www.chemistwarehouse.com.au/buy/74241/Revlon-Beauty-Tools-Twin-Tweezer-Pack-Caiman"," Revlon Beauty Tools Twin Tweezer Pack Caiman")</f>
        <v xml:space="preserve"> Revlon Beauty Tools Twin Tweezer Pack Caiman</v>
      </c>
      <c r="C2609" t="s">
        <v>240</v>
      </c>
      <c r="D2609" t="s">
        <v>400</v>
      </c>
    </row>
    <row r="2610" spans="1:4" x14ac:dyDescent="0.25">
      <c r="B2610" t="str">
        <f>HYPERLINK("https://www.chemistwarehouse.com.au/buy/74243/Revlon-Beauty-Tools-Ultimate-Tweezer-Slant-Tip"," Revlon Beauty Tools Ultimate Tweezer Slant Tip")</f>
        <v xml:space="preserve"> Revlon Beauty Tools Ultimate Tweezer Slant Tip</v>
      </c>
      <c r="C2610" t="s">
        <v>212</v>
      </c>
      <c r="D2610" t="s">
        <v>799</v>
      </c>
    </row>
    <row r="2611" spans="1:4" x14ac:dyDescent="0.25">
      <c r="B2611" t="str">
        <f>HYPERLINK("https://www.chemistwarehouse.com.au/buy/74632/Revlon-Beauty-Tools-Blackhead-Remover"," Revlon Beauty Tools Blackhead Remover")</f>
        <v xml:space="preserve"> Revlon Beauty Tools Blackhead Remover</v>
      </c>
      <c r="C2611" t="s">
        <v>554</v>
      </c>
      <c r="D2611" t="s">
        <v>325</v>
      </c>
    </row>
    <row r="2612" spans="1:4" x14ac:dyDescent="0.25">
      <c r="B2612" t="str">
        <f>HYPERLINK("https://www.chemistwarehouse.com.au/buy/74633/Revlon-Beauty-Tools-Marchesa-Mini-Tweezer-Set"," Revlon Beauty Tools Marchesa Mini Tweezer Set")</f>
        <v xml:space="preserve"> Revlon Beauty Tools Marchesa Mini Tweezer Set</v>
      </c>
      <c r="C2612" t="s">
        <v>45</v>
      </c>
      <c r="D2612" t="s">
        <v>150</v>
      </c>
    </row>
    <row r="2613" spans="1:4" x14ac:dyDescent="0.25">
      <c r="B2613" t="str">
        <f>HYPERLINK("https://www.chemistwarehouse.com.au/buy/74635/Revlon-Beauty-Tools-Marchesa-Travel-Mirror-Compact"," Revlon Beauty Tools Marchesa Travel Mirror Compact")</f>
        <v xml:space="preserve"> Revlon Beauty Tools Marchesa Travel Mirror Compact</v>
      </c>
      <c r="C2613" t="s">
        <v>240</v>
      </c>
      <c r="D2613" t="s">
        <v>400</v>
      </c>
    </row>
    <row r="2614" spans="1:4" x14ac:dyDescent="0.25">
      <c r="B2614" t="str">
        <f>HYPERLINK("https://www.chemistwarehouse.com.au/buy/74636/Revlon-Beauty-Tools-Marchsesa-Manicure-Kit"," Revlon Beauty Tools Marchsesa Manicure Kit")</f>
        <v xml:space="preserve"> Revlon Beauty Tools Marchsesa Manicure Kit</v>
      </c>
      <c r="C2614" t="s">
        <v>407</v>
      </c>
      <c r="D2614" t="s">
        <v>376</v>
      </c>
    </row>
    <row r="2615" spans="1:4" x14ac:dyDescent="0.25">
      <c r="B2615" t="str">
        <f>HYPERLINK("https://www.chemistwarehouse.com.au/buy/74690/Revlon-Colourstay-Make-Up-Remover"," Revlon Colourstay Make Up Remover")</f>
        <v xml:space="preserve"> Revlon Colourstay Make Up Remover</v>
      </c>
      <c r="C2615" t="s">
        <v>407</v>
      </c>
      <c r="D2615" t="s">
        <v>376</v>
      </c>
    </row>
    <row r="2616" spans="1:4" x14ac:dyDescent="0.25">
      <c r="B2616" t="str">
        <f>HYPERLINK("https://www.chemistwarehouse.com.au/buy/74692/Revlon-Limited-Edition-Brush-Set"," Revlon Limited Edition Brush Set")</f>
        <v xml:space="preserve"> Revlon Limited Edition Brush Set</v>
      </c>
      <c r="C2616" t="s">
        <v>491</v>
      </c>
      <c r="D2616" t="s">
        <v>356</v>
      </c>
    </row>
    <row r="2617" spans="1:4" x14ac:dyDescent="0.25">
      <c r="B2617" t="str">
        <f>HYPERLINK("https://www.chemistwarehouse.com.au/buy/77485/Revlon-Gold-Series-Create-A-Shape-2in1-Clip"," Revlon Gold Series Create-A-Shape 2in1 Clip")</f>
        <v xml:space="preserve"> Revlon Gold Series Create-A-Shape 2in1 Clip</v>
      </c>
      <c r="C2617" t="s">
        <v>417</v>
      </c>
      <c r="D2617">
        <v>0</v>
      </c>
    </row>
    <row r="2618" spans="1:4" x14ac:dyDescent="0.25">
      <c r="B2618" t="str">
        <f>HYPERLINK("https://www.chemistwarehouse.com.au/buy/77934/Revlon-Beauty-Tools-Marchesa-Cuticle-Nipper"," Revlon Beauty Tools Marchesa Cuticle Nipper")</f>
        <v xml:space="preserve"> Revlon Beauty Tools Marchesa Cuticle Nipper</v>
      </c>
      <c r="C2618" t="s">
        <v>393</v>
      </c>
      <c r="D2618">
        <v>0</v>
      </c>
    </row>
    <row r="2619" spans="1:4" x14ac:dyDescent="0.25">
      <c r="B2619" t="str">
        <f>HYPERLINK("https://www.chemistwarehouse.com.au/buy/77935/Revlon-Beauty-Tools-Marchesa-File-N-Peel"," Revlon Beauty Tools Marchesa File N Peel")</f>
        <v xml:space="preserve"> Revlon Beauty Tools Marchesa File N Peel</v>
      </c>
      <c r="C2619" t="s">
        <v>554</v>
      </c>
      <c r="D2619" t="s">
        <v>325</v>
      </c>
    </row>
    <row r="2620" spans="1:4" x14ac:dyDescent="0.25">
      <c r="B2620" t="str">
        <f>HYPERLINK("https://www.chemistwarehouse.com.au/buy/77937/Revlon-Core-Nail-Bohemian"," Revlon Core Nail Bohemian")</f>
        <v xml:space="preserve"> Revlon Core Nail Bohemian</v>
      </c>
      <c r="C2620" t="s">
        <v>162</v>
      </c>
      <c r="D2620" t="s">
        <v>899</v>
      </c>
    </row>
    <row r="2621" spans="1:4" x14ac:dyDescent="0.25">
      <c r="B2621" t="str">
        <f>HYPERLINK("https://www.chemistwarehouse.com.au/buy/77939/Revlon-Gold-Series-1-4-Control-Grip-Nipper"," Revlon Gold Series 1/4 Control Grip Nipper")</f>
        <v xml:space="preserve"> Revlon Gold Series 1/4 Control Grip Nipper</v>
      </c>
      <c r="C2621" t="s">
        <v>934</v>
      </c>
      <c r="D2621">
        <v>0</v>
      </c>
    </row>
    <row r="2622" spans="1:4" x14ac:dyDescent="0.25">
      <c r="B2622" t="str">
        <f>HYPERLINK("https://www.chemistwarehouse.com.au/buy/77940/Revlon-Gold-Series-Durable-Nail-File"," Revlon Gold Series Durable Nail File")</f>
        <v xml:space="preserve"> Revlon Gold Series Durable Nail File</v>
      </c>
      <c r="C2622" t="s">
        <v>46</v>
      </c>
      <c r="D2622">
        <v>0</v>
      </c>
    </row>
    <row r="2623" spans="1:4" x14ac:dyDescent="0.25">
      <c r="B2623" t="str">
        <f>HYPERLINK("https://www.chemistwarehouse.com.au/buy/77941/Revlon-Gold-Series-Panoramic-Lash-Curler"," Revlon Gold Series Panoramic Lash Curler")</f>
        <v xml:space="preserve"> Revlon Gold Series Panoramic Lash Curler</v>
      </c>
      <c r="C2623" t="s">
        <v>912</v>
      </c>
      <c r="D2623">
        <v>0</v>
      </c>
    </row>
    <row r="2624" spans="1:4" x14ac:dyDescent="0.25">
      <c r="A2624" t="s">
        <v>935</v>
      </c>
    </row>
    <row r="2625" spans="2:4" x14ac:dyDescent="0.25">
      <c r="B2625" t="str">
        <f>HYPERLINK("https://www.chemistwarehouse.com.au/buy/73092/Revlon-Glow-Powder-Blush-Oh-Baby-Pink"," Revlon Glow Powder Blush Oh Baby Pink")</f>
        <v xml:space="preserve"> Revlon Glow Powder Blush Oh Baby Pink</v>
      </c>
      <c r="C2625" t="s">
        <v>448</v>
      </c>
      <c r="D2625" t="s">
        <v>406</v>
      </c>
    </row>
    <row r="2626" spans="2:4" x14ac:dyDescent="0.25">
      <c r="B2626" t="str">
        <f>HYPERLINK("https://www.chemistwarehouse.com.au/buy/73075/Revlon-Blush-Highlight-Pallett-Bronz-Glow"," Revlon Blush Highlight Pallett Bronz Glow")</f>
        <v xml:space="preserve"> Revlon Blush Highlight Pallett Bronz Glow</v>
      </c>
      <c r="C2626" t="s">
        <v>448</v>
      </c>
      <c r="D2626" t="s">
        <v>406</v>
      </c>
    </row>
    <row r="2627" spans="2:4" x14ac:dyDescent="0.25">
      <c r="B2627" t="str">
        <f>HYPERLINK("https://www.chemistwarehouse.com.au/buy/73077/Revlon-Blush-Highlight-Pallett-Rose-Glow"," Revlon Blush Highlight Pallett Rose Glow")</f>
        <v xml:space="preserve"> Revlon Blush Highlight Pallett Rose Glow</v>
      </c>
      <c r="C2627" t="s">
        <v>448</v>
      </c>
      <c r="D2627" t="s">
        <v>406</v>
      </c>
    </row>
    <row r="2628" spans="2:4" x14ac:dyDescent="0.25">
      <c r="B2628" t="str">
        <f>HYPERLINK("https://www.chemistwarehouse.com.au/buy/73091/Revlon-Glow-Powder-Blush-Naughty-Nude"," Revlon Glow Powder Blush Naughty Nude")</f>
        <v xml:space="preserve"> Revlon Glow Powder Blush Naughty Nude</v>
      </c>
      <c r="C2628" t="s">
        <v>448</v>
      </c>
      <c r="D2628" t="s">
        <v>406</v>
      </c>
    </row>
    <row r="2629" spans="2:4" x14ac:dyDescent="0.25">
      <c r="B2629" t="str">
        <f>HYPERLINK("https://www.chemistwarehouse.com.au/buy/77764/Revlon-Blush-Highlighting-Palette-Peach-Radiance"," Revlon Blush Highlighting Palette Peach Radiance")</f>
        <v xml:space="preserve"> Revlon Blush Highlighting Palette Peach Radiance</v>
      </c>
      <c r="C2629" t="s">
        <v>448</v>
      </c>
      <c r="D2629" t="s">
        <v>406</v>
      </c>
    </row>
    <row r="2630" spans="2:4" x14ac:dyDescent="0.25">
      <c r="B2630" t="str">
        <f>HYPERLINK("https://www.chemistwarehouse.com.au/buy/79633/Rimmel-Clear-Complexion-Powder-Transparent"," Rimmel Clear Complexion Powder Transparent")</f>
        <v xml:space="preserve"> Rimmel Clear Complexion Powder Transparent</v>
      </c>
      <c r="C2630" t="s">
        <v>98</v>
      </c>
      <c r="D2630" t="s">
        <v>150</v>
      </c>
    </row>
    <row r="2631" spans="2:4" x14ac:dyDescent="0.25">
      <c r="B2631" t="str">
        <f>HYPERLINK("https://www.chemistwarehouse.com.au/buy/81145/Revlon-All-Over-Powder-Brush"," Revlon All Over Powder Brush")</f>
        <v xml:space="preserve"> Revlon All Over Powder Brush</v>
      </c>
      <c r="C2631" t="s">
        <v>292</v>
      </c>
      <c r="D2631" t="s">
        <v>329</v>
      </c>
    </row>
    <row r="2632" spans="2:4" x14ac:dyDescent="0.25">
      <c r="B2632" t="str">
        <f>HYPERLINK("https://www.chemistwarehouse.com.au/buy/81146/Revlon-All-Over-Shadow-Brush"," Revlon All Over Shadow Brush")</f>
        <v xml:space="preserve"> Revlon All Over Shadow Brush</v>
      </c>
      <c r="C2632" t="s">
        <v>32</v>
      </c>
      <c r="D2632" t="s">
        <v>150</v>
      </c>
    </row>
    <row r="2633" spans="2:4" x14ac:dyDescent="0.25">
      <c r="B2633" t="str">
        <f>HYPERLINK("https://www.chemistwarehouse.com.au/buy/81147/Revlon-Blush-Brush"," Revlon Blush Brush")</f>
        <v xml:space="preserve"> Revlon Blush Brush</v>
      </c>
      <c r="C2633" t="s">
        <v>292</v>
      </c>
      <c r="D2633" t="s">
        <v>329</v>
      </c>
    </row>
    <row r="2634" spans="2:4" x14ac:dyDescent="0.25">
      <c r="B2634" t="str">
        <f>HYPERLINK("https://www.chemistwarehouse.com.au/buy/81149/Revlon-Blush-Cream-Smitten"," Revlon Blush Cream Smitten")</f>
        <v xml:space="preserve"> Revlon Blush Cream Smitten</v>
      </c>
      <c r="C2634" t="s">
        <v>164</v>
      </c>
      <c r="D2634" t="s">
        <v>911</v>
      </c>
    </row>
    <row r="2635" spans="2:4" x14ac:dyDescent="0.25">
      <c r="B2635" t="str">
        <f>HYPERLINK("https://www.chemistwarehouse.com.au/buy/81180/Revlon-Powder-Blush-Tickled-Pink"," Revlon Powder Blush Tickled Pink")</f>
        <v xml:space="preserve"> Revlon Powder Blush Tickled Pink</v>
      </c>
      <c r="C2635" t="s">
        <v>448</v>
      </c>
      <c r="D2635" t="s">
        <v>406</v>
      </c>
    </row>
    <row r="2636" spans="2:4" x14ac:dyDescent="0.25">
      <c r="B2636" t="str">
        <f>HYPERLINK("https://www.chemistwarehouse.com.au/buy/82886/Revlon-Powder-Blush-Bare-It-All"," Revlon Powder Blush Bare It All")</f>
        <v xml:space="preserve"> Revlon Powder Blush Bare It All</v>
      </c>
      <c r="C2636" t="s">
        <v>448</v>
      </c>
      <c r="D2636" t="s">
        <v>406</v>
      </c>
    </row>
    <row r="2637" spans="2:4" x14ac:dyDescent="0.25">
      <c r="B2637" t="str">
        <f>HYPERLINK("https://www.chemistwarehouse.com.au/buy/82887/Revlon-Powder-Blush-Orchid-Charm"," Revlon Powder Blush Orchid Charm")</f>
        <v xml:space="preserve"> Revlon Powder Blush Orchid Charm</v>
      </c>
      <c r="C2637" t="s">
        <v>448</v>
      </c>
      <c r="D2637" t="s">
        <v>406</v>
      </c>
    </row>
    <row r="2638" spans="2:4" x14ac:dyDescent="0.25">
      <c r="B2638" t="str">
        <f>HYPERLINK("https://www.chemistwarehouse.com.au/buy/73089/Revlon-Glow-Powder-Blush-Mauvelous"," Revlon Glow Powder Blush Mauvelous")</f>
        <v xml:space="preserve"> Revlon Glow Powder Blush Mauvelous</v>
      </c>
      <c r="C2638" t="s">
        <v>164</v>
      </c>
      <c r="D2638" t="s">
        <v>911</v>
      </c>
    </row>
    <row r="2639" spans="2:4" x14ac:dyDescent="0.25">
      <c r="B2639" t="str">
        <f>HYPERLINK("https://www.chemistwarehouse.com.au/buy/73094/Revlon-Glow-Powder-Blush-Wine-Not"," Revlon Glow Powder Blush Wine Not")</f>
        <v xml:space="preserve"> Revlon Glow Powder Blush Wine Not</v>
      </c>
      <c r="C2639" t="s">
        <v>164</v>
      </c>
      <c r="D2639" t="s">
        <v>911</v>
      </c>
    </row>
    <row r="2640" spans="2:4" x14ac:dyDescent="0.25">
      <c r="B2640" t="str">
        <f>HYPERLINK("https://www.chemistwarehouse.com.au/buy/77763/Revlon-Blush-Highlight-Pallet-Desert-Bronze"," Revlon Blush Highlight Pallet Desert Bronze")</f>
        <v xml:space="preserve"> Revlon Blush Highlight Pallet Desert Bronze</v>
      </c>
      <c r="C2640" t="s">
        <v>448</v>
      </c>
      <c r="D2640" t="s">
        <v>406</v>
      </c>
    </row>
    <row r="2641" spans="1:4" x14ac:dyDescent="0.25">
      <c r="A2641" t="s">
        <v>936</v>
      </c>
    </row>
    <row r="2642" spans="1:4" x14ac:dyDescent="0.25">
      <c r="B2642" t="str">
        <f>HYPERLINK("https://www.chemistwarehouse.com.au/buy/76390/Revlon-Ultra-High-Definition-Lip-Lacquer-Amber"," Revlon Ultra High Definition Lip Lacquer Amber")</f>
        <v xml:space="preserve"> Revlon Ultra High Definition Lip Lacquer Amber</v>
      </c>
      <c r="C2642" t="s">
        <v>1</v>
      </c>
      <c r="D2642" t="s">
        <v>145</v>
      </c>
    </row>
    <row r="2643" spans="1:4" x14ac:dyDescent="0.25">
      <c r="B2643" t="str">
        <f>HYPERLINK("https://www.chemistwarehouse.com.au/buy/76391/Revlon-Ultra-High-Definition-Lip-Lacquer-Carnelian"," Revlon Ultra High Definition Lip Lacquer Carnelian")</f>
        <v xml:space="preserve"> Revlon Ultra High Definition Lip Lacquer Carnelian</v>
      </c>
      <c r="C2643" t="s">
        <v>173</v>
      </c>
      <c r="D2643" t="s">
        <v>145</v>
      </c>
    </row>
    <row r="2644" spans="1:4" x14ac:dyDescent="0.25">
      <c r="B2644" t="str">
        <f>HYPERLINK("https://www.chemistwarehouse.com.au/buy/76392/Revlon-Ultra-High-Definition-Lip-Lacquer-Citrine"," Revlon Ultra High Definition Lip Lacquer Citrine")</f>
        <v xml:space="preserve"> Revlon Ultra High Definition Lip Lacquer Citrine</v>
      </c>
      <c r="C2644" t="s">
        <v>217</v>
      </c>
      <c r="D2644" t="s">
        <v>191</v>
      </c>
    </row>
    <row r="2645" spans="1:4" x14ac:dyDescent="0.25">
      <c r="B2645" t="str">
        <f>HYPERLINK("https://www.chemistwarehouse.com.au/buy/76393/Revlon-Ultra-High-Definition-Lip-Lacquer-Fire-Opal"," Revlon Ultra High Definition Lip Lacquer Fire Opal")</f>
        <v xml:space="preserve"> Revlon Ultra High Definition Lip Lacquer Fire Opal</v>
      </c>
      <c r="C2645" t="s">
        <v>173</v>
      </c>
      <c r="D2645" t="s">
        <v>145</v>
      </c>
    </row>
    <row r="2646" spans="1:4" x14ac:dyDescent="0.25">
      <c r="B2646" t="str">
        <f>HYPERLINK("https://www.chemistwarehouse.com.au/buy/76394/Revlon-Ultra-High-Definition-Lip-Lacquer-Garnet"," Revlon Ultra High Definition Lip Lacquer Garnet")</f>
        <v xml:space="preserve"> Revlon Ultra High Definition Lip Lacquer Garnet</v>
      </c>
      <c r="C2646" t="s">
        <v>173</v>
      </c>
      <c r="D2646" t="s">
        <v>145</v>
      </c>
    </row>
    <row r="2647" spans="1:4" x14ac:dyDescent="0.25">
      <c r="B2647" t="str">
        <f>HYPERLINK("https://www.chemistwarehouse.com.au/buy/76395/Revlon-Ultra-High-Definition-Lip-Lacquer-Petalite"," Revlon Ultra High Definition Lip Lacquer Petalite")</f>
        <v xml:space="preserve"> Revlon Ultra High Definition Lip Lacquer Petalite</v>
      </c>
      <c r="C2647" t="s">
        <v>173</v>
      </c>
      <c r="D2647" t="s">
        <v>145</v>
      </c>
    </row>
    <row r="2648" spans="1:4" x14ac:dyDescent="0.25">
      <c r="B2648" t="str">
        <f>HYPERLINK("https://www.chemistwarehouse.com.au/buy/76396/Revlon-Ultra-High-Definition-Lip-Lacquer-Pink-Diamond"," Revlon Ultra High Definition Lip Lacquer Pink Diamond")</f>
        <v xml:space="preserve"> Revlon Ultra High Definition Lip Lacquer Pink Diamond</v>
      </c>
      <c r="C2648" t="s">
        <v>173</v>
      </c>
      <c r="D2648" t="s">
        <v>145</v>
      </c>
    </row>
    <row r="2649" spans="1:4" x14ac:dyDescent="0.25">
      <c r="B2649" t="str">
        <f>HYPERLINK("https://www.chemistwarehouse.com.au/buy/76397/Revlon-Ultra-High-Definition-Lip-Lacquer-Pink-Ruby"," Revlon Ultra High Definition Lip Lacquer Pink Ruby")</f>
        <v xml:space="preserve"> Revlon Ultra High Definition Lip Lacquer Pink Ruby</v>
      </c>
      <c r="C2649" t="s">
        <v>173</v>
      </c>
      <c r="D2649" t="s">
        <v>145</v>
      </c>
    </row>
    <row r="2650" spans="1:4" x14ac:dyDescent="0.25">
      <c r="B2650" t="str">
        <f>HYPERLINK("https://www.chemistwarehouse.com.au/buy/76398/Revlon-Ultra-High-Definition-Lip-Lacquer-Pink-Sapphire"," Revlon Ultra High Definition Lip Lacquer Pink Sapphire")</f>
        <v xml:space="preserve"> Revlon Ultra High Definition Lip Lacquer Pink Sapphire</v>
      </c>
      <c r="C2650" t="s">
        <v>173</v>
      </c>
      <c r="D2650" t="s">
        <v>145</v>
      </c>
    </row>
    <row r="2651" spans="1:4" x14ac:dyDescent="0.25">
      <c r="B2651" t="str">
        <f>HYPERLINK("https://www.chemistwarehouse.com.au/buy/76399/Revlon-Ultra-High-Definition-Lip-Lacquer-Rose-Quartz"," Revlon Ultra High Definition Lip Lacquer Rose Quartz")</f>
        <v xml:space="preserve"> Revlon Ultra High Definition Lip Lacquer Rose Quartz</v>
      </c>
      <c r="C2651" t="s">
        <v>173</v>
      </c>
      <c r="D2651" t="s">
        <v>145</v>
      </c>
    </row>
    <row r="2652" spans="1:4" x14ac:dyDescent="0.25">
      <c r="B2652" t="str">
        <f>HYPERLINK("https://www.chemistwarehouse.com.au/buy/76400/Revlon-Ultra-High-Definition-Lip-Lacquer-Smoky-Quartz"," Revlon Ultra High Definition Lip Lacquer Smoky Quartz")</f>
        <v xml:space="preserve"> Revlon Ultra High Definition Lip Lacquer Smoky Quartz</v>
      </c>
      <c r="C2652" t="s">
        <v>173</v>
      </c>
      <c r="D2652" t="s">
        <v>145</v>
      </c>
    </row>
    <row r="2653" spans="1:4" x14ac:dyDescent="0.25">
      <c r="B2653" t="str">
        <f>HYPERLINK("https://www.chemistwarehouse.com.au/buy/76401/Revlon-Ultra-High-Definition-Lip-Lacquer-Smoky-Topaz"," Revlon Ultra High Definition Lip Lacquer Smoky Topaz")</f>
        <v xml:space="preserve"> Revlon Ultra High Definition Lip Lacquer Smoky Topaz</v>
      </c>
      <c r="C2653" t="s">
        <v>173</v>
      </c>
      <c r="D2653" t="s">
        <v>145</v>
      </c>
    </row>
    <row r="2654" spans="1:4" x14ac:dyDescent="0.25">
      <c r="B2654" t="str">
        <f>HYPERLINK("https://www.chemistwarehouse.com.au/buy/76402/Revlon-Ultra-High-Definition-Lip-Lacquer-Strawberry-Topaz"," Revlon Ultra High Definition Lip Lacquer Strawberry Topaz")</f>
        <v xml:space="preserve"> Revlon Ultra High Definition Lip Lacquer Strawberry Topaz</v>
      </c>
      <c r="C2654" t="s">
        <v>173</v>
      </c>
      <c r="D2654" t="s">
        <v>145</v>
      </c>
    </row>
    <row r="2655" spans="1:4" x14ac:dyDescent="0.25">
      <c r="B2655" t="str">
        <f>HYPERLINK("https://www.chemistwarehouse.com.au/buy/76403/Revlon-Ultra-High-Definition-Lip-Lacquer-Sunstone"," Revlon Ultra High Definition Lip Lacquer Sunstone")</f>
        <v xml:space="preserve"> Revlon Ultra High Definition Lip Lacquer Sunstone</v>
      </c>
      <c r="C2655" t="s">
        <v>173</v>
      </c>
      <c r="D2655" t="s">
        <v>145</v>
      </c>
    </row>
    <row r="2656" spans="1:4" x14ac:dyDescent="0.25">
      <c r="B2656" t="str">
        <f>HYPERLINK("https://www.chemistwarehouse.com.au/buy/76404/Revlon-Ultra-High-Definition-Lip-Lacquer-Tourmaline"," Revlon Ultra High Definition Lip Lacquer Tourmaline")</f>
        <v xml:space="preserve"> Revlon Ultra High Definition Lip Lacquer Tourmaline</v>
      </c>
      <c r="C2656" t="s">
        <v>173</v>
      </c>
      <c r="D2656" t="s">
        <v>145</v>
      </c>
    </row>
    <row r="2657" spans="1:4" x14ac:dyDescent="0.25">
      <c r="B2657" t="str">
        <f>HYPERLINK("https://www.chemistwarehouse.com.au/buy/79326/Revlon-Ultra-High-Definition-Lip-Lacquer-Sandstone"," Revlon Ultra High Definition Lip Lacquer Sandstone")</f>
        <v xml:space="preserve"> Revlon Ultra High Definition Lip Lacquer Sandstone</v>
      </c>
      <c r="C2657" t="s">
        <v>173</v>
      </c>
      <c r="D2657" t="s">
        <v>145</v>
      </c>
    </row>
    <row r="2658" spans="1:4" x14ac:dyDescent="0.25">
      <c r="B2658" t="str">
        <f>HYPERLINK("https://www.chemistwarehouse.com.au/buy/79324/Revlon-Ultra-High-Definition-Lip-Lacquer-Pink-Amethyst"," Revlon Ultra High Definition Lip Lacquer Pink Amethyst")</f>
        <v xml:space="preserve"> Revlon Ultra High Definition Lip Lacquer Pink Amethyst</v>
      </c>
      <c r="C2658" t="s">
        <v>173</v>
      </c>
      <c r="D2658" t="s">
        <v>145</v>
      </c>
    </row>
    <row r="2659" spans="1:4" x14ac:dyDescent="0.25">
      <c r="A2659" t="s">
        <v>937</v>
      </c>
    </row>
    <row r="2660" spans="1:4" x14ac:dyDescent="0.25">
      <c r="B2660" t="str">
        <f>HYPERLINK("https://www.chemistwarehouse.com.au/buy/77235/Revlon-Xmas-Colorstay-Nail-Set-Red-Shimmer"," Revlon Xmas Colorstay Nail Set Red Shimmer")</f>
        <v xml:space="preserve"> Revlon Xmas Colorstay Nail Set Red Shimmer</v>
      </c>
      <c r="C2660" t="s">
        <v>228</v>
      </c>
      <c r="D2660" t="s">
        <v>329</v>
      </c>
    </row>
    <row r="2661" spans="1:4" x14ac:dyDescent="0.25">
      <c r="B2661" t="str">
        <f>HYPERLINK("https://www.chemistwarehouse.com.au/buy/81489/Revlon-Contour-Kit-Light-Medium"," Revlon Contour Kit Light/Medium")</f>
        <v xml:space="preserve"> Revlon Contour Kit Light/Medium</v>
      </c>
      <c r="C2661" t="s">
        <v>407</v>
      </c>
      <c r="D2661" t="s">
        <v>376</v>
      </c>
    </row>
    <row r="2662" spans="1:4" x14ac:dyDescent="0.25">
      <c r="B2662" t="str">
        <f>HYPERLINK("https://www.chemistwarehouse.com.au/buy/81490/Revlon-Contour-Kit-Medium-Dark"," Revlon Contour Kit Medium/Dark")</f>
        <v xml:space="preserve"> Revlon Contour Kit Medium/Dark</v>
      </c>
      <c r="C2662" t="s">
        <v>407</v>
      </c>
      <c r="D2662" t="s">
        <v>376</v>
      </c>
    </row>
    <row r="2663" spans="1:4" x14ac:dyDescent="0.25">
      <c r="B2663" t="str">
        <f>HYPERLINK("https://www.chemistwarehouse.com.au/buy/77237/Revlon-Xmas-Lip-Nail-Set"," Revlon Xmas Lip + Nail Set")</f>
        <v xml:space="preserve"> Revlon Xmas Lip + Nail Set</v>
      </c>
      <c r="C2663" t="s">
        <v>407</v>
      </c>
      <c r="D2663" t="s">
        <v>408</v>
      </c>
    </row>
    <row r="2664" spans="1:4" x14ac:dyDescent="0.25">
      <c r="B2664" t="str">
        <f>HYPERLINK("https://www.chemistwarehouse.com.au/buy/77238/Revlon-Xmas-Ultimate-Suede-Favourites-Set"," Revlon Xmas Ultimate Suede Favourites Set")</f>
        <v xml:space="preserve"> Revlon Xmas Ultimate Suede Favourites Set</v>
      </c>
      <c r="C2664" t="s">
        <v>864</v>
      </c>
      <c r="D2664" t="s">
        <v>821</v>
      </c>
    </row>
    <row r="2665" spans="1:4" x14ac:dyDescent="0.25">
      <c r="B2665" t="str">
        <f>HYPERLINK("https://www.chemistwarehouse.com.au/buy/81675/Revlon-Eye-Love-Kit-Xmas-16"," Revlon Eye Love Kit Xmas 16")</f>
        <v xml:space="preserve"> Revlon Eye Love Kit Xmas 16</v>
      </c>
      <c r="C2665" t="s">
        <v>173</v>
      </c>
      <c r="D2665" t="s">
        <v>145</v>
      </c>
    </row>
    <row r="2666" spans="1:4" x14ac:dyDescent="0.25">
      <c r="B2666" t="str">
        <f>HYPERLINK("https://www.chemistwarehouse.com.au/buy/81676/Revlon-Eye-Love-You-Kit-Xmas-16"," Revlon Eye Love You Kit Xmas 16")</f>
        <v xml:space="preserve"> Revlon Eye Love You Kit Xmas 16</v>
      </c>
      <c r="C2666" t="s">
        <v>173</v>
      </c>
      <c r="D2666" t="s">
        <v>145</v>
      </c>
    </row>
    <row r="2667" spans="1:4" x14ac:dyDescent="0.25">
      <c r="B2667" t="str">
        <f>HYPERLINK("https://www.chemistwarehouse.com.au/buy/81677/Revlon-Lip-Affection-Kit-Xmas-16"," Revlon Lip Affection Kit Xmas 16")</f>
        <v xml:space="preserve"> Revlon Lip Affection Kit Xmas 16</v>
      </c>
      <c r="C2667" t="s">
        <v>173</v>
      </c>
      <c r="D2667" t="s">
        <v>145</v>
      </c>
    </row>
    <row r="2668" spans="1:4" x14ac:dyDescent="0.25">
      <c r="B2668" t="str">
        <f>HYPERLINK("https://www.chemistwarehouse.com.au/buy/81678/Revlon-Midnight-Rouge-Kit-Xmas-16"," Revlon Midnight Rouge Kit Xmas 16")</f>
        <v xml:space="preserve"> Revlon Midnight Rouge Kit Xmas 16</v>
      </c>
      <c r="C2668" t="s">
        <v>407</v>
      </c>
      <c r="D2668" t="s">
        <v>376</v>
      </c>
    </row>
    <row r="2669" spans="1:4" x14ac:dyDescent="0.25">
      <c r="B2669" t="str">
        <f>HYPERLINK("https://www.chemistwarehouse.com.au/buy/77236/Revlon-Xmas-Fashion-Must-Haves-Set"," Revlon Xmas Fashion Must Haves Set")</f>
        <v xml:space="preserve"> Revlon Xmas Fashion Must Haves Set</v>
      </c>
      <c r="C2669" t="s">
        <v>230</v>
      </c>
      <c r="D2669" t="s">
        <v>336</v>
      </c>
    </row>
    <row r="2670" spans="1:4" x14ac:dyDescent="0.25">
      <c r="B2670" t="str">
        <f>HYPERLINK("https://www.chemistwarehouse.com.au/buy/67237/Revlon-Mini-Inspirations-Set"," Revlon Mini Inspirations Set")</f>
        <v xml:space="preserve"> Revlon Mini Inspirations Set</v>
      </c>
      <c r="C2670" t="s">
        <v>1</v>
      </c>
      <c r="D2670" t="s">
        <v>160</v>
      </c>
    </row>
    <row r="2671" spans="1:4" x14ac:dyDescent="0.25">
      <c r="B2671" t="str">
        <f>HYPERLINK("https://www.chemistwarehouse.com.au/buy/77233/Revlon-Xmas-Bronze-Revlon-Classic-Set"," Revlon Xmas Bronze Revlon Classic Set")</f>
        <v xml:space="preserve"> Revlon Xmas Bronze Revlon Classic Set</v>
      </c>
      <c r="C2671" t="s">
        <v>173</v>
      </c>
      <c r="D2671" t="s">
        <v>145</v>
      </c>
    </row>
    <row r="2672" spans="1:4" x14ac:dyDescent="0.25">
      <c r="B2672" t="str">
        <f>HYPERLINK("https://www.chemistwarehouse.com.au/buy/77234/Revlon-Xmas-Colorstay-Nail-Set-Hot-Pink"," Revlon Xmas Colorstay Nail Set Hot Pink")</f>
        <v xml:space="preserve"> Revlon Xmas Colorstay Nail Set Hot Pink</v>
      </c>
      <c r="C2672" t="s">
        <v>228</v>
      </c>
      <c r="D2672" t="s">
        <v>329</v>
      </c>
    </row>
    <row r="2673" spans="1:4" x14ac:dyDescent="0.25">
      <c r="A2673" t="s">
        <v>938</v>
      </c>
    </row>
    <row r="2674" spans="1:4" x14ac:dyDescent="0.25">
      <c r="B2674" t="str">
        <f>HYPERLINK("https://www.chemistwarehouse.com.au/buy/82479/Revlon-Insta-Fix-Blush-Nude-Kiss"," Revlon Insta Fix Blush Nude Kiss")</f>
        <v xml:space="preserve"> Revlon Insta Fix Blush Nude Kiss</v>
      </c>
      <c r="C2674" t="s">
        <v>448</v>
      </c>
      <c r="D2674" t="s">
        <v>406</v>
      </c>
    </row>
    <row r="2675" spans="1:4" x14ac:dyDescent="0.25">
      <c r="B2675" t="str">
        <f>HYPERLINK("https://www.chemistwarehouse.com.au/buy/82480/Revlon-Insta-Fix-Blush-Rose-Gold-Kiss"," Revlon Insta Fix Blush Rose Gold Kiss")</f>
        <v xml:space="preserve"> Revlon Insta Fix Blush Rose Gold Kiss</v>
      </c>
      <c r="C2675" t="s">
        <v>448</v>
      </c>
      <c r="D2675" t="s">
        <v>406</v>
      </c>
    </row>
    <row r="2676" spans="1:4" x14ac:dyDescent="0.25">
      <c r="B2676" t="str">
        <f>HYPERLINK("https://www.chemistwarehouse.com.au/buy/82477/Revlon-Insta-Fix-Blush-Berry-Kiss"," Revlon Insta Fix Blush Berry Kiss")</f>
        <v xml:space="preserve"> Revlon Insta Fix Blush Berry Kiss</v>
      </c>
      <c r="C2676" t="s">
        <v>448</v>
      </c>
      <c r="D2676" t="s">
        <v>406</v>
      </c>
    </row>
    <row r="2677" spans="1:4" x14ac:dyDescent="0.25">
      <c r="B2677" t="str">
        <f>HYPERLINK("https://www.chemistwarehouse.com.au/buy/82478/Revlon-Insta-Fix-Blush-Candy-Kiss"," Revlon Insta Fix Blush Candy Kiss")</f>
        <v xml:space="preserve"> Revlon Insta Fix Blush Candy Kiss</v>
      </c>
      <c r="C2677" t="s">
        <v>448</v>
      </c>
      <c r="D2677" t="s">
        <v>406</v>
      </c>
    </row>
    <row r="2678" spans="1:4" x14ac:dyDescent="0.25">
      <c r="A2678" t="s">
        <v>939</v>
      </c>
    </row>
    <row r="2679" spans="1:4" x14ac:dyDescent="0.25">
      <c r="B2679" t="str">
        <f>HYPERLINK("https://www.chemistwarehouse.com.au/buy/76549/Maybelline-Dr-Rescue-Gel-Effect-Top-Coat"," Maybelline Dr Rescue Gel Effect Top Coat")</f>
        <v xml:space="preserve"> Maybelline Dr Rescue Gel Effect Top Coat</v>
      </c>
      <c r="C2679" t="s">
        <v>375</v>
      </c>
      <c r="D2679" t="s">
        <v>325</v>
      </c>
    </row>
    <row r="2680" spans="1:4" x14ac:dyDescent="0.25">
      <c r="A2680" t="s">
        <v>940</v>
      </c>
    </row>
    <row r="2681" spans="1:4" x14ac:dyDescent="0.25">
      <c r="B2681" t="str">
        <f>HYPERLINK("https://www.chemistwarehouse.com.au/buy/76531/Maybelline-Color-Show-Nail-Lacquer-Coral-Craze"," Maybelline Color Show Nail Lacquer Coral Craze")</f>
        <v xml:space="preserve"> Maybelline Color Show Nail Lacquer Coral Craze</v>
      </c>
      <c r="C2681" t="s">
        <v>556</v>
      </c>
      <c r="D2681" t="s">
        <v>147</v>
      </c>
    </row>
    <row r="2682" spans="1:4" x14ac:dyDescent="0.25">
      <c r="B2682" t="str">
        <f>HYPERLINK("https://www.chemistwarehouse.com.au/buy/76534/Maybelline-Color-Show-Nail-Lacquer-Nebline"," Maybelline Color Show Nail Lacquer Nebline")</f>
        <v xml:space="preserve"> Maybelline Color Show Nail Lacquer Nebline</v>
      </c>
      <c r="C2682" t="s">
        <v>556</v>
      </c>
      <c r="D2682" t="s">
        <v>147</v>
      </c>
    </row>
    <row r="2683" spans="1:4" x14ac:dyDescent="0.25">
      <c r="B2683" t="str">
        <f>HYPERLINK("https://www.chemistwarehouse.com.au/buy/72987/Maybelline-Color-Show-Nail-Mauve-Kiss"," Maybelline Color Show Nail Mauve Kiss")</f>
        <v xml:space="preserve"> Maybelline Color Show Nail Mauve Kiss</v>
      </c>
      <c r="C2683" t="s">
        <v>556</v>
      </c>
      <c r="D2683" t="s">
        <v>147</v>
      </c>
    </row>
    <row r="2684" spans="1:4" x14ac:dyDescent="0.25">
      <c r="B2684" t="str">
        <f>HYPERLINK("https://www.chemistwarehouse.com.au/buy/72993/Maybelline-Color-Show-Nail-Latte"," Maybelline Color Show Nail Latte")</f>
        <v xml:space="preserve"> Maybelline Color Show Nail Latte</v>
      </c>
      <c r="C2684" t="s">
        <v>556</v>
      </c>
      <c r="D2684" t="s">
        <v>147</v>
      </c>
    </row>
    <row r="2685" spans="1:4" x14ac:dyDescent="0.25">
      <c r="B2685" t="str">
        <f>HYPERLINK("https://www.chemistwarehouse.com.au/buy/72994/Maybelline-Color-Show-Nail-Pink-Bloom"," Maybelline Color Show Nail Pink Bloom")</f>
        <v xml:space="preserve"> Maybelline Color Show Nail Pink Bloom</v>
      </c>
      <c r="C2685" t="s">
        <v>312</v>
      </c>
      <c r="D2685" t="s">
        <v>897</v>
      </c>
    </row>
    <row r="2686" spans="1:4" x14ac:dyDescent="0.25">
      <c r="B2686" t="str">
        <f>HYPERLINK("https://www.chemistwarehouse.com.au/buy/76537/Maybelline-Color-Show-Nail-Lacquer-Rescue-All-In-One"," Maybelline Color Show Nail Lacquer Rescue All In One")</f>
        <v xml:space="preserve"> Maybelline Color Show Nail Lacquer Rescue All In One</v>
      </c>
      <c r="C2686" t="s">
        <v>375</v>
      </c>
      <c r="D2686" t="s">
        <v>325</v>
      </c>
    </row>
    <row r="2687" spans="1:4" x14ac:dyDescent="0.25">
      <c r="B2687" t="str">
        <f>HYPERLINK("https://www.chemistwarehouse.com.au/buy/76538/Maybelline-Color-Show-Nail-Lacquer-Rescue-Base-Coat"," Maybelline Color Show Nail Lacquer Rescue Base Coat")</f>
        <v xml:space="preserve"> Maybelline Color Show Nail Lacquer Rescue Base Coat</v>
      </c>
      <c r="C2687" t="s">
        <v>375</v>
      </c>
      <c r="D2687" t="s">
        <v>325</v>
      </c>
    </row>
    <row r="2688" spans="1:4" x14ac:dyDescent="0.25">
      <c r="B2688" t="str">
        <f>HYPERLINK("https://www.chemistwarehouse.com.au/buy/76539/Maybelline-Color-Show-Nail-Lacquer-Sidewalk-Strut"," Maybelline Color Show Nail Lacquer Sidewalk Strut")</f>
        <v xml:space="preserve"> Maybelline Color Show Nail Lacquer Sidewalk Strut</v>
      </c>
      <c r="C2688" t="s">
        <v>312</v>
      </c>
      <c r="D2688" t="s">
        <v>897</v>
      </c>
    </row>
    <row r="2689" spans="1:4" x14ac:dyDescent="0.25">
      <c r="B2689" t="str">
        <f>HYPERLINK("https://www.chemistwarehouse.com.au/buy/76540/Maybelline-Color-Show-Nail-Lacquer-Sugar-Crystals"," Maybelline Color Show Nail Lacquer Sugar Crystals")</f>
        <v xml:space="preserve"> Maybelline Color Show Nail Lacquer Sugar Crystals</v>
      </c>
      <c r="C2689" t="s">
        <v>312</v>
      </c>
      <c r="D2689" t="s">
        <v>897</v>
      </c>
    </row>
    <row r="2690" spans="1:4" x14ac:dyDescent="0.25">
      <c r="B2690" t="str">
        <f>HYPERLINK("https://www.chemistwarehouse.com.au/buy/76543/Maybelline-Color-Show-Nail-Lacquer-Winter-Baby"," Maybelline Color Show Nail Lacquer Winter Baby")</f>
        <v xml:space="preserve"> Maybelline Color Show Nail Lacquer Winter Baby</v>
      </c>
      <c r="C2690" t="s">
        <v>556</v>
      </c>
      <c r="D2690" t="s">
        <v>147</v>
      </c>
    </row>
    <row r="2691" spans="1:4" x14ac:dyDescent="0.25">
      <c r="B2691" t="str">
        <f>HYPERLINK("https://www.chemistwarehouse.com.au/buy/76547/Maybelline-Color-Show-Vao-Nail-Lacquer-Peach-Bloom"," Maybelline Color Show Vao Nail Lacquer Peach Bloom")</f>
        <v xml:space="preserve"> Maybelline Color Show Vao Nail Lacquer Peach Bloom</v>
      </c>
      <c r="C2691" t="s">
        <v>556</v>
      </c>
      <c r="D2691" t="s">
        <v>147</v>
      </c>
    </row>
    <row r="2692" spans="1:4" x14ac:dyDescent="0.25">
      <c r="B2692" t="str">
        <f>HYPERLINK("https://www.chemistwarehouse.com.au/buy/80677/Maybelline-Color-Show-Nail-Lacquer-Make-Me-Blush"," Maybelline Color Show Nail Lacquer Make Me Blush")</f>
        <v xml:space="preserve"> Maybelline Color Show Nail Lacquer Make Me Blush</v>
      </c>
      <c r="C2692" t="s">
        <v>556</v>
      </c>
      <c r="D2692" t="s">
        <v>147</v>
      </c>
    </row>
    <row r="2693" spans="1:4" x14ac:dyDescent="0.25">
      <c r="B2693" t="str">
        <f>HYPERLINK("https://www.chemistwarehouse.com.au/buy/82861/Maybelline-Color-Show-Vao-Nail-Lacquer-Lilac-Wine"," Maybelline Color Show Vao Nail Lacquer Lilac Wine")</f>
        <v xml:space="preserve"> Maybelline Color Show Vao Nail Lacquer Lilac Wine</v>
      </c>
      <c r="C2693" t="s">
        <v>556</v>
      </c>
      <c r="D2693" t="s">
        <v>147</v>
      </c>
    </row>
    <row r="2694" spans="1:4" x14ac:dyDescent="0.25">
      <c r="B2694" t="str">
        <f>HYPERLINK("https://www.chemistwarehouse.com.au/buy/72998/Maybelline-Color-Show-Nail-Glitter-It"," Maybelline Color Show Nail Glitter It")</f>
        <v xml:space="preserve"> Maybelline Color Show Nail Glitter It</v>
      </c>
      <c r="C2694" t="s">
        <v>312</v>
      </c>
      <c r="D2694" t="s">
        <v>897</v>
      </c>
    </row>
    <row r="2695" spans="1:4" x14ac:dyDescent="0.25">
      <c r="B2695" t="str">
        <f>HYPERLINK("https://www.chemistwarehouse.com.au/buy/76528/Maybelline-Color-Show-Nail-Lacquer-Blackout"," Maybelline Color Show Nail Lacquer Blackout")</f>
        <v xml:space="preserve"> Maybelline Color Show Nail Lacquer Blackout</v>
      </c>
      <c r="C2695" t="s">
        <v>556</v>
      </c>
      <c r="D2695" t="s">
        <v>147</v>
      </c>
    </row>
    <row r="2696" spans="1:4" x14ac:dyDescent="0.25">
      <c r="B2696" t="str">
        <f>HYPERLINK("https://www.chemistwarehouse.com.au/buy/76529/Maybelline-Color-Show-Nail-Lacquer-Broadway-Blues"," Maybelline Color Show Nail Lacquer Broadway Blues")</f>
        <v xml:space="preserve"> Maybelline Color Show Nail Lacquer Broadway Blues</v>
      </c>
      <c r="C2696" t="s">
        <v>556</v>
      </c>
      <c r="D2696" t="s">
        <v>147</v>
      </c>
    </row>
    <row r="2697" spans="1:4" x14ac:dyDescent="0.25">
      <c r="B2697" t="str">
        <f>HYPERLINK("https://www.chemistwarehouse.com.au/buy/76536/Maybelline-Color-Show-Nail-Lacquer-Power-Red"," Maybelline Color Show Nail Lacquer Power Red")</f>
        <v xml:space="preserve"> Maybelline Color Show Nail Lacquer Power Red</v>
      </c>
      <c r="C2697" t="s">
        <v>556</v>
      </c>
      <c r="D2697" t="s">
        <v>147</v>
      </c>
    </row>
    <row r="2698" spans="1:4" x14ac:dyDescent="0.25">
      <c r="A2698" t="s">
        <v>941</v>
      </c>
    </row>
    <row r="2699" spans="1:4" x14ac:dyDescent="0.25">
      <c r="B2699" t="str">
        <f>HYPERLINK("https://www.chemistwarehouse.com.au/buy/73040/Maybelline-Superstay-7-Day-Nails-130-Rose-Poudre"," Maybelline Superstay 7 Day Nails 130 Rose Poudre")</f>
        <v xml:space="preserve"> Maybelline Superstay 7 Day Nails 130 Rose Poudre</v>
      </c>
      <c r="C2699" t="s">
        <v>554</v>
      </c>
      <c r="D2699" t="s">
        <v>325</v>
      </c>
    </row>
    <row r="2700" spans="1:4" x14ac:dyDescent="0.25">
      <c r="B2700" t="str">
        <f>HYPERLINK("https://www.chemistwarehouse.com.au/buy/73042/Maybelline-Superstay-7-Day-Nails-210-Eternal-Lilac"," Maybelline Superstay 7 Day Nails 210 Eternal Lilac")</f>
        <v xml:space="preserve"> Maybelline Superstay 7 Day Nails 210 Eternal Lilac</v>
      </c>
      <c r="C2700" t="s">
        <v>554</v>
      </c>
      <c r="D2700" t="s">
        <v>325</v>
      </c>
    </row>
    <row r="2701" spans="1:4" x14ac:dyDescent="0.25">
      <c r="B2701" t="str">
        <f>HYPERLINK("https://www.chemistwarehouse.com.au/buy/73044/Maybelline-Superstay-7-Day-Nails-25-Crystal-Clear"," Maybelline Superstay 7 Day Nails 25 Crystal Clear")</f>
        <v xml:space="preserve"> Maybelline Superstay 7 Day Nails 25 Crystal Clear</v>
      </c>
      <c r="C2701" t="s">
        <v>554</v>
      </c>
      <c r="D2701" t="s">
        <v>325</v>
      </c>
    </row>
    <row r="2702" spans="1:4" x14ac:dyDescent="0.25">
      <c r="B2702" t="str">
        <f>HYPERLINK("https://www.chemistwarehouse.com.au/buy/73046/Maybelline-Superstay-7-Day-Nails-270-Ever-Burgundy"," Maybelline Superstay 7 Day Nails 270 Ever Burgundy")</f>
        <v xml:space="preserve"> Maybelline Superstay 7 Day Nails 270 Ever Burgundy</v>
      </c>
      <c r="C2702" t="s">
        <v>554</v>
      </c>
      <c r="D2702" t="s">
        <v>325</v>
      </c>
    </row>
    <row r="2703" spans="1:4" x14ac:dyDescent="0.25">
      <c r="B2703" t="str">
        <f>HYPERLINK("https://www.chemistwarehouse.com.au/buy/73047/Maybelline-Superstay-7-Day-Nails-490-Hot-Salsa"," Maybelline Superstay 7 Day Nails 490 Hot Salsa")</f>
        <v xml:space="preserve"> Maybelline Superstay 7 Day Nails 490 Hot Salsa</v>
      </c>
      <c r="C2703" t="s">
        <v>554</v>
      </c>
      <c r="D2703" t="s">
        <v>325</v>
      </c>
    </row>
    <row r="2704" spans="1:4" x14ac:dyDescent="0.25">
      <c r="B2704" t="str">
        <f>HYPERLINK("https://www.chemistwarehouse.com.au/buy/73049/Maybelline-Superstay-7-Day-Nails-635-Surreal"," Maybelline Superstay 7 Day Nails 635 Surreal")</f>
        <v xml:space="preserve"> Maybelline Superstay 7 Day Nails 635 Surreal</v>
      </c>
      <c r="C2704" t="s">
        <v>554</v>
      </c>
      <c r="D2704" t="s">
        <v>325</v>
      </c>
    </row>
    <row r="2705" spans="1:4" x14ac:dyDescent="0.25">
      <c r="B2705" t="str">
        <f>HYPERLINK("https://www.chemistwarehouse.com.au/buy/73038/Maybelline-Superstay-7-Day-Nails-06-Deep-Red"," Maybelline Superstay 7 Day Nails 06 Deep Red")</f>
        <v xml:space="preserve"> Maybelline Superstay 7 Day Nails 06 Deep Red</v>
      </c>
      <c r="C2705" t="s">
        <v>554</v>
      </c>
      <c r="D2705" t="s">
        <v>325</v>
      </c>
    </row>
    <row r="2706" spans="1:4" x14ac:dyDescent="0.25">
      <c r="B2706" t="str">
        <f>HYPERLINK("https://www.chemistwarehouse.com.au/buy/73039/Maybelline-Superstay-7-Day-Nails-125-Enduring-Pink"," Maybelline Superstay 7 Day Nails 125 Enduring Pink")</f>
        <v xml:space="preserve"> Maybelline Superstay 7 Day Nails 125 Enduring Pink</v>
      </c>
      <c r="C2706" t="s">
        <v>554</v>
      </c>
      <c r="D2706" t="s">
        <v>325</v>
      </c>
    </row>
    <row r="2707" spans="1:4" x14ac:dyDescent="0.25">
      <c r="A2707" t="s">
        <v>942</v>
      </c>
    </row>
    <row r="2708" spans="1:4" x14ac:dyDescent="0.25">
      <c r="B2708" t="str">
        <f>HYPERLINK("https://www.chemistwarehouse.com.au/buy/74592/Maybelline-Eye-Makeup-Remover-70ml"," Maybelline Eye Makeup Remover 70ml")</f>
        <v xml:space="preserve"> Maybelline Eye Makeup Remover 70ml</v>
      </c>
      <c r="C2708" t="s">
        <v>556</v>
      </c>
      <c r="D2708" t="s">
        <v>147</v>
      </c>
    </row>
    <row r="2709" spans="1:4" x14ac:dyDescent="0.25">
      <c r="B2709" t="str">
        <f>HYPERLINK("https://www.chemistwarehouse.com.au/buy/73024/Maybelline-Expert-Tools-Dual-Sharpener"," Maybelline Expert Tools Dual Sharpener")</f>
        <v xml:space="preserve"> Maybelline Expert Tools Dual Sharpener</v>
      </c>
      <c r="C2709" t="s">
        <v>32</v>
      </c>
      <c r="D2709" t="s">
        <v>813</v>
      </c>
    </row>
    <row r="2710" spans="1:4" x14ac:dyDescent="0.25">
      <c r="B2710" t="str">
        <f>HYPERLINK("https://www.chemistwarehouse.com.au/buy/81669/Maybelline-Gigi-Pink-Xmas-Pack-2016"," Maybelline Gigi Pink Xmas Pack 2016")</f>
        <v xml:space="preserve"> Maybelline Gigi Pink Xmas Pack 2016</v>
      </c>
      <c r="C2710" t="s">
        <v>1</v>
      </c>
      <c r="D2710" t="s">
        <v>155</v>
      </c>
    </row>
    <row r="2711" spans="1:4" x14ac:dyDescent="0.25">
      <c r="B2711" t="str">
        <f>HYPERLINK("https://www.chemistwarehouse.com.au/buy/81670/Maybelline-Gigi-Red-Xmas-Pack-2016"," Maybelline Gigi Red Xmas Pack 2016")</f>
        <v xml:space="preserve"> Maybelline Gigi Red Xmas Pack 2016</v>
      </c>
      <c r="C2711" t="s">
        <v>1</v>
      </c>
      <c r="D2711" t="s">
        <v>155</v>
      </c>
    </row>
    <row r="2712" spans="1:4" x14ac:dyDescent="0.25">
      <c r="B2712" t="str">
        <f>HYPERLINK("https://www.chemistwarehouse.com.au/buy/81668/Maybelline-Gigi-Nude-Xmas-Pack-2016"," Maybelline Gigi Nude Xmas Pack 2016")</f>
        <v xml:space="preserve"> Maybelline Gigi Nude Xmas Pack 2016</v>
      </c>
      <c r="C2712" t="s">
        <v>1</v>
      </c>
      <c r="D2712" t="s">
        <v>155</v>
      </c>
    </row>
    <row r="2713" spans="1:4" x14ac:dyDescent="0.25">
      <c r="A2713" t="s">
        <v>943</v>
      </c>
    </row>
    <row r="2714" spans="1:4" x14ac:dyDescent="0.25">
      <c r="B2714" t="str">
        <f>HYPERLINK("https://www.chemistwarehouse.com.au/buy/81638/Maybelline-Baby-Lips-Xmas-Pack"," Maybelline Baby Lips Xmas Pack")</f>
        <v xml:space="preserve"> Maybelline Baby Lips Xmas Pack</v>
      </c>
      <c r="C2714" t="s">
        <v>45</v>
      </c>
      <c r="D2714" t="s">
        <v>165</v>
      </c>
    </row>
    <row r="2715" spans="1:4" x14ac:dyDescent="0.25">
      <c r="A2715" t="s">
        <v>944</v>
      </c>
    </row>
    <row r="2716" spans="1:4" x14ac:dyDescent="0.25">
      <c r="B2716" t="str">
        <f>HYPERLINK("https://www.chemistwarehouse.com.au/buy/80666/Maybelline-Color-Show-Blushed-Nudes-Lipstick-Fairly-Bare"," Maybelline Color Show Blushed Nudes Lipstick Fairly Bare")</f>
        <v xml:space="preserve"> Maybelline Color Show Blushed Nudes Lipstick Fairly Bare</v>
      </c>
      <c r="C2716" t="s">
        <v>187</v>
      </c>
      <c r="D2716" t="s">
        <v>397</v>
      </c>
    </row>
    <row r="2717" spans="1:4" x14ac:dyDescent="0.25">
      <c r="B2717" t="str">
        <f>HYPERLINK("https://www.chemistwarehouse.com.au/buy/80667/Maybelline-Color-Show-Blushed-Nudes-Lipstick-Lust-Affair"," Maybelline Color Show Blushed Nudes Lipstick Lust Affair")</f>
        <v xml:space="preserve"> Maybelline Color Show Blushed Nudes Lipstick Lust Affair</v>
      </c>
      <c r="C2717" t="s">
        <v>187</v>
      </c>
      <c r="D2717" t="s">
        <v>397</v>
      </c>
    </row>
    <row r="2718" spans="1:4" x14ac:dyDescent="0.25">
      <c r="B2718" t="str">
        <f>HYPERLINK("https://www.chemistwarehouse.com.au/buy/80668/Maybelline-Color-Show-Blushed-Nudes-Lipstick-More-to-Adore"," Maybelline Color Show Blushed Nudes Lipstick More to Adore")</f>
        <v xml:space="preserve"> Maybelline Color Show Blushed Nudes Lipstick More to Adore</v>
      </c>
      <c r="C2718" t="s">
        <v>187</v>
      </c>
      <c r="D2718" t="s">
        <v>397</v>
      </c>
    </row>
    <row r="2719" spans="1:4" x14ac:dyDescent="0.25">
      <c r="B2719" t="str">
        <f>HYPERLINK("https://www.chemistwarehouse.com.au/buy/80669/Maybelline-Color-Show-Blushed-Nudes-Lipstick-Pink-Fling"," Maybelline Color Show Blushed Nudes Lipstick Pink Fling")</f>
        <v xml:space="preserve"> Maybelline Color Show Blushed Nudes Lipstick Pink Fling</v>
      </c>
      <c r="C2719" t="s">
        <v>187</v>
      </c>
      <c r="D2719" t="s">
        <v>397</v>
      </c>
    </row>
    <row r="2720" spans="1:4" x14ac:dyDescent="0.25">
      <c r="B2720" t="str">
        <f>HYPERLINK("https://www.chemistwarehouse.com.au/buy/80670/Maybelline-Color-Show-Blushed-Nudes-Lipstick-Sunset-Blush"," Maybelline Color Show Blushed Nudes Lipstick Sunset Blush")</f>
        <v xml:space="preserve"> Maybelline Color Show Blushed Nudes Lipstick Sunset Blush</v>
      </c>
      <c r="C2720" t="s">
        <v>187</v>
      </c>
      <c r="D2720" t="s">
        <v>397</v>
      </c>
    </row>
    <row r="2721" spans="1:4" x14ac:dyDescent="0.25">
      <c r="B2721" t="str">
        <f>HYPERLINK("https://www.chemistwarehouse.com.au/buy/80671/Maybelline-Color-Show-Blushed-Nudes-Lipstick-Tip-Top-Tulle"," Maybelline Color Show Blushed Nudes Lipstick Tip Top Tulle")</f>
        <v xml:space="preserve"> Maybelline Color Show Blushed Nudes Lipstick Tip Top Tulle</v>
      </c>
      <c r="C2721" t="s">
        <v>187</v>
      </c>
      <c r="D2721" t="s">
        <v>397</v>
      </c>
    </row>
    <row r="2722" spans="1:4" x14ac:dyDescent="0.25">
      <c r="A2722" t="s">
        <v>945</v>
      </c>
    </row>
    <row r="2723" spans="1:4" x14ac:dyDescent="0.25">
      <c r="B2723" t="str">
        <f>HYPERLINK("https://www.chemistwarehouse.com.au/buy/80661/Maybelline-Color-Sensational-Vivid-Matte-Liquid-Lip-Nude-Flush"," Maybelline Color Sensational Vivid Matte Liquid Lip Nude Flush")</f>
        <v xml:space="preserve"> Maybelline Color Sensational Vivid Matte Liquid Lip Nude Flush</v>
      </c>
      <c r="C2723" t="s">
        <v>187</v>
      </c>
      <c r="D2723" t="s">
        <v>397</v>
      </c>
    </row>
    <row r="2724" spans="1:4" x14ac:dyDescent="0.25">
      <c r="B2724" t="str">
        <f>HYPERLINK("https://www.chemistwarehouse.com.au/buy/80662/Maybelline-Color-Sensational-Vivid-Matte-Liquid-Lip-Nude-Thril"," Maybelline Color Sensational Vivid Matte Liquid Lip Nude Thril")</f>
        <v xml:space="preserve"> Maybelline Color Sensational Vivid Matte Liquid Lip Nude Thril</v>
      </c>
      <c r="C2724" t="s">
        <v>187</v>
      </c>
      <c r="D2724" t="s">
        <v>397</v>
      </c>
    </row>
    <row r="2725" spans="1:4" x14ac:dyDescent="0.25">
      <c r="B2725" t="str">
        <f>HYPERLINK("https://www.chemistwarehouse.com.au/buy/80663/Maybelline-Color-Sensational-Vivid-Matte-Liquid-Lip-Orange-Shot"," Maybelline Color Sensational Vivid Matte Liquid Lip Orange Shot")</f>
        <v xml:space="preserve"> Maybelline Color Sensational Vivid Matte Liquid Lip Orange Shot</v>
      </c>
      <c r="C2725" t="s">
        <v>187</v>
      </c>
      <c r="D2725" t="s">
        <v>397</v>
      </c>
    </row>
    <row r="2726" spans="1:4" x14ac:dyDescent="0.25">
      <c r="B2726" t="str">
        <f>HYPERLINK("https://www.chemistwarehouse.com.au/buy/80664/Maybelline-Color-Sensational-Vivid-Matte-Liquid-Lip-Possessed-Plum"," Maybelline Color Sensational Vivid Matte Liquid Lip Possessed Plum")</f>
        <v xml:space="preserve"> Maybelline Color Sensational Vivid Matte Liquid Lip Possessed Plum</v>
      </c>
      <c r="C2726" t="s">
        <v>187</v>
      </c>
      <c r="D2726" t="s">
        <v>397</v>
      </c>
    </row>
    <row r="2727" spans="1:4" x14ac:dyDescent="0.25">
      <c r="B2727" t="str">
        <f>HYPERLINK("https://www.chemistwarehouse.com.au/buy/80665/Maybelline-Color-Sensational-Vivid-Matte-Liquid-Lip-Rebel-Red"," Maybelline Color Sensational Vivid Matte Liquid Lip Rebel Red")</f>
        <v xml:space="preserve"> Maybelline Color Sensational Vivid Matte Liquid Lip Rebel Red</v>
      </c>
      <c r="C2727" t="s">
        <v>187</v>
      </c>
      <c r="D2727" t="s">
        <v>397</v>
      </c>
    </row>
    <row r="2728" spans="1:4" x14ac:dyDescent="0.25">
      <c r="B2728" t="str">
        <f>HYPERLINK("https://www.chemistwarehouse.com.au/buy/80658/Maybelline-Color-Sensational-Vivid-Matte-Liquid-Lip-Berry-Boost"," Maybelline Color Sensational Vivid Matte Liquid Lip Berry Boost")</f>
        <v xml:space="preserve"> Maybelline Color Sensational Vivid Matte Liquid Lip Berry Boost</v>
      </c>
      <c r="C2728" t="s">
        <v>187</v>
      </c>
      <c r="D2728" t="s">
        <v>397</v>
      </c>
    </row>
    <row r="2729" spans="1:4" x14ac:dyDescent="0.25">
      <c r="B2729" t="str">
        <f>HYPERLINK("https://www.chemistwarehouse.com.au/buy/80659/Maybelline-Color-Sensational-Vivid-Matte-Liquid-Lip-Electric-Pink"," Maybelline Color Sensational Vivid Matte Liquid Lip Electric Pink")</f>
        <v xml:space="preserve"> Maybelline Color Sensational Vivid Matte Liquid Lip Electric Pink</v>
      </c>
      <c r="C2729" t="s">
        <v>187</v>
      </c>
      <c r="D2729" t="s">
        <v>397</v>
      </c>
    </row>
    <row r="2730" spans="1:4" x14ac:dyDescent="0.25">
      <c r="B2730" t="str">
        <f>HYPERLINK("https://www.chemistwarehouse.com.au/buy/80660/Maybelline-Color-Sensational-Vivid-Matte-Liquid-Lip-Fuchsia-Ecstasy"," Maybelline Color Sensational Vivid Matte Liquid Lip Fuchsia Ecstasy")</f>
        <v xml:space="preserve"> Maybelline Color Sensational Vivid Matte Liquid Lip Fuchsia Ecstasy</v>
      </c>
      <c r="C2730" t="s">
        <v>187</v>
      </c>
      <c r="D2730" t="s">
        <v>397</v>
      </c>
    </row>
    <row r="2731" spans="1:4" x14ac:dyDescent="0.25">
      <c r="A2731" t="s">
        <v>946</v>
      </c>
    </row>
    <row r="2732" spans="1:4" x14ac:dyDescent="0.25">
      <c r="B2732" t="str">
        <f>HYPERLINK("https://www.chemistwarehouse.com.au/buy/78480/Maybelline-Color-Sensational-Lip-Matte-680-Mesmerizing-Mag"," Maybelline Color Sensational Lip Matte 680 Mesmerizing Mag")</f>
        <v xml:space="preserve"> Maybelline Color Sensational Lip Matte 680 Mesmerizing Mag</v>
      </c>
      <c r="C2732" t="s">
        <v>187</v>
      </c>
      <c r="D2732" t="s">
        <v>397</v>
      </c>
    </row>
    <row r="2733" spans="1:4" x14ac:dyDescent="0.25">
      <c r="B2733" t="str">
        <f>HYPERLINK("https://www.chemistwarehouse.com.au/buy/78481/Maybelline-Color-Sensational-Lip-Matte-685-Craving-Coral"," Maybelline Color Sensational Lip Matte 685 Craving Coral")</f>
        <v xml:space="preserve"> Maybelline Color Sensational Lip Matte 685 Craving Coral</v>
      </c>
      <c r="C2733" t="s">
        <v>187</v>
      </c>
      <c r="D2733" t="s">
        <v>397</v>
      </c>
    </row>
    <row r="2734" spans="1:4" x14ac:dyDescent="0.25">
      <c r="B2734" t="str">
        <f>HYPERLINK("https://www.chemistwarehouse.com.au/buy/78482/Maybelline-Color-Sensational-Lip-Matte-690-Siren-In-Scarlet"," Maybelline Color Sensational Lip Matte 690 Siren In Scarlet")</f>
        <v xml:space="preserve"> Maybelline Color Sensational Lip Matte 690 Siren In Scarlet</v>
      </c>
      <c r="C2734" t="s">
        <v>187</v>
      </c>
      <c r="D2734" t="s">
        <v>397</v>
      </c>
    </row>
    <row r="2735" spans="1:4" x14ac:dyDescent="0.25">
      <c r="B2735" t="str">
        <f>HYPERLINK("https://www.chemistwarehouse.com.au/buy/78483/Maybelline-Color-Sensational-Lip-Matte-695-Divine-Wine"," Maybelline Color Sensational Lip Matte 695 Divine Wine")</f>
        <v xml:space="preserve"> Maybelline Color Sensational Lip Matte 695 Divine Wine</v>
      </c>
      <c r="C2735" t="s">
        <v>187</v>
      </c>
      <c r="D2735" t="s">
        <v>397</v>
      </c>
    </row>
    <row r="2736" spans="1:4" x14ac:dyDescent="0.25">
      <c r="B2736" t="str">
        <f>HYPERLINK("https://www.chemistwarehouse.com.au/buy/78476/Maybelline-Color-Sensational-Lip-Matte-655-Daringly-Nude"," Maybelline Color Sensational Lip Matte 655 Daringly Nude")</f>
        <v xml:space="preserve"> Maybelline Color Sensational Lip Matte 655 Daringly Nude</v>
      </c>
      <c r="C2736" t="s">
        <v>187</v>
      </c>
      <c r="D2736" t="s">
        <v>397</v>
      </c>
    </row>
    <row r="2737" spans="1:4" x14ac:dyDescent="0.25">
      <c r="B2737" t="str">
        <f>HYPERLINK("https://www.chemistwarehouse.com.au/buy/78477/Maybelline-Color-Sensational-Lip-Matte-660-Touch-Of-Spice"," Maybelline Color Sensational Lip Matte 660 Touch Of Spice")</f>
        <v xml:space="preserve"> Maybelline Color Sensational Lip Matte 660 Touch Of Spice</v>
      </c>
      <c r="C2737" t="s">
        <v>187</v>
      </c>
      <c r="D2737" t="s">
        <v>397</v>
      </c>
    </row>
    <row r="2738" spans="1:4" x14ac:dyDescent="0.25">
      <c r="B2738" t="str">
        <f>HYPERLINK("https://www.chemistwarehouse.com.au/buy/78478/Maybelline-Color-Sensational-Lip-Matte-665-Lust-For-Blush"," Maybelline Color Sensational Lip Matte 665 Lust For Blush")</f>
        <v xml:space="preserve"> Maybelline Color Sensational Lip Matte 665 Lust For Blush</v>
      </c>
      <c r="C2738" t="s">
        <v>187</v>
      </c>
      <c r="D2738" t="s">
        <v>397</v>
      </c>
    </row>
    <row r="2739" spans="1:4" x14ac:dyDescent="0.25">
      <c r="B2739" t="str">
        <f>HYPERLINK("https://www.chemistwarehouse.com.au/buy/78479/Maybelline-Color-Sensational-Lip-Matte-670-Ravishing-Rose"," Maybelline Color Sensational Lip Matte 670 Ravishing Rose")</f>
        <v xml:space="preserve"> Maybelline Color Sensational Lip Matte 670 Ravishing Rose</v>
      </c>
      <c r="C2739" t="s">
        <v>187</v>
      </c>
      <c r="D2739" t="s">
        <v>397</v>
      </c>
    </row>
    <row r="2740" spans="1:4" x14ac:dyDescent="0.25">
      <c r="A2740" t="s">
        <v>947</v>
      </c>
    </row>
    <row r="2741" spans="1:4" x14ac:dyDescent="0.25">
      <c r="B2741" t="str">
        <f>HYPERLINK("https://www.chemistwarehouse.com.au/buy/78484/Maybelline-Lip-Studio-Color-Blur-Berry-Misbehaved"," Maybelline Lip Studio Color Blur Berry Misbehaved")</f>
        <v xml:space="preserve"> Maybelline Lip Studio Color Blur Berry Misbehaved</v>
      </c>
      <c r="C2741" t="s">
        <v>187</v>
      </c>
      <c r="D2741" t="s">
        <v>397</v>
      </c>
    </row>
    <row r="2742" spans="1:4" x14ac:dyDescent="0.25">
      <c r="B2742" t="str">
        <f>HYPERLINK("https://www.chemistwarehouse.com.au/buy/78485/Maybelline-Lip-Studio-Color-Blur-Cherry-Cherry"," Maybelline Lip Studio Color Blur Cherry Cherry")</f>
        <v xml:space="preserve"> Maybelline Lip Studio Color Blur Cherry Cherry</v>
      </c>
      <c r="C2742" t="s">
        <v>187</v>
      </c>
      <c r="D2742" t="s">
        <v>397</v>
      </c>
    </row>
    <row r="2743" spans="1:4" x14ac:dyDescent="0.25">
      <c r="B2743" t="str">
        <f>HYPERLINK("https://www.chemistwarehouse.com.au/buy/78486/Maybelline-Lip-Studio-Color-Blur-Fast-And-Fuschia"," Maybelline Lip Studio Color Blur Fast And Fuschia")</f>
        <v xml:space="preserve"> Maybelline Lip Studio Color Blur Fast And Fuschia</v>
      </c>
      <c r="C2743" t="s">
        <v>187</v>
      </c>
      <c r="D2743" t="s">
        <v>397</v>
      </c>
    </row>
    <row r="2744" spans="1:4" x14ac:dyDescent="0.25">
      <c r="B2744" t="str">
        <f>HYPERLINK("https://www.chemistwarehouse.com.au/buy/78487/Maybelline-Lip-Studio-Color-Blur-I-Like-To-Mauve-It"," Maybelline Lip Studio Color Blur I Like To Mauve It")</f>
        <v xml:space="preserve"> Maybelline Lip Studio Color Blur I Like To Mauve It</v>
      </c>
      <c r="C2744" t="s">
        <v>187</v>
      </c>
      <c r="D2744" t="s">
        <v>397</v>
      </c>
    </row>
    <row r="2745" spans="1:4" x14ac:dyDescent="0.25">
      <c r="B2745" t="str">
        <f>HYPERLINK("https://www.chemistwarehouse.com.au/buy/78488/Maybelline-Lip-Studio-Color-Blur-Orange-Ya-Glad"," Maybelline Lip Studio Color Blur Orange Ya Glad")</f>
        <v xml:space="preserve"> Maybelline Lip Studio Color Blur Orange Ya Glad</v>
      </c>
      <c r="C2745" t="s">
        <v>187</v>
      </c>
      <c r="D2745" t="s">
        <v>397</v>
      </c>
    </row>
    <row r="2746" spans="1:4" x14ac:dyDescent="0.25">
      <c r="B2746" t="str">
        <f>HYPERLINK("https://www.chemistwarehouse.com.au/buy/78489/Maybelline-Lip-Studio-Color-Blur-Partner-In-Crimson"," Maybelline Lip Studio Color Blur Partner In Crimson")</f>
        <v xml:space="preserve"> Maybelline Lip Studio Color Blur Partner In Crimson</v>
      </c>
      <c r="C2746" t="s">
        <v>187</v>
      </c>
      <c r="D2746" t="s">
        <v>397</v>
      </c>
    </row>
    <row r="2747" spans="1:4" x14ac:dyDescent="0.25">
      <c r="B2747" t="str">
        <f>HYPERLINK("https://www.chemistwarehouse.com.au/buy/78490/Maybelline-Lip-Studio-Color-Blur-Pink-Insanity"," Maybelline Lip Studio Color Blur Pink Insanity")</f>
        <v xml:space="preserve"> Maybelline Lip Studio Color Blur Pink Insanity</v>
      </c>
      <c r="C2747" t="s">
        <v>187</v>
      </c>
      <c r="D2747" t="s">
        <v>397</v>
      </c>
    </row>
    <row r="2748" spans="1:4" x14ac:dyDescent="0.25">
      <c r="A2748" t="s">
        <v>948</v>
      </c>
    </row>
    <row r="2749" spans="1:4" x14ac:dyDescent="0.25">
      <c r="B2749" t="str">
        <f>HYPERLINK("https://www.chemistwarehouse.com.au/buy/73796/Maybelline-Color-Sensational-Color-Drama-Lipstick-140-Minimalist"," Maybelline Color Sensational Color Drama Lipstick 140 Minimalist")</f>
        <v xml:space="preserve"> Maybelline Color Sensational Color Drama Lipstick 140 Minimalist</v>
      </c>
      <c r="C2749" t="s">
        <v>240</v>
      </c>
      <c r="D2749" t="s">
        <v>400</v>
      </c>
    </row>
    <row r="2750" spans="1:4" x14ac:dyDescent="0.25">
      <c r="B2750" t="str">
        <f>HYPERLINK("https://www.chemistwarehouse.com.au/buy/73804/Maybelline-Color-Sensational-Color-Drama-Lipstick-630-Nude-Perfection"," Maybelline Color Sensational Color Drama Lipstick 630 Nude Perfection")</f>
        <v xml:space="preserve"> Maybelline Color Sensational Color Drama Lipstick 630 Nude Perfection</v>
      </c>
      <c r="C2750" t="s">
        <v>240</v>
      </c>
      <c r="D2750" t="s">
        <v>400</v>
      </c>
    </row>
    <row r="2751" spans="1:4" x14ac:dyDescent="0.25">
      <c r="B2751" t="str">
        <f>HYPERLINK("https://www.chemistwarehouse.com.au/buy/73793/Maybelline-Color-Sensational-Color-Drama-Lipstick-110-Pink-So-Chic"," Maybelline Color Sensational Color Drama Lipstick 110 Pink So Chic")</f>
        <v xml:space="preserve"> Maybelline Color Sensational Color Drama Lipstick 110 Pink So Chic</v>
      </c>
      <c r="C2751" t="s">
        <v>240</v>
      </c>
      <c r="D2751" t="s">
        <v>400</v>
      </c>
    </row>
    <row r="2752" spans="1:4" x14ac:dyDescent="0.25">
      <c r="B2752" t="str">
        <f>HYPERLINK("https://www.chemistwarehouse.com.au/buy/73795/Maybelline-Color-Sensational-Color-Drama-Lipstick-130-Love-My-Pink"," Maybelline Color Sensational Color Drama Lipstick 130 Love My Pink")</f>
        <v xml:space="preserve"> Maybelline Color Sensational Color Drama Lipstick 130 Love My Pink</v>
      </c>
      <c r="C2752" t="s">
        <v>240</v>
      </c>
      <c r="D2752" t="s">
        <v>400</v>
      </c>
    </row>
    <row r="2753" spans="1:4" x14ac:dyDescent="0.25">
      <c r="B2753" t="str">
        <f>HYPERLINK("https://www.chemistwarehouse.com.au/buy/73797/Maybelline-Color-Sensational-Color-Drama-Lipstick-150-Fuchsia-Desire"," Maybelline Color Sensational Color Drama Lipstick 150 Fuchsia Desire")</f>
        <v xml:space="preserve"> Maybelline Color Sensational Color Drama Lipstick 150 Fuchsia Desire</v>
      </c>
      <c r="C2753" t="s">
        <v>240</v>
      </c>
      <c r="D2753" t="s">
        <v>400</v>
      </c>
    </row>
    <row r="2754" spans="1:4" x14ac:dyDescent="0.25">
      <c r="B2754" t="str">
        <f>HYPERLINK("https://www.chemistwarehouse.com.au/buy/73799/Maybelline-Color-Sensational-Color-Drama-Lipstick-310-Berry-Much"," Maybelline Color Sensational Color Drama Lipstick 310 Berry Much")</f>
        <v xml:space="preserve"> Maybelline Color Sensational Color Drama Lipstick 310 Berry Much</v>
      </c>
      <c r="C2754" t="s">
        <v>240</v>
      </c>
      <c r="D2754" t="s">
        <v>400</v>
      </c>
    </row>
    <row r="2755" spans="1:4" x14ac:dyDescent="0.25">
      <c r="B2755" t="str">
        <f>HYPERLINK("https://www.chemistwarehouse.com.au/buy/73800/Maybelline-Color-Sensational-Color-Drama-Lipstick-410-Fab-Orange"," Maybelline Color Sensational Color Drama Lipstick 410 Fab Orange")</f>
        <v xml:space="preserve"> Maybelline Color Sensational Color Drama Lipstick 410 Fab Orange</v>
      </c>
      <c r="C2755" t="s">
        <v>240</v>
      </c>
      <c r="D2755" t="s">
        <v>400</v>
      </c>
    </row>
    <row r="2756" spans="1:4" x14ac:dyDescent="0.25">
      <c r="B2756" t="str">
        <f>HYPERLINK("https://www.chemistwarehouse.com.au/buy/73801/Maybelline-Color-Sensational-Color-Drama-Lipstick-420-In-With-Coral"," Maybelline Color Sensational Color Drama Lipstick 420 In With Coral")</f>
        <v xml:space="preserve"> Maybelline Color Sensational Color Drama Lipstick 420 In With Coral</v>
      </c>
      <c r="C2756" t="s">
        <v>240</v>
      </c>
      <c r="D2756" t="s">
        <v>400</v>
      </c>
    </row>
    <row r="2757" spans="1:4" x14ac:dyDescent="0.25">
      <c r="B2757" t="str">
        <f>HYPERLINK("https://www.chemistwarehouse.com.au/buy/73802/Maybelline-Color-Sensational-Color-Drama-Lipstick-510-Red-Essential"," Maybelline Color Sensational Color Drama Lipstick 510 Red Essential")</f>
        <v xml:space="preserve"> Maybelline Color Sensational Color Drama Lipstick 510 Red Essential</v>
      </c>
      <c r="C2757" t="s">
        <v>240</v>
      </c>
      <c r="D2757" t="s">
        <v>400</v>
      </c>
    </row>
    <row r="2758" spans="1:4" x14ac:dyDescent="0.25">
      <c r="B2758" t="str">
        <f>HYPERLINK("https://www.chemistwarehouse.com.au/buy/73803/Maybelline-Color-Sensational-Color-Drama-Lipstick-520-Light-It-Up"," Maybelline Color Sensational Color Drama Lipstick 520 Light It Up")</f>
        <v xml:space="preserve"> Maybelline Color Sensational Color Drama Lipstick 520 Light It Up</v>
      </c>
      <c r="C2758" t="s">
        <v>240</v>
      </c>
      <c r="D2758" t="s">
        <v>400</v>
      </c>
    </row>
    <row r="2759" spans="1:4" x14ac:dyDescent="0.25">
      <c r="A2759" t="s">
        <v>949</v>
      </c>
    </row>
    <row r="2760" spans="1:4" x14ac:dyDescent="0.25">
      <c r="B2760" t="str">
        <f>HYPERLINK("https://www.chemistwarehouse.com.au/buy/71514/Maybelline-Color-Sensational-Stripped-Nudes-Coffee-Craze"," Maybelline Color Sensational Stripped Nudes Coffee Craze")</f>
        <v xml:space="preserve"> Maybelline Color Sensational Stripped Nudes Coffee Craze</v>
      </c>
      <c r="C2760" t="s">
        <v>187</v>
      </c>
      <c r="D2760" t="s">
        <v>397</v>
      </c>
    </row>
    <row r="2761" spans="1:4" x14ac:dyDescent="0.25">
      <c r="B2761" t="str">
        <f>HYPERLINK("https://www.chemistwarehouse.com.au/buy/71515/Maybelline-Color-Sensational-Stripped-Nudes-Honey-Beige"," Maybelline Color Sensational Stripped Nudes Honey Beige")</f>
        <v xml:space="preserve"> Maybelline Color Sensational Stripped Nudes Honey Beige</v>
      </c>
      <c r="C2761" t="s">
        <v>187</v>
      </c>
      <c r="D2761" t="s">
        <v>397</v>
      </c>
    </row>
    <row r="2762" spans="1:4" x14ac:dyDescent="0.25">
      <c r="B2762" t="str">
        <f>HYPERLINK("https://www.chemistwarehouse.com.au/buy/71516/Maybelline-Color-Sensational-Stripped-Nudes-Naked-Brown"," Maybelline Color Sensational Stripped Nudes Naked Brown")</f>
        <v xml:space="preserve"> Maybelline Color Sensational Stripped Nudes Naked Brown</v>
      </c>
      <c r="C2762" t="s">
        <v>187</v>
      </c>
      <c r="D2762" t="s">
        <v>397</v>
      </c>
    </row>
    <row r="2763" spans="1:4" x14ac:dyDescent="0.25">
      <c r="B2763" t="str">
        <f>HYPERLINK("https://www.chemistwarehouse.com.au/buy/71518/Maybelline-Color-Sensational-Stripped-Nudes-Tanti-Taupe"," Maybelline Color Sensational Stripped Nudes Tanti Taupe")</f>
        <v xml:space="preserve"> Maybelline Color Sensational Stripped Nudes Tanti Taupe</v>
      </c>
      <c r="C2763" t="s">
        <v>187</v>
      </c>
      <c r="D2763" t="s">
        <v>397</v>
      </c>
    </row>
    <row r="2764" spans="1:4" x14ac:dyDescent="0.25">
      <c r="B2764" t="str">
        <f>HYPERLINK("https://www.chemistwarehouse.com.au/buy/71513/Maybelline-Color-Sensational-Stripped-Nudes-Brazen-Beige"," Maybelline Color Sensational Stripped Nudes Brazen Beige")</f>
        <v xml:space="preserve"> Maybelline Color Sensational Stripped Nudes Brazen Beige</v>
      </c>
      <c r="C2764" t="s">
        <v>187</v>
      </c>
      <c r="D2764" t="s">
        <v>397</v>
      </c>
    </row>
    <row r="2765" spans="1:4" x14ac:dyDescent="0.25">
      <c r="A2765" t="s">
        <v>950</v>
      </c>
    </row>
    <row r="2766" spans="1:4" x14ac:dyDescent="0.25">
      <c r="B2766" t="str">
        <f>HYPERLINK("https://www.chemistwarehouse.com.au/buy/70356/Maybelline-Color-Sensational-Vivids-Fuchsia-Flash"," Maybelline Color Sensational Vivids Fuchsia Flash")</f>
        <v xml:space="preserve"> Maybelline Color Sensational Vivids Fuchsia Flash</v>
      </c>
      <c r="C2766" t="s">
        <v>46</v>
      </c>
      <c r="D2766" t="s">
        <v>191</v>
      </c>
    </row>
    <row r="2767" spans="1:4" x14ac:dyDescent="0.25">
      <c r="B2767" t="str">
        <f>HYPERLINK("https://www.chemistwarehouse.com.au/buy/70359/Maybelline-Color-Sensational-Vivids-Pink-Pop"," Maybelline Color Sensational Vivids Pink Pop")</f>
        <v xml:space="preserve"> Maybelline Color Sensational Vivids Pink Pop</v>
      </c>
      <c r="C2767" t="s">
        <v>46</v>
      </c>
      <c r="D2767" t="s">
        <v>191</v>
      </c>
    </row>
    <row r="2768" spans="1:4" x14ac:dyDescent="0.25">
      <c r="B2768" t="str">
        <f>HYPERLINK("https://www.chemistwarehouse.com.au/buy/70360/Maybelline-Color-Sensational-Vivids-Shocking-Coral"," Maybelline Color Sensational Vivids Shocking Coral")</f>
        <v xml:space="preserve"> Maybelline Color Sensational Vivids Shocking Coral</v>
      </c>
      <c r="C2768" t="s">
        <v>46</v>
      </c>
      <c r="D2768" t="s">
        <v>191</v>
      </c>
    </row>
    <row r="2769" spans="1:4" x14ac:dyDescent="0.25">
      <c r="B2769" t="str">
        <f>HYPERLINK("https://www.chemistwarehouse.com.au/buy/70362/Maybelline-Color-Sensational-Vivids-Vivid-Rose"," Maybelline Color Sensational Vivids Vivid Rose")</f>
        <v xml:space="preserve"> Maybelline Color Sensational Vivids Vivid Rose</v>
      </c>
      <c r="C2769" t="s">
        <v>46</v>
      </c>
      <c r="D2769" t="s">
        <v>191</v>
      </c>
    </row>
    <row r="2770" spans="1:4" x14ac:dyDescent="0.25">
      <c r="A2770" t="s">
        <v>951</v>
      </c>
    </row>
    <row r="2771" spans="1:4" x14ac:dyDescent="0.25">
      <c r="B2771" t="str">
        <f>HYPERLINK("https://www.chemistwarehouse.com.au/buy/70425/Maybelline-Color-Sensational-Lip-Warm-Latte"," Maybelline Color Sensational Lip Warm Latte")</f>
        <v xml:space="preserve"> Maybelline Color Sensational Lip Warm Latte</v>
      </c>
      <c r="C2771" t="s">
        <v>46</v>
      </c>
      <c r="D2771" t="s">
        <v>191</v>
      </c>
    </row>
    <row r="2772" spans="1:4" x14ac:dyDescent="0.25">
      <c r="B2772" t="str">
        <f>HYPERLINK("https://www.chemistwarehouse.com.au/buy/70426/Maybelline-Color-Sensational-Lip-Warm-Me-Up"," Maybelline Color Sensational Lip Warm Me Up")</f>
        <v xml:space="preserve"> Maybelline Color Sensational Lip Warm Me Up</v>
      </c>
      <c r="C2772" t="s">
        <v>105</v>
      </c>
      <c r="D2772" t="s">
        <v>799</v>
      </c>
    </row>
    <row r="2773" spans="1:4" x14ac:dyDescent="0.25">
      <c r="B2773" t="str">
        <f>HYPERLINK("https://www.chemistwarehouse.com.au/buy/70430/Maybelline-Color-Sensational-Lip-Fatal-Red"," Maybelline Color Sensational Lip Fatal Red")</f>
        <v xml:space="preserve"> Maybelline Color Sensational Lip Fatal Red</v>
      </c>
      <c r="C2773" t="s">
        <v>105</v>
      </c>
      <c r="D2773" t="s">
        <v>799</v>
      </c>
    </row>
    <row r="2774" spans="1:4" x14ac:dyDescent="0.25">
      <c r="B2774" t="str">
        <f>HYPERLINK("https://www.chemistwarehouse.com.au/buy/72981/Maybelline-Color-Sensational-Lip-Pink-and-Proper"," Maybelline Color Sensational Lip Pink and Proper")</f>
        <v xml:space="preserve"> Maybelline Color Sensational Lip Pink and Proper</v>
      </c>
      <c r="C2774" t="s">
        <v>46</v>
      </c>
      <c r="D2774" t="s">
        <v>191</v>
      </c>
    </row>
    <row r="2775" spans="1:4" x14ac:dyDescent="0.25">
      <c r="B2775" t="str">
        <f>HYPERLINK("https://www.chemistwarehouse.com.au/buy/72982/Maybelline-Color-Sensational-Lip-Pink-Wink"," Maybelline Color Sensational Lip Pink Wink")</f>
        <v xml:space="preserve"> Maybelline Color Sensational Lip Pink Wink</v>
      </c>
      <c r="C2775" t="s">
        <v>105</v>
      </c>
      <c r="D2775" t="s">
        <v>799</v>
      </c>
    </row>
    <row r="2776" spans="1:4" x14ac:dyDescent="0.25">
      <c r="B2776" t="str">
        <f>HYPERLINK("https://www.chemistwarehouse.com.au/buy/72983/Maybelline-Color-Sensational-Lip-Totally-Toffee"," Maybelline Color Sensational Lip Totally Toffee")</f>
        <v xml:space="preserve"> Maybelline Color Sensational Lip Totally Toffee</v>
      </c>
      <c r="C2776" t="s">
        <v>105</v>
      </c>
      <c r="D2776" t="s">
        <v>799</v>
      </c>
    </row>
    <row r="2777" spans="1:4" x14ac:dyDescent="0.25">
      <c r="B2777" t="str">
        <f>HYPERLINK("https://www.chemistwarehouse.com.au/buy/73633/Maybelline-Color-Sensational-Lip-Born-With-It"," Maybelline Color Sensational Lip Born With It")</f>
        <v xml:space="preserve"> Maybelline Color Sensational Lip Born With It</v>
      </c>
      <c r="C2777" t="s">
        <v>105</v>
      </c>
      <c r="D2777" t="s">
        <v>799</v>
      </c>
    </row>
    <row r="2778" spans="1:4" x14ac:dyDescent="0.25">
      <c r="B2778" t="str">
        <f>HYPERLINK("https://www.chemistwarehouse.com.au/buy/81639/Maybelline-Color-Sensational-Lip-On-The-Mauve"," Maybelline Color Sensational Lip On The Mauve")</f>
        <v xml:space="preserve"> Maybelline Color Sensational Lip On The Mauve</v>
      </c>
      <c r="C2778" t="s">
        <v>46</v>
      </c>
      <c r="D2778" t="s">
        <v>191</v>
      </c>
    </row>
    <row r="2779" spans="1:4" x14ac:dyDescent="0.25">
      <c r="B2779" t="str">
        <f>HYPERLINK("https://www.chemistwarehouse.com.au/buy/81640/Maybelline-Color-Sensational-Lip-Pink-Sand"," Maybelline Color Sensational Lip Pink Sand")</f>
        <v xml:space="preserve"> Maybelline Color Sensational Lip Pink Sand</v>
      </c>
      <c r="C2779" t="s">
        <v>46</v>
      </c>
      <c r="D2779" t="s">
        <v>191</v>
      </c>
    </row>
    <row r="2780" spans="1:4" x14ac:dyDescent="0.25">
      <c r="B2780" t="str">
        <f>HYPERLINK("https://www.chemistwarehouse.com.au/buy/70402/Maybelline-Color-Sensational-Lip-Are-You-Red-Dy"," Maybelline Color Sensational Lip Are You Red-Dy")</f>
        <v xml:space="preserve"> Maybelline Color Sensational Lip Are You Red-Dy</v>
      </c>
      <c r="C2780" t="s">
        <v>105</v>
      </c>
      <c r="D2780" t="s">
        <v>799</v>
      </c>
    </row>
    <row r="2781" spans="1:4" x14ac:dyDescent="0.25">
      <c r="B2781" t="str">
        <f>HYPERLINK("https://www.chemistwarehouse.com.au/buy/70406/Maybelline-Color-Sensational-Lip-Coral-Crush"," Maybelline Color Sensational Lip Coral Crush")</f>
        <v xml:space="preserve"> Maybelline Color Sensational Lip Coral Crush</v>
      </c>
      <c r="C2781" t="s">
        <v>46</v>
      </c>
      <c r="D2781" t="s">
        <v>191</v>
      </c>
    </row>
    <row r="2782" spans="1:4" x14ac:dyDescent="0.25">
      <c r="B2782" t="str">
        <f>HYPERLINK("https://www.chemistwarehouse.com.au/buy/70407/Maybelline-Color-Sensational-Lip-Crazy-4-Coffee"," Maybelline Color Sensational Lip Crazy 4 Coffee")</f>
        <v xml:space="preserve"> Maybelline Color Sensational Lip Crazy 4 Coffee</v>
      </c>
      <c r="C2782" t="s">
        <v>105</v>
      </c>
      <c r="D2782" t="s">
        <v>799</v>
      </c>
    </row>
    <row r="2783" spans="1:4" x14ac:dyDescent="0.25">
      <c r="B2783" t="str">
        <f>HYPERLINK("https://www.chemistwarehouse.com.au/buy/70412/Maybelline-Color-Sensational-Lip-Nearly-There"," Maybelline Color Sensational Lip Nearly There")</f>
        <v xml:space="preserve"> Maybelline Color Sensational Lip Nearly There</v>
      </c>
      <c r="C2783" t="s">
        <v>105</v>
      </c>
      <c r="D2783" t="s">
        <v>799</v>
      </c>
    </row>
    <row r="2784" spans="1:4" x14ac:dyDescent="0.25">
      <c r="B2784" t="str">
        <f>HYPERLINK("https://www.chemistwarehouse.com.au/buy/70420/Maybelline-Color-Sensational-Lip-Red-Revival"," Maybelline Color Sensational Lip Red Revival")</f>
        <v xml:space="preserve"> Maybelline Color Sensational Lip Red Revival</v>
      </c>
      <c r="C2784" t="s">
        <v>105</v>
      </c>
      <c r="D2784" t="s">
        <v>799</v>
      </c>
    </row>
    <row r="2785" spans="1:4" x14ac:dyDescent="0.25">
      <c r="A2785" t="s">
        <v>952</v>
      </c>
    </row>
    <row r="2786" spans="1:4" x14ac:dyDescent="0.25">
      <c r="B2786" t="str">
        <f>HYPERLINK("https://www.chemistwarehouse.com.au/buy/78564/Maybelline-Superstay-Lip-So-Sienna"," Maybelline Superstay Lip So Sienna")</f>
        <v xml:space="preserve"> Maybelline Superstay Lip So Sienna</v>
      </c>
      <c r="C2786" t="s">
        <v>292</v>
      </c>
      <c r="D2786" t="s">
        <v>405</v>
      </c>
    </row>
    <row r="2787" spans="1:4" x14ac:dyDescent="0.25">
      <c r="B2787" t="str">
        <f>HYPERLINK("https://www.chemistwarehouse.com.au/buy/69526/Maybelline-SuperStay-Lip-Timeless-Toffee"," Maybelline SuperStay Lip Timeless Toffee")</f>
        <v xml:space="preserve"> Maybelline SuperStay Lip Timeless Toffee</v>
      </c>
      <c r="C2787" t="s">
        <v>224</v>
      </c>
      <c r="D2787" t="s">
        <v>376</v>
      </c>
    </row>
    <row r="2788" spans="1:4" x14ac:dyDescent="0.25">
      <c r="B2788" t="str">
        <f>HYPERLINK("https://www.chemistwarehouse.com.au/buy/69525/Maybelline-SuperStay-Lip-Timeless-Rose"," Maybelline SuperStay Lip Timeless Rose")</f>
        <v xml:space="preserve"> Maybelline SuperStay Lip Timeless Rose</v>
      </c>
      <c r="C2788" t="s">
        <v>224</v>
      </c>
      <c r="D2788" t="s">
        <v>376</v>
      </c>
    </row>
    <row r="2789" spans="1:4" x14ac:dyDescent="0.25">
      <c r="B2789" t="str">
        <f>HYPERLINK("https://www.chemistwarehouse.com.au/buy/69516/Maybelline-SuperStay-Lip-Forever-Chestnut"," Maybelline SuperStay Lip Forever Chestnut")</f>
        <v xml:space="preserve"> Maybelline SuperStay Lip Forever Chestnut</v>
      </c>
      <c r="C2789" t="s">
        <v>224</v>
      </c>
      <c r="D2789" t="s">
        <v>376</v>
      </c>
    </row>
    <row r="2790" spans="1:4" x14ac:dyDescent="0.25">
      <c r="B2790" t="str">
        <f>HYPERLINK("https://www.chemistwarehouse.com.au/buy/69517/Maybelline-SuperStay-Lip-Infinite-Petal"," Maybelline SuperStay Lip Infinite Petal")</f>
        <v xml:space="preserve"> Maybelline SuperStay Lip Infinite Petal</v>
      </c>
      <c r="C2790" t="s">
        <v>224</v>
      </c>
      <c r="D2790" t="s">
        <v>376</v>
      </c>
    </row>
    <row r="2791" spans="1:4" x14ac:dyDescent="0.25">
      <c r="B2791" t="str">
        <f>HYPERLINK("https://www.chemistwarehouse.com.au/buy/69518/Maybelline-SuperStay-Lip-Keep-It-Red"," Maybelline SuperStay Lip Keep It Red")</f>
        <v xml:space="preserve"> Maybelline SuperStay Lip Keep It Red</v>
      </c>
      <c r="C2791" t="s">
        <v>46</v>
      </c>
      <c r="D2791" t="s">
        <v>394</v>
      </c>
    </row>
    <row r="2792" spans="1:4" x14ac:dyDescent="0.25">
      <c r="B2792" t="str">
        <f>HYPERLINK("https://www.chemistwarehouse.com.au/buy/69519/Maybelline-SuperStay-Lip-Keep-Up-The-Flame"," Maybelline SuperStay Lip Keep Up The Flame")</f>
        <v xml:space="preserve"> Maybelline SuperStay Lip Keep Up The Flame</v>
      </c>
      <c r="C2792" t="s">
        <v>224</v>
      </c>
      <c r="D2792" t="s">
        <v>376</v>
      </c>
    </row>
    <row r="2793" spans="1:4" x14ac:dyDescent="0.25">
      <c r="B2793" t="str">
        <f>HYPERLINK("https://www.chemistwarehouse.com.au/buy/69520/Maybelline-SuperStay-Lip-Lasting-Lilac"," Maybelline SuperStay Lip Lasting Lilac")</f>
        <v xml:space="preserve"> Maybelline SuperStay Lip Lasting Lilac</v>
      </c>
      <c r="C2793" t="s">
        <v>224</v>
      </c>
      <c r="D2793" t="s">
        <v>376</v>
      </c>
    </row>
    <row r="2794" spans="1:4" x14ac:dyDescent="0.25">
      <c r="B2794" t="str">
        <f>HYPERLINK("https://www.chemistwarehouse.com.au/buy/69521/Maybelline-SuperStay-Lip-Never-Ending-Pearl"," Maybelline SuperStay Lip Never Ending Pearl")</f>
        <v xml:space="preserve"> Maybelline SuperStay Lip Never Ending Pearl</v>
      </c>
      <c r="C2794" t="s">
        <v>224</v>
      </c>
      <c r="D2794" t="s">
        <v>376</v>
      </c>
    </row>
    <row r="2795" spans="1:4" x14ac:dyDescent="0.25">
      <c r="B2795" t="str">
        <f>HYPERLINK("https://www.chemistwarehouse.com.au/buy/69522/Maybelline-SuperStay-Lip-On-And-On-Orchid"," Maybelline SuperStay Lip On And On Orchid")</f>
        <v xml:space="preserve"> Maybelline SuperStay Lip On And On Orchid</v>
      </c>
      <c r="C2795" t="s">
        <v>224</v>
      </c>
      <c r="D2795" t="s">
        <v>376</v>
      </c>
    </row>
    <row r="2796" spans="1:4" x14ac:dyDescent="0.25">
      <c r="B2796" t="str">
        <f>HYPERLINK("https://www.chemistwarehouse.com.au/buy/69523/Maybelline-SuperStay-Lip-Reliable-Rasberry"," Maybelline SuperStay Lip Reliable Rasberry")</f>
        <v xml:space="preserve"> Maybelline SuperStay Lip Reliable Rasberry</v>
      </c>
      <c r="C2796" t="s">
        <v>46</v>
      </c>
      <c r="D2796" t="s">
        <v>394</v>
      </c>
    </row>
    <row r="2797" spans="1:4" x14ac:dyDescent="0.25">
      <c r="B2797" t="str">
        <f>HYPERLINK("https://www.chemistwarehouse.com.au/buy/69529/Maybelline-SuperStay-Lip-Wont-Move-Mauve"," Maybelline SuperStay Lip Wont Move Mauve")</f>
        <v xml:space="preserve"> Maybelline SuperStay Lip Wont Move Mauve</v>
      </c>
      <c r="C2797" t="s">
        <v>46</v>
      </c>
      <c r="D2797" t="s">
        <v>394</v>
      </c>
    </row>
    <row r="2798" spans="1:4" x14ac:dyDescent="0.25">
      <c r="B2798" t="str">
        <f>HYPERLINK("https://www.chemistwarehouse.com.au/buy/70169/Maybelline-SuperStay-Lip-Perpetual-Plum"," Maybelline SuperStay Lip Perpetual Plum")</f>
        <v xml:space="preserve"> Maybelline SuperStay Lip Perpetual Plum</v>
      </c>
      <c r="C2798" t="s">
        <v>224</v>
      </c>
      <c r="D2798" t="s">
        <v>376</v>
      </c>
    </row>
    <row r="2799" spans="1:4" x14ac:dyDescent="0.25">
      <c r="B2799" t="str">
        <f>HYPERLINK("https://www.chemistwarehouse.com.au/buy/69507/Maybelline-SuperStay-Lip-All-Day-Cherry"," Maybelline SuperStay Lip All Day Cherry")</f>
        <v xml:space="preserve"> Maybelline SuperStay Lip All Day Cherry</v>
      </c>
      <c r="C2799" t="s">
        <v>224</v>
      </c>
      <c r="D2799" t="s">
        <v>376</v>
      </c>
    </row>
    <row r="2800" spans="1:4" x14ac:dyDescent="0.25">
      <c r="B2800" t="str">
        <f>HYPERLINK("https://www.chemistwarehouse.com.au/buy/69509/Maybelline-SuperStay-Lip-Berry-Persistent"," Maybelline SuperStay Lip Berry Persistent")</f>
        <v xml:space="preserve"> Maybelline SuperStay Lip Berry Persistent</v>
      </c>
      <c r="C2800" t="s">
        <v>46</v>
      </c>
      <c r="D2800" t="s">
        <v>394</v>
      </c>
    </row>
    <row r="2801" spans="1:4" x14ac:dyDescent="0.25">
      <c r="B2801" t="str">
        <f>HYPERLINK("https://www.chemistwarehouse.com.au/buy/69510/Maybelline-SuperStay-Lip-Blush-On"," Maybelline SuperStay Lip Blush On")</f>
        <v xml:space="preserve"> Maybelline SuperStay Lip Blush On</v>
      </c>
      <c r="C2801" t="s">
        <v>224</v>
      </c>
      <c r="D2801" t="s">
        <v>376</v>
      </c>
    </row>
    <row r="2802" spans="1:4" x14ac:dyDescent="0.25">
      <c r="B2802" t="str">
        <f>HYPERLINK("https://www.chemistwarehouse.com.au/buy/69513/Maybelline-SuperStay-Lip-Continuous-Coral"," Maybelline SuperStay Lip Continuous Coral")</f>
        <v xml:space="preserve"> Maybelline SuperStay Lip Continuous Coral</v>
      </c>
      <c r="C2802" t="s">
        <v>224</v>
      </c>
      <c r="D2802" t="s">
        <v>376</v>
      </c>
    </row>
    <row r="2803" spans="1:4" x14ac:dyDescent="0.25">
      <c r="B2803" t="str">
        <f>HYPERLINK("https://www.chemistwarehouse.com.au/buy/69515/Maybelline-SuperStay-Lip-Everlasting-Wine"," Maybelline SuperStay Lip Everlasting Wine")</f>
        <v xml:space="preserve"> Maybelline SuperStay Lip Everlasting Wine</v>
      </c>
      <c r="C2803" t="s">
        <v>224</v>
      </c>
      <c r="D2803" t="s">
        <v>376</v>
      </c>
    </row>
    <row r="2804" spans="1:4" x14ac:dyDescent="0.25">
      <c r="A2804" t="s">
        <v>953</v>
      </c>
    </row>
    <row r="2805" spans="1:4" x14ac:dyDescent="0.25">
      <c r="B2805" t="str">
        <f>HYPERLINK("https://www.chemistwarehouse.com.au/buy/72769/Maybelline-Color-Sensational-Color-Elixir-Lipgloss-Caramel-Infused"," Maybelline Color Sensational Color Elixir Lipgloss Caramel Infused")</f>
        <v xml:space="preserve"> Maybelline Color Sensational Color Elixir Lipgloss Caramel Infused</v>
      </c>
      <c r="C2805" t="s">
        <v>187</v>
      </c>
      <c r="D2805" t="s">
        <v>397</v>
      </c>
    </row>
    <row r="2806" spans="1:4" x14ac:dyDescent="0.25">
      <c r="B2806" t="str">
        <f>HYPERLINK("https://www.chemistwarehouse.com.au/buy/72764/Maybelline-Color-Sensational-Color-Elixir-Lipgloss-Signatre-Scarlet"," Maybelline Color Sensational Color Elixir Lipgloss Signatre Scarlet")</f>
        <v xml:space="preserve"> Maybelline Color Sensational Color Elixir Lipgloss Signatre Scarlet</v>
      </c>
      <c r="C2806" t="s">
        <v>187</v>
      </c>
      <c r="D2806" t="s">
        <v>397</v>
      </c>
    </row>
    <row r="2807" spans="1:4" x14ac:dyDescent="0.25">
      <c r="B2807" t="str">
        <f>HYPERLINK("https://www.chemistwarehouse.com.au/buy/72765/Maybelline-Color-Sensational-Color-Elixir-Lipgloss-Mauve-Mystique"," Maybelline Color Sensational Color Elixir Lipgloss Mauve Mystique")</f>
        <v xml:space="preserve"> Maybelline Color Sensational Color Elixir Lipgloss Mauve Mystique</v>
      </c>
      <c r="C2807" t="s">
        <v>58</v>
      </c>
      <c r="D2807" t="s">
        <v>150</v>
      </c>
    </row>
    <row r="2808" spans="1:4" x14ac:dyDescent="0.25">
      <c r="A2808" t="s">
        <v>954</v>
      </c>
    </row>
    <row r="2809" spans="1:4" x14ac:dyDescent="0.25">
      <c r="B2809" t="str">
        <f>HYPERLINK("https://www.chemistwarehouse.com.au/buy/70439/Maybelline-Color-Sensational-Lipliner-Nude"," Maybelline Color Sensational Lipliner Nude")</f>
        <v xml:space="preserve"> Maybelline Color Sensational Lipliner Nude</v>
      </c>
      <c r="C2809" t="s">
        <v>92</v>
      </c>
      <c r="D2809" t="s">
        <v>641</v>
      </c>
    </row>
    <row r="2810" spans="1:4" x14ac:dyDescent="0.25">
      <c r="B2810" t="str">
        <f>HYPERLINK("https://www.chemistwarehouse.com.au/buy/70443/Maybelline-Color-Sensational-Lipliner-Red"," Maybelline Color Sensational Lipliner Red")</f>
        <v xml:space="preserve"> Maybelline Color Sensational Lipliner Red</v>
      </c>
      <c r="C2810" t="s">
        <v>92</v>
      </c>
      <c r="D2810" t="s">
        <v>641</v>
      </c>
    </row>
    <row r="2811" spans="1:4" x14ac:dyDescent="0.25">
      <c r="B2811" t="str">
        <f>HYPERLINK("https://www.chemistwarehouse.com.au/buy/70442/Maybelline-Color-Sensational-Lipliner-Raisin"," Maybelline Color Sensational Lipliner Raisin")</f>
        <v xml:space="preserve"> Maybelline Color Sensational Lipliner Raisin</v>
      </c>
      <c r="C2811" t="s">
        <v>92</v>
      </c>
      <c r="D2811" t="s">
        <v>641</v>
      </c>
    </row>
    <row r="2812" spans="1:4" x14ac:dyDescent="0.25">
      <c r="A2812" t="s">
        <v>955</v>
      </c>
    </row>
    <row r="2813" spans="1:4" x14ac:dyDescent="0.25">
      <c r="B2813" t="str">
        <f>HYPERLINK("https://www.chemistwarehouse.com.au/buy/82864/Maybelline-Superstay-Lip-Constantly-Cabernet"," Maybelline Superstay Lip Constantly Cabernet")</f>
        <v xml:space="preserve"> Maybelline Superstay Lip Constantly Cabernet</v>
      </c>
      <c r="C2813" t="s">
        <v>404</v>
      </c>
      <c r="D2813" t="s">
        <v>152</v>
      </c>
    </row>
    <row r="2814" spans="1:4" x14ac:dyDescent="0.25">
      <c r="A2814" t="s">
        <v>956</v>
      </c>
    </row>
    <row r="2815" spans="1:4" x14ac:dyDescent="0.25">
      <c r="B2815" t="str">
        <f>HYPERLINK("https://www.chemistwarehouse.com.au/buy/80039/Maybelline-Dream-Velvet-Foundation-Caramel-30ml"," Maybelline Dream Velvet Foundation Caramel 30ml")</f>
        <v xml:space="preserve"> Maybelline Dream Velvet Foundation Caramel 30ml</v>
      </c>
      <c r="C2815" t="s">
        <v>957</v>
      </c>
      <c r="D2815" t="s">
        <v>958</v>
      </c>
    </row>
    <row r="2816" spans="1:4" x14ac:dyDescent="0.25">
      <c r="B2816" t="str">
        <f>HYPERLINK("https://www.chemistwarehouse.com.au/buy/80040/Maybelline-Dream-Velvet-Foundation-Classic-Ivory-30ml"," Maybelline Dream Velvet Foundation Classic Ivory 30ml")</f>
        <v xml:space="preserve"> Maybelline Dream Velvet Foundation Classic Ivory 30ml</v>
      </c>
      <c r="C2816" t="s">
        <v>957</v>
      </c>
      <c r="D2816" t="s">
        <v>958</v>
      </c>
    </row>
    <row r="2817" spans="1:4" x14ac:dyDescent="0.25">
      <c r="B2817" t="str">
        <f>HYPERLINK("https://www.chemistwarehouse.com.au/buy/80041/Maybelline-Dream-Velvet-Foundation-Creamy-Natural-30ml"," Maybelline Dream Velvet Foundation Creamy Natural 30ml")</f>
        <v xml:space="preserve"> Maybelline Dream Velvet Foundation Creamy Natural 30ml</v>
      </c>
      <c r="C2817" t="s">
        <v>957</v>
      </c>
      <c r="D2817" t="s">
        <v>958</v>
      </c>
    </row>
    <row r="2818" spans="1:4" x14ac:dyDescent="0.25">
      <c r="B2818" t="str">
        <f>HYPERLINK("https://www.chemistwarehouse.com.au/buy/80042/Maybelline-Dream-Velvet-Foundation-Honey-Beige-30ml"," Maybelline Dream Velvet Foundation Honey Beige 30ml")</f>
        <v xml:space="preserve"> Maybelline Dream Velvet Foundation Honey Beige 30ml</v>
      </c>
      <c r="C2818" t="s">
        <v>957</v>
      </c>
      <c r="D2818" t="s">
        <v>958</v>
      </c>
    </row>
    <row r="2819" spans="1:4" x14ac:dyDescent="0.25">
      <c r="B2819" t="str">
        <f>HYPERLINK("https://www.chemistwarehouse.com.au/buy/80043/Maybelline-Dream-Velvet-Foundation-Ivory-30ml"," Maybelline Dream Velvet Foundation Ivory 30ml")</f>
        <v xml:space="preserve"> Maybelline Dream Velvet Foundation Ivory 30ml</v>
      </c>
      <c r="C2819" t="s">
        <v>957</v>
      </c>
      <c r="D2819" t="s">
        <v>958</v>
      </c>
    </row>
    <row r="2820" spans="1:4" x14ac:dyDescent="0.25">
      <c r="B2820" t="str">
        <f>HYPERLINK("https://www.chemistwarehouse.com.au/buy/80044/Maybelline-Dream-Velvet-Foundation-Natural-Beige-30ml"," Maybelline Dream Velvet Foundation Natural Beige 30ml")</f>
        <v xml:space="preserve"> Maybelline Dream Velvet Foundation Natural Beige 30ml</v>
      </c>
      <c r="C2820" t="s">
        <v>957</v>
      </c>
      <c r="D2820" t="s">
        <v>958</v>
      </c>
    </row>
    <row r="2821" spans="1:4" x14ac:dyDescent="0.25">
      <c r="B2821" t="str">
        <f>HYPERLINK("https://www.chemistwarehouse.com.au/buy/80045/Maybelline-Dream-Velvet-Foundation-Nude-30ml"," Maybelline Dream Velvet Foundation Nude 30ml")</f>
        <v xml:space="preserve"> Maybelline Dream Velvet Foundation Nude 30ml</v>
      </c>
      <c r="C2821" t="s">
        <v>957</v>
      </c>
      <c r="D2821" t="s">
        <v>958</v>
      </c>
    </row>
    <row r="2822" spans="1:4" x14ac:dyDescent="0.25">
      <c r="B2822" t="str">
        <f>HYPERLINK("https://www.chemistwarehouse.com.au/buy/80046/Maybelline-Dream-Velvet-Foundation-Porceln-Ivory-30ml"," Maybelline Dream Velvet Foundation Porceln Ivory 30ml")</f>
        <v xml:space="preserve"> Maybelline Dream Velvet Foundation Porceln Ivory 30ml</v>
      </c>
      <c r="C2822" t="s">
        <v>957</v>
      </c>
      <c r="D2822" t="s">
        <v>958</v>
      </c>
    </row>
    <row r="2823" spans="1:4" x14ac:dyDescent="0.25">
      <c r="B2823" t="str">
        <f>HYPERLINK("https://www.chemistwarehouse.com.au/buy/80047/Maybelline-Dream-Velvet-Foundation-Pure-Beige-30ml"," Maybelline Dream Velvet Foundation Pure Beige 30ml")</f>
        <v xml:space="preserve"> Maybelline Dream Velvet Foundation Pure Beige 30ml</v>
      </c>
      <c r="C2823" t="s">
        <v>957</v>
      </c>
      <c r="D2823" t="s">
        <v>958</v>
      </c>
    </row>
    <row r="2824" spans="1:4" x14ac:dyDescent="0.25">
      <c r="B2824" t="str">
        <f>HYPERLINK("https://www.chemistwarehouse.com.au/buy/80048/Maybelline-Dream-Velvet-Foundation-Sandy-Beige-30ml"," Maybelline Dream Velvet Foundation Sandy Beige 30ml")</f>
        <v xml:space="preserve"> Maybelline Dream Velvet Foundation Sandy Beige 30ml</v>
      </c>
      <c r="C2824" t="s">
        <v>957</v>
      </c>
      <c r="D2824" t="s">
        <v>958</v>
      </c>
    </row>
    <row r="2825" spans="1:4" x14ac:dyDescent="0.25">
      <c r="A2825" t="s">
        <v>959</v>
      </c>
    </row>
    <row r="2826" spans="1:4" x14ac:dyDescent="0.25">
      <c r="B2826" t="str">
        <f>HYPERLINK("https://www.chemistwarehouse.com.au/buy/76210/Maybelline-Fit-Me-Matte-Poreless-Foundation-Natural-Beige-30ml"," Maybelline Fit Me Matte Poreless Foundation Natural Beige 30ml")</f>
        <v xml:space="preserve"> Maybelline Fit Me Matte Poreless Foundation Natural Beige 30ml</v>
      </c>
      <c r="C2826" t="s">
        <v>65</v>
      </c>
      <c r="D2826" t="s">
        <v>27</v>
      </c>
    </row>
    <row r="2827" spans="1:4" x14ac:dyDescent="0.25">
      <c r="B2827" t="str">
        <f>HYPERLINK("https://www.chemistwarehouse.com.au/buy/76208/Maybelline-Fit-Me-Matte-Poreless-Foundation-Classic-Ivory-30ml"," Maybelline Fit Me Matte Poreless Foundation Classic Ivory 30ml")</f>
        <v xml:space="preserve"> Maybelline Fit Me Matte Poreless Foundation Classic Ivory 30ml</v>
      </c>
      <c r="C2827" t="s">
        <v>65</v>
      </c>
      <c r="D2827" t="s">
        <v>27</v>
      </c>
    </row>
    <row r="2828" spans="1:4" x14ac:dyDescent="0.25">
      <c r="B2828" t="str">
        <f>HYPERLINK("https://www.chemistwarehouse.com.au/buy/76209/Maybelline-Fit-Me-Matte-Poreless-Foundation-Ivory-30ml"," Maybelline Fit Me Matte Poreless Foundation Ivory 30ml")</f>
        <v xml:space="preserve"> Maybelline Fit Me Matte Poreless Foundation Ivory 30ml</v>
      </c>
      <c r="C2828" t="s">
        <v>65</v>
      </c>
      <c r="D2828" t="s">
        <v>27</v>
      </c>
    </row>
    <row r="2829" spans="1:4" x14ac:dyDescent="0.25">
      <c r="B2829" t="str">
        <f>HYPERLINK("https://www.chemistwarehouse.com.au/buy/76211/Maybelline-Fit-Me-Matte-Poreless-Foundation-Porcelain-30ml"," Maybelline Fit Me Matte Poreless Foundation Porcelain 30ml")</f>
        <v xml:space="preserve"> Maybelline Fit Me Matte Poreless Foundation Porcelain 30ml</v>
      </c>
      <c r="C2829" t="s">
        <v>65</v>
      </c>
      <c r="D2829" t="s">
        <v>27</v>
      </c>
    </row>
    <row r="2830" spans="1:4" x14ac:dyDescent="0.25">
      <c r="B2830" t="str">
        <f>HYPERLINK("https://www.chemistwarehouse.com.au/buy/76212/Maybelline-Fit-Me-Matte-Poreless-Foundation-Pure-Beige-30ml"," Maybelline Fit Me Matte Poreless Foundation Pure Beige 30ml")</f>
        <v xml:space="preserve"> Maybelline Fit Me Matte Poreless Foundation Pure Beige 30ml</v>
      </c>
      <c r="C2830" t="s">
        <v>65</v>
      </c>
      <c r="D2830" t="s">
        <v>27</v>
      </c>
    </row>
    <row r="2831" spans="1:4" x14ac:dyDescent="0.25">
      <c r="B2831" t="str">
        <f>HYPERLINK("https://www.chemistwarehouse.com.au/buy/76213/Maybelline-Fit-Me-Matte-Poreless-Foundation-Sun-Beige-30ml"," Maybelline Fit Me Matte Poreless Foundation Sun Beige 30ml")</f>
        <v xml:space="preserve"> Maybelline Fit Me Matte Poreless Foundation Sun Beige 30ml</v>
      </c>
      <c r="C2831" t="s">
        <v>65</v>
      </c>
      <c r="D2831" t="s">
        <v>27</v>
      </c>
    </row>
    <row r="2832" spans="1:4" x14ac:dyDescent="0.25">
      <c r="A2832" t="s">
        <v>960</v>
      </c>
    </row>
    <row r="2833" spans="1:4" x14ac:dyDescent="0.25">
      <c r="B2833" t="str">
        <f>HYPERLINK("https://www.chemistwarehouse.com.au/buy/75209/Maybelline-Mineral-Power-Natural-Perfecting-Powder-Foundation-Classic-Ivory"," Maybelline Mineral Power Natural Perfecting Powder Foundation Classic Ivory")</f>
        <v xml:space="preserve"> Maybelline Mineral Power Natural Perfecting Powder Foundation Classic Ivory</v>
      </c>
      <c r="C2833" t="s">
        <v>961</v>
      </c>
      <c r="D2833" t="s">
        <v>962</v>
      </c>
    </row>
    <row r="2834" spans="1:4" x14ac:dyDescent="0.25">
      <c r="B2834" t="str">
        <f>HYPERLINK("https://www.chemistwarehouse.com.au/buy/76262/Maybelline-Mineral-Powder-Foundation-Nude"," Maybelline Mineral Powder Foundation Nude ")</f>
        <v xml:space="preserve"> Maybelline Mineral Powder Foundation Nude </v>
      </c>
      <c r="C2834" t="s">
        <v>961</v>
      </c>
      <c r="D2834" t="s">
        <v>962</v>
      </c>
    </row>
    <row r="2835" spans="1:4" x14ac:dyDescent="0.25">
      <c r="A2835" t="s">
        <v>963</v>
      </c>
    </row>
    <row r="2836" spans="1:4" x14ac:dyDescent="0.25">
      <c r="B2836" t="str">
        <f>HYPERLINK("https://www.chemistwarehouse.com.au/buy/71303/Maybelline-Fit-Me-Foundation-Stick-Buff-Beige"," Maybelline Fit Me Foundation Stick Buff Beige")</f>
        <v xml:space="preserve"> Maybelline Fit Me Foundation Stick Buff Beige</v>
      </c>
      <c r="C2836" t="s">
        <v>964</v>
      </c>
      <c r="D2836" t="s">
        <v>965</v>
      </c>
    </row>
    <row r="2837" spans="1:4" x14ac:dyDescent="0.25">
      <c r="B2837" t="str">
        <f>HYPERLINK("https://www.chemistwarehouse.com.au/buy/71309/Maybelline-Fit-Me-Foundation-Stick-Porcelain"," Maybelline Fit Me Foundation Stick Porcelain")</f>
        <v xml:space="preserve"> Maybelline Fit Me Foundation Stick Porcelain</v>
      </c>
      <c r="C2837" t="s">
        <v>964</v>
      </c>
      <c r="D2837" t="s">
        <v>965</v>
      </c>
    </row>
    <row r="2838" spans="1:4" x14ac:dyDescent="0.25">
      <c r="B2838" t="str">
        <f>HYPERLINK("https://www.chemistwarehouse.com.au/buy/71312/Maybelline-Fit-Me-Foundation-Stick-Toffee"," Maybelline Fit Me Foundation Stick Toffee")</f>
        <v xml:space="preserve"> Maybelline Fit Me Foundation Stick Toffee</v>
      </c>
      <c r="C2838" t="s">
        <v>964</v>
      </c>
      <c r="D2838" t="s">
        <v>965</v>
      </c>
    </row>
    <row r="2839" spans="1:4" x14ac:dyDescent="0.25">
      <c r="A2839" t="s">
        <v>966</v>
      </c>
    </row>
    <row r="2840" spans="1:4" x14ac:dyDescent="0.25">
      <c r="B2840" t="str">
        <f>HYPERLINK("https://www.chemistwarehouse.com.au/buy/68289/Maybelline-Fit-Me-Foundation-Nude-Beige"," Maybelline Fit Me Foundation Nude Beige")</f>
        <v xml:space="preserve"> Maybelline Fit Me Foundation Nude Beige</v>
      </c>
      <c r="C2840" t="s">
        <v>65</v>
      </c>
      <c r="D2840" t="s">
        <v>27</v>
      </c>
    </row>
    <row r="2841" spans="1:4" x14ac:dyDescent="0.25">
      <c r="B2841" t="str">
        <f>HYPERLINK("https://www.chemistwarehouse.com.au/buy/68286/Maybelline-Fit-Me-Foundation-Medium-Buff"," Maybelline Fit Me Foundation Medium Buff")</f>
        <v xml:space="preserve"> Maybelline Fit Me Foundation Medium Buff</v>
      </c>
      <c r="C2841" t="s">
        <v>65</v>
      </c>
      <c r="D2841" t="s">
        <v>27</v>
      </c>
    </row>
    <row r="2842" spans="1:4" x14ac:dyDescent="0.25">
      <c r="B2842" t="str">
        <f>HYPERLINK("https://www.chemistwarehouse.com.au/buy/68287/Maybelline-Fit-Me-Foundation-Natural-Beige"," Maybelline Fit Me Foundation Natural Beige")</f>
        <v xml:space="preserve"> Maybelline Fit Me Foundation Natural Beige</v>
      </c>
      <c r="C2842" t="s">
        <v>65</v>
      </c>
      <c r="D2842" t="s">
        <v>27</v>
      </c>
    </row>
    <row r="2843" spans="1:4" x14ac:dyDescent="0.25">
      <c r="B2843" t="str">
        <f>HYPERLINK("https://www.chemistwarehouse.com.au/buy/68288/Maybelline-Fit-Me-Foundation-Natural-Buff"," Maybelline Fit Me Foundation Natural Buff")</f>
        <v xml:space="preserve"> Maybelline Fit Me Foundation Natural Buff</v>
      </c>
      <c r="C2843" t="s">
        <v>65</v>
      </c>
      <c r="D2843" t="s">
        <v>27</v>
      </c>
    </row>
    <row r="2844" spans="1:4" x14ac:dyDescent="0.25">
      <c r="B2844" t="str">
        <f>HYPERLINK("https://www.chemistwarehouse.com.au/buy/68282/Maybelline-Fit-Me-Foundation-Classic-Ivory"," Maybelline Fit Me Foundation Classic Ivory")</f>
        <v xml:space="preserve"> Maybelline Fit Me Foundation Classic Ivory</v>
      </c>
      <c r="C2844" t="s">
        <v>65</v>
      </c>
      <c r="D2844" t="s">
        <v>27</v>
      </c>
    </row>
    <row r="2845" spans="1:4" x14ac:dyDescent="0.25">
      <c r="B2845" t="str">
        <f>HYPERLINK("https://www.chemistwarehouse.com.au/buy/68285/Maybelline-Fit-Me-Foundation-Ivory"," Maybelline Fit Me Foundation Ivory")</f>
        <v xml:space="preserve"> Maybelline Fit Me Foundation Ivory</v>
      </c>
      <c r="C2845" t="s">
        <v>65</v>
      </c>
      <c r="D2845" t="s">
        <v>27</v>
      </c>
    </row>
    <row r="2846" spans="1:4" x14ac:dyDescent="0.25">
      <c r="B2846" t="str">
        <f>HYPERLINK("https://www.chemistwarehouse.com.au/buy/68290/Maybelline-Fit-Me-Foundation-Pure-Beige"," Maybelline Fit Me Foundation Pure Beige")</f>
        <v xml:space="preserve"> Maybelline Fit Me Foundation Pure Beige</v>
      </c>
      <c r="C2846" t="s">
        <v>65</v>
      </c>
      <c r="D2846" t="s">
        <v>27</v>
      </c>
    </row>
    <row r="2847" spans="1:4" x14ac:dyDescent="0.25">
      <c r="B2847" t="str">
        <f>HYPERLINK("https://www.chemistwarehouse.com.au/buy/68291/Maybelline-Fit-Me-Foundation-Sandy-Beige"," Maybelline Fit Me Foundation Sandy Beige")</f>
        <v xml:space="preserve"> Maybelline Fit Me Foundation Sandy Beige</v>
      </c>
      <c r="C2847" t="s">
        <v>65</v>
      </c>
      <c r="D2847" t="s">
        <v>27</v>
      </c>
    </row>
    <row r="2848" spans="1:4" x14ac:dyDescent="0.25">
      <c r="B2848" t="str">
        <f>HYPERLINK("https://www.chemistwarehouse.com.au/buy/68292/Maybelline-Fit-Me-Foundation-Sun-Beige"," Maybelline Fit Me Foundation Sun Beige")</f>
        <v xml:space="preserve"> Maybelline Fit Me Foundation Sun Beige</v>
      </c>
      <c r="C2848" t="s">
        <v>65</v>
      </c>
      <c r="D2848" t="s">
        <v>27</v>
      </c>
    </row>
    <row r="2849" spans="1:4" x14ac:dyDescent="0.25">
      <c r="A2849" t="s">
        <v>967</v>
      </c>
    </row>
    <row r="2850" spans="1:4" x14ac:dyDescent="0.25">
      <c r="B2850" t="str">
        <f>HYPERLINK("https://www.chemistwarehouse.com.au/buy/70188/Maybelline-Dream-Matte-Mousse-Liquid-Makeup-Creamy-Natural"," Maybelline Dream Matte Mousse Liquid Makeup Creamy Natural ")</f>
        <v xml:space="preserve"> Maybelline Dream Matte Mousse Liquid Makeup Creamy Natural </v>
      </c>
      <c r="C2850" t="s">
        <v>957</v>
      </c>
      <c r="D2850" t="s">
        <v>958</v>
      </c>
    </row>
    <row r="2851" spans="1:4" x14ac:dyDescent="0.25">
      <c r="B2851" t="str">
        <f>HYPERLINK("https://www.chemistwarehouse.com.au/buy/70203/Maybelline-Dream-Matte-Mousse-Makeup-Sandy-Beige"," Maybelline Dream Matte Mousse Makeup Sandy Beige")</f>
        <v xml:space="preserve"> Maybelline Dream Matte Mousse Makeup Sandy Beige</v>
      </c>
      <c r="C2851" t="s">
        <v>957</v>
      </c>
      <c r="D2851" t="s">
        <v>968</v>
      </c>
    </row>
    <row r="2852" spans="1:4" x14ac:dyDescent="0.25">
      <c r="B2852" t="str">
        <f>HYPERLINK("https://www.chemistwarehouse.com.au/buy/70187/Maybelline-Dream-Matte-Mousse-Liquid-Makeup-Classic-Ivory"," Maybelline Dream Matte Mousse Liquid Makeup Classic Ivory")</f>
        <v xml:space="preserve"> Maybelline Dream Matte Mousse Liquid Makeup Classic Ivory</v>
      </c>
      <c r="C2852" t="s">
        <v>957</v>
      </c>
      <c r="D2852" t="s">
        <v>958</v>
      </c>
    </row>
    <row r="2853" spans="1:4" x14ac:dyDescent="0.25">
      <c r="B2853" t="str">
        <f>HYPERLINK("https://www.chemistwarehouse.com.au/buy/70189/Maybelline-Dream-Matte-Mousse-Liquid-Makeup-Honey-Beige"," Maybelline Dream Matte Mousse Liquid Makeup Honey Beige")</f>
        <v xml:space="preserve"> Maybelline Dream Matte Mousse Liquid Makeup Honey Beige</v>
      </c>
      <c r="C2853" t="s">
        <v>957</v>
      </c>
      <c r="D2853" t="s">
        <v>958</v>
      </c>
    </row>
    <row r="2854" spans="1:4" x14ac:dyDescent="0.25">
      <c r="B2854" t="str">
        <f>HYPERLINK("https://www.chemistwarehouse.com.au/buy/70190/Maybelline-Dream-Matte-Mousse-Liquid-Makeup-Natural-Beige"," Maybelline Dream Matte Mousse Liquid Makeup Natural Beige")</f>
        <v xml:space="preserve"> Maybelline Dream Matte Mousse Liquid Makeup Natural Beige</v>
      </c>
      <c r="C2854" t="s">
        <v>957</v>
      </c>
      <c r="D2854" t="s">
        <v>958</v>
      </c>
    </row>
    <row r="2855" spans="1:4" x14ac:dyDescent="0.25">
      <c r="B2855" t="str">
        <f>HYPERLINK("https://www.chemistwarehouse.com.au/buy/70191/Maybelline-Dream-Matte-Mousse-Liquid-Makeup-Natural-Ivory"," Maybelline Dream Matte Mousse Liquid Makeup Natural Ivory")</f>
        <v xml:space="preserve"> Maybelline Dream Matte Mousse Liquid Makeup Natural Ivory</v>
      </c>
      <c r="C2855" t="s">
        <v>957</v>
      </c>
      <c r="D2855" t="s">
        <v>958</v>
      </c>
    </row>
    <row r="2856" spans="1:4" x14ac:dyDescent="0.25">
      <c r="B2856" t="str">
        <f>HYPERLINK("https://www.chemistwarehouse.com.au/buy/70192/Maybelline-Dream-Matte-Mousse-Liquid-Makeup-Nude"," Maybelline Dream Matte Mousse Liquid Makeup Nude")</f>
        <v xml:space="preserve"> Maybelline Dream Matte Mousse Liquid Makeup Nude</v>
      </c>
      <c r="C2856" t="s">
        <v>957</v>
      </c>
      <c r="D2856" t="s">
        <v>958</v>
      </c>
    </row>
    <row r="2857" spans="1:4" x14ac:dyDescent="0.25">
      <c r="B2857" t="str">
        <f>HYPERLINK("https://www.chemistwarehouse.com.au/buy/70193/Maybelline-Dream-Matte-Mousse-Liquid-Makeup-Nude-Beige"," Maybelline Dream Matte Mousse Liquid Makeup Nude Beige")</f>
        <v xml:space="preserve"> Maybelline Dream Matte Mousse Liquid Makeup Nude Beige</v>
      </c>
      <c r="C2857" t="s">
        <v>957</v>
      </c>
      <c r="D2857" t="s">
        <v>958</v>
      </c>
    </row>
    <row r="2858" spans="1:4" x14ac:dyDescent="0.25">
      <c r="B2858" t="str">
        <f>HYPERLINK("https://www.chemistwarehouse.com.au/buy/70194/Maybelline-Dream-Matte-Mousse-Liquid-Makeup-Porcelain-Ivory"," Maybelline Dream Matte Mousse Liquid Makeup Porcelain Ivory")</f>
        <v xml:space="preserve"> Maybelline Dream Matte Mousse Liquid Makeup Porcelain Ivory</v>
      </c>
      <c r="C2858" t="s">
        <v>957</v>
      </c>
      <c r="D2858" t="s">
        <v>958</v>
      </c>
    </row>
    <row r="2859" spans="1:4" x14ac:dyDescent="0.25">
      <c r="B2859" t="str">
        <f>HYPERLINK("https://www.chemistwarehouse.com.au/buy/70195/Maybelline-Dream-Matte-Mousse-Liquid-Makeup-Pure-Beige"," Maybelline Dream Matte Mousse Liquid Makeup Pure Beige")</f>
        <v xml:space="preserve"> Maybelline Dream Matte Mousse Liquid Makeup Pure Beige</v>
      </c>
      <c r="C2859" t="s">
        <v>957</v>
      </c>
      <c r="D2859" t="s">
        <v>958</v>
      </c>
    </row>
    <row r="2860" spans="1:4" x14ac:dyDescent="0.25">
      <c r="B2860" t="str">
        <f>HYPERLINK("https://www.chemistwarehouse.com.au/buy/70196/Maybelline-Dream-Matte-Mousse-Liquid-Makeup-Sandy-Beige"," Maybelline Dream Matte Mousse Liquid Makeup Sandy Beige")</f>
        <v xml:space="preserve"> Maybelline Dream Matte Mousse Liquid Makeup Sandy Beige</v>
      </c>
      <c r="C2860" t="s">
        <v>957</v>
      </c>
      <c r="D2860" t="s">
        <v>958</v>
      </c>
    </row>
    <row r="2861" spans="1:4" x14ac:dyDescent="0.25">
      <c r="B2861" t="str">
        <f>HYPERLINK("https://www.chemistwarehouse.com.au/buy/70199/Maybelline-Dream-Matte-Mousse-Makeup-Ivory"," Maybelline Dream Matte Mousse Makeup Ivory")</f>
        <v xml:space="preserve"> Maybelline Dream Matte Mousse Makeup Ivory</v>
      </c>
      <c r="C2861" t="s">
        <v>957</v>
      </c>
      <c r="D2861" t="s">
        <v>968</v>
      </c>
    </row>
    <row r="2862" spans="1:4" x14ac:dyDescent="0.25">
      <c r="B2862" t="str">
        <f>HYPERLINK("https://www.chemistwarehouse.com.au/buy/70200/Maybelline-Dream-Matte-Mousse-Makeup-Medium-Beige"," Maybelline Dream Matte Mousse Makeup Medium Beige")</f>
        <v xml:space="preserve"> Maybelline Dream Matte Mousse Makeup Medium Beige</v>
      </c>
      <c r="C2862" t="s">
        <v>957</v>
      </c>
      <c r="D2862" t="s">
        <v>968</v>
      </c>
    </row>
    <row r="2863" spans="1:4" x14ac:dyDescent="0.25">
      <c r="B2863" t="str">
        <f>HYPERLINK("https://www.chemistwarehouse.com.au/buy/70201/Maybelline-Dream-Matte-Mousse-Makeup-Nude"," Maybelline Dream Matte Mousse Makeup Nude")</f>
        <v xml:space="preserve"> Maybelline Dream Matte Mousse Makeup Nude</v>
      </c>
      <c r="C2863" t="s">
        <v>957</v>
      </c>
      <c r="D2863" t="s">
        <v>968</v>
      </c>
    </row>
    <row r="2864" spans="1:4" x14ac:dyDescent="0.25">
      <c r="B2864" t="str">
        <f>HYPERLINK("https://www.chemistwarehouse.com.au/buy/70202/Maybelline-Dream-Matte-Mousse-Makeup-Pure-Beige"," Maybelline Dream Matte Mousse Makeup Pure Beige")</f>
        <v xml:space="preserve"> Maybelline Dream Matte Mousse Makeup Pure Beige</v>
      </c>
      <c r="C2864" t="s">
        <v>957</v>
      </c>
      <c r="D2864" t="s">
        <v>968</v>
      </c>
    </row>
    <row r="2865" spans="1:4" x14ac:dyDescent="0.25">
      <c r="A2865" t="s">
        <v>969</v>
      </c>
    </row>
    <row r="2866" spans="1:4" x14ac:dyDescent="0.25">
      <c r="B2866" t="str">
        <f>HYPERLINK("https://www.chemistwarehouse.com.au/buy/69068/Maybelline-Dream-Pure-BB-Cream-Light"," Maybelline Dream Pure BB Cream Light")</f>
        <v xml:space="preserve"> Maybelline Dream Pure BB Cream Light</v>
      </c>
      <c r="C2866" t="s">
        <v>970</v>
      </c>
      <c r="D2866" t="s">
        <v>971</v>
      </c>
    </row>
    <row r="2867" spans="1:4" x14ac:dyDescent="0.25">
      <c r="B2867" t="str">
        <f>HYPERLINK("https://www.chemistwarehouse.com.au/buy/69069/Maybelline-Dream-Fresh-BB-Cream-Medium-Deep"," Maybelline Dream Fresh BB Cream Medium Deep")</f>
        <v xml:space="preserve"> Maybelline Dream Fresh BB Cream Medium Deep</v>
      </c>
      <c r="C2867" t="s">
        <v>970</v>
      </c>
      <c r="D2867" t="s">
        <v>971</v>
      </c>
    </row>
    <row r="2868" spans="1:4" x14ac:dyDescent="0.25">
      <c r="B2868" t="str">
        <f>HYPERLINK("https://www.chemistwarehouse.com.au/buy/69070/Maybelline-Dream-Pure-BB-Cream-Medium"," Maybelline Dream Pure BB Cream Medium")</f>
        <v xml:space="preserve"> Maybelline Dream Pure BB Cream Medium</v>
      </c>
      <c r="C2868" t="s">
        <v>970</v>
      </c>
      <c r="D2868" t="s">
        <v>971</v>
      </c>
    </row>
    <row r="2869" spans="1:4" x14ac:dyDescent="0.25">
      <c r="B2869" t="str">
        <f>HYPERLINK("https://www.chemistwarehouse.com.au/buy/67644/Maybelline-Dream-Fresh-BB-Cream-Medium"," Maybelline Dream Fresh BB Cream Medium")</f>
        <v xml:space="preserve"> Maybelline Dream Fresh BB Cream Medium</v>
      </c>
      <c r="C2869" t="s">
        <v>970</v>
      </c>
      <c r="D2869" t="s">
        <v>971</v>
      </c>
    </row>
    <row r="2870" spans="1:4" x14ac:dyDescent="0.25">
      <c r="B2870" t="str">
        <f>HYPERLINK("https://www.chemistwarehouse.com.au/buy/67646/Maybelline-Dream-Fresh-BB-Cream-Light"," Maybelline Dream Fresh BB Cream Light")</f>
        <v xml:space="preserve"> Maybelline Dream Fresh BB Cream Light</v>
      </c>
      <c r="C2870" t="s">
        <v>970</v>
      </c>
      <c r="D2870" t="s">
        <v>971</v>
      </c>
    </row>
    <row r="2871" spans="1:4" x14ac:dyDescent="0.25">
      <c r="B2871" t="str">
        <f>HYPERLINK("https://www.chemistwarehouse.com.au/buy/67650/Maybelline-Dream-Fresh-BB-Cream-Fair"," Maybelline Dream Fresh BB Cream Fair")</f>
        <v xml:space="preserve"> Maybelline Dream Fresh BB Cream Fair</v>
      </c>
      <c r="C2871" t="s">
        <v>970</v>
      </c>
      <c r="D2871" t="s">
        <v>971</v>
      </c>
    </row>
    <row r="2872" spans="1:4" x14ac:dyDescent="0.25">
      <c r="A2872" t="s">
        <v>972</v>
      </c>
    </row>
    <row r="2873" spans="1:4" x14ac:dyDescent="0.25">
      <c r="B2873" t="str">
        <f>HYPERLINK("https://www.chemistwarehouse.com.au/buy/78464/Maybelline-Superstay-24-Hour-Foundation-003-True-Ivory-30ml"," Maybelline Superstay 24 Hour Foundation 003 True Ivory 30ml")</f>
        <v xml:space="preserve"> Maybelline Superstay 24 Hour Foundation 003 True Ivory 30ml</v>
      </c>
      <c r="C2873" t="s">
        <v>961</v>
      </c>
      <c r="D2873" t="s">
        <v>962</v>
      </c>
    </row>
    <row r="2874" spans="1:4" x14ac:dyDescent="0.25">
      <c r="B2874" t="str">
        <f>HYPERLINK("https://www.chemistwarehouse.com.au/buy/78465/Maybelline-Superstay-24-Hour-Foundation-005-Light-Beige-30ml"," Maybelline Superstay 24 Hour Foundation 005 Light Beige 30ml")</f>
        <v xml:space="preserve"> Maybelline Superstay 24 Hour Foundation 005 Light Beige 30ml</v>
      </c>
      <c r="C2874" t="s">
        <v>961</v>
      </c>
      <c r="D2874" t="s">
        <v>962</v>
      </c>
    </row>
    <row r="2875" spans="1:4" x14ac:dyDescent="0.25">
      <c r="B2875" t="str">
        <f>HYPERLINK("https://www.chemistwarehouse.com.au/buy/78466/Maybelline-Superstay-24-Hour-Foundation-010-Ivory-30ml"," Maybelline Superstay 24 Hour Foundation 010 Ivory 30ml")</f>
        <v xml:space="preserve"> Maybelline Superstay 24 Hour Foundation 010 Ivory 30ml</v>
      </c>
      <c r="C2875" t="s">
        <v>961</v>
      </c>
      <c r="D2875" t="s">
        <v>962</v>
      </c>
    </row>
    <row r="2876" spans="1:4" x14ac:dyDescent="0.25">
      <c r="B2876" t="str">
        <f>HYPERLINK("https://www.chemistwarehouse.com.au/buy/78468/Maybelline-Superstay-24-Hour-Foundation-030-Sand-30ml"," Maybelline Superstay 24 Hour Foundation 030 Sand 30ml")</f>
        <v xml:space="preserve"> Maybelline Superstay 24 Hour Foundation 030 Sand 30ml</v>
      </c>
      <c r="C2876" t="s">
        <v>961</v>
      </c>
      <c r="D2876" t="s">
        <v>962</v>
      </c>
    </row>
    <row r="2877" spans="1:4" x14ac:dyDescent="0.25">
      <c r="B2877" t="str">
        <f>HYPERLINK("https://www.chemistwarehouse.com.au/buy/78469/Maybelline-Superstay-24-Hour-Foundation-028-Soft-Beige-30ml"," Maybelline Superstay 24 Hour Foundation 028 Soft Beige 30ml")</f>
        <v xml:space="preserve"> Maybelline Superstay 24 Hour Foundation 028 Soft Beige 30ml</v>
      </c>
      <c r="C2877" t="s">
        <v>961</v>
      </c>
      <c r="D2877" t="s">
        <v>962</v>
      </c>
    </row>
    <row r="2878" spans="1:4" x14ac:dyDescent="0.25">
      <c r="B2878" t="str">
        <f>HYPERLINK("https://www.chemistwarehouse.com.au/buy/78470/Maybelline-Superstay-24-Hour-Foundation-032-Golden-Beige-30ml"," Maybelline Superstay 24 Hour Foundation 032 Golden Beige 30ml")</f>
        <v xml:space="preserve"> Maybelline Superstay 24 Hour Foundation 032 Golden Beige 30ml</v>
      </c>
      <c r="C2878" t="s">
        <v>961</v>
      </c>
      <c r="D2878" t="s">
        <v>962</v>
      </c>
    </row>
    <row r="2879" spans="1:4" x14ac:dyDescent="0.25">
      <c r="B2879" t="str">
        <f>HYPERLINK("https://www.chemistwarehouse.com.au/buy/78471/Maybelline-Superstay-24-Hour-Foundation-048-Sun-Beige-30ml"," Maybelline Superstay 24 Hour Foundation 048 Sun Beige 30ml")</f>
        <v xml:space="preserve"> Maybelline Superstay 24 Hour Foundation 048 Sun Beige 30ml</v>
      </c>
      <c r="C2879" t="s">
        <v>961</v>
      </c>
      <c r="D2879" t="s">
        <v>962</v>
      </c>
    </row>
    <row r="2880" spans="1:4" x14ac:dyDescent="0.25">
      <c r="A2880" t="s">
        <v>973</v>
      </c>
    </row>
    <row r="2881" spans="1:4" x14ac:dyDescent="0.25">
      <c r="B2881" t="str">
        <f>HYPERLINK("https://www.chemistwarehouse.com.au/buy/77925/Maybelline-Instant-Age-Rewind-Face-Pure-Beige-250"," Maybelline Instant Age Rewind Face Pure Beige 250")</f>
        <v xml:space="preserve"> Maybelline Instant Age Rewind Face Pure Beige 250</v>
      </c>
      <c r="C2881" t="s">
        <v>974</v>
      </c>
      <c r="D2881" t="s">
        <v>201</v>
      </c>
    </row>
    <row r="2882" spans="1:4" x14ac:dyDescent="0.25">
      <c r="B2882" t="str">
        <f>HYPERLINK("https://www.chemistwarehouse.com.au/buy/77926/Maybelline-Instant-Age-Rewind-Liquid-Foundation-Classic-Ivory-150"," Maybelline Instant Age Rewind Liquid Foundation Classic Ivory 150")</f>
        <v xml:space="preserve"> Maybelline Instant Age Rewind Liquid Foundation Classic Ivory 150</v>
      </c>
      <c r="C2882" t="s">
        <v>974</v>
      </c>
      <c r="D2882" t="s">
        <v>975</v>
      </c>
    </row>
    <row r="2883" spans="1:4" x14ac:dyDescent="0.25">
      <c r="B2883" t="str">
        <f>HYPERLINK("https://www.chemistwarehouse.com.au/buy/77927/Maybelline-Instant-Age-Rewind-Liquid-Foundation-Creamy-Ivory-120"," Maybelline Instant Age Rewind Liquid Foundation Creamy Ivory 120")</f>
        <v xml:space="preserve"> Maybelline Instant Age Rewind Liquid Foundation Creamy Ivory 120</v>
      </c>
      <c r="C2883" t="s">
        <v>974</v>
      </c>
      <c r="D2883" t="s">
        <v>975</v>
      </c>
    </row>
    <row r="2884" spans="1:4" x14ac:dyDescent="0.25">
      <c r="B2884" t="str">
        <f>HYPERLINK("https://www.chemistwarehouse.com.au/buy/77928/Maybelline-Instant-Age-Rewind-Liquid-Foundation-Medium-Beige-300"," Maybelline Instant Age Rewind Liquid Foundation Medium Beige 300")</f>
        <v xml:space="preserve"> Maybelline Instant Age Rewind Liquid Foundation Medium Beige 300</v>
      </c>
      <c r="C2884" t="s">
        <v>974</v>
      </c>
      <c r="D2884" t="s">
        <v>975</v>
      </c>
    </row>
    <row r="2885" spans="1:4" x14ac:dyDescent="0.25">
      <c r="B2885" t="str">
        <f>HYPERLINK("https://www.chemistwarehouse.com.au/buy/77929/Maybelline-Instant-Age-Rewind-Liquid-Foundation-Sandy-Beige-220"," Maybelline Instant Age Rewind Liquid Foundation Sandy Beige 220")</f>
        <v xml:space="preserve"> Maybelline Instant Age Rewind Liquid Foundation Sandy Beige 220</v>
      </c>
      <c r="C2885" t="s">
        <v>974</v>
      </c>
      <c r="D2885" t="s">
        <v>975</v>
      </c>
    </row>
    <row r="2886" spans="1:4" x14ac:dyDescent="0.25">
      <c r="B2886" t="str">
        <f>HYPERLINK("https://www.chemistwarehouse.com.au/buy/77924/Maybelline-Instant-Age-Rewind-Face-Creamy-Natural-200"," Maybelline Instant Age Rewind Face Creamy Natural 200")</f>
        <v xml:space="preserve"> Maybelline Instant Age Rewind Face Creamy Natural 200</v>
      </c>
      <c r="C2886" t="s">
        <v>974</v>
      </c>
      <c r="D2886" t="s">
        <v>201</v>
      </c>
    </row>
    <row r="2887" spans="1:4" x14ac:dyDescent="0.25">
      <c r="A2887" t="s">
        <v>976</v>
      </c>
    </row>
    <row r="2888" spans="1:4" x14ac:dyDescent="0.25">
      <c r="B2888" t="str">
        <f>HYPERLINK("https://www.chemistwarehouse.com.au/buy/72402/Maybelline-SuperStay-BetterSkin-Concealer-02-Light"," Maybelline SuperStay BetterSkin Concealer 02 Light")</f>
        <v xml:space="preserve"> Maybelline SuperStay BetterSkin Concealer 02 Light</v>
      </c>
      <c r="C2888" t="s">
        <v>212</v>
      </c>
      <c r="D2888" t="s">
        <v>799</v>
      </c>
    </row>
    <row r="2889" spans="1:4" x14ac:dyDescent="0.25">
      <c r="B2889" t="str">
        <f>HYPERLINK("https://www.chemistwarehouse.com.au/buy/72411/Maybelline-SuperStay-BetterSkin-Foundation-42-Sun-Beige-30ml"," Maybelline SuperStay BetterSkin Foundation 42 Sun Beige 30ml")</f>
        <v xml:space="preserve"> Maybelline SuperStay BetterSkin Foundation 42 Sun Beige 30ml</v>
      </c>
      <c r="C2889" t="s">
        <v>1</v>
      </c>
      <c r="D2889" t="s">
        <v>145</v>
      </c>
    </row>
    <row r="2890" spans="1:4" x14ac:dyDescent="0.25">
      <c r="A2890" t="s">
        <v>977</v>
      </c>
    </row>
    <row r="2891" spans="1:4" x14ac:dyDescent="0.25">
      <c r="B2891" t="str">
        <f>HYPERLINK("https://www.chemistwarehouse.com.au/buy/82739/Maybelline-Dream-Cushion-Foundation-01-Natural-Ivory"," Maybelline Dream Cushion Foundation 01 Natural Ivory")</f>
        <v xml:space="preserve"> Maybelline Dream Cushion Foundation 01 Natural Ivory</v>
      </c>
      <c r="C2891" t="s">
        <v>978</v>
      </c>
      <c r="D2891" t="s">
        <v>979</v>
      </c>
    </row>
    <row r="2892" spans="1:4" x14ac:dyDescent="0.25">
      <c r="B2892" t="str">
        <f>HYPERLINK("https://www.chemistwarehouse.com.au/buy/82740/Maybelline-Dream-Cushion-Foundation-10-Ivory"," Maybelline Dream Cushion Foundation 10 Ivory")</f>
        <v xml:space="preserve"> Maybelline Dream Cushion Foundation 10 Ivory</v>
      </c>
      <c r="C2892" t="s">
        <v>978</v>
      </c>
      <c r="D2892" t="s">
        <v>979</v>
      </c>
    </row>
    <row r="2893" spans="1:4" x14ac:dyDescent="0.25">
      <c r="B2893" t="str">
        <f>HYPERLINK("https://www.chemistwarehouse.com.au/buy/82741/Maybelline-Dream-Cushion-Foundation-21-Nude"," Maybelline Dream Cushion Foundation 21 Nude")</f>
        <v xml:space="preserve"> Maybelline Dream Cushion Foundation 21 Nude</v>
      </c>
      <c r="C2893" t="s">
        <v>978</v>
      </c>
      <c r="D2893" t="s">
        <v>979</v>
      </c>
    </row>
    <row r="2894" spans="1:4" x14ac:dyDescent="0.25">
      <c r="B2894" t="str">
        <f>HYPERLINK("https://www.chemistwarehouse.com.au/buy/82742/Maybelline-Dream-Cushion-Foundation-30-Sand"," Maybelline Dream Cushion Foundation 30 Sand")</f>
        <v xml:space="preserve"> Maybelline Dream Cushion Foundation 30 Sand</v>
      </c>
      <c r="C2894" t="s">
        <v>978</v>
      </c>
      <c r="D2894" t="s">
        <v>979</v>
      </c>
    </row>
    <row r="2895" spans="1:4" x14ac:dyDescent="0.25">
      <c r="B2895" t="str">
        <f>HYPERLINK("https://www.chemistwarehouse.com.au/buy/82743/Maybelline-Dream-Cushion-Foundation-40-Fawn"," Maybelline Dream Cushion Foundation 40 Fawn")</f>
        <v xml:space="preserve"> Maybelline Dream Cushion Foundation 40 Fawn</v>
      </c>
      <c r="C2895" t="s">
        <v>978</v>
      </c>
      <c r="D2895" t="s">
        <v>979</v>
      </c>
    </row>
    <row r="2896" spans="1:4" x14ac:dyDescent="0.25">
      <c r="B2896" t="str">
        <f>HYPERLINK("https://www.chemistwarehouse.com.au/buy/82744/Maybelline-Dream-Cushion-Foundation-48-Sun-Beige"," Maybelline Dream Cushion Foundation 48 Sun Beige")</f>
        <v xml:space="preserve"> Maybelline Dream Cushion Foundation 48 Sun Beige</v>
      </c>
      <c r="C2896" t="s">
        <v>978</v>
      </c>
      <c r="D2896" t="s">
        <v>979</v>
      </c>
    </row>
    <row r="2897" spans="1:4" x14ac:dyDescent="0.25">
      <c r="A2897" t="s">
        <v>980</v>
      </c>
    </row>
    <row r="2898" spans="1:4" x14ac:dyDescent="0.25">
      <c r="B2898" t="str">
        <f>HYPERLINK("https://www.chemistwarehouse.com.au/buy/73036/Maybelline-Matte-Maker-Powder-30-Natural-Beige"," Maybelline Matte Maker Powder 30 Natural Beige")</f>
        <v xml:space="preserve"> Maybelline Matte Maker Powder 30 Natural Beige</v>
      </c>
      <c r="C2898" t="s">
        <v>981</v>
      </c>
      <c r="D2898" t="s">
        <v>982</v>
      </c>
    </row>
    <row r="2899" spans="1:4" x14ac:dyDescent="0.25">
      <c r="B2899" t="str">
        <f>HYPERLINK("https://www.chemistwarehouse.com.au/buy/73035/Maybelline-Matte-Maker-Powder-10-Classic-Ivory"," Maybelline Matte Maker Powder 10 Classic Ivory")</f>
        <v xml:space="preserve"> Maybelline Matte Maker Powder 10 Classic Ivory</v>
      </c>
      <c r="C2899" t="s">
        <v>981</v>
      </c>
      <c r="D2899" t="s">
        <v>982</v>
      </c>
    </row>
    <row r="2900" spans="1:4" x14ac:dyDescent="0.25">
      <c r="A2900" t="s">
        <v>983</v>
      </c>
    </row>
    <row r="2901" spans="1:4" x14ac:dyDescent="0.25">
      <c r="B2901" t="str">
        <f>HYPERLINK("https://www.chemistwarehouse.com.au/buy/70176/Maybelline-Fit-Me-Powder-Nude-Beige"," Maybelline Fit Me Powder Nude Beige")</f>
        <v xml:space="preserve"> Maybelline Fit Me Powder Nude Beige</v>
      </c>
      <c r="C2901" t="s">
        <v>984</v>
      </c>
      <c r="D2901" t="s">
        <v>95</v>
      </c>
    </row>
    <row r="2902" spans="1:4" x14ac:dyDescent="0.25">
      <c r="B2902" t="str">
        <f>HYPERLINK("https://www.chemistwarehouse.com.au/buy/70178/Maybelline-Fit-Me-Powder-Natural-Beige"," Maybelline Fit Me Powder Natural Beige")</f>
        <v xml:space="preserve"> Maybelline Fit Me Powder Natural Beige</v>
      </c>
      <c r="C2902" t="s">
        <v>984</v>
      </c>
      <c r="D2902" t="s">
        <v>95</v>
      </c>
    </row>
    <row r="2903" spans="1:4" x14ac:dyDescent="0.25">
      <c r="B2903" t="str">
        <f>HYPERLINK("https://www.chemistwarehouse.com.au/buy/70179/Maybelline-Fit-Me-Powder-Medium-Buff"," Maybelline Fit Me Powder Medium Buff")</f>
        <v xml:space="preserve"> Maybelline Fit Me Powder Medium Buff</v>
      </c>
      <c r="C2903" t="s">
        <v>984</v>
      </c>
      <c r="D2903" t="s">
        <v>95</v>
      </c>
    </row>
    <row r="2904" spans="1:4" x14ac:dyDescent="0.25">
      <c r="B2904" t="str">
        <f>HYPERLINK("https://www.chemistwarehouse.com.au/buy/70183/Maybelline-Fit-Me-Powder-Classic-Ivory"," Maybelline Fit Me Powder Classic Ivory")</f>
        <v xml:space="preserve"> Maybelline Fit Me Powder Classic Ivory</v>
      </c>
      <c r="C2904" t="s">
        <v>984</v>
      </c>
      <c r="D2904" t="s">
        <v>95</v>
      </c>
    </row>
    <row r="2905" spans="1:4" x14ac:dyDescent="0.25">
      <c r="A2905" t="s">
        <v>985</v>
      </c>
    </row>
    <row r="2906" spans="1:4" x14ac:dyDescent="0.25">
      <c r="B2906" t="str">
        <f>HYPERLINK("https://www.chemistwarehouse.com.au/buy/60879/Maybelline-Shine-Free-Loose-Powder-Medium"," Maybelline Shine Free Loose Powder Medium")</f>
        <v xml:space="preserve"> Maybelline Shine Free Loose Powder Medium</v>
      </c>
      <c r="C2906" t="s">
        <v>964</v>
      </c>
      <c r="D2906" t="s">
        <v>965</v>
      </c>
    </row>
    <row r="2907" spans="1:4" x14ac:dyDescent="0.25">
      <c r="A2907" t="s">
        <v>986</v>
      </c>
    </row>
    <row r="2908" spans="1:4" x14ac:dyDescent="0.25">
      <c r="B2908" t="str">
        <f>HYPERLINK("https://www.chemistwarehouse.com.au/buy/78474/Maybelline-Superstay-Betterskin-Powder-10-Ivory"," Maybelline Superstay Betterskin Powder 10 Ivory")</f>
        <v xml:space="preserve"> Maybelline Superstay Betterskin Powder 10 Ivory</v>
      </c>
      <c r="C2908" t="s">
        <v>987</v>
      </c>
      <c r="D2908" t="s">
        <v>988</v>
      </c>
    </row>
    <row r="2909" spans="1:4" x14ac:dyDescent="0.25">
      <c r="B2909" t="str">
        <f>HYPERLINK("https://www.chemistwarehouse.com.au/buy/78475/Maybelline-Superstay-Betterskin-Powder-30-Sand"," Maybelline Superstay Betterskin Powder 30 Sand")</f>
        <v xml:space="preserve"> Maybelline Superstay Betterskin Powder 30 Sand</v>
      </c>
      <c r="C2909" t="s">
        <v>987</v>
      </c>
      <c r="D2909" t="s">
        <v>988</v>
      </c>
    </row>
    <row r="2910" spans="1:4" x14ac:dyDescent="0.25">
      <c r="A2910" t="s">
        <v>989</v>
      </c>
    </row>
    <row r="2911" spans="1:4" x14ac:dyDescent="0.25">
      <c r="B2911" t="str">
        <f>HYPERLINK("https://www.chemistwarehouse.com.au/buy/70170/Maybelline-Super-Stay-24-Hour-Powder-030-Sand"," Maybelline Super Stay 24 Hour Powder 030 Sand")</f>
        <v xml:space="preserve"> Maybelline Super Stay 24 Hour Powder 030 Sand</v>
      </c>
      <c r="C2911" t="s">
        <v>135</v>
      </c>
      <c r="D2911" t="s">
        <v>990</v>
      </c>
    </row>
    <row r="2912" spans="1:4" x14ac:dyDescent="0.25">
      <c r="B2912" t="str">
        <f>HYPERLINK("https://www.chemistwarehouse.com.au/buy/70172/Maybelline-Super-Stay-24-Hour-Powder-010-Ivory"," Maybelline Super Stay 24 Hour Powder 010 Ivory")</f>
        <v xml:space="preserve"> Maybelline Super Stay 24 Hour Powder 010 Ivory</v>
      </c>
      <c r="C2912" t="s">
        <v>135</v>
      </c>
      <c r="D2912" t="s">
        <v>990</v>
      </c>
    </row>
    <row r="2913" spans="1:4" x14ac:dyDescent="0.25">
      <c r="B2913" t="str">
        <f>HYPERLINK("https://www.chemistwarehouse.com.au/buy/70171/Maybelline-Super-Stay-24-Hour-Powder-021-Nude"," Maybelline Super Stay 24 Hour Powder 021 Nude")</f>
        <v xml:space="preserve"> Maybelline Super Stay 24 Hour Powder 021 Nude</v>
      </c>
      <c r="C2913" t="s">
        <v>135</v>
      </c>
      <c r="D2913" t="s">
        <v>990</v>
      </c>
    </row>
    <row r="2914" spans="1:4" x14ac:dyDescent="0.25">
      <c r="A2914" t="s">
        <v>991</v>
      </c>
    </row>
    <row r="2915" spans="1:4" x14ac:dyDescent="0.25">
      <c r="B2915" t="str">
        <f>HYPERLINK("https://www.chemistwarehouse.com.au/buy/80653/Maybelline-Master-Concealer-Light-Medium"," Maybelline Master Concealer Light/Medium")</f>
        <v xml:space="preserve"> Maybelline Master Concealer Light/Medium</v>
      </c>
      <c r="C2915" t="s">
        <v>970</v>
      </c>
      <c r="D2915" t="s">
        <v>971</v>
      </c>
    </row>
    <row r="2916" spans="1:4" x14ac:dyDescent="0.25">
      <c r="B2916" t="str">
        <f>HYPERLINK("https://www.chemistwarehouse.com.au/buy/80654/Maybelline-Master-Concealer-Fair"," Maybelline Master Concealer Fair")</f>
        <v xml:space="preserve"> Maybelline Master Concealer Fair</v>
      </c>
      <c r="C2916" t="s">
        <v>970</v>
      </c>
      <c r="D2916" t="s">
        <v>971</v>
      </c>
    </row>
    <row r="2917" spans="1:4" x14ac:dyDescent="0.25">
      <c r="B2917" t="str">
        <f>HYPERLINK("https://www.chemistwarehouse.com.au/buy/80655/Maybelline-Master-Concealer-Light"," Maybelline Master Concealer Light")</f>
        <v xml:space="preserve"> Maybelline Master Concealer Light</v>
      </c>
      <c r="C2917" t="s">
        <v>970</v>
      </c>
      <c r="D2917" t="s">
        <v>971</v>
      </c>
    </row>
    <row r="2918" spans="1:4" x14ac:dyDescent="0.25">
      <c r="B2918" t="str">
        <f>HYPERLINK("https://www.chemistwarehouse.com.au/buy/80656/Maybelline-Master-Concealer-Medium"," Maybelline Master Concealer Medium")</f>
        <v xml:space="preserve"> Maybelline Master Concealer Medium</v>
      </c>
      <c r="C2918" t="s">
        <v>970</v>
      </c>
      <c r="D2918" t="s">
        <v>971</v>
      </c>
    </row>
    <row r="2919" spans="1:4" x14ac:dyDescent="0.25">
      <c r="B2919" t="str">
        <f>HYPERLINK("https://www.chemistwarehouse.com.au/buy/80657/Maybelline-Master-Concealer-Medium-Deep"," Maybelline Master Concealer Medium/Deep")</f>
        <v xml:space="preserve"> Maybelline Master Concealer Medium/Deep</v>
      </c>
      <c r="C2919" t="s">
        <v>970</v>
      </c>
      <c r="D2919" t="s">
        <v>971</v>
      </c>
    </row>
    <row r="2920" spans="1:4" x14ac:dyDescent="0.25">
      <c r="A2920" t="s">
        <v>992</v>
      </c>
    </row>
    <row r="2921" spans="1:4" x14ac:dyDescent="0.25">
      <c r="B2921" t="str">
        <f>HYPERLINK("https://www.chemistwarehouse.com.au/buy/70373/Maybelline-Coverstick-Medium-Beige"," Maybelline Coverstick Medium Beige")</f>
        <v xml:space="preserve"> Maybelline Coverstick Medium Beige</v>
      </c>
      <c r="C2921" t="s">
        <v>993</v>
      </c>
      <c r="D2921" t="s">
        <v>994</v>
      </c>
    </row>
    <row r="2922" spans="1:4" x14ac:dyDescent="0.25">
      <c r="B2922" t="str">
        <f>HYPERLINK("https://www.chemistwarehouse.com.au/buy/70371/Maybelline-Coverstick-Green-Redness"," Maybelline Coverstick Green Redness")</f>
        <v xml:space="preserve"> Maybelline Coverstick Green Redness</v>
      </c>
      <c r="C2922" t="s">
        <v>993</v>
      </c>
      <c r="D2922" t="s">
        <v>994</v>
      </c>
    </row>
    <row r="2923" spans="1:4" x14ac:dyDescent="0.25">
      <c r="B2923" t="str">
        <f>HYPERLINK("https://www.chemistwarehouse.com.au/buy/70372/Maybelline-Coverstick-Ivory"," Maybelline Coverstick Ivory")</f>
        <v xml:space="preserve"> Maybelline Coverstick Ivory</v>
      </c>
      <c r="C2923" t="s">
        <v>993</v>
      </c>
      <c r="D2923" t="s">
        <v>994</v>
      </c>
    </row>
    <row r="2924" spans="1:4" x14ac:dyDescent="0.25">
      <c r="A2924" t="s">
        <v>995</v>
      </c>
    </row>
    <row r="2925" spans="1:4" x14ac:dyDescent="0.25">
      <c r="B2925" t="str">
        <f>HYPERLINK("https://www.chemistwarehouse.com.au/buy/68274/Maybelline-Dream-Lumi-Concealer-Sand"," Maybelline Dream Lumi Concealer Sand")</f>
        <v xml:space="preserve"> Maybelline Dream Lumi Concealer Sand</v>
      </c>
      <c r="C2925" t="s">
        <v>996</v>
      </c>
      <c r="D2925" t="s">
        <v>997</v>
      </c>
    </row>
    <row r="2926" spans="1:4" x14ac:dyDescent="0.25">
      <c r="B2926" t="str">
        <f>HYPERLINK("https://www.chemistwarehouse.com.au/buy/68272/Maybelline-Dream-Lumi-Concealer-Ivory"," Maybelline Dream Lumi Concealer Ivory")</f>
        <v xml:space="preserve"> Maybelline Dream Lumi Concealer Ivory</v>
      </c>
      <c r="C2926" t="s">
        <v>996</v>
      </c>
      <c r="D2926" t="s">
        <v>997</v>
      </c>
    </row>
    <row r="2927" spans="1:4" x14ac:dyDescent="0.25">
      <c r="B2927" t="str">
        <f>HYPERLINK("https://www.chemistwarehouse.com.au/buy/68273/Maybelline-Dream-Lumi-Concealer-Nude"," Maybelline Dream Lumi Concealer Nude")</f>
        <v xml:space="preserve"> Maybelline Dream Lumi Concealer Nude</v>
      </c>
      <c r="C2927" t="s">
        <v>996</v>
      </c>
      <c r="D2927" t="s">
        <v>997</v>
      </c>
    </row>
    <row r="2928" spans="1:4" x14ac:dyDescent="0.25">
      <c r="A2928" t="s">
        <v>998</v>
      </c>
    </row>
    <row r="2929" spans="1:4" x14ac:dyDescent="0.25">
      <c r="B2929" t="str">
        <f>HYPERLINK("https://www.chemistwarehouse.com.au/buy/68277/Maybelline-Fit-Me-Concealer-Fair"," Maybelline Fit Me Concealer Fair")</f>
        <v xml:space="preserve"> Maybelline Fit Me Concealer Fair</v>
      </c>
      <c r="C2929" t="s">
        <v>984</v>
      </c>
      <c r="D2929" t="s">
        <v>95</v>
      </c>
    </row>
    <row r="2930" spans="1:4" x14ac:dyDescent="0.25">
      <c r="B2930" t="str">
        <f>HYPERLINK("https://www.chemistwarehouse.com.au/buy/68280/Maybelline-Fit-Me-Concealer-Sand"," Maybelline Fit Me Concealer Sand")</f>
        <v xml:space="preserve"> Maybelline Fit Me Concealer Sand</v>
      </c>
      <c r="C2930" t="s">
        <v>984</v>
      </c>
      <c r="D2930" t="s">
        <v>95</v>
      </c>
    </row>
    <row r="2931" spans="1:4" x14ac:dyDescent="0.25">
      <c r="B2931" t="str">
        <f>HYPERLINK("https://www.chemistwarehouse.com.au/buy/68278/Maybelline-Fit-Me-Concealer-Light"," Maybelline Fit Me Concealer Light")</f>
        <v xml:space="preserve"> Maybelline Fit Me Concealer Light</v>
      </c>
      <c r="C2931" t="s">
        <v>984</v>
      </c>
      <c r="D2931" t="s">
        <v>95</v>
      </c>
    </row>
    <row r="2932" spans="1:4" x14ac:dyDescent="0.25">
      <c r="B2932" t="str">
        <f>HYPERLINK("https://www.chemistwarehouse.com.au/buy/68279/Maybelline-Fit-Me-Concealer-Medium"," Maybelline Fit Me Concealer Medium")</f>
        <v xml:space="preserve"> Maybelline Fit Me Concealer Medium</v>
      </c>
      <c r="C2932" t="s">
        <v>340</v>
      </c>
      <c r="D2932">
        <v>0</v>
      </c>
    </row>
    <row r="2933" spans="1:4" x14ac:dyDescent="0.25">
      <c r="B2933" t="str">
        <f>HYPERLINK("https://www.chemistwarehouse.com.au/buy/68275/Maybelline-Fit-Me-Concealer-Cafe"," Maybelline Fit Me Concealer Cafe")</f>
        <v xml:space="preserve"> Maybelline Fit Me Concealer Cafe</v>
      </c>
      <c r="C2933" t="s">
        <v>984</v>
      </c>
      <c r="D2933" t="s">
        <v>95</v>
      </c>
    </row>
    <row r="2934" spans="1:4" x14ac:dyDescent="0.25">
      <c r="B2934" t="str">
        <f>HYPERLINK("https://www.chemistwarehouse.com.au/buy/68276/Maybelline-Fit-Me-Concealer-Deep"," Maybelline Fit Me Concealer Deep")</f>
        <v xml:space="preserve"> Maybelline Fit Me Concealer Deep</v>
      </c>
      <c r="C2934" t="s">
        <v>984</v>
      </c>
      <c r="D2934" t="s">
        <v>95</v>
      </c>
    </row>
    <row r="2935" spans="1:4" x14ac:dyDescent="0.25">
      <c r="A2935" t="s">
        <v>999</v>
      </c>
    </row>
    <row r="2936" spans="1:4" x14ac:dyDescent="0.25">
      <c r="B2936" t="str">
        <f>HYPERLINK("https://www.chemistwarehouse.com.au/buy/78467/Maybelline-Superstay-24-Hour-Foundation-021-Nude-Beige-30ml"," Maybelline Superstay 24 Hour Foundation 021 Nude Beige 30ml")</f>
        <v xml:space="preserve"> Maybelline Superstay 24 Hour Foundation 021 Nude Beige 30ml</v>
      </c>
      <c r="C2936" t="s">
        <v>961</v>
      </c>
      <c r="D2936" t="s">
        <v>962</v>
      </c>
    </row>
    <row r="2937" spans="1:4" x14ac:dyDescent="0.25">
      <c r="B2937" t="str">
        <f>HYPERLINK("https://www.chemistwarehouse.com.au/buy/78472/Maybelline-Superstay-24-Hour-Concealer-02-Light"," Maybelline Superstay 24 Hour Concealer 02 Light")</f>
        <v xml:space="preserve"> Maybelline Superstay 24 Hour Concealer 02 Light</v>
      </c>
      <c r="C2937" t="s">
        <v>984</v>
      </c>
      <c r="D2937" t="s">
        <v>95</v>
      </c>
    </row>
    <row r="2938" spans="1:4" x14ac:dyDescent="0.25">
      <c r="B2938" t="str">
        <f>HYPERLINK("https://www.chemistwarehouse.com.au/buy/78473/Maybelline-Superstay-24-Hour-Concealer-03-Medium"," Maybelline Superstay 24 Hour Concealer 03 Medium")</f>
        <v xml:space="preserve"> Maybelline Superstay 24 Hour Concealer 03 Medium</v>
      </c>
      <c r="C2938" t="s">
        <v>984</v>
      </c>
      <c r="D2938" t="s">
        <v>95</v>
      </c>
    </row>
    <row r="2939" spans="1:4" x14ac:dyDescent="0.25">
      <c r="A2939" t="s">
        <v>1000</v>
      </c>
    </row>
    <row r="2940" spans="1:4" x14ac:dyDescent="0.25">
      <c r="B2940" t="str">
        <f>HYPERLINK("https://www.chemistwarehouse.com.au/buy/68298/Maybelline-Instant-Age-Rewind-Eraser-Eye-Concealer-Medium"," Maybelline Instant Age Rewind Eraser Eye Concealer Medium")</f>
        <v xml:space="preserve"> Maybelline Instant Age Rewind Eraser Eye Concealer Medium</v>
      </c>
      <c r="C2940" t="s">
        <v>1001</v>
      </c>
      <c r="D2940" t="s">
        <v>201</v>
      </c>
    </row>
    <row r="2941" spans="1:4" x14ac:dyDescent="0.25">
      <c r="B2941" t="str">
        <f>HYPERLINK("https://www.chemistwarehouse.com.au/buy/68296/Maybelline-Instant-Age-Rewind-Eraser-Eye-Concealer-Fair"," Maybelline Instant Age Rewind Eraser Eye Concealer Fair")</f>
        <v xml:space="preserve"> Maybelline Instant Age Rewind Eraser Eye Concealer Fair</v>
      </c>
      <c r="C2941" t="s">
        <v>1001</v>
      </c>
      <c r="D2941" t="s">
        <v>201</v>
      </c>
    </row>
    <row r="2942" spans="1:4" x14ac:dyDescent="0.25">
      <c r="B2942" t="str">
        <f>HYPERLINK("https://www.chemistwarehouse.com.au/buy/68297/Maybelline-Instant-Age-Rewind-Eraser-Eye-Concealer-Light"," Maybelline Instant Age Rewind Eraser Eye Concealer Light")</f>
        <v xml:space="preserve"> Maybelline Instant Age Rewind Eraser Eye Concealer Light</v>
      </c>
      <c r="C2942" t="s">
        <v>1001</v>
      </c>
      <c r="D2942" t="s">
        <v>201</v>
      </c>
    </row>
    <row r="2943" spans="1:4" x14ac:dyDescent="0.25">
      <c r="B2943" t="str">
        <f>HYPERLINK("https://www.chemistwarehouse.com.au/buy/73219/Maybelline-Instant-Age-Rewind-Eraser-Eye-Concealer-Brightner"," Maybelline Instant Age Rewind Eraser Eye Concealer Brightner")</f>
        <v xml:space="preserve"> Maybelline Instant Age Rewind Eraser Eye Concealer Brightner</v>
      </c>
      <c r="C2943" t="s">
        <v>58</v>
      </c>
      <c r="D2943" t="s">
        <v>397</v>
      </c>
    </row>
    <row r="2944" spans="1:4" x14ac:dyDescent="0.25">
      <c r="A2944" t="s">
        <v>1002</v>
      </c>
    </row>
    <row r="2945" spans="1:4" x14ac:dyDescent="0.25">
      <c r="B2945" t="str">
        <f>HYPERLINK("https://www.chemistwarehouse.com.au/buy/80673/Maybelline-Master-Contour-Compact-Light-to-Medium"," Maybelline Master Contour Compact Light to Medium")</f>
        <v xml:space="preserve"> Maybelline Master Contour Compact Light to Medium</v>
      </c>
      <c r="C2945" t="s">
        <v>65</v>
      </c>
      <c r="D2945" t="s">
        <v>27</v>
      </c>
    </row>
    <row r="2946" spans="1:4" x14ac:dyDescent="0.25">
      <c r="B2946" t="str">
        <f>HYPERLINK("https://www.chemistwarehouse.com.au/buy/80674/Maybelline-Master-Contour-Compact-Medium-to-Deep"," Maybelline Master Contour Compact Medium to Deep")</f>
        <v xml:space="preserve"> Maybelline Master Contour Compact Medium to Deep</v>
      </c>
      <c r="C2946" t="s">
        <v>65</v>
      </c>
      <c r="D2946" t="s">
        <v>27</v>
      </c>
    </row>
    <row r="2947" spans="1:4" x14ac:dyDescent="0.25">
      <c r="A2947" t="s">
        <v>1003</v>
      </c>
    </row>
    <row r="2948" spans="1:4" x14ac:dyDescent="0.25">
      <c r="B2948" t="str">
        <f>HYPERLINK("https://www.chemistwarehouse.com.au/buy/75204/Maybelline-Master-Glaze-Blush-Stick-Pink-Fever"," Maybelline Master Glaze Blush Stick Pink Fever")</f>
        <v xml:space="preserve"> Maybelline Master Glaze Blush Stick Pink Fever</v>
      </c>
      <c r="C2948" t="s">
        <v>228</v>
      </c>
      <c r="D2948" t="s">
        <v>329</v>
      </c>
    </row>
    <row r="2949" spans="1:4" x14ac:dyDescent="0.25">
      <c r="A2949" t="s">
        <v>1004</v>
      </c>
    </row>
    <row r="2950" spans="1:4" x14ac:dyDescent="0.25">
      <c r="B2950" t="str">
        <f>HYPERLINK("https://www.chemistwarehouse.com.au/buy/70393/Maybelline-Fit-Me-Blush-Medium-Pink"," Maybelline Fit Me Blush Medium Pink")</f>
        <v xml:space="preserve"> Maybelline Fit Me Blush Medium Pink</v>
      </c>
      <c r="C2950" t="s">
        <v>984</v>
      </c>
      <c r="D2950" t="s">
        <v>95</v>
      </c>
    </row>
    <row r="2951" spans="1:4" x14ac:dyDescent="0.25">
      <c r="A2951" t="s">
        <v>1005</v>
      </c>
    </row>
    <row r="2952" spans="1:4" x14ac:dyDescent="0.25">
      <c r="B2952" t="str">
        <f>HYPERLINK("https://www.chemistwarehouse.com.au/buy/76560/Maybelline-Face-Studio-Master-Sculpt-Powder-01-Light"," Maybelline Face Studio Master Sculpt Powder 01 Light")</f>
        <v xml:space="preserve"> Maybelline Face Studio Master Sculpt Powder 01 Light</v>
      </c>
      <c r="C2952" t="s">
        <v>65</v>
      </c>
      <c r="D2952" t="s">
        <v>27</v>
      </c>
    </row>
    <row r="2953" spans="1:4" x14ac:dyDescent="0.25">
      <c r="B2953" t="str">
        <f>HYPERLINK("https://www.chemistwarehouse.com.au/buy/76561/Maybelline-Face-Studio-Master-Sculpt-Powder-02-Medium"," Maybelline Face Studio Master Sculpt Powder 02 Medium")</f>
        <v xml:space="preserve"> Maybelline Face Studio Master Sculpt Powder 02 Medium</v>
      </c>
      <c r="C2953" t="s">
        <v>65</v>
      </c>
      <c r="D2953" t="s">
        <v>27</v>
      </c>
    </row>
    <row r="2954" spans="1:4" x14ac:dyDescent="0.25">
      <c r="A2954" t="s">
        <v>1006</v>
      </c>
    </row>
    <row r="2955" spans="1:4" x14ac:dyDescent="0.25">
      <c r="B2955" t="str">
        <f>HYPERLINK("https://www.chemistwarehouse.com.au/buy/70396/Maybelline-Fit-Me-Bronzer-Medium-Bronze"," Maybelline Fit Me Bronzer Medium Bronze")</f>
        <v xml:space="preserve"> Maybelline Fit Me Bronzer Medium Bronze</v>
      </c>
      <c r="C2955" t="s">
        <v>984</v>
      </c>
      <c r="D2955" t="s">
        <v>95</v>
      </c>
    </row>
    <row r="2956" spans="1:4" x14ac:dyDescent="0.25">
      <c r="A2956" t="s">
        <v>1007</v>
      </c>
    </row>
    <row r="2957" spans="1:4" x14ac:dyDescent="0.25">
      <c r="B2957" t="str">
        <f>HYPERLINK("https://www.chemistwarehouse.com.au/buy/66909/Maybelline-Dream-Terra-Sun-03-Bronze-Soleil"," Maybelline Dream Terra Sun 03 Bronze Soleil")</f>
        <v xml:space="preserve"> Maybelline Dream Terra Sun 03 Bronze Soleil</v>
      </c>
      <c r="C2957" t="s">
        <v>228</v>
      </c>
      <c r="D2957" t="s">
        <v>329</v>
      </c>
    </row>
    <row r="2958" spans="1:4" x14ac:dyDescent="0.25">
      <c r="A2958" t="s">
        <v>1008</v>
      </c>
    </row>
    <row r="2959" spans="1:4" x14ac:dyDescent="0.25">
      <c r="B2959" t="str">
        <f>HYPERLINK("https://www.chemistwarehouse.com.au/buy/80672/Maybelline-Master-Fixing-Mist-100ml"," Maybelline Master Fixing Mist 100ml")</f>
        <v xml:space="preserve"> Maybelline Master Fixing Mist 100ml</v>
      </c>
      <c r="C2959" t="s">
        <v>970</v>
      </c>
      <c r="D2959" t="s">
        <v>971</v>
      </c>
    </row>
    <row r="2960" spans="1:4" x14ac:dyDescent="0.25">
      <c r="A2960" t="s">
        <v>1009</v>
      </c>
    </row>
    <row r="2961" spans="1:4" x14ac:dyDescent="0.25">
      <c r="B2961" t="str">
        <f>HYPERLINK("https://www.chemistwarehouse.com.au/buy/76525/Maybelline-Baby-Skin-Pore-Eraser-20ml"," Maybelline Baby Skin Pore Eraser 20ml")</f>
        <v xml:space="preserve"> Maybelline Baby Skin Pore Eraser 20ml</v>
      </c>
      <c r="C2961" t="s">
        <v>970</v>
      </c>
      <c r="D2961" t="s">
        <v>971</v>
      </c>
    </row>
    <row r="2962" spans="1:4" x14ac:dyDescent="0.25">
      <c r="A2962" t="s">
        <v>1010</v>
      </c>
    </row>
    <row r="2963" spans="1:4" x14ac:dyDescent="0.25">
      <c r="B2963" t="str">
        <f>HYPERLINK("https://www.chemistwarehouse.com.au/buy/70220/Maybelline-Instant-Age-Rewind-Primer-C"," Maybelline Instant Age Rewind Primer C")</f>
        <v xml:space="preserve"> Maybelline Instant Age Rewind Primer C</v>
      </c>
      <c r="C2963" t="s">
        <v>964</v>
      </c>
      <c r="D2963" t="s">
        <v>965</v>
      </c>
    </row>
    <row r="2964" spans="1:4" x14ac:dyDescent="0.25">
      <c r="A2964" t="s">
        <v>1011</v>
      </c>
    </row>
    <row r="2965" spans="1:4" x14ac:dyDescent="0.25">
      <c r="B2965" t="str">
        <f>HYPERLINK("https://www.chemistwarehouse.com.au/buy/80652/Maybelline-Brow-Drama-Crayon-Medium-Brown"," Maybelline Brow Drama Crayon Medium Brown")</f>
        <v xml:space="preserve"> Maybelline Brow Drama Crayon Medium Brown</v>
      </c>
      <c r="C2965" t="s">
        <v>212</v>
      </c>
      <c r="D2965" t="s">
        <v>799</v>
      </c>
    </row>
    <row r="2966" spans="1:4" x14ac:dyDescent="0.25">
      <c r="B2966" t="str">
        <f>HYPERLINK("https://www.chemistwarehouse.com.au/buy/80679/Maybelline-Lasting-Drama-Gel-Pencil"," Maybelline Lasting Drama Gel Pencil")</f>
        <v xml:space="preserve"> Maybelline Lasting Drama Gel Pencil</v>
      </c>
      <c r="C2966" t="s">
        <v>292</v>
      </c>
      <c r="D2966" t="s">
        <v>329</v>
      </c>
    </row>
    <row r="2967" spans="1:4" x14ac:dyDescent="0.25">
      <c r="B2967" t="str">
        <f>HYPERLINK("https://www.chemistwarehouse.com.au/buy/76550/Maybelline-Eye-Studio-Brow-Drama-Transparent"," Maybelline Eye Studio Brow Drama Transparent")</f>
        <v xml:space="preserve"> Maybelline Eye Studio Brow Drama Transparent</v>
      </c>
      <c r="C2967" t="s">
        <v>98</v>
      </c>
      <c r="D2967" t="s">
        <v>150</v>
      </c>
    </row>
    <row r="2968" spans="1:4" x14ac:dyDescent="0.25">
      <c r="B2968" t="str">
        <f>HYPERLINK("https://www.chemistwarehouse.com.au/buy/80650/Maybelline-Brow-Drama-Crayon-Dark-Blonde"," Maybelline Brow Drama Crayon Dark Blonde")</f>
        <v xml:space="preserve"> Maybelline Brow Drama Crayon Dark Blonde</v>
      </c>
      <c r="C2968" t="s">
        <v>212</v>
      </c>
      <c r="D2968" t="s">
        <v>799</v>
      </c>
    </row>
    <row r="2969" spans="1:4" x14ac:dyDescent="0.25">
      <c r="B2969" t="str">
        <f>HYPERLINK("https://www.chemistwarehouse.com.au/buy/80651/Maybelline-Brow-Drama-Crayon-Dark-Brown"," Maybelline Brow Drama Crayon Dark Brown")</f>
        <v xml:space="preserve"> Maybelline Brow Drama Crayon Dark Brown</v>
      </c>
      <c r="C2969" t="s">
        <v>212</v>
      </c>
      <c r="D2969" t="s">
        <v>799</v>
      </c>
    </row>
    <row r="2970" spans="1:4" x14ac:dyDescent="0.25">
      <c r="A2970" t="s">
        <v>1012</v>
      </c>
    </row>
    <row r="2971" spans="1:4" x14ac:dyDescent="0.25">
      <c r="B2971" t="str">
        <f>HYPERLINK("https://www.chemistwarehouse.com.au/buy/78463/Maybelline-Master-Brow-Pro-Palette-Soft-Brown"," Maybelline Master Brow Pro Palette Soft Brown")</f>
        <v xml:space="preserve"> Maybelline Master Brow Pro Palette Soft Brown</v>
      </c>
      <c r="C2971" t="s">
        <v>58</v>
      </c>
      <c r="D2971" t="s">
        <v>397</v>
      </c>
    </row>
    <row r="2972" spans="1:4" x14ac:dyDescent="0.25">
      <c r="B2972" t="str">
        <f>HYPERLINK("https://www.chemistwarehouse.com.au/buy/78462/Maybelline-Master-Brow-Pro-Palette-Deep-Brown"," Maybelline Master Brow Pro Palette Deep Brown")</f>
        <v xml:space="preserve"> Maybelline Master Brow Pro Palette Deep Brown</v>
      </c>
      <c r="C2972" t="s">
        <v>58</v>
      </c>
      <c r="D2972" t="s">
        <v>397</v>
      </c>
    </row>
    <row r="2973" spans="1:4" x14ac:dyDescent="0.25">
      <c r="A2973" t="s">
        <v>1013</v>
      </c>
    </row>
    <row r="2974" spans="1:4" x14ac:dyDescent="0.25">
      <c r="B2974" t="str">
        <f>HYPERLINK("https://www.chemistwarehouse.com.au/buy/76933/Maybelline-Eye-Studio-Brow-Satin-Med-Brown"," Maybelline Eye Studio Brow Satin Med Brown")</f>
        <v xml:space="preserve"> Maybelline Eye Studio Brow Satin Med Brown</v>
      </c>
      <c r="C2974" t="s">
        <v>292</v>
      </c>
      <c r="D2974" t="s">
        <v>329</v>
      </c>
    </row>
    <row r="2975" spans="1:4" x14ac:dyDescent="0.25">
      <c r="B2975" t="str">
        <f>HYPERLINK("https://www.chemistwarehouse.com.au/buy/76931/Maybelline-Eye-Studio-Brow-Satin-Dark-Blonde"," Maybelline Eye Studio Brow Satin Dark Blonde")</f>
        <v xml:space="preserve"> Maybelline Eye Studio Brow Satin Dark Blonde</v>
      </c>
      <c r="C2975" t="s">
        <v>292</v>
      </c>
      <c r="D2975" t="s">
        <v>329</v>
      </c>
    </row>
    <row r="2976" spans="1:4" x14ac:dyDescent="0.25">
      <c r="B2976" t="str">
        <f>HYPERLINK("https://www.chemistwarehouse.com.au/buy/76932/Maybelline-Eye-Studio-Brow-Satin-Dark-Brown"," Maybelline Eye Studio Brow Satin Dark Brown")</f>
        <v xml:space="preserve"> Maybelline Eye Studio Brow Satin Dark Brown</v>
      </c>
      <c r="C2976" t="s">
        <v>292</v>
      </c>
      <c r="D2976" t="s">
        <v>329</v>
      </c>
    </row>
    <row r="2977" spans="1:4" x14ac:dyDescent="0.25">
      <c r="A2977" t="s">
        <v>1014</v>
      </c>
    </row>
    <row r="2978" spans="1:4" x14ac:dyDescent="0.25">
      <c r="B2978" t="str">
        <f>HYPERLINK("https://www.chemistwarehouse.com.au/buy/73034/Maybelline-Eyestudio-Master-Sleek-Brow-Mascara-Medium-Brown"," Maybelline Eyestudio Master Sleek Brow Mascara Medium Brown")</f>
        <v xml:space="preserve"> Maybelline Eyestudio Master Sleek Brow Mascara Medium Brown</v>
      </c>
      <c r="C2978" t="s">
        <v>98</v>
      </c>
      <c r="D2978" t="s">
        <v>150</v>
      </c>
    </row>
    <row r="2979" spans="1:4" x14ac:dyDescent="0.25">
      <c r="B2979" t="str">
        <f>HYPERLINK("https://www.chemistwarehouse.com.au/buy/73033/Maybelline-Eyestudio-Master-Sleek-Brow-Mascara-Dark-Brown"," Maybelline Eyestudio Master Sleek Brow Mascara Dark Brown")</f>
        <v xml:space="preserve"> Maybelline Eyestudio Master Sleek Brow Mascara Dark Brown</v>
      </c>
      <c r="C2979" t="s">
        <v>98</v>
      </c>
      <c r="D2979" t="s">
        <v>150</v>
      </c>
    </row>
    <row r="2980" spans="1:4" x14ac:dyDescent="0.25">
      <c r="A2980" t="s">
        <v>1015</v>
      </c>
    </row>
    <row r="2981" spans="1:4" x14ac:dyDescent="0.25">
      <c r="B2981" t="str">
        <f>HYPERLINK("https://www.chemistwarehouse.com.au/buy/76551/Maybelline-Eye-Studio-Brow-Precise-Blonde"," Maybelline Eye Studio Brow Precise Blonde")</f>
        <v xml:space="preserve"> Maybelline Eye Studio Brow Precise Blonde</v>
      </c>
      <c r="C2981" t="s">
        <v>45</v>
      </c>
      <c r="D2981" t="s">
        <v>150</v>
      </c>
    </row>
    <row r="2982" spans="1:4" x14ac:dyDescent="0.25">
      <c r="B2982" t="str">
        <f>HYPERLINK("https://www.chemistwarehouse.com.au/buy/76552/Maybelline-Eye-Studio-Brow-Precise-Deep-Brown"," Maybelline Eye Studio Brow Precise Deep Brown")</f>
        <v xml:space="preserve"> Maybelline Eye Studio Brow Precise Deep Brown</v>
      </c>
      <c r="C2982" t="s">
        <v>45</v>
      </c>
      <c r="D2982" t="s">
        <v>150</v>
      </c>
    </row>
    <row r="2983" spans="1:4" x14ac:dyDescent="0.25">
      <c r="B2983" t="str">
        <f>HYPERLINK("https://www.chemistwarehouse.com.au/buy/76553/Maybelline-Eye-Studio-Brow-Precise-Soft-Brown"," Maybelline Eye Studio Brow Precise Soft Brown")</f>
        <v xml:space="preserve"> Maybelline Eye Studio Brow Precise Soft Brown</v>
      </c>
      <c r="C2983" t="s">
        <v>45</v>
      </c>
      <c r="D2983" t="s">
        <v>150</v>
      </c>
    </row>
    <row r="2984" spans="1:4" x14ac:dyDescent="0.25">
      <c r="A2984" t="s">
        <v>1016</v>
      </c>
    </row>
    <row r="2985" spans="1:4" x14ac:dyDescent="0.25">
      <c r="B2985" t="str">
        <f>HYPERLINK("https://www.chemistwarehouse.com.au/buy/79954/Maybelline-Master-Precise-Curvy-Liquid-Liner"," Maybelline Master Precise Curvy Liquid Liner")</f>
        <v xml:space="preserve"> Maybelline Master Precise Curvy Liquid Liner</v>
      </c>
      <c r="C2985" t="s">
        <v>292</v>
      </c>
      <c r="D2985" t="s">
        <v>329</v>
      </c>
    </row>
    <row r="2986" spans="1:4" x14ac:dyDescent="0.25">
      <c r="A2986" t="s">
        <v>1017</v>
      </c>
    </row>
    <row r="2987" spans="1:4" x14ac:dyDescent="0.25">
      <c r="B2987" t="str">
        <f>HYPERLINK("https://www.chemistwarehouse.com.au/buy/73015/Maybelline-Color-Show-Eyeliners-Beauty-Blue"," Maybelline Color Show Eyeliners Beauty Blue")</f>
        <v xml:space="preserve"> Maybelline Color Show Eyeliners Beauty Blue</v>
      </c>
      <c r="C2987" t="s">
        <v>375</v>
      </c>
      <c r="D2987" t="s">
        <v>325</v>
      </c>
    </row>
    <row r="2988" spans="1:4" x14ac:dyDescent="0.25">
      <c r="B2988" t="str">
        <f>HYPERLINK("https://www.chemistwarehouse.com.au/buy/73020/Maybelline-Color-Show-Eyeliners-Sparkle-Grey"," Maybelline Color Show Eyeliners Sparkle Grey")</f>
        <v xml:space="preserve"> Maybelline Color Show Eyeliners Sparkle Grey</v>
      </c>
      <c r="C2988" t="s">
        <v>375</v>
      </c>
      <c r="D2988" t="s">
        <v>325</v>
      </c>
    </row>
    <row r="2989" spans="1:4" x14ac:dyDescent="0.25">
      <c r="B2989" t="str">
        <f>HYPERLINK("https://www.chemistwarehouse.com.au/buy/73022/Maybelline-Color-Show-Eyeliners-Ultra-Black"," Maybelline Color Show Eyeliners Ultra Black")</f>
        <v xml:space="preserve"> Maybelline Color Show Eyeliners Ultra Black</v>
      </c>
      <c r="C2989" t="s">
        <v>375</v>
      </c>
      <c r="D2989" t="s">
        <v>325</v>
      </c>
    </row>
    <row r="2990" spans="1:4" x14ac:dyDescent="0.25">
      <c r="B2990" t="str">
        <f>HYPERLINK("https://www.chemistwarehouse.com.au/buy/73023/Maybelline-Color-Show-Eyeliners-Vibrant-Violet"," Maybelline Color Show Eyeliners Vibrant Violet")</f>
        <v xml:space="preserve"> Maybelline Color Show Eyeliners Vibrant Violet</v>
      </c>
      <c r="C2990" t="s">
        <v>375</v>
      </c>
      <c r="D2990" t="s">
        <v>325</v>
      </c>
    </row>
    <row r="2991" spans="1:4" x14ac:dyDescent="0.25">
      <c r="B2991" t="str">
        <f>HYPERLINK("https://www.chemistwarehouse.com.au/buy/73021/Maybelline-Color-Show-Eyeliners-Turquoise-Flash"," Maybelline Color Show Eyeliners Turquoise Flash")</f>
        <v xml:space="preserve"> Maybelline Color Show Eyeliners Turquoise Flash</v>
      </c>
      <c r="C2991" t="s">
        <v>375</v>
      </c>
      <c r="D2991" t="s">
        <v>325</v>
      </c>
    </row>
    <row r="2992" spans="1:4" x14ac:dyDescent="0.25">
      <c r="B2992" t="str">
        <f>HYPERLINK("https://www.chemistwarehouse.com.au/buy/73016/Maybelline-Color-Show-Eyeliners-Chocolate-Chip"," Maybelline Color Show Eyeliners Chocolate Chip")</f>
        <v xml:space="preserve"> Maybelline Color Show Eyeliners Chocolate Chip</v>
      </c>
      <c r="C2992" t="s">
        <v>375</v>
      </c>
      <c r="D2992" t="s">
        <v>325</v>
      </c>
    </row>
    <row r="2993" spans="1:4" x14ac:dyDescent="0.25">
      <c r="B2993" t="str">
        <f>HYPERLINK("https://www.chemistwarehouse.com.au/buy/73018/Maybelline-Color-Show-Eyeliners-Edgy-Emerald"," Maybelline Color Show Eyeliners Edgy Emerald")</f>
        <v xml:space="preserve"> Maybelline Color Show Eyeliners Edgy Emerald</v>
      </c>
      <c r="C2993" t="s">
        <v>375</v>
      </c>
      <c r="D2993" t="s">
        <v>325</v>
      </c>
    </row>
    <row r="2994" spans="1:4" x14ac:dyDescent="0.25">
      <c r="A2994" t="s">
        <v>1018</v>
      </c>
    </row>
    <row r="2995" spans="1:4" x14ac:dyDescent="0.25">
      <c r="B2995" t="str">
        <f>HYPERLINK("https://www.chemistwarehouse.com.au/buy/68293/Maybelline-Hyperglossy-Liquid-Eyeliner-Black"," Maybelline Hyperglossy Liquid Eyeliner Black")</f>
        <v xml:space="preserve"> Maybelline Hyperglossy Liquid Eyeliner Black</v>
      </c>
      <c r="C2995" t="s">
        <v>240</v>
      </c>
      <c r="D2995" t="s">
        <v>400</v>
      </c>
    </row>
    <row r="2996" spans="1:4" x14ac:dyDescent="0.25">
      <c r="A2996" t="s">
        <v>1019</v>
      </c>
    </row>
    <row r="2997" spans="1:4" x14ac:dyDescent="0.25">
      <c r="B2997" t="str">
        <f>HYPERLINK("https://www.chemistwarehouse.com.au/buy/70336/Maybelline-EyeStudio-Gel-Pot-Liner-Blackest-Black"," Maybelline EyeStudio Gel Pot Liner Blackest Black")</f>
        <v xml:space="preserve"> Maybelline EyeStudio Gel Pot Liner Blackest Black</v>
      </c>
      <c r="C2997" t="s">
        <v>292</v>
      </c>
      <c r="D2997" t="s">
        <v>329</v>
      </c>
    </row>
    <row r="2998" spans="1:4" x14ac:dyDescent="0.25">
      <c r="A2998" t="s">
        <v>1020</v>
      </c>
    </row>
    <row r="2999" spans="1:4" x14ac:dyDescent="0.25">
      <c r="B2999" t="str">
        <f>HYPERLINK("https://www.chemistwarehouse.com.au/buy/60933/Maybelline-Eyeliner-Line-Express-Ebony-Black-901"," Maybelline Eyeliner Line Express Ebony Black 901")</f>
        <v xml:space="preserve"> Maybelline Eyeliner Line Express Ebony Black 901</v>
      </c>
      <c r="C2999" t="s">
        <v>92</v>
      </c>
      <c r="D2999" t="s">
        <v>641</v>
      </c>
    </row>
    <row r="3000" spans="1:4" x14ac:dyDescent="0.25">
      <c r="A3000" t="s">
        <v>1021</v>
      </c>
    </row>
    <row r="3001" spans="1:4" x14ac:dyDescent="0.25">
      <c r="B3001" t="str">
        <f>HYPERLINK("https://www.chemistwarehouse.com.au/buy/68269/Maybelline-Eyeliner-Unstoppable-Espresso"," Maybelline Eyeliner Unstoppable Espresso")</f>
        <v xml:space="preserve"> Maybelline Eyeliner Unstoppable Espresso</v>
      </c>
      <c r="C3001" t="s">
        <v>202</v>
      </c>
      <c r="D3001" t="s">
        <v>817</v>
      </c>
    </row>
    <row r="3002" spans="1:4" x14ac:dyDescent="0.25">
      <c r="B3002" t="str">
        <f>HYPERLINK("https://www.chemistwarehouse.com.au/buy/68270/Maybelline-Eyeliner-Unstoppable-Onyx"," Maybelline Eyeliner Unstoppable Onyx")</f>
        <v xml:space="preserve"> Maybelline Eyeliner Unstoppable Onyx</v>
      </c>
      <c r="C3002" t="s">
        <v>202</v>
      </c>
      <c r="D3002" t="s">
        <v>817</v>
      </c>
    </row>
    <row r="3003" spans="1:4" x14ac:dyDescent="0.25">
      <c r="A3003" t="s">
        <v>1022</v>
      </c>
    </row>
    <row r="3004" spans="1:4" x14ac:dyDescent="0.25">
      <c r="B3004" t="str">
        <f>HYPERLINK("https://www.chemistwarehouse.com.au/buy/80372/Maybelline-Eye-Shadow-The-Blushed-Nudes-Palette"," Maybelline Eye Shadow The Blushed Nudes Palette")</f>
        <v xml:space="preserve"> Maybelline Eye Shadow The Blushed Nudes Palette</v>
      </c>
      <c r="C3004" t="s">
        <v>153</v>
      </c>
      <c r="D3004" t="s">
        <v>145</v>
      </c>
    </row>
    <row r="3005" spans="1:4" x14ac:dyDescent="0.25">
      <c r="A3005" t="s">
        <v>1023</v>
      </c>
    </row>
    <row r="3006" spans="1:4" x14ac:dyDescent="0.25">
      <c r="B3006" t="str">
        <f>HYPERLINK("https://www.chemistwarehouse.com.au/buy/78458/Maybelline-Color-Tattoo-Leather-Creamy-Beige"," Maybelline Color Tattoo Leather Creamy Beige")</f>
        <v xml:space="preserve"> Maybelline Color Tattoo Leather Creamy Beige</v>
      </c>
      <c r="C3006" t="s">
        <v>45</v>
      </c>
      <c r="D3006" t="s">
        <v>150</v>
      </c>
    </row>
    <row r="3007" spans="1:4" x14ac:dyDescent="0.25">
      <c r="B3007" t="str">
        <f>HYPERLINK("https://www.chemistwarehouse.com.au/buy/78459/Maybelline-Color-Tattoo-Leather-Dramatic-Black"," Maybelline Color Tattoo Leather Dramatic Black")</f>
        <v xml:space="preserve"> Maybelline Color Tattoo Leather Dramatic Black</v>
      </c>
      <c r="C3007" t="s">
        <v>45</v>
      </c>
      <c r="D3007" t="s">
        <v>150</v>
      </c>
    </row>
    <row r="3008" spans="1:4" x14ac:dyDescent="0.25">
      <c r="B3008" t="str">
        <f>HYPERLINK("https://www.chemistwarehouse.com.au/buy/78460/Maybelline-Color-Tattoo-Leather-Chocolate-Suede"," Maybelline Color Tattoo Leather Chocolate Suede")</f>
        <v xml:space="preserve"> Maybelline Color Tattoo Leather Chocolate Suede</v>
      </c>
      <c r="C3008" t="s">
        <v>45</v>
      </c>
      <c r="D3008" t="s">
        <v>150</v>
      </c>
    </row>
    <row r="3009" spans="1:4" x14ac:dyDescent="0.25">
      <c r="B3009" t="str">
        <f>HYPERLINK("https://www.chemistwarehouse.com.au/buy/78461/Maybelline-Color-Tattoo-Leather-Vintage-Plum"," Maybelline Color Tattoo Leather Vintage Plum")</f>
        <v xml:space="preserve"> Maybelline Color Tattoo Leather Vintage Plum</v>
      </c>
      <c r="C3009" t="s">
        <v>45</v>
      </c>
      <c r="D3009" t="s">
        <v>150</v>
      </c>
    </row>
    <row r="3010" spans="1:4" x14ac:dyDescent="0.25">
      <c r="A3010" t="s">
        <v>1024</v>
      </c>
    </row>
    <row r="3011" spans="1:4" x14ac:dyDescent="0.25">
      <c r="B3011" t="str">
        <f>HYPERLINK("https://www.chemistwarehouse.com.au/buy/76562/Maybelline-The-Nudes-Eyeshadow-Palette"," Maybelline The Nudes Eyeshadow Palette")</f>
        <v xml:space="preserve"> Maybelline The Nudes Eyeshadow Palette</v>
      </c>
      <c r="C3011" t="s">
        <v>153</v>
      </c>
      <c r="D3011" t="s">
        <v>145</v>
      </c>
    </row>
    <row r="3012" spans="1:4" x14ac:dyDescent="0.25">
      <c r="A3012" t="s">
        <v>1025</v>
      </c>
    </row>
    <row r="3013" spans="1:4" x14ac:dyDescent="0.25">
      <c r="B3013" t="str">
        <f>HYPERLINK("https://www.chemistwarehouse.com.au/buy/76555/Maybelline-Eye-Studio-Color-Molten-Duos-Midnight-Morph"," Maybelline Eye Studio Color Molten Duos Midnight Morph")</f>
        <v xml:space="preserve"> Maybelline Eye Studio Color Molten Duos Midnight Morph</v>
      </c>
      <c r="C3013" t="s">
        <v>290</v>
      </c>
      <c r="D3013" t="s">
        <v>799</v>
      </c>
    </row>
    <row r="3014" spans="1:4" x14ac:dyDescent="0.25">
      <c r="A3014" t="s">
        <v>1026</v>
      </c>
    </row>
    <row r="3015" spans="1:4" x14ac:dyDescent="0.25">
      <c r="B3015" t="str">
        <f>HYPERLINK("https://www.chemistwarehouse.com.au/buy/73025/Maybelline-Expert-Wear-Eye-Shadow-Quad-Amethyst-Smokes"," Maybelline Expert Wear Eye Shadow Quad Amethyst Smokes")</f>
        <v xml:space="preserve"> Maybelline Expert Wear Eye Shadow Quad Amethyst Smokes</v>
      </c>
      <c r="C3015" t="s">
        <v>228</v>
      </c>
      <c r="D3015" t="s">
        <v>329</v>
      </c>
    </row>
    <row r="3016" spans="1:4" x14ac:dyDescent="0.25">
      <c r="B3016" t="str">
        <f>HYPERLINK("https://www.chemistwarehouse.com.au/buy/73026/Maybelline-Expert-Wear-Eye-Shadow-Quad-Charcoal-Smokes"," Maybelline Expert Wear Eye Shadow Quad Charcoal Smokes")</f>
        <v xml:space="preserve"> Maybelline Expert Wear Eye Shadow Quad Charcoal Smokes</v>
      </c>
      <c r="C3016" t="s">
        <v>228</v>
      </c>
      <c r="D3016" t="s">
        <v>329</v>
      </c>
    </row>
    <row r="3017" spans="1:4" x14ac:dyDescent="0.25">
      <c r="B3017" t="str">
        <f>HYPERLINK("https://www.chemistwarehouse.com.au/buy/73027/Maybelline-Expert-Wear-Eye-Shadow-Quad-Designer-Chic"," Maybelline Expert Wear Eye Shadow Quad Designer Chic")</f>
        <v xml:space="preserve"> Maybelline Expert Wear Eye Shadow Quad Designer Chic</v>
      </c>
      <c r="C3017" t="s">
        <v>228</v>
      </c>
      <c r="D3017" t="s">
        <v>329</v>
      </c>
    </row>
    <row r="3018" spans="1:4" x14ac:dyDescent="0.25">
      <c r="B3018" t="str">
        <f>HYPERLINK("https://www.chemistwarehouse.com.au/buy/73028/Maybelline-Expert-Wear-Eye-Shadow-Quad-Mocha-Motion"," Maybelline Expert Wear Eye Shadow Quad Mocha Motion")</f>
        <v xml:space="preserve"> Maybelline Expert Wear Eye Shadow Quad Mocha Motion</v>
      </c>
      <c r="C3018" t="s">
        <v>228</v>
      </c>
      <c r="D3018" t="s">
        <v>329</v>
      </c>
    </row>
    <row r="3019" spans="1:4" x14ac:dyDescent="0.25">
      <c r="B3019" t="str">
        <f>HYPERLINK("https://www.chemistwarehouse.com.au/buy/73029/Maybelline-Expert-Wear-Eye-Shadow-Quad-Natural"," Maybelline Expert Wear Eye Shadow Quad Natural")</f>
        <v xml:space="preserve"> Maybelline Expert Wear Eye Shadow Quad Natural</v>
      </c>
      <c r="C3019" t="s">
        <v>228</v>
      </c>
      <c r="D3019" t="s">
        <v>329</v>
      </c>
    </row>
    <row r="3020" spans="1:4" x14ac:dyDescent="0.25">
      <c r="A3020" t="s">
        <v>1027</v>
      </c>
    </row>
    <row r="3021" spans="1:4" x14ac:dyDescent="0.25">
      <c r="B3021" t="str">
        <f>HYPERLINK("https://www.chemistwarehouse.com.au/buy/69863/Maybelline-Eyestudio-Tattoo-Bold-Gold"," Maybelline Eyestudio Tattoo Bold Gold")</f>
        <v xml:space="preserve"> Maybelline Eyestudio Tattoo Bold Gold</v>
      </c>
      <c r="C3021" t="s">
        <v>45</v>
      </c>
      <c r="D3021" t="s">
        <v>150</v>
      </c>
    </row>
    <row r="3022" spans="1:4" x14ac:dyDescent="0.25">
      <c r="B3022" t="str">
        <f>HYPERLINK("https://www.chemistwarehouse.com.au/buy/69867/Maybelline-Eyestudio-Tattoo-Too-Cool"," Maybelline Eyestudio Tattoo Too Cool")</f>
        <v xml:space="preserve"> Maybelline Eyestudio Tattoo Too Cool</v>
      </c>
      <c r="C3022" t="s">
        <v>45</v>
      </c>
      <c r="D3022" t="s">
        <v>150</v>
      </c>
    </row>
    <row r="3023" spans="1:4" x14ac:dyDescent="0.25">
      <c r="B3023" t="str">
        <f>HYPERLINK("https://www.chemistwarehouse.com.au/buy/70221/Maybelline-Eye-Studio-Color-Tattoo-Bareley-Branded"," Maybelline Eye Studio Color Tattoo Bareley Branded")</f>
        <v xml:space="preserve"> Maybelline Eye Studio Color Tattoo Bareley Branded</v>
      </c>
      <c r="C3023" t="s">
        <v>45</v>
      </c>
      <c r="D3023" t="s">
        <v>150</v>
      </c>
    </row>
    <row r="3024" spans="1:4" x14ac:dyDescent="0.25">
      <c r="B3024" t="str">
        <f>HYPERLINK("https://www.chemistwarehouse.com.au/buy/70223/Maybelline-Eye-Studio-Color-Tattoo-Inked-In-Pink"," Maybelline Eye Studio Color Tattoo Inked In Pink")</f>
        <v xml:space="preserve"> Maybelline Eye Studio Color Tattoo Inked In Pink</v>
      </c>
      <c r="C3024" t="s">
        <v>45</v>
      </c>
      <c r="D3024" t="s">
        <v>150</v>
      </c>
    </row>
    <row r="3025" spans="1:4" x14ac:dyDescent="0.25">
      <c r="B3025" t="str">
        <f>HYPERLINK("https://www.chemistwarehouse.com.au/buy/69862/Maybelline-Eyestudio-Tattoo-Bad-To-The-Bronz"," Maybelline Eyestudio Tattoo Bad To The Bronz")</f>
        <v xml:space="preserve"> Maybelline Eyestudio Tattoo Bad To The Bronz</v>
      </c>
      <c r="C3025" t="s">
        <v>45</v>
      </c>
      <c r="D3025" t="s">
        <v>150</v>
      </c>
    </row>
    <row r="3026" spans="1:4" x14ac:dyDescent="0.25">
      <c r="A3026" t="s">
        <v>1028</v>
      </c>
    </row>
    <row r="3027" spans="1:4" x14ac:dyDescent="0.25">
      <c r="B3027" t="str">
        <f>HYPERLINK("https://www.chemistwarehouse.com.au/buy/78457/Maybelline-Lash-Sensational-Black-Pearl-Washable"," Maybelline Lash Sensational Black Pearl Washable")</f>
        <v xml:space="preserve"> Maybelline Lash Sensational Black Pearl Washable</v>
      </c>
      <c r="C3027" t="s">
        <v>401</v>
      </c>
      <c r="D3027" t="s">
        <v>376</v>
      </c>
    </row>
    <row r="3028" spans="1:4" x14ac:dyDescent="0.25">
      <c r="B3028" t="str">
        <f>HYPERLINK("https://www.chemistwarehouse.com.au/buy/71080/Maybelline-Colossal-Volume-Express-Dang-Smoky-Mascara-Black"," Maybelline Colossal Volume Express Dang Smoky Mascara Black")</f>
        <v xml:space="preserve"> Maybelline Colossal Volume Express Dang Smoky Mascara Black</v>
      </c>
      <c r="C3028" t="s">
        <v>407</v>
      </c>
      <c r="D3028" t="s">
        <v>376</v>
      </c>
    </row>
    <row r="3029" spans="1:4" x14ac:dyDescent="0.25">
      <c r="B3029" t="str">
        <f>HYPERLINK("https://www.chemistwarehouse.com.au/buy/70208/Maybelline-Master-Precise-Liquid-Eye-Liner-Blackest-Black"," Maybelline Master Precise Liquid Eye Liner Blackest Black")</f>
        <v xml:space="preserve"> Maybelline Master Precise Liquid Eye Liner Blackest Black</v>
      </c>
      <c r="C3029" t="s">
        <v>228</v>
      </c>
      <c r="D3029" t="s">
        <v>329</v>
      </c>
    </row>
    <row r="3030" spans="1:4" x14ac:dyDescent="0.25">
      <c r="B3030" t="str">
        <f>HYPERLINK("https://www.chemistwarehouse.com.au/buy/60443/Maybelline-Full-n-Soft-Mascara-Waterproof-Very-Black-311"," Maybelline Full n Soft Mascara Waterproof Very Black 311")</f>
        <v xml:space="preserve"> Maybelline Full n Soft Mascara Waterproof Very Black 311</v>
      </c>
      <c r="C3030" t="s">
        <v>212</v>
      </c>
      <c r="D3030" t="s">
        <v>799</v>
      </c>
    </row>
    <row r="3031" spans="1:4" x14ac:dyDescent="0.25">
      <c r="B3031" t="str">
        <f>HYPERLINK("https://www.chemistwarehouse.com.au/buy/60428/Maybelline-Full-n-Soft-Mascara-Very-Black-301"," Maybelline Full n Soft Mascara Very Black 301")</f>
        <v xml:space="preserve"> Maybelline Full n Soft Mascara Very Black 301</v>
      </c>
      <c r="C3031" t="s">
        <v>212</v>
      </c>
      <c r="D3031" t="s">
        <v>799</v>
      </c>
    </row>
    <row r="3032" spans="1:4" x14ac:dyDescent="0.25">
      <c r="B3032" t="str">
        <f>HYPERLINK("https://www.chemistwarehouse.com.au/buy/60433/Maybelline-Great-Lash-Mascara-Waterproof-Very-Black-111"," Maybelline Great Lash Mascara Waterproof Very Black 111")</f>
        <v xml:space="preserve"> Maybelline Great Lash Mascara Waterproof Very Black 111</v>
      </c>
      <c r="C3032" t="s">
        <v>98</v>
      </c>
      <c r="D3032" t="s">
        <v>150</v>
      </c>
    </row>
    <row r="3033" spans="1:4" x14ac:dyDescent="0.25">
      <c r="B3033" t="str">
        <f>HYPERLINK("https://www.chemistwarehouse.com.au/buy/65175/Maybelline-Colossal-Mascara-Glam-Black-Waterproof"," Maybelline Colossal Mascara Glam Black Waterproof")</f>
        <v xml:space="preserve"> Maybelline Colossal Mascara Glam Black Waterproof</v>
      </c>
      <c r="C3033" t="s">
        <v>407</v>
      </c>
      <c r="D3033" t="s">
        <v>376</v>
      </c>
    </row>
    <row r="3034" spans="1:4" x14ac:dyDescent="0.25">
      <c r="B3034" t="str">
        <f>HYPERLINK("https://www.chemistwarehouse.com.au/buy/59597/Maybelline-Colossal-Volume-Express-Mascara-Glam-Black-230"," Maybelline Colossal Volume Express Mascara Glam Black 230")</f>
        <v xml:space="preserve"> Maybelline Colossal Volume Express Mascara Glam Black 230</v>
      </c>
      <c r="C3034" t="s">
        <v>407</v>
      </c>
      <c r="D3034" t="s">
        <v>376</v>
      </c>
    </row>
    <row r="3035" spans="1:4" x14ac:dyDescent="0.25">
      <c r="B3035" t="str">
        <f>HYPERLINK("https://www.chemistwarehouse.com.au/buy/60439/Maybelline-Great-Lash-Mascara-Blackest-Black-100"," Maybelline Great Lash Mascara Blackest Black 100")</f>
        <v xml:space="preserve"> Maybelline Great Lash Mascara Blackest Black 100</v>
      </c>
      <c r="C3035" t="s">
        <v>98</v>
      </c>
      <c r="D3035" t="s">
        <v>150</v>
      </c>
    </row>
    <row r="3036" spans="1:4" x14ac:dyDescent="0.25">
      <c r="B3036" t="str">
        <f>HYPERLINK("https://www.chemistwarehouse.com.au/buy/60438/Maybelline-Great-Lash-Mascara-Very-Black-101"," Maybelline Great Lash Mascara Very Black 101")</f>
        <v xml:space="preserve"> Maybelline Great Lash Mascara Very Black 101</v>
      </c>
      <c r="C3036" t="s">
        <v>98</v>
      </c>
      <c r="D3036" t="s">
        <v>150</v>
      </c>
    </row>
    <row r="3037" spans="1:4" x14ac:dyDescent="0.25">
      <c r="B3037" t="str">
        <f>HYPERLINK("https://www.chemistwarehouse.com.au/buy/62856/Maybelline-Volume-Express-Falsies-Mascara-Blackest-Black"," Maybelline Volume Express Falsies Mascara Blackest Black")</f>
        <v xml:space="preserve"> Maybelline Volume Express Falsies Mascara Blackest Black</v>
      </c>
      <c r="C3037" t="s">
        <v>407</v>
      </c>
      <c r="D3037" t="s">
        <v>376</v>
      </c>
    </row>
    <row r="3038" spans="1:4" x14ac:dyDescent="0.25">
      <c r="B3038" t="str">
        <f>HYPERLINK("https://www.chemistwarehouse.com.au/buy/62858/Maybelline-Volume-Express-Falsies-Mascara-Very-Black-Water-Proof"," Maybelline Volume Express Falsies Mascara Very Black Water Proof ")</f>
        <v xml:space="preserve"> Maybelline Volume Express Falsies Mascara Very Black Water Proof </v>
      </c>
      <c r="C3038" t="s">
        <v>407</v>
      </c>
      <c r="D3038" t="s">
        <v>376</v>
      </c>
    </row>
    <row r="3039" spans="1:4" x14ac:dyDescent="0.25">
      <c r="B3039" t="str">
        <f>HYPERLINK("https://www.chemistwarehouse.com.au/buy/63771/Maybelline-Volume-Express-Falsies-Black-Drama"," Maybelline Volume Express Falsies Black Drama")</f>
        <v xml:space="preserve"> Maybelline Volume Express Falsies Black Drama</v>
      </c>
      <c r="C3039" t="s">
        <v>407</v>
      </c>
      <c r="D3039" t="s">
        <v>376</v>
      </c>
    </row>
    <row r="3040" spans="1:4" x14ac:dyDescent="0.25">
      <c r="B3040" t="str">
        <f>HYPERLINK("https://www.chemistwarehouse.com.au/buy/67303/Maybelline-Illegal-Lengths-Mascara-Blackest-Black"," Maybelline Illegal Lengths Mascara Blackest Black")</f>
        <v xml:space="preserve"> Maybelline Illegal Lengths Mascara Blackest Black</v>
      </c>
      <c r="C3040" t="s">
        <v>105</v>
      </c>
      <c r="D3040" t="s">
        <v>1029</v>
      </c>
    </row>
    <row r="3041" spans="1:4" x14ac:dyDescent="0.25">
      <c r="B3041" t="str">
        <f>HYPERLINK("https://www.chemistwarehouse.com.au/buy/67305/Maybelline-Volume-Express-Falsies-Flared-Mascara-Blackest-Black"," Maybelline Volume Express Falsies Flared Mascara Blackest Black")</f>
        <v xml:space="preserve"> Maybelline Volume Express Falsies Flared Mascara Blackest Black</v>
      </c>
      <c r="C3041" t="s">
        <v>393</v>
      </c>
      <c r="D3041">
        <v>0</v>
      </c>
    </row>
    <row r="3042" spans="1:4" x14ac:dyDescent="0.25">
      <c r="B3042" t="str">
        <f>HYPERLINK("https://www.chemistwarehouse.com.au/buy/67773/Maybelline-Colossal-Cat-Eyes-Glam-Black"," Maybelline Colossal Cat Eyes Glam Black")</f>
        <v xml:space="preserve"> Maybelline Colossal Cat Eyes Glam Black</v>
      </c>
      <c r="C3042" t="s">
        <v>407</v>
      </c>
      <c r="D3042" t="s">
        <v>376</v>
      </c>
    </row>
    <row r="3043" spans="1:4" x14ac:dyDescent="0.25">
      <c r="B3043" t="str">
        <f>HYPERLINK("https://www.chemistwarehouse.com.au/buy/68266/Maybelline-Define-A-Lash-Mascara-Very-Black"," Maybelline Define A Lash Mascara Very Black")</f>
        <v xml:space="preserve"> Maybelline Define A Lash Mascara Very Black</v>
      </c>
      <c r="C3043" t="s">
        <v>105</v>
      </c>
      <c r="D3043" t="s">
        <v>1030</v>
      </c>
    </row>
    <row r="3044" spans="1:4" x14ac:dyDescent="0.25">
      <c r="B3044" t="str">
        <f>HYPERLINK("https://www.chemistwarehouse.com.au/buy/68302/Maybelline-Volume-Express-Falsies-Everlasting-Black"," Maybelline Volume Express Falsies Everlasting Black")</f>
        <v xml:space="preserve"> Maybelline Volume Express Falsies Everlasting Black</v>
      </c>
      <c r="C3044" t="s">
        <v>407</v>
      </c>
      <c r="D3044" t="s">
        <v>376</v>
      </c>
    </row>
    <row r="3045" spans="1:4" x14ac:dyDescent="0.25">
      <c r="B3045" t="str">
        <f>HYPERLINK("https://www.chemistwarehouse.com.au/buy/68798/Maybelline-Volume-Express-Mega-Plush-Blackest-Black-Washable"," Maybelline Volume Express Mega Plush Blackest Black Washable")</f>
        <v xml:space="preserve"> Maybelline Volume Express Mega Plush Blackest Black Washable</v>
      </c>
      <c r="C3045" t="s">
        <v>407</v>
      </c>
      <c r="D3045" t="s">
        <v>376</v>
      </c>
    </row>
    <row r="3046" spans="1:4" x14ac:dyDescent="0.25">
      <c r="B3046" t="str">
        <f>HYPERLINK("https://www.chemistwarehouse.com.au/buy/68801/Maybelline-Volume-Express-Mega-Plush-Very-Black-Waterproof"," Maybelline Volume Express Mega Plush Very Black Waterproof")</f>
        <v xml:space="preserve"> Maybelline Volume Express Mega Plush Very Black Waterproof</v>
      </c>
      <c r="C3046" t="s">
        <v>407</v>
      </c>
      <c r="D3046" t="s">
        <v>376</v>
      </c>
    </row>
    <row r="3047" spans="1:4" x14ac:dyDescent="0.25">
      <c r="B3047" t="str">
        <f>HYPERLINK("https://www.chemistwarehouse.com.au/buy/70205/Maybelline-Great-Lash-Big-Mascara-Blackest-Black"," Maybelline Great Lash Big Mascara Blackest Black")</f>
        <v xml:space="preserve"> Maybelline Great Lash Big Mascara Blackest Black</v>
      </c>
      <c r="C3047" t="s">
        <v>98</v>
      </c>
      <c r="D3047" t="s">
        <v>150</v>
      </c>
    </row>
    <row r="3048" spans="1:4" x14ac:dyDescent="0.25">
      <c r="B3048" t="str">
        <f>HYPERLINK("https://www.chemistwarehouse.com.au/buy/70206/Maybelline-Master-Eye-Liner-Black"," Maybelline Master Eye Liner Black")</f>
        <v xml:space="preserve"> Maybelline Master Eye Liner Black</v>
      </c>
      <c r="C3048" t="s">
        <v>211</v>
      </c>
      <c r="D3048" t="s">
        <v>1031</v>
      </c>
    </row>
    <row r="3049" spans="1:4" x14ac:dyDescent="0.25">
      <c r="B3049" t="str">
        <f>HYPERLINK("https://www.chemistwarehouse.com.au/buy/82862/Maybelline-Colossal-Volume-Express-Mascara-Classic-Black"," Maybelline Colossal Volume Express Mascara Classic Black")</f>
        <v xml:space="preserve"> Maybelline Colossal Volume Express Mascara Classic Black</v>
      </c>
      <c r="C3049" t="s">
        <v>407</v>
      </c>
      <c r="D3049" t="s">
        <v>376</v>
      </c>
    </row>
    <row r="3050" spans="1:4" x14ac:dyDescent="0.25">
      <c r="B3050" t="str">
        <f>HYPERLINK("https://www.chemistwarehouse.com.au/buy/82863/Maybelline-Falsies-Push-Up-Mascara-and-Eye-Liner-Duo-Pack"," Maybelline Falsies Push Up Mascara and Eye Liner Duo Pack")</f>
        <v xml:space="preserve"> Maybelline Falsies Push Up Mascara and Eye Liner Duo Pack</v>
      </c>
      <c r="C3050" t="s">
        <v>495</v>
      </c>
      <c r="D3050" t="s">
        <v>152</v>
      </c>
    </row>
    <row r="3051" spans="1:4" x14ac:dyDescent="0.25">
      <c r="A3051" t="s">
        <v>1032</v>
      </c>
    </row>
    <row r="3052" spans="1:4" x14ac:dyDescent="0.25">
      <c r="B3052" t="str">
        <f>HYPERLINK("https://www.chemistwarehouse.com.au/buy/74073/OPI-Nail-Enamel-Fit-Be-To-Be-Tied-Duo-Set-1"," OPI Nail Enamel Fit Be To Be Tied Duo Set 1")</f>
        <v xml:space="preserve"> OPI Nail Enamel Fit Be To Be Tied Duo Set 1</v>
      </c>
      <c r="C3052" t="s">
        <v>187</v>
      </c>
      <c r="D3052" t="s">
        <v>162</v>
      </c>
    </row>
    <row r="3053" spans="1:4" x14ac:dyDescent="0.25">
      <c r="B3053" t="str">
        <f>HYPERLINK("https://www.chemistwarehouse.com.au/buy/74074/OPI-Nail-Enamel-Fit-Be-To-Be-Tied-Duo-Set-2"," OPI Nail Enamel Fit Be To Be Tied Duo Set 2")</f>
        <v xml:space="preserve"> OPI Nail Enamel Fit Be To Be Tied Duo Set 2</v>
      </c>
      <c r="C3053" t="s">
        <v>187</v>
      </c>
      <c r="D3053" t="s">
        <v>162</v>
      </c>
    </row>
    <row r="3054" spans="1:4" x14ac:dyDescent="0.25">
      <c r="B3054" t="str">
        <f>HYPERLINK("https://www.chemistwarehouse.com.au/buy/74075/OPI-Nail-Enamel-On-My-Beau-Duo-Set"," OPI Nail Enamel On My Beau Duo Set")</f>
        <v xml:space="preserve"> OPI Nail Enamel On My Beau Duo Set</v>
      </c>
      <c r="C3054" t="s">
        <v>187</v>
      </c>
      <c r="D3054" t="s">
        <v>162</v>
      </c>
    </row>
    <row r="3055" spans="1:4" x14ac:dyDescent="0.25">
      <c r="B3055" t="str">
        <f>HYPERLINK("https://www.chemistwarehouse.com.au/buy/74076/Opi-Nail-Enamel-The-Spy-Who-Loved-Me-15ml"," Opi Nail Enamel The Spy Who Loved Me 15ml")</f>
        <v xml:space="preserve"> Opi Nail Enamel The Spy Who Loved Me 15ml</v>
      </c>
      <c r="C3055" t="s">
        <v>45</v>
      </c>
      <c r="D3055" t="s">
        <v>160</v>
      </c>
    </row>
    <row r="3056" spans="1:4" x14ac:dyDescent="0.25">
      <c r="B3056" t="str">
        <f>HYPERLINK("https://www.chemistwarehouse.com.au/buy/79614/OPI-Nail-Enamel-Passport-To-Color-Mini-Set"," OPI Nail Enamel Passport To Color Mini Set")</f>
        <v xml:space="preserve"> OPI Nail Enamel Passport To Color Mini Set</v>
      </c>
      <c r="C3056" t="s">
        <v>1</v>
      </c>
      <c r="D3056">
        <v>0</v>
      </c>
    </row>
    <row r="3057" spans="1:4" x14ac:dyDescent="0.25">
      <c r="A3057" t="s">
        <v>1033</v>
      </c>
    </row>
    <row r="3058" spans="1:4" x14ac:dyDescent="0.25">
      <c r="B3058" t="str">
        <f>HYPERLINK("https://www.chemistwarehouse.com.au/buy/75689/Rimmel-60-Seconds-Nail-Polish-Funtime-Fuchsia"," Rimmel 60 Seconds Nail Polish Funtime Fuchsia")</f>
        <v xml:space="preserve"> Rimmel 60 Seconds Nail Polish Funtime Fuchsia</v>
      </c>
      <c r="C3058" t="s">
        <v>556</v>
      </c>
      <c r="D3058" t="s">
        <v>397</v>
      </c>
    </row>
    <row r="3059" spans="1:4" x14ac:dyDescent="0.25">
      <c r="B3059" t="str">
        <f>HYPERLINK("https://www.chemistwarehouse.com.au/buy/75692/Rimmel-60-Seconds-Nail-Polish-Instyle-Coral"," Rimmel 60 Seconds Nail Polish Instyle Coral")</f>
        <v xml:space="preserve"> Rimmel 60 Seconds Nail Polish Instyle Coral</v>
      </c>
      <c r="C3059" t="s">
        <v>556</v>
      </c>
      <c r="D3059" t="s">
        <v>397</v>
      </c>
    </row>
    <row r="3060" spans="1:4" x14ac:dyDescent="0.25">
      <c r="B3060" t="str">
        <f>HYPERLINK("https://www.chemistwarehouse.com.au/buy/75682/Rimmel-60-Seconds-Nail-Polish-Blackout"," Rimmel 60 Seconds Nail Polish Blackout")</f>
        <v xml:space="preserve"> Rimmel 60 Seconds Nail Polish Blackout</v>
      </c>
      <c r="C3060" t="s">
        <v>556</v>
      </c>
      <c r="D3060" t="s">
        <v>397</v>
      </c>
    </row>
    <row r="3061" spans="1:4" x14ac:dyDescent="0.25">
      <c r="B3061" t="str">
        <f>HYPERLINK("https://www.chemistwarehouse.com.au/buy/75698/Rimmel-60-Seconds-Nail-Polish-Pillow-Talk"," Rimmel 60 Seconds Nail Polish Pillow Talk")</f>
        <v xml:space="preserve"> Rimmel 60 Seconds Nail Polish Pillow Talk</v>
      </c>
      <c r="C3061" t="s">
        <v>556</v>
      </c>
      <c r="D3061" t="s">
        <v>397</v>
      </c>
    </row>
    <row r="3062" spans="1:4" x14ac:dyDescent="0.25">
      <c r="B3062" t="str">
        <f>HYPERLINK("https://www.chemistwarehouse.com.au/buy/75696/Rimmel-60-Seconds-Nail-Polish-Orangina"," Rimmel 60 Seconds Nail Polish Orangina")</f>
        <v xml:space="preserve"> Rimmel 60 Seconds Nail Polish Orangina</v>
      </c>
      <c r="C3062" t="s">
        <v>556</v>
      </c>
      <c r="D3062" t="s">
        <v>397</v>
      </c>
    </row>
    <row r="3063" spans="1:4" x14ac:dyDescent="0.25">
      <c r="B3063" t="str">
        <f>HYPERLINK("https://www.chemistwarehouse.com.au/buy/75703/Rimmel-60-Seconds-Nail-Polish-Roll-in-the-Grass"," Rimmel 60 Seconds Nail Polish Roll in the Grass")</f>
        <v xml:space="preserve"> Rimmel 60 Seconds Nail Polish Roll in the Grass</v>
      </c>
      <c r="C3063" t="s">
        <v>556</v>
      </c>
      <c r="D3063" t="s">
        <v>397</v>
      </c>
    </row>
    <row r="3064" spans="1:4" x14ac:dyDescent="0.25">
      <c r="B3064" t="str">
        <f>HYPERLINK("https://www.chemistwarehouse.com.au/buy/81187/Rimmel-60-Seconds-Nail-Polish-Oragasm"," Rimmel 60 Seconds Nail Polish Oragasm")</f>
        <v xml:space="preserve"> Rimmel 60 Seconds Nail Polish Oragasm</v>
      </c>
      <c r="C3064" t="s">
        <v>556</v>
      </c>
      <c r="D3064" t="s">
        <v>397</v>
      </c>
    </row>
    <row r="3065" spans="1:4" x14ac:dyDescent="0.25">
      <c r="B3065" t="str">
        <f>HYPERLINK("https://www.chemistwarehouse.com.au/buy/79641/Rimmel-60-Seconds-Nail-Polish-Super-Shine-Black-Cherrie"," Rimmel 60 Seconds Nail Polish Super Shine Black Cherrie")</f>
        <v xml:space="preserve"> Rimmel 60 Seconds Nail Polish Super Shine Black Cherrie</v>
      </c>
      <c r="C3065" t="s">
        <v>556</v>
      </c>
      <c r="D3065" t="s">
        <v>397</v>
      </c>
    </row>
    <row r="3066" spans="1:4" x14ac:dyDescent="0.25">
      <c r="B3066" t="str">
        <f>HYPERLINK("https://www.chemistwarehouse.com.au/buy/81185/Rimmel-60-Seconds-Nail-Polish-Hot-Tropicana"," Rimmel 60 Seconds Nail Polish Hot Tropicana")</f>
        <v xml:space="preserve"> Rimmel 60 Seconds Nail Polish Hot Tropicana</v>
      </c>
      <c r="C3066" t="s">
        <v>556</v>
      </c>
      <c r="D3066" t="s">
        <v>397</v>
      </c>
    </row>
    <row r="3067" spans="1:4" x14ac:dyDescent="0.25">
      <c r="B3067" t="str">
        <f>HYPERLINK("https://www.chemistwarehouse.com.au/buy/81186/Rimmel-60-Seconds-Nail-Polish-Lovey-Dovey"," Rimmel 60 Seconds Nail Polish Lovey Dovey")</f>
        <v xml:space="preserve"> Rimmel 60 Seconds Nail Polish Lovey Dovey</v>
      </c>
      <c r="C3067" t="s">
        <v>556</v>
      </c>
      <c r="D3067" t="s">
        <v>397</v>
      </c>
    </row>
    <row r="3068" spans="1:4" x14ac:dyDescent="0.25">
      <c r="B3068" t="str">
        <f>HYPERLINK("https://www.chemistwarehouse.com.au/buy/75704/Rimmel-60-Seconds-Nail-Polish-Rose-Libertine"," Rimmel 60 Seconds Nail Polish Rose Libertine")</f>
        <v xml:space="preserve"> Rimmel 60 Seconds Nail Polish Rose Libertine</v>
      </c>
      <c r="C3068" t="s">
        <v>556</v>
      </c>
      <c r="D3068" t="s">
        <v>397</v>
      </c>
    </row>
    <row r="3069" spans="1:4" x14ac:dyDescent="0.25">
      <c r="B3069" t="str">
        <f>HYPERLINK("https://www.chemistwarehouse.com.au/buy/75697/Rimmel-60-Seconds-Nail-Polish-Peachella"," Rimmel 60 Seconds Nail Polish Peachella")</f>
        <v xml:space="preserve"> Rimmel 60 Seconds Nail Polish Peachella</v>
      </c>
      <c r="C3069" t="s">
        <v>556</v>
      </c>
      <c r="D3069" t="s">
        <v>397</v>
      </c>
    </row>
    <row r="3070" spans="1:4" x14ac:dyDescent="0.25">
      <c r="B3070" t="str">
        <f>HYPERLINK("https://www.chemistwarehouse.com.au/buy/75706/Rimmel-60-Seconds-Nail-Polish-Sand-and-Deliver"," Rimmel 60 Seconds Nail Polish Sand and Deliver")</f>
        <v xml:space="preserve"> Rimmel 60 Seconds Nail Polish Sand and Deliver</v>
      </c>
      <c r="C3070" t="s">
        <v>556</v>
      </c>
      <c r="D3070" t="s">
        <v>397</v>
      </c>
    </row>
    <row r="3071" spans="1:4" x14ac:dyDescent="0.25">
      <c r="B3071" t="str">
        <f>HYPERLINK("https://www.chemistwarehouse.com.au/buy/75707/Rimmel-60-Seconds-Nail-Polish-Sweet-Retreat"," Rimmel 60 Seconds Nail Polish Sweet Retreat")</f>
        <v xml:space="preserve"> Rimmel 60 Seconds Nail Polish Sweet Retreat</v>
      </c>
      <c r="C3071" t="s">
        <v>556</v>
      </c>
      <c r="D3071" t="s">
        <v>397</v>
      </c>
    </row>
    <row r="3072" spans="1:4" x14ac:dyDescent="0.25">
      <c r="B3072" t="str">
        <f>HYPERLINK("https://www.chemistwarehouse.com.au/buy/75709/Rimmel-60-Seconds-Nail-Polish-White-Hot-Love"," Rimmel 60 Seconds Nail Polish White Hot Love")</f>
        <v xml:space="preserve"> Rimmel 60 Seconds Nail Polish White Hot Love</v>
      </c>
      <c r="C3072" t="s">
        <v>556</v>
      </c>
      <c r="D3072" t="s">
        <v>397</v>
      </c>
    </row>
    <row r="3073" spans="1:4" x14ac:dyDescent="0.25">
      <c r="B3073" t="str">
        <f>HYPERLINK("https://www.chemistwarehouse.com.au/buy/75699/Rimmel-60-Seconds-Nail-Polish-Port-a-loo-blue"," Rimmel 60 Seconds Nail Polish Port-a-loo-blue")</f>
        <v xml:space="preserve"> Rimmel 60 Seconds Nail Polish Port-a-loo-blue</v>
      </c>
      <c r="C3073" t="s">
        <v>556</v>
      </c>
      <c r="D3073" t="s">
        <v>397</v>
      </c>
    </row>
    <row r="3074" spans="1:4" x14ac:dyDescent="0.25">
      <c r="B3074" t="str">
        <f>HYPERLINK("https://www.chemistwarehouse.com.au/buy/75700/Rimmel-60-Seconds-Nail-Polish-Rain-Rain-Go-Away"," Rimmel 60 Seconds Nail Polish Rain Rain Go Away")</f>
        <v xml:space="preserve"> Rimmel 60 Seconds Nail Polish Rain Rain Go Away</v>
      </c>
      <c r="C3074" t="s">
        <v>556</v>
      </c>
      <c r="D3074" t="s">
        <v>397</v>
      </c>
    </row>
    <row r="3075" spans="1:4" x14ac:dyDescent="0.25">
      <c r="B3075" t="str">
        <f>HYPERLINK("https://www.chemistwarehouse.com.au/buy/75701/Rimmel-60-Seconds-Nail-Polish-Rapid-Ruby"," Rimmel 60 Seconds Nail Polish Rapid Ruby")</f>
        <v xml:space="preserve"> Rimmel 60 Seconds Nail Polish Rapid Ruby</v>
      </c>
      <c r="C3075" t="s">
        <v>556</v>
      </c>
      <c r="D3075" t="s">
        <v>397</v>
      </c>
    </row>
    <row r="3076" spans="1:4" x14ac:dyDescent="0.25">
      <c r="B3076" t="str">
        <f>HYPERLINK("https://www.chemistwarehouse.com.au/buy/75702/Rimmel-60-Seconds-Nail-Polish-Ring-A-Ring-O-Roses"," Rimmel 60 Seconds Nail Polish Ring A Ring O Roses")</f>
        <v xml:space="preserve"> Rimmel 60 Seconds Nail Polish Ring A Ring O Roses</v>
      </c>
      <c r="C3076" t="s">
        <v>556</v>
      </c>
      <c r="D3076" t="s">
        <v>397</v>
      </c>
    </row>
    <row r="3077" spans="1:4" x14ac:dyDescent="0.25">
      <c r="B3077" t="str">
        <f>HYPERLINK("https://www.chemistwarehouse.com.au/buy/75693/Rimmel-60-Seconds-Nail-Polish-Lose-Your-Lingerie"," Rimmel 60 Seconds Nail Polish Lose Your Lingerie")</f>
        <v xml:space="preserve"> Rimmel 60 Seconds Nail Polish Lose Your Lingerie</v>
      </c>
      <c r="C3077" t="s">
        <v>556</v>
      </c>
      <c r="D3077" t="s">
        <v>397</v>
      </c>
    </row>
    <row r="3078" spans="1:4" x14ac:dyDescent="0.25">
      <c r="B3078" t="str">
        <f>HYPERLINK("https://www.chemistwarehouse.com.au/buy/75681/Rimmel-60-Seconds-Nail-Polish-Bestival-Blue"," Rimmel 60 Seconds Nail Polish Bestival Blue")</f>
        <v xml:space="preserve"> Rimmel 60 Seconds Nail Polish Bestival Blue</v>
      </c>
      <c r="C3078" t="s">
        <v>556</v>
      </c>
      <c r="D3078" t="s">
        <v>397</v>
      </c>
    </row>
    <row r="3079" spans="1:4" x14ac:dyDescent="0.25">
      <c r="B3079" t="str">
        <f>HYPERLINK("https://www.chemistwarehouse.com.au/buy/75695/Rimmel-60-Seconds-Nail-Polish-Neon-Fest"," Rimmel 60 Seconds Nail Polish Neon Fest")</f>
        <v xml:space="preserve"> Rimmel 60 Seconds Nail Polish Neon Fest</v>
      </c>
      <c r="C3079" t="s">
        <v>556</v>
      </c>
      <c r="D3079" t="s">
        <v>397</v>
      </c>
    </row>
    <row r="3080" spans="1:4" x14ac:dyDescent="0.25">
      <c r="B3080" t="str">
        <f>HYPERLINK("https://www.chemistwarehouse.com.au/buy/75683/Rimmel-60-Seconds-Nail-Polish-Breakfast-in-Bed"," Rimmel 60 Seconds Nail Polish Breakfast in Bed")</f>
        <v xml:space="preserve"> Rimmel 60 Seconds Nail Polish Breakfast in Bed</v>
      </c>
      <c r="C3080" t="s">
        <v>556</v>
      </c>
      <c r="D3080" t="s">
        <v>397</v>
      </c>
    </row>
    <row r="3081" spans="1:4" x14ac:dyDescent="0.25">
      <c r="B3081" t="str">
        <f>HYPERLINK("https://www.chemistwarehouse.com.au/buy/75684/Rimmel-60-Seconds-Nail-Polish-Caramel-Cupcake"," Rimmel 60 Seconds Nail Polish Caramel Cupcake")</f>
        <v xml:space="preserve"> Rimmel 60 Seconds Nail Polish Caramel Cupcake</v>
      </c>
      <c r="C3081" t="s">
        <v>556</v>
      </c>
      <c r="D3081" t="s">
        <v>397</v>
      </c>
    </row>
    <row r="3082" spans="1:4" x14ac:dyDescent="0.25">
      <c r="A3082" t="s">
        <v>1034</v>
      </c>
    </row>
    <row r="3083" spans="1:4" x14ac:dyDescent="0.25">
      <c r="B3083" t="str">
        <f>HYPERLINK("https://www.chemistwarehouse.com.au/buy/69745/Rimmel-Salon-Pro-Top-Coat-Glitter"," Rimmel Salon Pro Top Coat Glitter")</f>
        <v xml:space="preserve"> Rimmel Salon Pro Top Coat Glitter</v>
      </c>
      <c r="C3083" t="s">
        <v>164</v>
      </c>
      <c r="D3083" t="s">
        <v>898</v>
      </c>
    </row>
    <row r="3084" spans="1:4" x14ac:dyDescent="0.25">
      <c r="B3084" t="str">
        <f>HYPERLINK("https://www.chemistwarehouse.com.au/buy/69746/Rimmel-Salon-Pro-Top-Coat-Ultrashine"," Rimmel Salon Pro Top Coat Ultrashine")</f>
        <v xml:space="preserve"> Rimmel Salon Pro Top Coat Ultrashine</v>
      </c>
      <c r="C3084" t="s">
        <v>240</v>
      </c>
      <c r="D3084" t="s">
        <v>755</v>
      </c>
    </row>
    <row r="3085" spans="1:4" x14ac:dyDescent="0.25">
      <c r="A3085" t="s">
        <v>1035</v>
      </c>
    </row>
    <row r="3086" spans="1:4" x14ac:dyDescent="0.25">
      <c r="B3086" t="str">
        <f>HYPERLINK("https://www.chemistwarehouse.com.au/buy/82899/Rimmel-Super-Gel-by-Kate-Moss-Anniversary-015-Boho-Licious"," Rimmel Super Gel by Kate Moss Anniversary 015 Boho Licious")</f>
        <v xml:space="preserve"> Rimmel Super Gel by Kate Moss Anniversary 015 Boho Licious</v>
      </c>
      <c r="C3086" t="s">
        <v>103</v>
      </c>
      <c r="D3086" t="s">
        <v>150</v>
      </c>
    </row>
    <row r="3087" spans="1:4" x14ac:dyDescent="0.25">
      <c r="B3087" t="str">
        <f>HYPERLINK("https://www.chemistwarehouse.com.au/buy/82900/Rimmel-Super-Gel-by-Kate-Moss-Anniversary-071-Gilty-Pleasure"," Rimmel Super Gel by Kate Moss Anniversary 071 Gilty Pleasure")</f>
        <v xml:space="preserve"> Rimmel Super Gel by Kate Moss Anniversary 071 Gilty Pleasure</v>
      </c>
      <c r="C3087" t="s">
        <v>103</v>
      </c>
      <c r="D3087" t="s">
        <v>150</v>
      </c>
    </row>
    <row r="3088" spans="1:4" x14ac:dyDescent="0.25">
      <c r="A3088" t="s">
        <v>1036</v>
      </c>
    </row>
    <row r="3089" spans="2:4" x14ac:dyDescent="0.25">
      <c r="B3089" t="str">
        <f>HYPERLINK("https://www.chemistwarehouse.com.au/buy/77772/Rimmel-Super-Gel-023-Grape-Sorbet"," Rimmel Super Gel 023 Grape Sorbet")</f>
        <v xml:space="preserve"> Rimmel Super Gel 023 Grape Sorbet</v>
      </c>
      <c r="C3089" t="s">
        <v>103</v>
      </c>
      <c r="D3089" t="s">
        <v>150</v>
      </c>
    </row>
    <row r="3090" spans="2:4" x14ac:dyDescent="0.25">
      <c r="B3090" t="str">
        <f>HYPERLINK("https://www.chemistwarehouse.com.au/buy/77773/Rimmel-Super-Gel-024-Red-Ginger"," Rimmel Super Gel 024 Red Ginger")</f>
        <v xml:space="preserve"> Rimmel Super Gel 024 Red Ginger</v>
      </c>
      <c r="C3090" t="s">
        <v>103</v>
      </c>
      <c r="D3090" t="s">
        <v>150</v>
      </c>
    </row>
    <row r="3091" spans="2:4" x14ac:dyDescent="0.25">
      <c r="B3091" t="str">
        <f>HYPERLINK("https://www.chemistwarehouse.com.au/buy/77774/Rimmel-Super-Gel-025-Urban-Purple"," Rimmel Super Gel 025 Urban Purple")</f>
        <v xml:space="preserve"> Rimmel Super Gel 025 Urban Purple</v>
      </c>
      <c r="C3091" t="s">
        <v>103</v>
      </c>
      <c r="D3091" t="s">
        <v>150</v>
      </c>
    </row>
    <row r="3092" spans="2:4" x14ac:dyDescent="0.25">
      <c r="B3092" t="str">
        <f>HYPERLINK("https://www.chemistwarehouse.com.au/buy/77776/Rimmel-Super-Gel-032-Cocktail-Passion"," Rimmel Super Gel 032 Cocktail Passion")</f>
        <v xml:space="preserve"> Rimmel Super Gel 032 Cocktail Passion</v>
      </c>
      <c r="C3092" t="s">
        <v>103</v>
      </c>
      <c r="D3092" t="s">
        <v>150</v>
      </c>
    </row>
    <row r="3093" spans="2:4" x14ac:dyDescent="0.25">
      <c r="B3093" t="str">
        <f>HYPERLINK("https://www.chemistwarehouse.com.au/buy/77777/Rimmel-Super-Gel-033-Happily-Evie-After"," Rimmel Super Gel 033 Happily Evie After")</f>
        <v xml:space="preserve"> Rimmel Super Gel 033 Happily Evie After</v>
      </c>
      <c r="C3093" t="s">
        <v>103</v>
      </c>
      <c r="D3093" t="s">
        <v>150</v>
      </c>
    </row>
    <row r="3094" spans="2:4" x14ac:dyDescent="0.25">
      <c r="B3094" t="str">
        <f>HYPERLINK("https://www.chemistwarehouse.com.au/buy/77778/Rimmel-Super-Gel-041-Darling-Dahlia"," Rimmel Super Gel 041 Darling Dahlia")</f>
        <v xml:space="preserve"> Rimmel Super Gel 041 Darling Dahlia</v>
      </c>
      <c r="C3094" t="s">
        <v>103</v>
      </c>
      <c r="D3094" t="s">
        <v>150</v>
      </c>
    </row>
    <row r="3095" spans="2:4" x14ac:dyDescent="0.25">
      <c r="B3095" t="str">
        <f>HYPERLINK("https://www.chemistwarehouse.com.au/buy/77779/Rimmel-Super-Gel-042-Rock-n-Roll"," Rimmel Super Gel 042 Rock n Roll")</f>
        <v xml:space="preserve"> Rimmel Super Gel 042 Rock n Roll</v>
      </c>
      <c r="C3095" t="s">
        <v>103</v>
      </c>
      <c r="D3095" t="s">
        <v>150</v>
      </c>
    </row>
    <row r="3096" spans="2:4" x14ac:dyDescent="0.25">
      <c r="B3096" t="str">
        <f>HYPERLINK("https://www.chemistwarehouse.com.au/buy/77780/Rimmel-Super-Gel-051-Shallow-Bay"," Rimmel Super Gel 051 Shallow Bay")</f>
        <v xml:space="preserve"> Rimmel Super Gel 051 Shallow Bay</v>
      </c>
      <c r="C3096" t="s">
        <v>103</v>
      </c>
      <c r="D3096" t="s">
        <v>150</v>
      </c>
    </row>
    <row r="3097" spans="2:4" x14ac:dyDescent="0.25">
      <c r="B3097" t="str">
        <f>HYPERLINK("https://www.chemistwarehouse.com.au/buy/77781/Rimmel-Super-Gel-052-Blue-Babe"," Rimmel Super Gel 052 Blue Babe")</f>
        <v xml:space="preserve"> Rimmel Super Gel 052 Blue Babe</v>
      </c>
      <c r="C3097" t="s">
        <v>103</v>
      </c>
      <c r="D3097" t="s">
        <v>150</v>
      </c>
    </row>
    <row r="3098" spans="2:4" x14ac:dyDescent="0.25">
      <c r="B3098" t="str">
        <f>HYPERLINK("https://www.chemistwarehouse.com.au/buy/77767/Rimmel-Super-Gel-001-Top-Coat"," Rimmel Super Gel 001 Top Coat")</f>
        <v xml:space="preserve"> Rimmel Super Gel 001 Top Coat</v>
      </c>
      <c r="C3098" t="s">
        <v>103</v>
      </c>
      <c r="D3098" t="s">
        <v>150</v>
      </c>
    </row>
    <row r="3099" spans="2:4" x14ac:dyDescent="0.25">
      <c r="B3099" t="str">
        <f>HYPERLINK("https://www.chemistwarehouse.com.au/buy/77768/Rimmel-Super-Gel-012-Soul-Session"," Rimmel Super Gel 012 Soul Session")</f>
        <v xml:space="preserve"> Rimmel Super Gel 012 Soul Session</v>
      </c>
      <c r="C3099" t="s">
        <v>103</v>
      </c>
      <c r="D3099" t="s">
        <v>150</v>
      </c>
    </row>
    <row r="3100" spans="2:4" x14ac:dyDescent="0.25">
      <c r="B3100" t="str">
        <f>HYPERLINK("https://www.chemistwarehouse.com.au/buy/77769/Rimmel-Super-Gel-013-Bare-Hug"," Rimmel Super Gel 013 Bare Hug")</f>
        <v xml:space="preserve"> Rimmel Super Gel 013 Bare Hug</v>
      </c>
      <c r="C3100" t="s">
        <v>103</v>
      </c>
      <c r="D3100" t="s">
        <v>150</v>
      </c>
    </row>
    <row r="3101" spans="2:4" x14ac:dyDescent="0.25">
      <c r="B3101" t="str">
        <f>HYPERLINK("https://www.chemistwarehouse.com.au/buy/77770/Rimmel-Super-Gel-021-New-Romantic"," Rimmel Super Gel 021 New Romantic")</f>
        <v xml:space="preserve"> Rimmel Super Gel 021 New Romantic</v>
      </c>
      <c r="C3101" t="s">
        <v>103</v>
      </c>
      <c r="D3101" t="s">
        <v>150</v>
      </c>
    </row>
    <row r="3102" spans="2:4" x14ac:dyDescent="0.25">
      <c r="B3102" t="str">
        <f>HYPERLINK("https://www.chemistwarehouse.com.au/buy/77771/Rimmel-Super-Gel-022-Angel-Wing"," Rimmel Super Gel 022 Angel Wing")</f>
        <v xml:space="preserve"> Rimmel Super Gel 022 Angel Wing</v>
      </c>
      <c r="C3102" t="s">
        <v>103</v>
      </c>
      <c r="D3102" t="s">
        <v>150</v>
      </c>
    </row>
    <row r="3103" spans="2:4" x14ac:dyDescent="0.25">
      <c r="B3103" t="str">
        <f>HYPERLINK("https://www.chemistwarehouse.com.au/buy/77782/Rimmel-Super-Gel-Duo-Pack-012-Soul-Session-Limited-Edition"," Rimmel Super Gel Duo Pack 012 Soul Session Limited Edition ")</f>
        <v xml:space="preserve"> Rimmel Super Gel Duo Pack 012 Soul Session Limited Edition </v>
      </c>
      <c r="C3103" t="s">
        <v>164</v>
      </c>
      <c r="D3103" t="s">
        <v>353</v>
      </c>
    </row>
    <row r="3104" spans="2:4" x14ac:dyDescent="0.25">
      <c r="B3104" t="str">
        <f>HYPERLINK("https://www.chemistwarehouse.com.au/buy/77783/Rimmel-Super-Gel-Duo-Pack-023-Grape-Sorbet-Limited-Edition"," Rimmel Super Gel Duo Pack 023 Grape Sorbet Limited Edition ")</f>
        <v xml:space="preserve"> Rimmel Super Gel Duo Pack 023 Grape Sorbet Limited Edition </v>
      </c>
      <c r="C3104" t="s">
        <v>551</v>
      </c>
      <c r="D3104" t="s">
        <v>329</v>
      </c>
    </row>
    <row r="3105" spans="1:4" x14ac:dyDescent="0.25">
      <c r="B3105" t="str">
        <f>HYPERLINK("https://www.chemistwarehouse.com.au/buy/77784/Rimmel-Super-Gel-Duo-Pack-031-Perfect-Posy-Limited-Edition"," Rimmel Super Gel Duo Pack 031 Perfect Posy Limited Edition ")</f>
        <v xml:space="preserve"> Rimmel Super Gel Duo Pack 031 Perfect Posy Limited Edition </v>
      </c>
      <c r="C3105" t="s">
        <v>551</v>
      </c>
      <c r="D3105" t="s">
        <v>329</v>
      </c>
    </row>
    <row r="3106" spans="1:4" x14ac:dyDescent="0.25">
      <c r="B3106" t="str">
        <f>HYPERLINK("https://www.chemistwarehouse.com.au/buy/77785/Rimmel-Super-Gel-Duo-Pack-041-Darling-Dahlia-Limited-Edition"," Rimmel Super Gel Duo Pack 041 Darling Dahlia Limited Edition ")</f>
        <v xml:space="preserve"> Rimmel Super Gel Duo Pack 041 Darling Dahlia Limited Edition </v>
      </c>
      <c r="C3106" t="s">
        <v>551</v>
      </c>
      <c r="D3106" t="s">
        <v>329</v>
      </c>
    </row>
    <row r="3107" spans="1:4" x14ac:dyDescent="0.25">
      <c r="B3107" t="str">
        <f>HYPERLINK("https://www.chemistwarehouse.com.au/buy/77786/Rimmel-Super-Gel-Duo-Pack-042-Rock-n-Roll-Limited-Edition"," Rimmel Super Gel Duo Pack 042 Rock n Roll Limited Edition ")</f>
        <v xml:space="preserve"> Rimmel Super Gel Duo Pack 042 Rock n Roll Limited Edition </v>
      </c>
      <c r="C3107" t="s">
        <v>164</v>
      </c>
      <c r="D3107" t="s">
        <v>353</v>
      </c>
    </row>
    <row r="3108" spans="1:4" x14ac:dyDescent="0.25">
      <c r="B3108" t="str">
        <f>HYPERLINK("https://www.chemistwarehouse.com.au/buy/77787/Rimmel-Super-Gel-Duo-Pack-052-Blue-Babe-Limited-Edition"," Rimmel Super Gel Duo Pack 052 Blue Babe Limited Edition ")</f>
        <v xml:space="preserve"> Rimmel Super Gel Duo Pack 052 Blue Babe Limited Edition </v>
      </c>
      <c r="C3108" t="s">
        <v>551</v>
      </c>
      <c r="D3108" t="s">
        <v>329</v>
      </c>
    </row>
    <row r="3109" spans="1:4" x14ac:dyDescent="0.25">
      <c r="A3109" t="s">
        <v>1037</v>
      </c>
    </row>
    <row r="3110" spans="1:4" x14ac:dyDescent="0.25">
      <c r="B3110" t="str">
        <f>HYPERLINK("https://www.chemistwarehouse.com.au/buy/71133/Rimmel-Glam-Eyes-Colour-Mono-Shadow-Precious-Rose"," Rimmel Glam Eyes Colour Mono Shadow Precious Rose")</f>
        <v xml:space="preserve"> Rimmel Glam Eyes Colour Mono Shadow Precious Rose</v>
      </c>
      <c r="C3110" t="s">
        <v>430</v>
      </c>
      <c r="D3110" t="s">
        <v>576</v>
      </c>
    </row>
    <row r="3111" spans="1:4" x14ac:dyDescent="0.25">
      <c r="A3111" t="s">
        <v>1038</v>
      </c>
    </row>
    <row r="3112" spans="1:4" x14ac:dyDescent="0.25">
      <c r="B3112" t="str">
        <f>HYPERLINK("https://www.chemistwarehouse.com.au/buy/77961/Rimmel-Glam-Eyes-HD-5-Pan-Eyeshadow-Brixton-Brown"," Rimmel Glam Eyes HD 5 Pan Eyeshadow Brixton Brown")</f>
        <v xml:space="preserve"> Rimmel Glam Eyes HD 5 Pan Eyeshadow Brixton Brown</v>
      </c>
      <c r="C3112" t="s">
        <v>228</v>
      </c>
      <c r="D3112" t="s">
        <v>329</v>
      </c>
    </row>
    <row r="3113" spans="1:4" x14ac:dyDescent="0.25">
      <c r="B3113" t="str">
        <f>HYPERLINK("https://www.chemistwarehouse.com.au/buy/77962/Rimmel-Glam-Eyes-HD-5-Pan-Eyeshadow-Golden-Eye"," Rimmel Glam Eyes HD 5 Pan Eyeshadow Golden Eye")</f>
        <v xml:space="preserve"> Rimmel Glam Eyes HD 5 Pan Eyeshadow Golden Eye</v>
      </c>
      <c r="C3113" t="s">
        <v>228</v>
      </c>
      <c r="D3113" t="s">
        <v>329</v>
      </c>
    </row>
    <row r="3114" spans="1:4" x14ac:dyDescent="0.25">
      <c r="B3114" t="str">
        <f>HYPERLINK("https://www.chemistwarehouse.com.au/buy/77963/Rimmel-Glam-Eyes-HD-5-Pan-Eyeshadow-Victorias-Purple"," Rimmel Glam Eyes HD 5 Pan Eyeshadow Victorias Purple")</f>
        <v xml:space="preserve"> Rimmel Glam Eyes HD 5 Pan Eyeshadow Victorias Purple</v>
      </c>
      <c r="C3114" t="s">
        <v>228</v>
      </c>
      <c r="D3114" t="s">
        <v>329</v>
      </c>
    </row>
    <row r="3115" spans="1:4" x14ac:dyDescent="0.25">
      <c r="A3115" t="s">
        <v>1039</v>
      </c>
    </row>
    <row r="3116" spans="1:4" x14ac:dyDescent="0.25">
      <c r="B3116" t="str">
        <f>HYPERLINK("https://www.chemistwarehouse.com.au/buy/71140/Rimmel-Shadow-Glam-Eyes-Quad-Beauty-Spells"," Rimmel Shadow Glam Eyes Quad Beauty Spells ")</f>
        <v xml:space="preserve"> Rimmel Shadow Glam Eyes Quad Beauty Spells </v>
      </c>
      <c r="C3116" t="s">
        <v>164</v>
      </c>
      <c r="D3116" t="s">
        <v>353</v>
      </c>
    </row>
    <row r="3117" spans="1:4" x14ac:dyDescent="0.25">
      <c r="B3117" t="str">
        <f>HYPERLINK("https://www.chemistwarehouse.com.au/buy/71141/Rimmel-Shadow-Glam-Eyes-Quad-Smokey-Blue"," Rimmel Shadow Glam Eyes Quad Smokey Blue")</f>
        <v xml:space="preserve"> Rimmel Shadow Glam Eyes Quad Smokey Blue</v>
      </c>
      <c r="C3117" t="s">
        <v>164</v>
      </c>
      <c r="D3117" t="s">
        <v>353</v>
      </c>
    </row>
    <row r="3118" spans="1:4" x14ac:dyDescent="0.25">
      <c r="B3118" t="str">
        <f>HYPERLINK("https://www.chemistwarehouse.com.au/buy/71143/Rimmel-Shadow-Glam-Eyes-Quad-Smokey-Noir"," Rimmel Shadow Glam Eyes Quad Smokey Noir")</f>
        <v xml:space="preserve"> Rimmel Shadow Glam Eyes Quad Smokey Noir</v>
      </c>
      <c r="C3118" t="s">
        <v>164</v>
      </c>
      <c r="D3118" t="s">
        <v>353</v>
      </c>
    </row>
    <row r="3119" spans="1:4" x14ac:dyDescent="0.25">
      <c r="B3119" t="str">
        <f>HYPERLINK("https://www.chemistwarehouse.com.au/buy/71144/Rimmel-Shadow-Glam-Eyes-Quad-Smokey-Purple"," Rimmel Shadow Glam Eyes Quad Smokey Purple ")</f>
        <v xml:space="preserve"> Rimmel Shadow Glam Eyes Quad Smokey Purple </v>
      </c>
      <c r="C3119" t="s">
        <v>164</v>
      </c>
      <c r="D3119" t="s">
        <v>353</v>
      </c>
    </row>
    <row r="3120" spans="1:4" x14ac:dyDescent="0.25">
      <c r="B3120" t="str">
        <f>HYPERLINK("https://www.chemistwarehouse.com.au/buy/71145/Rimmel-Shadow-Glam-Eyes-Quad-State-of-Grace"," Rimmel Shadow Glam Eyes Quad State of Grace ")</f>
        <v xml:space="preserve"> Rimmel Shadow Glam Eyes Quad State of Grace </v>
      </c>
      <c r="C3120" t="s">
        <v>164</v>
      </c>
      <c r="D3120" t="s">
        <v>353</v>
      </c>
    </row>
    <row r="3121" spans="1:4" x14ac:dyDescent="0.25">
      <c r="A3121" t="s">
        <v>1040</v>
      </c>
    </row>
    <row r="3122" spans="1:4" x14ac:dyDescent="0.25">
      <c r="B3122" t="str">
        <f>HYPERLINK("https://www.chemistwarehouse.com.au/buy/71147/Rimmel-Scandaleyes-Shadow-Stick-Beige"," Rimmel Scandaleyes Shadow Stick Beige")</f>
        <v xml:space="preserve"> Rimmel Scandaleyes Shadow Stick Beige</v>
      </c>
      <c r="C3122" t="s">
        <v>290</v>
      </c>
      <c r="D3122" t="s">
        <v>799</v>
      </c>
    </row>
    <row r="3123" spans="1:4" x14ac:dyDescent="0.25">
      <c r="B3123" t="str">
        <f>HYPERLINK("https://www.chemistwarehouse.com.au/buy/71148/Rimmel-Scandaleyes-Shadow-Stick-Black"," Rimmel Scandaleyes Shadow Stick Black")</f>
        <v xml:space="preserve"> Rimmel Scandaleyes Shadow Stick Black</v>
      </c>
      <c r="C3123" t="s">
        <v>290</v>
      </c>
      <c r="D3123" t="s">
        <v>799</v>
      </c>
    </row>
    <row r="3124" spans="1:4" x14ac:dyDescent="0.25">
      <c r="B3124" t="str">
        <f>HYPERLINK("https://www.chemistwarehouse.com.au/buy/71149/Rimmel-Scandaleyes-Shadow-Stick-Blue"," Rimmel Scandaleyes Shadow Stick Blue")</f>
        <v xml:space="preserve"> Rimmel Scandaleyes Shadow Stick Blue</v>
      </c>
      <c r="C3124" t="s">
        <v>290</v>
      </c>
      <c r="D3124" t="s">
        <v>799</v>
      </c>
    </row>
    <row r="3125" spans="1:4" x14ac:dyDescent="0.25">
      <c r="B3125" t="str">
        <f>HYPERLINK("https://www.chemistwarehouse.com.au/buy/71150/Rimmel-Scandaleyes-Shadow-Stick-Bronze"," Rimmel Scandaleyes Shadow Stick Bronze")</f>
        <v xml:space="preserve"> Rimmel Scandaleyes Shadow Stick Bronze</v>
      </c>
      <c r="C3125" t="s">
        <v>290</v>
      </c>
      <c r="D3125" t="s">
        <v>799</v>
      </c>
    </row>
    <row r="3126" spans="1:4" x14ac:dyDescent="0.25">
      <c r="B3126" t="str">
        <f>HYPERLINK("https://www.chemistwarehouse.com.au/buy/71152/Rimmel-Scandaleyes-Shadow-Stick-Grey"," Rimmel Scandaleyes Shadow Stick Grey")</f>
        <v xml:space="preserve"> Rimmel Scandaleyes Shadow Stick Grey</v>
      </c>
      <c r="C3126" t="s">
        <v>290</v>
      </c>
      <c r="D3126" t="s">
        <v>799</v>
      </c>
    </row>
    <row r="3127" spans="1:4" x14ac:dyDescent="0.25">
      <c r="B3127" t="str">
        <f>HYPERLINK("https://www.chemistwarehouse.com.au/buy/71153/Rimmel-Scandaleyes-Shadow-Stick-Purple"," Rimmel Scandaleyes Shadow Stick Purple")</f>
        <v xml:space="preserve"> Rimmel Scandaleyes Shadow Stick Purple</v>
      </c>
      <c r="C3127" t="s">
        <v>98</v>
      </c>
      <c r="D3127" t="s">
        <v>150</v>
      </c>
    </row>
    <row r="3128" spans="1:4" x14ac:dyDescent="0.25">
      <c r="B3128" t="str">
        <f>HYPERLINK("https://www.chemistwarehouse.com.au/buy/71155/Rimmel-Scandaleyes-Shadow-Stick-White"," Rimmel Scandaleyes Shadow Stick White")</f>
        <v xml:space="preserve"> Rimmel Scandaleyes Shadow Stick White</v>
      </c>
      <c r="C3128" t="s">
        <v>290</v>
      </c>
      <c r="D3128" t="s">
        <v>799</v>
      </c>
    </row>
    <row r="3129" spans="1:4" x14ac:dyDescent="0.25">
      <c r="B3129" t="str">
        <f>HYPERLINK("https://www.chemistwarehouse.com.au/buy/77988/Rimmel-Scandaleyes-Shadow-Stick-Bluffing"," Rimmel Scandaleyes Shadow Stick Bluffing ")</f>
        <v xml:space="preserve"> Rimmel Scandaleyes Shadow Stick Bluffing </v>
      </c>
      <c r="C3129" t="s">
        <v>290</v>
      </c>
      <c r="D3129" t="s">
        <v>799</v>
      </c>
    </row>
    <row r="3130" spans="1:4" x14ac:dyDescent="0.25">
      <c r="A3130" t="s">
        <v>1041</v>
      </c>
    </row>
    <row r="3131" spans="1:4" x14ac:dyDescent="0.25">
      <c r="B3131" t="str">
        <f>HYPERLINK("https://www.chemistwarehouse.com.au/buy/77979/Rimmel-MagnifEyes-Mono-001-Gold-Record"," Rimmel MagnifEyes Mono 001 Gold Record")</f>
        <v xml:space="preserve"> Rimmel MagnifEyes Mono 001 Gold Record</v>
      </c>
      <c r="C3131" t="s">
        <v>32</v>
      </c>
      <c r="D3131" t="s">
        <v>150</v>
      </c>
    </row>
    <row r="3132" spans="1:4" x14ac:dyDescent="0.25">
      <c r="B3132" t="str">
        <f>HYPERLINK("https://www.chemistwarehouse.com.au/buy/77980/Rimmel-MagnifEyes-Mono-002-Millionaire-Smoky-Quartz"," Rimmel MagnifEyes Mono 002 Millionaire Smoky Quartz")</f>
        <v xml:space="preserve"> Rimmel MagnifEyes Mono 002 Millionaire Smoky Quartz</v>
      </c>
      <c r="C3132" t="s">
        <v>32</v>
      </c>
      <c r="D3132" t="s">
        <v>150</v>
      </c>
    </row>
    <row r="3133" spans="1:4" x14ac:dyDescent="0.25">
      <c r="B3133" t="str">
        <f>HYPERLINK("https://www.chemistwarehouse.com.au/buy/78064/Rimmel-MagnifEyes-Mono-006-Poser-Rose-Pink"," Rimmel MagnifEyes Mono 006 Poser Rose Pink")</f>
        <v xml:space="preserve"> Rimmel MagnifEyes Mono 006 Poser Rose Pink</v>
      </c>
      <c r="C3133" t="s">
        <v>32</v>
      </c>
      <c r="D3133" t="s">
        <v>150</v>
      </c>
    </row>
    <row r="3134" spans="1:4" x14ac:dyDescent="0.25">
      <c r="B3134" t="str">
        <f>HYPERLINK("https://www.chemistwarehouse.com.au/buy/81203/Rimmel-Magnifeyes-Eyeshadow-8-Pan-001"," Rimmel Magnifeyes Eyeshadow 8 Pan 001")</f>
        <v xml:space="preserve"> Rimmel Magnifeyes Eyeshadow 8 Pan 001</v>
      </c>
      <c r="C3134" t="s">
        <v>407</v>
      </c>
      <c r="D3134" t="s">
        <v>376</v>
      </c>
    </row>
    <row r="3135" spans="1:4" x14ac:dyDescent="0.25">
      <c r="B3135" t="str">
        <f>HYPERLINK("https://www.chemistwarehouse.com.au/buy/81204/Rimmel-Magnifeyes-Eyeshadow-8-Pan-003"," Rimmel Magnifeyes Eyeshadow 8 Pan 003")</f>
        <v xml:space="preserve"> Rimmel Magnifeyes Eyeshadow 8 Pan 003</v>
      </c>
      <c r="C3135" t="s">
        <v>407</v>
      </c>
      <c r="D3135" t="s">
        <v>376</v>
      </c>
    </row>
    <row r="3136" spans="1:4" x14ac:dyDescent="0.25">
      <c r="B3136" t="str">
        <f>HYPERLINK("https://www.chemistwarehouse.com.au/buy/77982/Rimmel-MagnifEyes-Mono-014-Black-Fender"," Rimmel MagnifEyes Mono 014 Black Fender")</f>
        <v xml:space="preserve"> Rimmel MagnifEyes Mono 014 Black Fender</v>
      </c>
      <c r="C3136" t="s">
        <v>32</v>
      </c>
      <c r="D3136" t="s">
        <v>150</v>
      </c>
    </row>
    <row r="3137" spans="1:4" x14ac:dyDescent="0.25">
      <c r="A3137" t="s">
        <v>1042</v>
      </c>
    </row>
    <row r="3138" spans="1:4" x14ac:dyDescent="0.25">
      <c r="B3138" t="str">
        <f>HYPERLINK("https://www.chemistwarehouse.com.au/buy/78568/Rimmel-MagnifEyes-Double-Ended-Shadow-amp-Liner-Black-Grey"," Rimmel MagnifEyes Double Ended Shadow &amp; Liner Black Grey")</f>
        <v xml:space="preserve"> Rimmel MagnifEyes Double Ended Shadow &amp; Liner Black Grey</v>
      </c>
      <c r="C3138" t="s">
        <v>292</v>
      </c>
      <c r="D3138" t="s">
        <v>329</v>
      </c>
    </row>
    <row r="3139" spans="1:4" x14ac:dyDescent="0.25">
      <c r="B3139" t="str">
        <f>HYPERLINK("https://www.chemistwarehouse.com.au/buy/78569/Rimmel-MagnifEyes-Double-Ended-Shadow-amp-Liner-Blue-Grey"," Rimmel MagnifEyes Double Ended Shadow &amp; Liner Blue Grey")</f>
        <v xml:space="preserve"> Rimmel MagnifEyes Double Ended Shadow &amp; Liner Blue Grey</v>
      </c>
      <c r="C3139" t="s">
        <v>292</v>
      </c>
      <c r="D3139" t="s">
        <v>329</v>
      </c>
    </row>
    <row r="3140" spans="1:4" x14ac:dyDescent="0.25">
      <c r="B3140" t="str">
        <f>HYPERLINK("https://www.chemistwarehouse.com.au/buy/78570/Rimmel-MagnifEyes-Double-Ended-Shadow-amp-Liner-Bronze-Gold"," Rimmel MagnifEyes Double Ended Shadow &amp; Liner Bronze Gold")</f>
        <v xml:space="preserve"> Rimmel MagnifEyes Double Ended Shadow &amp; Liner Bronze Gold</v>
      </c>
      <c r="C3140" t="s">
        <v>292</v>
      </c>
      <c r="D3140" t="s">
        <v>329</v>
      </c>
    </row>
    <row r="3141" spans="1:4" x14ac:dyDescent="0.25">
      <c r="B3141" t="str">
        <f>HYPERLINK("https://www.chemistwarehouse.com.au/buy/78571/Rimmel-MagnifEyes-Double-Ended-Shadow-amp-Liner-Rose-Gold-Brown"," Rimmel MagnifEyes Double Ended Shadow &amp; Liner Rose Gold Brown")</f>
        <v xml:space="preserve"> Rimmel MagnifEyes Double Ended Shadow &amp; Liner Rose Gold Brown</v>
      </c>
      <c r="C3141" t="s">
        <v>292</v>
      </c>
      <c r="D3141" t="s">
        <v>329</v>
      </c>
    </row>
    <row r="3142" spans="1:4" x14ac:dyDescent="0.25">
      <c r="A3142" t="s">
        <v>1043</v>
      </c>
    </row>
    <row r="3143" spans="1:4" x14ac:dyDescent="0.25">
      <c r="B3143" t="str">
        <f>HYPERLINK("https://www.chemistwarehouse.com.au/buy/71156/Rimmel-Liquid-Exaggerate-Eye-Liner-100-Black"," Rimmel Liquid Exaggerate Eye Liner 100% Black")</f>
        <v xml:space="preserve"> Rimmel Liquid Exaggerate Eye Liner 100% Black</v>
      </c>
      <c r="C3143" t="s">
        <v>290</v>
      </c>
      <c r="D3143" t="s">
        <v>799</v>
      </c>
    </row>
    <row r="3144" spans="1:4" x14ac:dyDescent="0.25">
      <c r="A3144" t="s">
        <v>1044</v>
      </c>
    </row>
    <row r="3145" spans="1:4" x14ac:dyDescent="0.25">
      <c r="B3145" t="str">
        <f>HYPERLINK("https://www.chemistwarehouse.com.au/buy/68328/Rimmel-Glam-Eyes-Professional-Liquid-Eyeliner-Black"," Rimmel Glam Eyes Professional Liquid Eyeliner Black")</f>
        <v xml:space="preserve"> Rimmel Glam Eyes Professional Liquid Eyeliner Black</v>
      </c>
      <c r="C3145" t="s">
        <v>45</v>
      </c>
      <c r="D3145" t="s">
        <v>150</v>
      </c>
    </row>
    <row r="3146" spans="1:4" x14ac:dyDescent="0.25">
      <c r="A3146" t="s">
        <v>1045</v>
      </c>
    </row>
    <row r="3147" spans="1:4" x14ac:dyDescent="0.25">
      <c r="B3147" t="str">
        <f>HYPERLINK("https://www.chemistwarehouse.com.au/buy/71157/Rimmel-Scandaleyes-Gel-Pot-Liner-Black"," Rimmel Scandaleyes Gel Pot Liner Black")</f>
        <v xml:space="preserve"> Rimmel Scandaleyes Gel Pot Liner Black</v>
      </c>
      <c r="C3147" t="s">
        <v>290</v>
      </c>
      <c r="D3147" t="s">
        <v>799</v>
      </c>
    </row>
    <row r="3148" spans="1:4" x14ac:dyDescent="0.25">
      <c r="A3148" t="s">
        <v>1046</v>
      </c>
    </row>
    <row r="3149" spans="1:4" x14ac:dyDescent="0.25">
      <c r="B3149" t="str">
        <f>HYPERLINK("https://www.chemistwarehouse.com.au/buy/71163/Rimmel-Scandal-Eyes-Thick-And-Thin-Liner"," Rimmel Scandal Eyes Thick And Thin Liner ")</f>
        <v xml:space="preserve"> Rimmel Scandal Eyes Thick And Thin Liner </v>
      </c>
      <c r="C3149" t="s">
        <v>98</v>
      </c>
      <c r="D3149" t="s">
        <v>150</v>
      </c>
    </row>
    <row r="3150" spans="1:4" x14ac:dyDescent="0.25">
      <c r="A3150" t="s">
        <v>1047</v>
      </c>
    </row>
    <row r="3151" spans="1:4" x14ac:dyDescent="0.25">
      <c r="B3151" t="str">
        <f>HYPERLINK("https://www.chemistwarehouse.com.au/buy/77987/Rimmel-Scandaleyes-Micro-Eyeliner"," Rimmel Scandaleyes Micro Eyeliner")</f>
        <v xml:space="preserve"> Rimmel Scandaleyes Micro Eyeliner</v>
      </c>
      <c r="C3151" t="s">
        <v>98</v>
      </c>
      <c r="D3151" t="s">
        <v>150</v>
      </c>
    </row>
    <row r="3152" spans="1:4" x14ac:dyDescent="0.25">
      <c r="B3152" t="str">
        <f>HYPERLINK("https://www.chemistwarehouse.com.au/buy/77986/Rimmel-Scandaleyes-Jumbo-Liquid-Liner"," Rimmel Scandaleyes Jumbo Liquid Liner")</f>
        <v xml:space="preserve"> Rimmel Scandaleyes Jumbo Liquid Liner</v>
      </c>
      <c r="C3152" t="s">
        <v>98</v>
      </c>
      <c r="D3152" t="s">
        <v>150</v>
      </c>
    </row>
    <row r="3153" spans="1:4" x14ac:dyDescent="0.25">
      <c r="A3153" t="s">
        <v>1048</v>
      </c>
    </row>
    <row r="3154" spans="1:4" x14ac:dyDescent="0.25">
      <c r="B3154" t="str">
        <f>HYPERLINK("https://www.chemistwarehouse.com.au/buy/79499/Rimmel-Colour-Precise-Liner-Black"," Rimmel Colour Precise Liner Black")</f>
        <v xml:space="preserve"> Rimmel Colour Precise Liner Black</v>
      </c>
      <c r="C3154" t="s">
        <v>290</v>
      </c>
      <c r="D3154" t="s">
        <v>799</v>
      </c>
    </row>
    <row r="3155" spans="1:4" x14ac:dyDescent="0.25">
      <c r="B3155" t="str">
        <f>HYPERLINK("https://www.chemistwarehouse.com.au/buy/79500/Rimmel-Colour-Precise-Liner-Blue"," Rimmel Colour Precise Liner Blue")</f>
        <v xml:space="preserve"> Rimmel Colour Precise Liner Blue</v>
      </c>
      <c r="C3155" t="s">
        <v>290</v>
      </c>
      <c r="D3155" t="s">
        <v>799</v>
      </c>
    </row>
    <row r="3156" spans="1:4" x14ac:dyDescent="0.25">
      <c r="B3156" t="str">
        <f>HYPERLINK("https://www.chemistwarehouse.com.au/buy/79501/Rimmel-Colour-Precise-Liner-White"," Rimmel Colour Precise Liner White")</f>
        <v xml:space="preserve"> Rimmel Colour Precise Liner White</v>
      </c>
      <c r="C3156" t="s">
        <v>290</v>
      </c>
      <c r="D3156" t="s">
        <v>799</v>
      </c>
    </row>
    <row r="3157" spans="1:4" x14ac:dyDescent="0.25">
      <c r="A3157" t="s">
        <v>1049</v>
      </c>
    </row>
    <row r="3158" spans="1:4" x14ac:dyDescent="0.25">
      <c r="B3158" t="str">
        <f>HYPERLINK("https://www.chemistwarehouse.com.au/buy/60422/Rimmel-Mascara-100-Water-Proof-Black-Black"," Rimmel Mascara 100% Water Proof Black Black")</f>
        <v xml:space="preserve"> Rimmel Mascara 100% Water Proof Black Black</v>
      </c>
      <c r="C3158" t="s">
        <v>98</v>
      </c>
      <c r="D3158" t="s">
        <v>150</v>
      </c>
    </row>
    <row r="3159" spans="1:4" x14ac:dyDescent="0.25">
      <c r="A3159" t="s">
        <v>1050</v>
      </c>
    </row>
    <row r="3160" spans="1:4" x14ac:dyDescent="0.25">
      <c r="B3160" t="str">
        <f>HYPERLINK("https://www.chemistwarehouse.com.au/buy/72753/Rimmel-Wonderfull-Mascara-Extra-Black"," Rimmel Wonderfull Mascara Extra Black")</f>
        <v xml:space="preserve"> Rimmel Wonderfull Mascara Extra Black</v>
      </c>
      <c r="C3160" t="s">
        <v>58</v>
      </c>
      <c r="D3160" t="s">
        <v>397</v>
      </c>
    </row>
    <row r="3161" spans="1:4" x14ac:dyDescent="0.25">
      <c r="B3161" t="str">
        <f>HYPERLINK("https://www.chemistwarehouse.com.au/buy/75884/Rimmel-Wonderfull-Wake-Me-Up-Mascara-Black"," Rimmel Wonderfull Wake Me Up Mascara Black")</f>
        <v xml:space="preserve"> Rimmel Wonderfull Wake Me Up Mascara Black</v>
      </c>
      <c r="C3161" t="s">
        <v>58</v>
      </c>
      <c r="D3161" t="s">
        <v>397</v>
      </c>
    </row>
    <row r="3162" spans="1:4" x14ac:dyDescent="0.25">
      <c r="B3162" t="str">
        <f>HYPERLINK("https://www.chemistwarehouse.com.au/buy/79047/Rimmel-Wonderful-Volume-Colourist-Mascara-Extreme-Black"," Rimmel Wonderful Volume Colourist Mascara Extreme Black")</f>
        <v xml:space="preserve"> Rimmel Wonderful Volume Colourist Mascara Extreme Black</v>
      </c>
      <c r="C3162" t="s">
        <v>58</v>
      </c>
      <c r="D3162" t="s">
        <v>397</v>
      </c>
    </row>
    <row r="3163" spans="1:4" x14ac:dyDescent="0.25">
      <c r="B3163" t="str">
        <f>HYPERLINK("https://www.chemistwarehouse.com.au/buy/79048/Rimmel-Wonderfull-Volume-Colourist-Mascara-Black"," Rimmel Wonderfull Volume Colourist Mascara Black")</f>
        <v xml:space="preserve"> Rimmel Wonderfull Volume Colourist Mascara Black</v>
      </c>
      <c r="C3163" t="s">
        <v>58</v>
      </c>
      <c r="D3163" t="s">
        <v>397</v>
      </c>
    </row>
    <row r="3164" spans="1:4" x14ac:dyDescent="0.25">
      <c r="B3164" t="str">
        <f>HYPERLINK("https://www.chemistwarehouse.com.au/buy/80054/Rimmel-Wonderfull-Wake-Me-Up-Mascara-Extreme-Black"," Rimmel Wonderfull Wake Me Up Mascara Extreme Black")</f>
        <v xml:space="preserve"> Rimmel Wonderfull Wake Me Up Mascara Extreme Black</v>
      </c>
      <c r="C3164" t="s">
        <v>58</v>
      </c>
      <c r="D3164" t="s">
        <v>397</v>
      </c>
    </row>
    <row r="3165" spans="1:4" x14ac:dyDescent="0.25">
      <c r="B3165" t="str">
        <f>HYPERLINK("https://www.chemistwarehouse.com.au/buy/72751/Rimmel-Wonderfull-Argan-Oil-Mascara-Black"," Rimmel Wonderfull Argan Oil Mascara Black")</f>
        <v xml:space="preserve"> Rimmel Wonderfull Argan Oil Mascara Black</v>
      </c>
      <c r="C3165" t="s">
        <v>58</v>
      </c>
      <c r="D3165" t="s">
        <v>397</v>
      </c>
    </row>
    <row r="3166" spans="1:4" x14ac:dyDescent="0.25">
      <c r="B3166" t="str">
        <f>HYPERLINK("https://www.chemistwarehouse.com.au/buy/72752/Rimmel-Wonderfull-Mascara-Black-Waterproof"," Rimmel Wonderfull Mascara Black Waterproof")</f>
        <v xml:space="preserve"> Rimmel Wonderfull Mascara Black Waterproof</v>
      </c>
      <c r="C3166" t="s">
        <v>58</v>
      </c>
      <c r="D3166" t="s">
        <v>397</v>
      </c>
    </row>
    <row r="3167" spans="1:4" x14ac:dyDescent="0.25">
      <c r="A3167" t="s">
        <v>1051</v>
      </c>
    </row>
    <row r="3168" spans="1:4" x14ac:dyDescent="0.25">
      <c r="B3168" t="str">
        <f>HYPERLINK("https://www.chemistwarehouse.com.au/buy/68343/Rimmel-Mascara-Day-to-Night-Black"," Rimmel Mascara Day to Night Black")</f>
        <v xml:space="preserve"> Rimmel Mascara Day to Night Black</v>
      </c>
      <c r="C3168" t="s">
        <v>292</v>
      </c>
      <c r="D3168" t="s">
        <v>329</v>
      </c>
    </row>
    <row r="3169" spans="1:4" x14ac:dyDescent="0.25">
      <c r="A3169" t="s">
        <v>1052</v>
      </c>
    </row>
    <row r="3170" spans="1:4" x14ac:dyDescent="0.25">
      <c r="B3170" t="str">
        <f>HYPERLINK("https://www.chemistwarehouse.com.au/buy/60427/Rimmel-Extra-Super-Mascara-Brown-Black"," Rimmel Extra Super Mascara Brown Black")</f>
        <v xml:space="preserve"> Rimmel Extra Super Mascara Brown Black</v>
      </c>
      <c r="C3170" t="s">
        <v>98</v>
      </c>
      <c r="D3170" t="s">
        <v>150</v>
      </c>
    </row>
    <row r="3171" spans="1:4" x14ac:dyDescent="0.25">
      <c r="B3171" t="str">
        <f>HYPERLINK("https://www.chemistwarehouse.com.au/buy/68310/Rimmel-Extra-Super-Mascara-Black-Black"," Rimmel Extra Super Mascara Black Black")</f>
        <v xml:space="preserve"> Rimmel Extra Super Mascara Black Black</v>
      </c>
      <c r="C3171" t="s">
        <v>98</v>
      </c>
      <c r="D3171" t="s">
        <v>150</v>
      </c>
    </row>
    <row r="3172" spans="1:4" x14ac:dyDescent="0.25">
      <c r="B3172" t="str">
        <f>HYPERLINK("https://www.chemistwarehouse.com.au/buy/68311/Rimmel-Extra-Super-Mascara-Curve-Black"," Rimmel Extra Super Mascara Curve Black")</f>
        <v xml:space="preserve"> Rimmel Extra Super Mascara Curve Black</v>
      </c>
      <c r="C3172" t="s">
        <v>98</v>
      </c>
      <c r="D3172" t="s">
        <v>150</v>
      </c>
    </row>
    <row r="3173" spans="1:4" x14ac:dyDescent="0.25">
      <c r="B3173" t="str">
        <f>HYPERLINK("https://www.chemistwarehouse.com.au/buy/81191/Rimmel-Extra-Super-Long-Mascara-Extreme-Black"," Rimmel Extra Super Long Mascara Extreme Black")</f>
        <v xml:space="preserve"> Rimmel Extra Super Long Mascara Extreme Black</v>
      </c>
      <c r="C3173" t="s">
        <v>98</v>
      </c>
      <c r="D3173" t="s">
        <v>150</v>
      </c>
    </row>
    <row r="3174" spans="1:4" x14ac:dyDescent="0.25">
      <c r="A3174" t="s">
        <v>1053</v>
      </c>
    </row>
    <row r="3175" spans="1:4" x14ac:dyDescent="0.25">
      <c r="B3175" t="str">
        <f>HYPERLINK("https://www.chemistwarehouse.com.au/buy/68802/Rimmel-Lash-Accelerator-Endless-Mascara-Black"," Rimmel Lash Accelerator Endless Mascara Black")</f>
        <v xml:space="preserve"> Rimmel Lash Accelerator Endless Mascara Black</v>
      </c>
      <c r="C3175" t="s">
        <v>187</v>
      </c>
      <c r="D3175" t="s">
        <v>397</v>
      </c>
    </row>
    <row r="3176" spans="1:4" x14ac:dyDescent="0.25">
      <c r="A3176" t="s">
        <v>1054</v>
      </c>
    </row>
    <row r="3177" spans="1:4" x14ac:dyDescent="0.25">
      <c r="B3177" t="str">
        <f>HYPERLINK("https://www.chemistwarehouse.com.au/buy/67951/Rimmel-Scandal-Eyes-Lycra-Flex-Mascara-Black"," Rimmel Scandal Eyes Lycra Flex Mascara Black")</f>
        <v xml:space="preserve"> Rimmel Scandal Eyes Lycra Flex Mascara Black</v>
      </c>
      <c r="C3177" t="s">
        <v>292</v>
      </c>
      <c r="D3177" t="s">
        <v>329</v>
      </c>
    </row>
    <row r="3178" spans="1:4" x14ac:dyDescent="0.25">
      <c r="B3178" t="str">
        <f>HYPERLINK("https://www.chemistwarehouse.com.au/buy/68358/Rimmel-Scandaleyes-Mascara-Black-Waterproof"," Rimmel Scandaleyes Mascara Black Waterproof")</f>
        <v xml:space="preserve"> Rimmel Scandaleyes Mascara Black Waterproof</v>
      </c>
      <c r="C3178" t="s">
        <v>292</v>
      </c>
      <c r="D3178" t="s">
        <v>329</v>
      </c>
    </row>
    <row r="3179" spans="1:4" x14ac:dyDescent="0.25">
      <c r="B3179" t="str">
        <f>HYPERLINK("https://www.chemistwarehouse.com.au/buy/70068/Rimmel-Scandaleyes-Retro-Glam-Mascara"," Rimmel Scandaleyes Retro Glam Mascara")</f>
        <v xml:space="preserve"> Rimmel Scandaleyes Retro Glam Mascara</v>
      </c>
      <c r="C3179" t="s">
        <v>292</v>
      </c>
      <c r="D3179" t="s">
        <v>329</v>
      </c>
    </row>
    <row r="3180" spans="1:4" x14ac:dyDescent="0.25">
      <c r="B3180" t="str">
        <f>HYPERLINK("https://www.chemistwarehouse.com.au/buy/71029/Rimmel-Scandaleyes-Rockin-Curves-Black-Mascara"," Rimmel Scandaleyes Rockin Curves Black Mascara")</f>
        <v xml:space="preserve"> Rimmel Scandaleyes Rockin Curves Black Mascara</v>
      </c>
      <c r="C3180" t="s">
        <v>292</v>
      </c>
      <c r="D3180" t="s">
        <v>329</v>
      </c>
    </row>
    <row r="3181" spans="1:4" x14ac:dyDescent="0.25">
      <c r="B3181" t="str">
        <f>HYPERLINK("https://www.chemistwarehouse.com.au/buy/74393/Rimmel-Scandaleyes-Mascara-by-Kate-04"," Rimmel Scandaleyes Mascara by Kate #04")</f>
        <v xml:space="preserve"> Rimmel Scandaleyes Mascara by Kate #04</v>
      </c>
      <c r="C3181" t="s">
        <v>292</v>
      </c>
      <c r="D3181" t="s">
        <v>329</v>
      </c>
    </row>
    <row r="3182" spans="1:4" x14ac:dyDescent="0.25">
      <c r="B3182" t="str">
        <f>HYPERLINK("https://www.chemistwarehouse.com.au/buy/74743/Rimmel-Scandaleyes-Rockin-Curves-Extreme-Black-Mascara"," Rimmel Scandaleyes Rockin Curves Extreme Black Mascara")</f>
        <v xml:space="preserve"> Rimmel Scandaleyes Rockin Curves Extreme Black Mascara</v>
      </c>
      <c r="C3182" t="s">
        <v>292</v>
      </c>
      <c r="D3182" t="s">
        <v>329</v>
      </c>
    </row>
    <row r="3183" spans="1:4" x14ac:dyDescent="0.25">
      <c r="B3183" t="str">
        <f>HYPERLINK("https://www.chemistwarehouse.com.au/buy/75240/Rimmel-Scandaleyes-Mascara-XXtreme-Black"," Rimmel Scandaleyes Mascara XXtreme Black")</f>
        <v xml:space="preserve"> Rimmel Scandaleyes Mascara XXtreme Black</v>
      </c>
      <c r="C3183" t="s">
        <v>292</v>
      </c>
      <c r="D3183" t="s">
        <v>329</v>
      </c>
    </row>
    <row r="3184" spans="1:4" x14ac:dyDescent="0.25">
      <c r="B3184" t="str">
        <f>HYPERLINK("https://www.chemistwarehouse.com.au/buy/81211/Rimmel-Scandaleyes-Reloaded-Mascara-Black"," Rimmel Scandaleyes Reloaded Mascara Black")</f>
        <v xml:space="preserve"> Rimmel Scandaleyes Reloaded Mascara Black</v>
      </c>
      <c r="C3184" t="s">
        <v>80</v>
      </c>
      <c r="D3184" t="s">
        <v>157</v>
      </c>
    </row>
    <row r="3185" spans="1:4" x14ac:dyDescent="0.25">
      <c r="B3185" t="str">
        <f>HYPERLINK("https://www.chemistwarehouse.com.au/buy/82614/Rimmel-Scandaleyes-Liquid-Flick-Eyeliner"," Rimmel Scandaleyes Liquid Flick Eyeliner")</f>
        <v xml:space="preserve"> Rimmel Scandaleyes Liquid Flick Eyeliner</v>
      </c>
      <c r="C3185" t="s">
        <v>32</v>
      </c>
      <c r="D3185" t="s">
        <v>165</v>
      </c>
    </row>
    <row r="3186" spans="1:4" x14ac:dyDescent="0.25">
      <c r="B3186" t="str">
        <f>HYPERLINK("https://www.chemistwarehouse.com.au/buy/65980/Rimmel-Scandaleyes-Mascara-Extreme-Black-Mascara"," Rimmel Scandaleyes Mascara Extreme Black Mascara")</f>
        <v xml:space="preserve"> Rimmel Scandaleyes Mascara Extreme Black Mascara</v>
      </c>
      <c r="C3186" t="s">
        <v>292</v>
      </c>
      <c r="D3186" t="s">
        <v>329</v>
      </c>
    </row>
    <row r="3187" spans="1:4" x14ac:dyDescent="0.25">
      <c r="B3187" t="str">
        <f>HYPERLINK("https://www.chemistwarehouse.com.au/buy/66910/Rimmel-Scandaleyes-Show-Off-Mascara-Black"," Rimmel Scandaleyes Show Off Mascara Black")</f>
        <v xml:space="preserve"> Rimmel Scandaleyes Show Off Mascara Black</v>
      </c>
      <c r="C3187" t="s">
        <v>292</v>
      </c>
      <c r="D3187" t="s">
        <v>329</v>
      </c>
    </row>
    <row r="3188" spans="1:4" x14ac:dyDescent="0.25">
      <c r="B3188" t="str">
        <f>HYPERLINK("https://www.chemistwarehouse.com.au/buy/71165/Rimmel-Retro-Black-Mascara-Extreme-Black"," Rimmel Retro Black Mascara Extreme Black")</f>
        <v xml:space="preserve"> Rimmel Retro Black Mascara Extreme Black</v>
      </c>
      <c r="C3188" t="s">
        <v>164</v>
      </c>
      <c r="D3188" t="s">
        <v>899</v>
      </c>
    </row>
    <row r="3189" spans="1:4" x14ac:dyDescent="0.25">
      <c r="A3189" t="s">
        <v>1055</v>
      </c>
    </row>
    <row r="3190" spans="1:4" x14ac:dyDescent="0.25">
      <c r="B3190" t="str">
        <f>HYPERLINK("https://www.chemistwarehouse.com.au/buy/68374/Rimmel-Volume-Flash-Mascara-Extreme-Black"," Rimmel Volume Flash Mascara Extreme Black")</f>
        <v xml:space="preserve"> Rimmel Volume Flash Mascara Extreme Black</v>
      </c>
      <c r="C3190" t="s">
        <v>237</v>
      </c>
      <c r="D3190" t="s">
        <v>465</v>
      </c>
    </row>
    <row r="3191" spans="1:4" x14ac:dyDescent="0.25">
      <c r="B3191" t="str">
        <f>HYPERLINK("https://www.chemistwarehouse.com.au/buy/68375/Rimmel-Volume-Flash-Mascara-Black"," Rimmel Volume Flash Mascara Black")</f>
        <v xml:space="preserve"> Rimmel Volume Flash Mascara Black</v>
      </c>
      <c r="C3191" t="s">
        <v>237</v>
      </c>
      <c r="D3191" t="s">
        <v>465</v>
      </c>
    </row>
    <row r="3192" spans="1:4" x14ac:dyDescent="0.25">
      <c r="A3192" t="s">
        <v>1056</v>
      </c>
    </row>
    <row r="3193" spans="1:4" x14ac:dyDescent="0.25">
      <c r="B3193" t="str">
        <f>HYPERLINK("https://www.chemistwarehouse.com.au/buy/77327/Rimmel-Supercurler-Mascara-Black-001"," Rimmel Supercurler Mascara Black 001")</f>
        <v xml:space="preserve"> Rimmel Supercurler Mascara Black 001</v>
      </c>
      <c r="C3193" t="s">
        <v>237</v>
      </c>
      <c r="D3193" t="s">
        <v>165</v>
      </c>
    </row>
    <row r="3194" spans="1:4" x14ac:dyDescent="0.25">
      <c r="B3194" t="str">
        <f>HYPERLINK("https://www.chemistwarehouse.com.au/buy/78572/Rimmel-Supercurler-Mascara-Extreme-Black"," Rimmel Supercurler Mascara Extreme Black")</f>
        <v xml:space="preserve"> Rimmel Supercurler Mascara Extreme Black</v>
      </c>
      <c r="C3194" t="s">
        <v>187</v>
      </c>
      <c r="D3194" t="s">
        <v>397</v>
      </c>
    </row>
    <row r="3195" spans="1:4" x14ac:dyDescent="0.25">
      <c r="A3195" t="s">
        <v>1057</v>
      </c>
    </row>
    <row r="3196" spans="1:4" x14ac:dyDescent="0.25">
      <c r="B3196" t="str">
        <f>HYPERLINK("https://www.chemistwarehouse.com.au/buy/77960/Rimmel-Extra-3D-Lash-Mascara-3"," Rimmel Extra 3D Lash Mascara #3")</f>
        <v xml:space="preserve"> Rimmel Extra 3D Lash Mascara #3</v>
      </c>
      <c r="C3196" t="s">
        <v>98</v>
      </c>
      <c r="D3196" t="s">
        <v>150</v>
      </c>
    </row>
    <row r="3197" spans="1:4" x14ac:dyDescent="0.25">
      <c r="A3197" t="s">
        <v>1058</v>
      </c>
    </row>
    <row r="3198" spans="1:4" x14ac:dyDescent="0.25">
      <c r="B3198" t="str">
        <f>HYPERLINK("https://www.chemistwarehouse.com.au/buy/74694/Rimmel-Exaggerate-Auto-Waterproof-Eye-Definer-Blackest-Black"," Rimmel Exaggerate Auto Waterproof Eye Definer Blackest Black")</f>
        <v xml:space="preserve"> Rimmel Exaggerate Auto Waterproof Eye Definer Blackest Black</v>
      </c>
      <c r="C3198" t="s">
        <v>98</v>
      </c>
      <c r="D3198" t="s">
        <v>150</v>
      </c>
    </row>
    <row r="3199" spans="1:4" x14ac:dyDescent="0.25">
      <c r="B3199" t="str">
        <f>HYPERLINK("https://www.chemistwarehouse.com.au/buy/74695/Rimmel-Exaggerate-Auto-Waterproof-Eye-Definer-Deep-Ocean"," Rimmel Exaggerate Auto Waterproof Eye Definer Deep Ocean")</f>
        <v xml:space="preserve"> Rimmel Exaggerate Auto Waterproof Eye Definer Deep Ocean</v>
      </c>
      <c r="C3199" t="s">
        <v>98</v>
      </c>
      <c r="D3199" t="s">
        <v>150</v>
      </c>
    </row>
    <row r="3200" spans="1:4" x14ac:dyDescent="0.25">
      <c r="B3200" t="str">
        <f>HYPERLINK("https://www.chemistwarehouse.com.au/buy/74696/Rimmel-Exaggerate-Auto-Waterproof-Eye-Definer-Earl-Grey"," Rimmel Exaggerate Auto Waterproof Eye Definer Earl Grey")</f>
        <v xml:space="preserve"> Rimmel Exaggerate Auto Waterproof Eye Definer Earl Grey</v>
      </c>
      <c r="C3200" t="s">
        <v>98</v>
      </c>
      <c r="D3200" t="s">
        <v>150</v>
      </c>
    </row>
    <row r="3201" spans="1:4" x14ac:dyDescent="0.25">
      <c r="B3201" t="str">
        <f>HYPERLINK("https://www.chemistwarehouse.com.au/buy/74697/Rimmel-Exaggerate-Auto-Waterproof-Eye-Definer-In-The-Nude"," Rimmel Exaggerate Auto Waterproof Eye Definer In The Nude")</f>
        <v xml:space="preserve"> Rimmel Exaggerate Auto Waterproof Eye Definer In The Nude</v>
      </c>
      <c r="C3201" t="s">
        <v>98</v>
      </c>
      <c r="D3201" t="s">
        <v>150</v>
      </c>
    </row>
    <row r="3202" spans="1:4" x14ac:dyDescent="0.25">
      <c r="B3202" t="str">
        <f>HYPERLINK("https://www.chemistwarehouse.com.au/buy/74698/Rimmel-Exaggerate-Auto-Waterproof-Eye-Definer-Rich-Brown"," Rimmel Exaggerate Auto Waterproof Eye Definer Rich Brown")</f>
        <v xml:space="preserve"> Rimmel Exaggerate Auto Waterproof Eye Definer Rich Brown</v>
      </c>
      <c r="C3202" t="s">
        <v>98</v>
      </c>
      <c r="D3202" t="s">
        <v>150</v>
      </c>
    </row>
    <row r="3203" spans="1:4" x14ac:dyDescent="0.25">
      <c r="B3203" t="str">
        <f>HYPERLINK("https://www.chemistwarehouse.com.au/buy/74699/Rimmel-Exaggerate-Auto-Waterproof-Eye-Definer-Ripe-Plum"," Rimmel Exaggerate Auto Waterproof Eye Definer Ripe Plum")</f>
        <v xml:space="preserve"> Rimmel Exaggerate Auto Waterproof Eye Definer Ripe Plum</v>
      </c>
      <c r="C3203" t="s">
        <v>98</v>
      </c>
      <c r="D3203" t="s">
        <v>150</v>
      </c>
    </row>
    <row r="3204" spans="1:4" x14ac:dyDescent="0.25">
      <c r="B3204" t="str">
        <f>HYPERLINK("https://www.chemistwarehouse.com.au/buy/74700/Rimmel-Exaggerate-Auto-Waterproof-Eye-Definer-Starlit-Black"," Rimmel Exaggerate Auto Waterproof Eye Definer Starlit Black")</f>
        <v xml:space="preserve"> Rimmel Exaggerate Auto Waterproof Eye Definer Starlit Black</v>
      </c>
      <c r="C3204" t="s">
        <v>98</v>
      </c>
      <c r="D3204" t="s">
        <v>150</v>
      </c>
    </row>
    <row r="3205" spans="1:4" x14ac:dyDescent="0.25">
      <c r="A3205" t="s">
        <v>1059</v>
      </c>
    </row>
    <row r="3206" spans="1:4" x14ac:dyDescent="0.25">
      <c r="B3206" t="str">
        <f>HYPERLINK("https://www.chemistwarehouse.com.au/buy/71166/Rimmel-Brow-Pencil-Black-Brown"," Rimmel Brow Pencil Black Brown")</f>
        <v xml:space="preserve"> Rimmel Brow Pencil Black Brown</v>
      </c>
      <c r="C3206" t="s">
        <v>242</v>
      </c>
      <c r="D3206" t="s">
        <v>400</v>
      </c>
    </row>
    <row r="3207" spans="1:4" x14ac:dyDescent="0.25">
      <c r="B3207" t="str">
        <f>HYPERLINK("https://www.chemistwarehouse.com.au/buy/71167/Rimmel-Brow-Pencil-Dark-Brown"," Rimmel Brow Pencil Dark Brown")</f>
        <v xml:space="preserve"> Rimmel Brow Pencil Dark Brown</v>
      </c>
      <c r="C3207" t="s">
        <v>242</v>
      </c>
      <c r="D3207" t="s">
        <v>400</v>
      </c>
    </row>
    <row r="3208" spans="1:4" x14ac:dyDescent="0.25">
      <c r="B3208" t="str">
        <f>HYPERLINK("https://www.chemistwarehouse.com.au/buy/71168/Rimmel-Brow-Pencil-Hazel"," Rimmel Brow Pencil Hazel")</f>
        <v xml:space="preserve"> Rimmel Brow Pencil Hazel</v>
      </c>
      <c r="C3208" t="s">
        <v>242</v>
      </c>
      <c r="D3208" t="s">
        <v>400</v>
      </c>
    </row>
    <row r="3209" spans="1:4" x14ac:dyDescent="0.25">
      <c r="A3209" t="s">
        <v>1060</v>
      </c>
    </row>
    <row r="3210" spans="1:4" x14ac:dyDescent="0.25">
      <c r="B3210" t="str">
        <f>HYPERLINK("https://www.chemistwarehouse.com.au/buy/77990/Rimmel-Scandaleyes-Waterproof-Liner-Brown"," Rimmel Scandaleyes Waterproof Liner Brown")</f>
        <v xml:space="preserve"> Rimmel Scandaleyes Waterproof Liner Brown</v>
      </c>
      <c r="C3210" t="s">
        <v>240</v>
      </c>
      <c r="D3210" t="s">
        <v>400</v>
      </c>
    </row>
    <row r="3211" spans="1:4" x14ac:dyDescent="0.25">
      <c r="A3211" t="s">
        <v>1061</v>
      </c>
    </row>
    <row r="3212" spans="1:4" x14ac:dyDescent="0.25">
      <c r="B3212" t="str">
        <f>HYPERLINK("https://www.chemistwarehouse.com.au/buy/71170/Rimmel-Soft-Kohl-Denim-Blue"," Rimmel Soft Kohl Denim Blue")</f>
        <v xml:space="preserve"> Rimmel Soft Kohl Denim Blue</v>
      </c>
      <c r="C3212" t="s">
        <v>242</v>
      </c>
      <c r="D3212" t="s">
        <v>400</v>
      </c>
    </row>
    <row r="3213" spans="1:4" x14ac:dyDescent="0.25">
      <c r="B3213" t="str">
        <f>HYPERLINK("https://www.chemistwarehouse.com.au/buy/71172/Rimmel-Soft-Kohl-Pure-White"," Rimmel Soft Kohl Pure White")</f>
        <v xml:space="preserve"> Rimmel Soft Kohl Pure White</v>
      </c>
      <c r="C3213" t="s">
        <v>242</v>
      </c>
      <c r="D3213" t="s">
        <v>400</v>
      </c>
    </row>
    <row r="3214" spans="1:4" x14ac:dyDescent="0.25">
      <c r="B3214" t="str">
        <f>HYPERLINK("https://www.chemistwarehouse.com.au/buy/71174/Rimmel-Soft-Kohl-Sable-Brown"," Rimmel Soft Kohl Sable Brown")</f>
        <v xml:space="preserve"> Rimmel Soft Kohl Sable Brown</v>
      </c>
      <c r="C3214" t="s">
        <v>242</v>
      </c>
      <c r="D3214" t="s">
        <v>400</v>
      </c>
    </row>
    <row r="3215" spans="1:4" x14ac:dyDescent="0.25">
      <c r="B3215" t="str">
        <f>HYPERLINK("https://www.chemistwarehouse.com.au/buy/48649/Rimmel-Soft-Kohl-Jet-Black"," Rimmel Soft Kohl Jet Black")</f>
        <v xml:space="preserve"> Rimmel Soft Kohl Jet Black</v>
      </c>
      <c r="C3215" t="s">
        <v>242</v>
      </c>
      <c r="D3215" t="s">
        <v>400</v>
      </c>
    </row>
    <row r="3216" spans="1:4" x14ac:dyDescent="0.25">
      <c r="A3216" t="s">
        <v>1062</v>
      </c>
    </row>
    <row r="3217" spans="1:4" x14ac:dyDescent="0.25">
      <c r="B3217" t="str">
        <f>HYPERLINK("https://www.chemistwarehouse.com.au/buy/72489/Rimmel-Colour-Rush-Lip-Balm-Rumour-Has-It"," Rimmel Colour Rush Lip Balm Rumour Has It")</f>
        <v xml:space="preserve"> Rimmel Colour Rush Lip Balm Rumour Has It</v>
      </c>
      <c r="C3217" t="s">
        <v>98</v>
      </c>
      <c r="D3217" t="s">
        <v>150</v>
      </c>
    </row>
    <row r="3218" spans="1:4" x14ac:dyDescent="0.25">
      <c r="A3218" t="s">
        <v>1063</v>
      </c>
    </row>
    <row r="3219" spans="1:4" x14ac:dyDescent="0.25">
      <c r="B3219" t="str">
        <f>HYPERLINK("https://www.chemistwarehouse.com.au/buy/71182/Rimmel-Lasting-Finish-Blush-Mono-Pink-Rose"," Rimmel Lasting Finish Blush Mono Pink Rose")</f>
        <v xml:space="preserve"> Rimmel Lasting Finish Blush Mono Pink Rose</v>
      </c>
      <c r="C3219" t="s">
        <v>240</v>
      </c>
      <c r="D3219" t="s">
        <v>400</v>
      </c>
    </row>
    <row r="3220" spans="1:4" x14ac:dyDescent="0.25">
      <c r="B3220" t="str">
        <f>HYPERLINK("https://www.chemistwarehouse.com.au/buy/78084/Rimmel-Lasting-Finish-Mono-Blush-150-Live-Pink"," Rimmel Lasting Finish Mono Blush 150 Live Pink")</f>
        <v xml:space="preserve"> Rimmel Lasting Finish Mono Blush 150 Live Pink</v>
      </c>
      <c r="C3220" t="s">
        <v>240</v>
      </c>
      <c r="D3220" t="s">
        <v>400</v>
      </c>
    </row>
    <row r="3221" spans="1:4" x14ac:dyDescent="0.25">
      <c r="A3221" t="s">
        <v>1064</v>
      </c>
    </row>
    <row r="3222" spans="1:4" x14ac:dyDescent="0.25">
      <c r="B3222" t="str">
        <f>HYPERLINK("https://www.chemistwarehouse.com.au/buy/78756/Rimmel-InstaFlawless-Light-Medium"," Rimmel InstaFlawless Light/Medium")</f>
        <v xml:space="preserve"> Rimmel InstaFlawless Light/Medium</v>
      </c>
      <c r="C3222" t="s">
        <v>290</v>
      </c>
      <c r="D3222" t="s">
        <v>799</v>
      </c>
    </row>
    <row r="3223" spans="1:4" x14ac:dyDescent="0.25">
      <c r="B3223" t="str">
        <f>HYPERLINK("https://www.chemistwarehouse.com.au/buy/78757/Rimmel-InstaFlawless-Medium-Dark"," Rimmel InstaFlawless Medium/Dark")</f>
        <v xml:space="preserve"> Rimmel InstaFlawless Medium/Dark</v>
      </c>
      <c r="C3223" t="s">
        <v>290</v>
      </c>
      <c r="D3223" t="s">
        <v>799</v>
      </c>
    </row>
    <row r="3224" spans="1:4" x14ac:dyDescent="0.25">
      <c r="A3224" t="s">
        <v>1065</v>
      </c>
    </row>
    <row r="3225" spans="1:4" x14ac:dyDescent="0.25">
      <c r="B3225" t="str">
        <f>HYPERLINK("https://www.chemistwarehouse.com.au/buy/78758/Rimmel-Sculpting-Palette-002"," Rimmel Sculpting Palette 002")</f>
        <v xml:space="preserve"> Rimmel Sculpting Palette 002</v>
      </c>
      <c r="C3225" t="s">
        <v>290</v>
      </c>
      <c r="D3225" t="s">
        <v>332</v>
      </c>
    </row>
    <row r="3226" spans="1:4" x14ac:dyDescent="0.25">
      <c r="B3226" t="str">
        <f>HYPERLINK("https://www.chemistwarehouse.com.au/buy/81212/Rimmel-Sculpting-Palette-by-Kate-Moss-003-Golden-Bronze"," Rimmel Sculpting Palette by Kate Moss 003 Golden Bronze")</f>
        <v xml:space="preserve"> Rimmel Sculpting Palette by Kate Moss 003 Golden Bronze</v>
      </c>
      <c r="C3226" t="s">
        <v>292</v>
      </c>
      <c r="D3226" t="s">
        <v>329</v>
      </c>
    </row>
    <row r="3227" spans="1:4" x14ac:dyDescent="0.25">
      <c r="A3227" t="s">
        <v>1066</v>
      </c>
    </row>
    <row r="3228" spans="1:4" x14ac:dyDescent="0.25">
      <c r="B3228" t="str">
        <f>HYPERLINK("https://www.chemistwarehouse.com.au/buy/71187/Rimmel-Bronzer-Sun-Bronze"," Rimmel Bronzer Sun Bronze")</f>
        <v xml:space="preserve"> Rimmel Bronzer Sun Bronze</v>
      </c>
      <c r="C3228" t="s">
        <v>228</v>
      </c>
      <c r="D3228" t="s">
        <v>329</v>
      </c>
    </row>
    <row r="3229" spans="1:4" x14ac:dyDescent="0.25">
      <c r="B3229" t="str">
        <f>HYPERLINK("https://www.chemistwarehouse.com.au/buy/71188/Rimmel-Bronzer-Sun-Glow"," Rimmel Bronzer Sun Glow")</f>
        <v xml:space="preserve"> Rimmel Bronzer Sun Glow</v>
      </c>
      <c r="C3229" t="s">
        <v>46</v>
      </c>
      <c r="D3229" t="s">
        <v>355</v>
      </c>
    </row>
    <row r="3230" spans="1:4" x14ac:dyDescent="0.25">
      <c r="A3230" t="s">
        <v>1067</v>
      </c>
    </row>
    <row r="3231" spans="1:4" x14ac:dyDescent="0.25">
      <c r="B3231" t="str">
        <f>HYPERLINK("https://www.chemistwarehouse.com.au/buy/74726/Rimmel-Match-Perfection-Illuminator-Ivory"," Rimmel Match Perfection Illuminator Ivory")</f>
        <v xml:space="preserve"> Rimmel Match Perfection Illuminator Ivory</v>
      </c>
      <c r="C3231" t="s">
        <v>290</v>
      </c>
      <c r="D3231" t="s">
        <v>799</v>
      </c>
    </row>
    <row r="3232" spans="1:4" x14ac:dyDescent="0.25">
      <c r="B3232" t="str">
        <f>HYPERLINK("https://www.chemistwarehouse.com.au/buy/74727/Rimmel-Match-Perfection-Illuminator-Natural-Beige"," Rimmel Match Perfection Illuminator Natural Beige")</f>
        <v xml:space="preserve"> Rimmel Match Perfection Illuminator Natural Beige</v>
      </c>
      <c r="C3232" t="s">
        <v>290</v>
      </c>
      <c r="D3232" t="s">
        <v>799</v>
      </c>
    </row>
    <row r="3233" spans="1:4" x14ac:dyDescent="0.25">
      <c r="B3233" t="str">
        <f>HYPERLINK("https://www.chemistwarehouse.com.au/buy/74728/Rimmel-Match-Perfection-Illuminator-Soft-Beige"," Rimmel Match Perfection Illuminator Soft Beige")</f>
        <v xml:space="preserve"> Rimmel Match Perfection Illuminator Soft Beige</v>
      </c>
      <c r="C3233" t="s">
        <v>290</v>
      </c>
      <c r="D3233" t="s">
        <v>799</v>
      </c>
    </row>
    <row r="3234" spans="1:4" x14ac:dyDescent="0.25">
      <c r="A3234" t="s">
        <v>1068</v>
      </c>
    </row>
    <row r="3235" spans="1:4" x14ac:dyDescent="0.25">
      <c r="B3235" t="str">
        <f>HYPERLINK("https://www.chemistwarehouse.com.au/buy/71192/Rimmel-Wake-Me-Up-Concealer-Classic-Beige"," Rimmel Wake Me Up Concealer Classic Beige")</f>
        <v xml:space="preserve"> Rimmel Wake Me Up Concealer Classic Beige</v>
      </c>
      <c r="C3235" t="s">
        <v>212</v>
      </c>
      <c r="D3235" t="s">
        <v>799</v>
      </c>
    </row>
    <row r="3236" spans="1:4" x14ac:dyDescent="0.25">
      <c r="B3236" t="str">
        <f>HYPERLINK("https://www.chemistwarehouse.com.au/buy/71193/Rimmel-Wake-Me-Up-Concealer-Ivory"," Rimmel Wake Me Up Concealer Ivory")</f>
        <v xml:space="preserve"> Rimmel Wake Me Up Concealer Ivory</v>
      </c>
      <c r="C3236" t="s">
        <v>212</v>
      </c>
      <c r="D3236" t="s">
        <v>799</v>
      </c>
    </row>
    <row r="3237" spans="1:4" x14ac:dyDescent="0.25">
      <c r="B3237" t="str">
        <f>HYPERLINK("https://www.chemistwarehouse.com.au/buy/71194/Rimmel-Wake-Me-Up-Concealer-Soft-Beige"," Rimmel Wake Me Up Concealer Soft Beige")</f>
        <v xml:space="preserve"> Rimmel Wake Me Up Concealer Soft Beige</v>
      </c>
      <c r="C3237" t="s">
        <v>212</v>
      </c>
      <c r="D3237" t="s">
        <v>799</v>
      </c>
    </row>
    <row r="3238" spans="1:4" x14ac:dyDescent="0.25">
      <c r="A3238" t="s">
        <v>1069</v>
      </c>
    </row>
    <row r="3239" spans="1:4" x14ac:dyDescent="0.25">
      <c r="B3239" t="str">
        <f>HYPERLINK("https://www.chemistwarehouse.com.au/buy/75019/Rimmel-BB-Cream-Radiance-Medium"," Rimmel BB Cream Radiance Medium")</f>
        <v xml:space="preserve"> Rimmel BB Cream Radiance Medium</v>
      </c>
      <c r="C3239" t="s">
        <v>290</v>
      </c>
      <c r="D3239" t="s">
        <v>799</v>
      </c>
    </row>
    <row r="3240" spans="1:4" x14ac:dyDescent="0.25">
      <c r="B3240" t="str">
        <f>HYPERLINK("https://www.chemistwarehouse.com.au/buy/75061/Rimmel-BB-Cream-Radiance-Very-Light"," Rimmel BB Cream Radiance Very Light")</f>
        <v xml:space="preserve"> Rimmel BB Cream Radiance Very Light</v>
      </c>
      <c r="C3240" t="s">
        <v>290</v>
      </c>
      <c r="D3240" t="s">
        <v>799</v>
      </c>
    </row>
    <row r="3241" spans="1:4" x14ac:dyDescent="0.25">
      <c r="B3241" t="str">
        <f>HYPERLINK("https://www.chemistwarehouse.com.au/buy/77983/Rimmel-Match-Perfection-BB-Cream-Light"," Rimmel Match Perfection BB Cream Light")</f>
        <v xml:space="preserve"> Rimmel Match Perfection BB Cream Light</v>
      </c>
      <c r="C3241" t="s">
        <v>290</v>
      </c>
      <c r="D3241" t="s">
        <v>799</v>
      </c>
    </row>
    <row r="3242" spans="1:4" x14ac:dyDescent="0.25">
      <c r="B3242" t="str">
        <f>HYPERLINK("https://www.chemistwarehouse.com.au/buy/77984/Rimmel-Match-Perfection-BB-Cream-Medium"," Rimmel Match Perfection BB Cream Medium")</f>
        <v xml:space="preserve"> Rimmel Match Perfection BB Cream Medium</v>
      </c>
      <c r="C3242" t="s">
        <v>290</v>
      </c>
      <c r="D3242" t="s">
        <v>799</v>
      </c>
    </row>
    <row r="3243" spans="1:4" x14ac:dyDescent="0.25">
      <c r="B3243" t="str">
        <f>HYPERLINK("https://www.chemistwarehouse.com.au/buy/81205/Rimmel-Match-Perfection-BB-Cream-Medium-Dark"," Rimmel Match Perfection BB Cream Medium/Dark")</f>
        <v xml:space="preserve"> Rimmel Match Perfection BB Cream Medium/Dark</v>
      </c>
      <c r="C3243" t="s">
        <v>98</v>
      </c>
      <c r="D3243" t="s">
        <v>150</v>
      </c>
    </row>
    <row r="3244" spans="1:4" x14ac:dyDescent="0.25">
      <c r="B3244" t="str">
        <f>HYPERLINK("https://www.chemistwarehouse.com.au/buy/71195/Rimmel-BB-Cream-Matte-001-Light"," Rimmel BB Cream Matte 001 Light")</f>
        <v xml:space="preserve"> Rimmel BB Cream Matte 001 Light</v>
      </c>
      <c r="C3244" t="s">
        <v>290</v>
      </c>
      <c r="D3244" t="s">
        <v>799</v>
      </c>
    </row>
    <row r="3245" spans="1:4" x14ac:dyDescent="0.25">
      <c r="B3245" t="str">
        <f>HYPERLINK("https://www.chemistwarehouse.com.au/buy/71196/Rimmel-BB-Cream-Matte-002-Medium"," Rimmel BB Cream Matte 002 Medium")</f>
        <v xml:space="preserve"> Rimmel BB Cream Matte 002 Medium</v>
      </c>
      <c r="C3245" t="s">
        <v>290</v>
      </c>
      <c r="D3245" t="s">
        <v>799</v>
      </c>
    </row>
    <row r="3246" spans="1:4" x14ac:dyDescent="0.25">
      <c r="B3246" t="str">
        <f>HYPERLINK("https://www.chemistwarehouse.com.au/buy/71197/Rimmel-BB-Cream-Matte-004-Medium-Dark"," Rimmel BB Cream Matte 004 Medium/Dark")</f>
        <v xml:space="preserve"> Rimmel BB Cream Matte 004 Medium/Dark</v>
      </c>
      <c r="C3246" t="s">
        <v>290</v>
      </c>
      <c r="D3246" t="s">
        <v>799</v>
      </c>
    </row>
    <row r="3247" spans="1:4" x14ac:dyDescent="0.25">
      <c r="B3247" t="str">
        <f>HYPERLINK("https://www.chemistwarehouse.com.au/buy/75018/Rimmel-BB-Cream-Radiance-Light"," Rimmel BB Cream Radiance Light")</f>
        <v xml:space="preserve"> Rimmel BB Cream Radiance Light</v>
      </c>
      <c r="C3247" t="s">
        <v>290</v>
      </c>
      <c r="D3247" t="s">
        <v>799</v>
      </c>
    </row>
    <row r="3248" spans="1:4" x14ac:dyDescent="0.25">
      <c r="A3248" t="s">
        <v>1070</v>
      </c>
    </row>
    <row r="3249" spans="1:4" x14ac:dyDescent="0.25">
      <c r="B3249" t="str">
        <f>HYPERLINK("https://www.chemistwarehouse.com.au/buy/77964/Rimmel-Lasting-Finish-25hr-Powder-Foundation-001"," Rimmel Lasting Finish 25hr Powder Foundation #001")</f>
        <v xml:space="preserve"> Rimmel Lasting Finish 25hr Powder Foundation #001</v>
      </c>
      <c r="C3249" t="s">
        <v>46</v>
      </c>
      <c r="D3249" t="s">
        <v>191</v>
      </c>
    </row>
    <row r="3250" spans="1:4" x14ac:dyDescent="0.25">
      <c r="B3250" t="str">
        <f>HYPERLINK("https://www.chemistwarehouse.com.au/buy/77965/Rimmel-Lasting-Finish-25hr-Powder-Foundation-002"," Rimmel Lasting Finish 25hr Powder Foundation #002")</f>
        <v xml:space="preserve"> Rimmel Lasting Finish 25hr Powder Foundation #002</v>
      </c>
      <c r="C3250" t="s">
        <v>187</v>
      </c>
      <c r="D3250" t="s">
        <v>397</v>
      </c>
    </row>
    <row r="3251" spans="1:4" x14ac:dyDescent="0.25">
      <c r="B3251" t="str">
        <f>HYPERLINK("https://www.chemistwarehouse.com.au/buy/77966/Rimmel-Lasting-Finish-25hr-Powder-Foundation-003"," Rimmel Lasting Finish 25hr Powder Foundation #003")</f>
        <v xml:space="preserve"> Rimmel Lasting Finish 25hr Powder Foundation #003</v>
      </c>
      <c r="C3251" t="s">
        <v>187</v>
      </c>
      <c r="D3251" t="s">
        <v>397</v>
      </c>
    </row>
    <row r="3252" spans="1:4" x14ac:dyDescent="0.25">
      <c r="B3252" t="str">
        <f>HYPERLINK("https://www.chemistwarehouse.com.au/buy/77967/Rimmel-Lasting-Finish-25hr-Powder-Foundation-005"," Rimmel Lasting Finish 25hr Powder Foundation #005")</f>
        <v xml:space="preserve"> Rimmel Lasting Finish 25hr Powder Foundation #005</v>
      </c>
      <c r="C3252" t="s">
        <v>46</v>
      </c>
      <c r="D3252" t="s">
        <v>191</v>
      </c>
    </row>
    <row r="3253" spans="1:4" x14ac:dyDescent="0.25">
      <c r="B3253" t="str">
        <f>HYPERLINK("https://www.chemistwarehouse.com.au/buy/74705/Rimmel-Lasting-Finish-Foundation-25hr-Ivory"," Rimmel Lasting Finish Foundation 25hr Ivory")</f>
        <v xml:space="preserve"> Rimmel Lasting Finish Foundation 25hr Ivory</v>
      </c>
      <c r="C3253" t="s">
        <v>58</v>
      </c>
      <c r="D3253" t="s">
        <v>397</v>
      </c>
    </row>
    <row r="3254" spans="1:4" x14ac:dyDescent="0.25">
      <c r="B3254" t="str">
        <f>HYPERLINK("https://www.chemistwarehouse.com.au/buy/74707/Rimmel-Lasting-Finish-Foundation-25hr-Light-Porcelain"," Rimmel Lasting Finish Foundation 25hr Light Porcelain")</f>
        <v xml:space="preserve"> Rimmel Lasting Finish Foundation 25hr Light Porcelain</v>
      </c>
      <c r="C3254" t="s">
        <v>58</v>
      </c>
      <c r="D3254" t="s">
        <v>397</v>
      </c>
    </row>
    <row r="3255" spans="1:4" x14ac:dyDescent="0.25">
      <c r="B3255" t="str">
        <f>HYPERLINK("https://www.chemistwarehouse.com.au/buy/74708/Rimmel-Lasting-Finish-Foundation-25hr-Natural-Beige"," Rimmel Lasting Finish Foundation 25hr Natural Beige")</f>
        <v xml:space="preserve"> Rimmel Lasting Finish Foundation 25hr Natural Beige</v>
      </c>
      <c r="C3255" t="s">
        <v>58</v>
      </c>
      <c r="D3255" t="s">
        <v>397</v>
      </c>
    </row>
    <row r="3256" spans="1:4" x14ac:dyDescent="0.25">
      <c r="B3256" t="str">
        <f>HYPERLINK("https://www.chemistwarehouse.com.au/buy/74709/Rimmel-Lasting-Finish-Foundation-25hr-Sand"," Rimmel Lasting Finish Foundation 25hr Sand")</f>
        <v xml:space="preserve"> Rimmel Lasting Finish Foundation 25hr Sand</v>
      </c>
      <c r="C3256" t="s">
        <v>58</v>
      </c>
      <c r="D3256" t="s">
        <v>397</v>
      </c>
    </row>
    <row r="3257" spans="1:4" x14ac:dyDescent="0.25">
      <c r="B3257" t="str">
        <f>HYPERLINK("https://www.chemistwarehouse.com.au/buy/74710/Rimmel-Lasting-Finish-Foundation-25hr-Soft-Beige"," Rimmel Lasting Finish Foundation 25hr Soft Beige")</f>
        <v xml:space="preserve"> Rimmel Lasting Finish Foundation 25hr Soft Beige</v>
      </c>
      <c r="C3257" t="s">
        <v>58</v>
      </c>
      <c r="D3257" t="s">
        <v>397</v>
      </c>
    </row>
    <row r="3258" spans="1:4" x14ac:dyDescent="0.25">
      <c r="B3258" t="str">
        <f>HYPERLINK("https://www.chemistwarehouse.com.au/buy/74711/Rimmel-Lasting-Finish-Foundation-25hr-True-Ivory"," Rimmel Lasting Finish Foundation 25hr True Ivory")</f>
        <v xml:space="preserve"> Rimmel Lasting Finish Foundation 25hr True Ivory</v>
      </c>
      <c r="C3258" t="s">
        <v>58</v>
      </c>
      <c r="D3258" t="s">
        <v>397</v>
      </c>
    </row>
    <row r="3259" spans="1:4" x14ac:dyDescent="0.25">
      <c r="B3259" t="str">
        <f>HYPERLINK("https://www.chemistwarehouse.com.au/buy/77972/Rimmel-Lasting-Finish-Foundation-Nude-25hr-True-Nude"," Rimmel Lasting Finish Foundation Nude 25hr True Nude")</f>
        <v xml:space="preserve"> Rimmel Lasting Finish Foundation Nude 25hr True Nude</v>
      </c>
      <c r="C3259" t="s">
        <v>164</v>
      </c>
      <c r="D3259" t="s">
        <v>409</v>
      </c>
    </row>
    <row r="3260" spans="1:4" x14ac:dyDescent="0.25">
      <c r="B3260" t="str">
        <f>HYPERLINK("https://www.chemistwarehouse.com.au/buy/78086/Rimmel-Lasting-Finish-25Hour-Full-Cover-303-True-Nude"," Rimmel Lasting Finish 25Hour Full Cover 303 True Nude ")</f>
        <v xml:space="preserve"> Rimmel Lasting Finish 25Hour Full Cover 303 True Nude </v>
      </c>
      <c r="C3260" t="s">
        <v>58</v>
      </c>
      <c r="D3260" t="s">
        <v>397</v>
      </c>
    </row>
    <row r="3261" spans="1:4" x14ac:dyDescent="0.25">
      <c r="B3261" t="str">
        <f>HYPERLINK("https://www.chemistwarehouse.com.au/buy/78101/Rimmel-Lasting-Finish-25Hour-Full-Cover-203-True-Beige"," Rimmel Lasting Finish 25Hour Full Cover 203 True Beige")</f>
        <v xml:space="preserve"> Rimmel Lasting Finish 25Hour Full Cover 203 True Beige</v>
      </c>
      <c r="C3261" t="s">
        <v>58</v>
      </c>
      <c r="D3261" t="s">
        <v>397</v>
      </c>
    </row>
    <row r="3262" spans="1:4" x14ac:dyDescent="0.25">
      <c r="B3262" t="str">
        <f>HYPERLINK("https://www.chemistwarehouse.com.au/buy/77970/Rimmel-Lasting-Finish-Foundation-Nude-25hr-Natural-Beige"," Rimmel Lasting Finish Foundation Nude 25hr Natural Beige")</f>
        <v xml:space="preserve"> Rimmel Lasting Finish Foundation Nude 25hr Natural Beige</v>
      </c>
      <c r="C3262" t="s">
        <v>164</v>
      </c>
      <c r="D3262" t="s">
        <v>409</v>
      </c>
    </row>
    <row r="3263" spans="1:4" x14ac:dyDescent="0.25">
      <c r="A3263" t="s">
        <v>1071</v>
      </c>
    </row>
    <row r="3264" spans="1:4" x14ac:dyDescent="0.25">
      <c r="B3264" t="str">
        <f>HYPERLINK("https://www.chemistwarehouse.com.au/buy/78102/Rimmel-Match-Perfection-010-Light-Porcelain"," Rimmel Match Perfection 010 Light Porcelain")</f>
        <v xml:space="preserve"> Rimmel Match Perfection 010 Light Porcelain</v>
      </c>
      <c r="C3264" t="s">
        <v>105</v>
      </c>
      <c r="D3264" t="s">
        <v>376</v>
      </c>
    </row>
    <row r="3265" spans="1:4" x14ac:dyDescent="0.25">
      <c r="B3265" t="str">
        <f>HYPERLINK("https://www.chemistwarehouse.com.au/buy/78103/Rimmel-Match-Perfection-100-Ivory"," Rimmel Match Perfection 100 Ivory")</f>
        <v xml:space="preserve"> Rimmel Match Perfection 100 Ivory</v>
      </c>
      <c r="C3265" t="s">
        <v>105</v>
      </c>
      <c r="D3265" t="s">
        <v>376</v>
      </c>
    </row>
    <row r="3266" spans="1:4" x14ac:dyDescent="0.25">
      <c r="B3266" t="str">
        <f>HYPERLINK("https://www.chemistwarehouse.com.au/buy/78104/Rimmel-Match-Perfection-102-Light-Nude"," Rimmel Match Perfection 102 Light Nude")</f>
        <v xml:space="preserve"> Rimmel Match Perfection 102 Light Nude</v>
      </c>
      <c r="C3266" t="s">
        <v>105</v>
      </c>
      <c r="D3266" t="s">
        <v>376</v>
      </c>
    </row>
    <row r="3267" spans="1:4" x14ac:dyDescent="0.25">
      <c r="B3267" t="str">
        <f>HYPERLINK("https://www.chemistwarehouse.com.au/buy/78105/Rimmel-Match-Perfection-103-True-Ivory"," Rimmel Match Perfection 103 True Ivory")</f>
        <v xml:space="preserve"> Rimmel Match Perfection 103 True Ivory</v>
      </c>
      <c r="C3267" t="s">
        <v>105</v>
      </c>
      <c r="D3267" t="s">
        <v>376</v>
      </c>
    </row>
    <row r="3268" spans="1:4" x14ac:dyDescent="0.25">
      <c r="B3268" t="str">
        <f>HYPERLINK("https://www.chemistwarehouse.com.au/buy/78106/Rimmel-Match-Perfection-200-Soft-Beige"," Rimmel Match Perfection 200 Soft Beige")</f>
        <v xml:space="preserve"> Rimmel Match Perfection 200 Soft Beige</v>
      </c>
      <c r="C3268" t="s">
        <v>105</v>
      </c>
      <c r="D3268" t="s">
        <v>376</v>
      </c>
    </row>
    <row r="3269" spans="1:4" x14ac:dyDescent="0.25">
      <c r="B3269" t="str">
        <f>HYPERLINK("https://www.chemistwarehouse.com.au/buy/78107/Rimmel-Match-Perfection-203-True-Beige"," Rimmel Match Perfection 203 True Beige")</f>
        <v xml:space="preserve"> Rimmel Match Perfection 203 True Beige</v>
      </c>
      <c r="C3269" t="s">
        <v>105</v>
      </c>
      <c r="D3269" t="s">
        <v>376</v>
      </c>
    </row>
    <row r="3270" spans="1:4" x14ac:dyDescent="0.25">
      <c r="B3270" t="str">
        <f>HYPERLINK("https://www.chemistwarehouse.com.au/buy/78108/Rimmel-Match-Perfection-300-Sand"," Rimmel Match Perfection 300 Sand")</f>
        <v xml:space="preserve"> Rimmel Match Perfection 300 Sand</v>
      </c>
      <c r="C3270" t="s">
        <v>105</v>
      </c>
      <c r="D3270" t="s">
        <v>376</v>
      </c>
    </row>
    <row r="3271" spans="1:4" x14ac:dyDescent="0.25">
      <c r="B3271" t="str">
        <f>HYPERLINK("https://www.chemistwarehouse.com.au/buy/78109/Rimmel-Match-Perfection-400-Natural-Beige"," Rimmel Match Perfection 400 Natural Beige")</f>
        <v xml:space="preserve"> Rimmel Match Perfection 400 Natural Beige</v>
      </c>
      <c r="C3271" t="s">
        <v>105</v>
      </c>
      <c r="D3271" t="s">
        <v>376</v>
      </c>
    </row>
    <row r="3272" spans="1:4" x14ac:dyDescent="0.25">
      <c r="A3272" t="s">
        <v>1072</v>
      </c>
    </row>
    <row r="3273" spans="1:4" x14ac:dyDescent="0.25">
      <c r="B3273" t="str">
        <f>HYPERLINK("https://www.chemistwarehouse.com.au/buy/69679/Rimmel-Stay-Matte-Foundation-Soft-Beige"," Rimmel Stay Matte Foundation Soft Beige")</f>
        <v xml:space="preserve"> Rimmel Stay Matte Foundation Soft Beige</v>
      </c>
      <c r="C3273" t="s">
        <v>212</v>
      </c>
      <c r="D3273" t="s">
        <v>799</v>
      </c>
    </row>
    <row r="3274" spans="1:4" x14ac:dyDescent="0.25">
      <c r="B3274" t="str">
        <f>HYPERLINK("https://www.chemistwarehouse.com.au/buy/69680/Rimmel-Stay-Matte-Foundation-True-Ivory"," Rimmel Stay Matte Foundation True Ivory")</f>
        <v xml:space="preserve"> Rimmel Stay Matte Foundation True Ivory</v>
      </c>
      <c r="C3274" t="s">
        <v>212</v>
      </c>
      <c r="D3274" t="s">
        <v>799</v>
      </c>
    </row>
    <row r="3275" spans="1:4" x14ac:dyDescent="0.25">
      <c r="B3275" t="str">
        <f>HYPERLINK("https://www.chemistwarehouse.com.au/buy/69681/Rimmel-Stay-Matte-Foundation-True-Nude"," Rimmel Stay Matte Foundation True Nude")</f>
        <v xml:space="preserve"> Rimmel Stay Matte Foundation True Nude</v>
      </c>
      <c r="C3275" t="s">
        <v>212</v>
      </c>
      <c r="D3275" t="s">
        <v>799</v>
      </c>
    </row>
    <row r="3276" spans="1:4" x14ac:dyDescent="0.25">
      <c r="B3276" t="str">
        <f>HYPERLINK("https://www.chemistwarehouse.com.au/buy/69674/Rimmel-Stay-Matte-Foundation-Classic-Beige"," Rimmel Stay Matte Foundation Classic Beige")</f>
        <v xml:space="preserve"> Rimmel Stay Matte Foundation Classic Beige</v>
      </c>
      <c r="C3276" t="s">
        <v>212</v>
      </c>
      <c r="D3276" t="s">
        <v>799</v>
      </c>
    </row>
    <row r="3277" spans="1:4" x14ac:dyDescent="0.25">
      <c r="B3277" t="str">
        <f>HYPERLINK("https://www.chemistwarehouse.com.au/buy/69676/Rimmel-Stay-Matte-Foundation-Ivory"," Rimmel Stay Matte Foundation Ivory")</f>
        <v xml:space="preserve"> Rimmel Stay Matte Foundation Ivory</v>
      </c>
      <c r="C3277" t="s">
        <v>212</v>
      </c>
      <c r="D3277" t="s">
        <v>799</v>
      </c>
    </row>
    <row r="3278" spans="1:4" x14ac:dyDescent="0.25">
      <c r="B3278" t="str">
        <f>HYPERLINK("https://www.chemistwarehouse.com.au/buy/69677/Rimmel-Stay-Matte-Foundation-Natural-Beige"," Rimmel Stay Matte Foundation Natural Beige")</f>
        <v xml:space="preserve"> Rimmel Stay Matte Foundation Natural Beige</v>
      </c>
      <c r="C3278" t="s">
        <v>212</v>
      </c>
      <c r="D3278" t="s">
        <v>799</v>
      </c>
    </row>
    <row r="3279" spans="1:4" x14ac:dyDescent="0.25">
      <c r="B3279" t="str">
        <f>HYPERLINK("https://www.chemistwarehouse.com.au/buy/69678/Rimmel-Stay-Matte-Foundation-Sand"," Rimmel Stay Matte Foundation Sand")</f>
        <v xml:space="preserve"> Rimmel Stay Matte Foundation Sand</v>
      </c>
      <c r="C3279" t="s">
        <v>212</v>
      </c>
      <c r="D3279" t="s">
        <v>799</v>
      </c>
    </row>
    <row r="3280" spans="1:4" x14ac:dyDescent="0.25">
      <c r="B3280" t="str">
        <f>HYPERLINK("https://www.chemistwarehouse.com.au/buy/78977/Rimmel-Stay-Matte-091-Light-Ivory-30ml"," Rimmel Stay Matte 091 Light Ivory 30ml")</f>
        <v xml:space="preserve"> Rimmel Stay Matte 091 Light Ivory 30ml</v>
      </c>
      <c r="C3280" t="s">
        <v>212</v>
      </c>
      <c r="D3280">
        <v>0</v>
      </c>
    </row>
    <row r="3281" spans="1:4" x14ac:dyDescent="0.25">
      <c r="A3281" t="s">
        <v>1073</v>
      </c>
    </row>
    <row r="3282" spans="1:4" x14ac:dyDescent="0.25">
      <c r="B3282" t="str">
        <f>HYPERLINK("https://www.chemistwarehouse.com.au/buy/68378/Rimmel-Wake-me-Up-Foundation-Classic-Beige"," Rimmel Wake me Up Foundation Classic Beige ")</f>
        <v xml:space="preserve"> Rimmel Wake me Up Foundation Classic Beige </v>
      </c>
      <c r="C3282" t="s">
        <v>407</v>
      </c>
      <c r="D3282" t="s">
        <v>376</v>
      </c>
    </row>
    <row r="3283" spans="1:4" x14ac:dyDescent="0.25">
      <c r="B3283" t="str">
        <f>HYPERLINK("https://www.chemistwarehouse.com.au/buy/68379/Rimmel-Wake-me-Up-Foundation-Ivory"," Rimmel Wake me Up Foundation Ivory")</f>
        <v xml:space="preserve"> Rimmel Wake me Up Foundation Ivory</v>
      </c>
      <c r="C3283" t="s">
        <v>407</v>
      </c>
      <c r="D3283" t="s">
        <v>376</v>
      </c>
    </row>
    <row r="3284" spans="1:4" x14ac:dyDescent="0.25">
      <c r="B3284" t="str">
        <f>HYPERLINK("https://www.chemistwarehouse.com.au/buy/68380/Rimmel-Wake-me-Up-Foundation-Natural-Beige"," Rimmel Wake me Up Foundation Natural Beige")</f>
        <v xml:space="preserve"> Rimmel Wake me Up Foundation Natural Beige</v>
      </c>
      <c r="C3284" t="s">
        <v>407</v>
      </c>
      <c r="D3284" t="s">
        <v>376</v>
      </c>
    </row>
    <row r="3285" spans="1:4" x14ac:dyDescent="0.25">
      <c r="B3285" t="str">
        <f>HYPERLINK("https://www.chemistwarehouse.com.au/buy/68381/Rimmel-Wake-me-Up-Foundation-Soft-Beige"," Rimmel Wake me Up Foundation Soft Beige")</f>
        <v xml:space="preserve"> Rimmel Wake me Up Foundation Soft Beige</v>
      </c>
      <c r="C3285" t="s">
        <v>407</v>
      </c>
      <c r="D3285" t="s">
        <v>376</v>
      </c>
    </row>
    <row r="3286" spans="1:4" x14ac:dyDescent="0.25">
      <c r="B3286" t="str">
        <f>HYPERLINK("https://www.chemistwarehouse.com.au/buy/68382/Rimmel-Wake-me-Up-Foundation-True-Ivory"," Rimmel Wake me Up Foundation True Ivory")</f>
        <v xml:space="preserve"> Rimmel Wake me Up Foundation True Ivory</v>
      </c>
      <c r="C3286" t="s">
        <v>407</v>
      </c>
      <c r="D3286" t="s">
        <v>376</v>
      </c>
    </row>
    <row r="3287" spans="1:4" x14ac:dyDescent="0.25">
      <c r="B3287" t="str">
        <f>HYPERLINK("https://www.chemistwarehouse.com.au/buy/68383/Rimmel-Wake-me-Up-Foundation-True-Nude"," Rimmel Wake me Up Foundation True Nude")</f>
        <v xml:space="preserve"> Rimmel Wake me Up Foundation True Nude</v>
      </c>
      <c r="C3287" t="s">
        <v>407</v>
      </c>
      <c r="D3287" t="s">
        <v>376</v>
      </c>
    </row>
    <row r="3288" spans="1:4" x14ac:dyDescent="0.25">
      <c r="A3288" t="s">
        <v>1074</v>
      </c>
    </row>
    <row r="3289" spans="1:4" x14ac:dyDescent="0.25">
      <c r="B3289" t="str">
        <f>HYPERLINK("https://www.chemistwarehouse.com.au/buy/71198/Rimmel-Match-Perfection-Loose-Powder-Translucent"," Rimmel Match Perfection Loose Powder Translucent")</f>
        <v xml:space="preserve"> Rimmel Match Perfection Loose Powder Translucent</v>
      </c>
      <c r="C3289" t="s">
        <v>228</v>
      </c>
      <c r="D3289" t="s">
        <v>329</v>
      </c>
    </row>
    <row r="3290" spans="1:4" x14ac:dyDescent="0.25">
      <c r="A3290" t="s">
        <v>1075</v>
      </c>
    </row>
    <row r="3291" spans="1:4" x14ac:dyDescent="0.25">
      <c r="B3291" t="str">
        <f>HYPERLINK("https://www.chemistwarehouse.com.au/buy/69883/Rimmel-Stay-Matte-Pressed-Powder-Peach-Glow"," Rimmel Stay Matte Pressed Powder Peach Glow")</f>
        <v xml:space="preserve"> Rimmel Stay Matte Pressed Powder Peach Glow</v>
      </c>
      <c r="C3291" t="s">
        <v>45</v>
      </c>
      <c r="D3291" t="s">
        <v>150</v>
      </c>
    </row>
    <row r="3292" spans="1:4" x14ac:dyDescent="0.25">
      <c r="B3292" t="str">
        <f>HYPERLINK("https://www.chemistwarehouse.com.au/buy/71199/Rimmel-Stay-Matte-Pressed-Powder-Sandstorm"," Rimmel Stay Matte Pressed Powder Sandstorm")</f>
        <v xml:space="preserve"> Rimmel Stay Matte Pressed Powder Sandstorm</v>
      </c>
      <c r="C3292" t="s">
        <v>45</v>
      </c>
      <c r="D3292" t="s">
        <v>150</v>
      </c>
    </row>
    <row r="3293" spans="1:4" x14ac:dyDescent="0.25">
      <c r="B3293" t="str">
        <f>HYPERLINK("https://www.chemistwarehouse.com.au/buy/69880/Rimmel-Stay-Matte-Pressed-Powder-Transparent"," Rimmel Stay Matte Pressed Powder Transparent")</f>
        <v xml:space="preserve"> Rimmel Stay Matte Pressed Powder Transparent</v>
      </c>
      <c r="C3293" t="s">
        <v>45</v>
      </c>
      <c r="D3293" t="s">
        <v>150</v>
      </c>
    </row>
    <row r="3294" spans="1:4" x14ac:dyDescent="0.25">
      <c r="B3294" t="str">
        <f>HYPERLINK("https://www.chemistwarehouse.com.au/buy/69881/Rimmel-Stay-Matte-Pressed-Powder-Silky-Beige"," Rimmel Stay Matte Pressed Powder Silky Beige")</f>
        <v xml:space="preserve"> Rimmel Stay Matte Pressed Powder Silky Beige</v>
      </c>
      <c r="C3294" t="s">
        <v>45</v>
      </c>
      <c r="D3294" t="s">
        <v>150</v>
      </c>
    </row>
    <row r="3295" spans="1:4" x14ac:dyDescent="0.25">
      <c r="A3295" t="s">
        <v>1076</v>
      </c>
    </row>
    <row r="3296" spans="1:4" x14ac:dyDescent="0.25">
      <c r="B3296" t="str">
        <f>HYPERLINK("https://www.chemistwarehouse.com.au/buy/74724/Rimmel-Lasting-Finish-Primer"," Rimmel Lasting Finish Primer")</f>
        <v xml:space="preserve"> Rimmel Lasting Finish Primer</v>
      </c>
      <c r="C3296" t="s">
        <v>290</v>
      </c>
      <c r="D3296" t="s">
        <v>799</v>
      </c>
    </row>
    <row r="3297" spans="1:4" x14ac:dyDescent="0.25">
      <c r="B3297" t="str">
        <f>HYPERLINK("https://www.chemistwarehouse.com.au/buy/79635/Rimmel-Lasting-Finish-Concealer-Ivory"," Rimmel Lasting Finish Concealer Ivory")</f>
        <v xml:space="preserve"> Rimmel Lasting Finish Concealer Ivory</v>
      </c>
      <c r="C3297" t="s">
        <v>290</v>
      </c>
      <c r="D3297" t="s">
        <v>799</v>
      </c>
    </row>
    <row r="3298" spans="1:4" x14ac:dyDescent="0.25">
      <c r="B3298" t="str">
        <f>HYPERLINK("https://www.chemistwarehouse.com.au/buy/79636/Rimmel-Lasting-Finish-Concealer-Porcelain"," Rimmel Lasting Finish Concealer Porcelain")</f>
        <v xml:space="preserve"> Rimmel Lasting Finish Concealer Porcelain</v>
      </c>
      <c r="C3298" t="s">
        <v>290</v>
      </c>
      <c r="D3298" t="s">
        <v>799</v>
      </c>
    </row>
    <row r="3299" spans="1:4" x14ac:dyDescent="0.25">
      <c r="B3299" t="str">
        <f>HYPERLINK("https://www.chemistwarehouse.com.au/buy/81200/Rimmel-Lasting-Finish-Blush-080-Bronze"," Rimmel Lasting Finish Blush 080 Bronze")</f>
        <v xml:space="preserve"> Rimmel Lasting Finish Blush 080 Bronze</v>
      </c>
      <c r="C3299" t="s">
        <v>240</v>
      </c>
      <c r="D3299" t="s">
        <v>400</v>
      </c>
    </row>
    <row r="3300" spans="1:4" x14ac:dyDescent="0.25">
      <c r="A3300" t="s">
        <v>1077</v>
      </c>
    </row>
    <row r="3301" spans="1:4" x14ac:dyDescent="0.25">
      <c r="B3301" t="str">
        <f>HYPERLINK("https://www.chemistwarehouse.com.au/buy/71200/Rimmel-Stay-Matte-Primer"," Rimmel Stay Matte Primer")</f>
        <v xml:space="preserve"> Rimmel Stay Matte Primer</v>
      </c>
      <c r="C3301" t="s">
        <v>290</v>
      </c>
      <c r="D3301" t="s">
        <v>799</v>
      </c>
    </row>
    <row r="3302" spans="1:4" x14ac:dyDescent="0.25">
      <c r="A3302" t="s">
        <v>1078</v>
      </c>
    </row>
    <row r="3303" spans="1:4" x14ac:dyDescent="0.25">
      <c r="B3303" t="str">
        <f>HYPERLINK("https://www.chemistwarehouse.com.au/buy/74734/Rimmel-Provocalips-Lips-Make-Your-Move"," Rimmel Provocalips Lips Make Your Move")</f>
        <v xml:space="preserve"> Rimmel Provocalips Lips Make Your Move</v>
      </c>
      <c r="C3303" t="s">
        <v>58</v>
      </c>
      <c r="D3303" t="s">
        <v>397</v>
      </c>
    </row>
    <row r="3304" spans="1:4" x14ac:dyDescent="0.25">
      <c r="B3304" t="str">
        <f>HYPERLINK("https://www.chemistwarehouse.com.au/buy/74735/Rimmel-Provocalips-Lips-Play-With-Fire"," Rimmel Provocalips Lips Play With Fire")</f>
        <v xml:space="preserve"> Rimmel Provocalips Lips Play With Fire</v>
      </c>
      <c r="C3304" t="s">
        <v>58</v>
      </c>
      <c r="D3304" t="s">
        <v>397</v>
      </c>
    </row>
    <row r="3305" spans="1:4" x14ac:dyDescent="0.25">
      <c r="B3305" t="str">
        <f>HYPERLINK("https://www.chemistwarehouse.com.au/buy/74736/Rimmel-Provocalips-Lips-Skinny-Dipping"," Rimmel Provocalips Lips Skinny Dipping")</f>
        <v xml:space="preserve"> Rimmel Provocalips Lips Skinny Dipping</v>
      </c>
      <c r="C3305" t="s">
        <v>58</v>
      </c>
      <c r="D3305" t="s">
        <v>397</v>
      </c>
    </row>
    <row r="3306" spans="1:4" x14ac:dyDescent="0.25">
      <c r="B3306" t="str">
        <f>HYPERLINK("https://www.chemistwarehouse.com.au/buy/79643/Rimmel-Provocalips-Lips-410"," Rimmel Provocalips Lips 410")</f>
        <v xml:space="preserve"> Rimmel Provocalips Lips 410</v>
      </c>
      <c r="C3306" t="s">
        <v>58</v>
      </c>
      <c r="D3306" t="s">
        <v>397</v>
      </c>
    </row>
    <row r="3307" spans="1:4" x14ac:dyDescent="0.25">
      <c r="B3307" t="str">
        <f>HYPERLINK("https://www.chemistwarehouse.com.au/buy/74729/Rimmel-Provocalips-Lips-Dare-To-Pink"," Rimmel Provocalips Lips Dare To Pink")</f>
        <v xml:space="preserve"> Rimmel Provocalips Lips Dare To Pink</v>
      </c>
      <c r="C3307" t="s">
        <v>58</v>
      </c>
      <c r="D3307" t="s">
        <v>397</v>
      </c>
    </row>
    <row r="3308" spans="1:4" x14ac:dyDescent="0.25">
      <c r="B3308" t="str">
        <f>HYPERLINK("https://www.chemistwarehouse.com.au/buy/74730/Rimmel-Provocalips-Lips-Ill-Call-You"," Rimmel Provocalips Lips Ill Call You")</f>
        <v xml:space="preserve"> Rimmel Provocalips Lips Ill Call You</v>
      </c>
      <c r="C3308" t="s">
        <v>58</v>
      </c>
      <c r="D3308" t="s">
        <v>397</v>
      </c>
    </row>
    <row r="3309" spans="1:4" x14ac:dyDescent="0.25">
      <c r="B3309" t="str">
        <f>HYPERLINK("https://www.chemistwarehouse.com.au/buy/74732/Rimmel-Provocalips-Lips-Kiss-Me-You-Fool-500"," Rimmel Provocalips Lips Kiss Me You Fool #500")</f>
        <v xml:space="preserve"> Rimmel Provocalips Lips Kiss Me You Fool #500</v>
      </c>
      <c r="C3309" t="s">
        <v>58</v>
      </c>
      <c r="D3309" t="s">
        <v>397</v>
      </c>
    </row>
    <row r="3310" spans="1:4" x14ac:dyDescent="0.25">
      <c r="B3310" t="str">
        <f>HYPERLINK("https://www.chemistwarehouse.com.au/buy/74733/Rimmel-Provocalips-Lips-Little-Minx"," Rimmel Provocalips Lips Little Minx")</f>
        <v xml:space="preserve"> Rimmel Provocalips Lips Little Minx</v>
      </c>
      <c r="C3310" t="s">
        <v>58</v>
      </c>
      <c r="D3310" t="s">
        <v>397</v>
      </c>
    </row>
    <row r="3311" spans="1:4" x14ac:dyDescent="0.25">
      <c r="A3311" t="s">
        <v>1079</v>
      </c>
    </row>
    <row r="3312" spans="1:4" x14ac:dyDescent="0.25">
      <c r="B3312" t="str">
        <f>HYPERLINK("https://www.chemistwarehouse.com.au/buy/75232/Rimmel-Oh-My-Gloss-Crystal-Clear"," Rimmel Oh My Gloss Crystal Clear")</f>
        <v xml:space="preserve"> Rimmel Oh My Gloss Crystal Clear</v>
      </c>
      <c r="C3312" t="s">
        <v>290</v>
      </c>
      <c r="D3312" t="s">
        <v>799</v>
      </c>
    </row>
    <row r="3313" spans="1:4" x14ac:dyDescent="0.25">
      <c r="B3313" t="str">
        <f>HYPERLINK("https://www.chemistwarehouse.com.au/buy/75233/Rimmel-Oh-My-Gloss-Glossaholic"," Rimmel Oh My Gloss Glossaholic")</f>
        <v xml:space="preserve"> Rimmel Oh My Gloss Glossaholic</v>
      </c>
      <c r="C3313" t="s">
        <v>290</v>
      </c>
      <c r="D3313" t="s">
        <v>799</v>
      </c>
    </row>
    <row r="3314" spans="1:4" x14ac:dyDescent="0.25">
      <c r="B3314" t="str">
        <f>HYPERLINK("https://www.chemistwarehouse.com.au/buy/75234/Rimmel-Oh-My-Gloss-Love-Bug"," Rimmel Oh My Gloss Love Bug")</f>
        <v xml:space="preserve"> Rimmel Oh My Gloss Love Bug</v>
      </c>
      <c r="C3314" t="s">
        <v>290</v>
      </c>
      <c r="D3314" t="s">
        <v>799</v>
      </c>
    </row>
    <row r="3315" spans="1:4" x14ac:dyDescent="0.25">
      <c r="B3315" t="str">
        <f>HYPERLINK("https://www.chemistwarehouse.com.au/buy/75235/Rimmel-Oh-My-Gloss-Ooh-La-La"," Rimmel Oh My Gloss Ooh La La")</f>
        <v xml:space="preserve"> Rimmel Oh My Gloss Ooh La La</v>
      </c>
      <c r="C3315" t="s">
        <v>290</v>
      </c>
      <c r="D3315" t="s">
        <v>799</v>
      </c>
    </row>
    <row r="3316" spans="1:4" x14ac:dyDescent="0.25">
      <c r="B3316" t="str">
        <f>HYPERLINK("https://www.chemistwarehouse.com.au/buy/75237/Rimmel-Oh-My-Gloss-Purrr…Glossy-Cat"," Rimmel Oh My Gloss Purrr…Glossy Cat")</f>
        <v xml:space="preserve"> Rimmel Oh My Gloss Purrr…Glossy Cat</v>
      </c>
      <c r="C3316" t="s">
        <v>290</v>
      </c>
      <c r="D3316" t="s">
        <v>799</v>
      </c>
    </row>
    <row r="3317" spans="1:4" x14ac:dyDescent="0.25">
      <c r="B3317" t="str">
        <f>HYPERLINK("https://www.chemistwarehouse.com.au/buy/75238/Rimmel-Oh-My-Gloss-Rebel-Red"," Rimmel Oh My Gloss Rebel Red")</f>
        <v xml:space="preserve"> Rimmel Oh My Gloss Rebel Red</v>
      </c>
      <c r="C3317" t="s">
        <v>290</v>
      </c>
      <c r="D3317" t="s">
        <v>799</v>
      </c>
    </row>
    <row r="3318" spans="1:4" x14ac:dyDescent="0.25">
      <c r="B3318" t="str">
        <f>HYPERLINK("https://www.chemistwarehouse.com.au/buy/75239/Rimmel-Oh-My-Gloss-Snog"," Rimmel Oh My Gloss Snog")</f>
        <v xml:space="preserve"> Rimmel Oh My Gloss Snog</v>
      </c>
      <c r="C3318" t="s">
        <v>290</v>
      </c>
      <c r="D3318" t="s">
        <v>799</v>
      </c>
    </row>
    <row r="3319" spans="1:4" x14ac:dyDescent="0.25">
      <c r="B3319" t="str">
        <f>HYPERLINK("https://www.chemistwarehouse.com.au/buy/82898/Rimmel-Oh-My-Gloss-My-Eternity"," Rimmel Oh My Gloss My Eternity")</f>
        <v xml:space="preserve"> Rimmel Oh My Gloss My Eternity</v>
      </c>
      <c r="C3319" t="s">
        <v>290</v>
      </c>
      <c r="D3319" t="s">
        <v>799</v>
      </c>
    </row>
    <row r="3320" spans="1:4" x14ac:dyDescent="0.25">
      <c r="B3320" t="str">
        <f>HYPERLINK("https://www.chemistwarehouse.com.au/buy/75236/Rimmel-Oh-My-Gloss-Pin-Up"," Rimmel Oh My Gloss Pin Up")</f>
        <v xml:space="preserve"> Rimmel Oh My Gloss Pin Up</v>
      </c>
      <c r="C3320" t="s">
        <v>162</v>
      </c>
      <c r="D3320" t="s">
        <v>899</v>
      </c>
    </row>
    <row r="3321" spans="1:4" x14ac:dyDescent="0.25">
      <c r="A3321" t="s">
        <v>1080</v>
      </c>
    </row>
    <row r="3322" spans="1:4" x14ac:dyDescent="0.25">
      <c r="B3322" t="str">
        <f>HYPERLINK("https://www.chemistwarehouse.com.au/buy/77957/Rimmel-Colour-Rush-Lip-Balm-Give-Me-A-Cuddle"," Rimmel Colour Rush Lip Balm Give Me A Cuddle")</f>
        <v xml:space="preserve"> Rimmel Colour Rush Lip Balm Give Me A Cuddle</v>
      </c>
      <c r="C3322" t="s">
        <v>164</v>
      </c>
      <c r="D3322" t="s">
        <v>572</v>
      </c>
    </row>
    <row r="3323" spans="1:4" x14ac:dyDescent="0.25">
      <c r="A3323" t="s">
        <v>1081</v>
      </c>
    </row>
    <row r="3324" spans="1:4" x14ac:dyDescent="0.25">
      <c r="B3324" t="str">
        <f>HYPERLINK("https://www.chemistwarehouse.com.au/buy/77956/Rimmel-1000-Kisses-Lip-Liner-Natural"," Rimmel 1000 Kisses Lip Liner Natural")</f>
        <v xml:space="preserve"> Rimmel 1000 Kisses Lip Liner Natural</v>
      </c>
      <c r="C3324" t="s">
        <v>242</v>
      </c>
      <c r="D3324" t="s">
        <v>400</v>
      </c>
    </row>
    <row r="3325" spans="1:4" x14ac:dyDescent="0.25">
      <c r="B3325" t="str">
        <f>HYPERLINK("https://www.chemistwarehouse.com.au/buy/81182/Rimmel-1000-Kisses-Lip-Liner-Black-Tulip"," Rimmel 1000 Kisses Lip Liner Black Tulip")</f>
        <v xml:space="preserve"> Rimmel 1000 Kisses Lip Liner Black Tulip</v>
      </c>
      <c r="C3325" t="s">
        <v>242</v>
      </c>
      <c r="D3325" t="s">
        <v>400</v>
      </c>
    </row>
    <row r="3326" spans="1:4" x14ac:dyDescent="0.25">
      <c r="B3326" t="str">
        <f>HYPERLINK("https://www.chemistwarehouse.com.au/buy/82894/Rimmel-1000-Kisses-Lip-Liner-Colour-Pen-Tiramisu"," Rimmel 1000 Kisses Lip Liner Colour Pen Tiramisu")</f>
        <v xml:space="preserve"> Rimmel 1000 Kisses Lip Liner Colour Pen Tiramisu</v>
      </c>
      <c r="C3326" t="s">
        <v>162</v>
      </c>
      <c r="D3326" t="s">
        <v>238</v>
      </c>
    </row>
    <row r="3327" spans="1:4" x14ac:dyDescent="0.25">
      <c r="B3327" t="str">
        <f>HYPERLINK("https://www.chemistwarehouse.com.au/buy/82895/Rimmel-1000-Kisses-Lip-Liner-Spice"," Rimmel 1000 Kisses Lip Liner Spice")</f>
        <v xml:space="preserve"> Rimmel 1000 Kisses Lip Liner Spice</v>
      </c>
      <c r="C3327" t="s">
        <v>242</v>
      </c>
      <c r="D3327" t="s">
        <v>400</v>
      </c>
    </row>
    <row r="3328" spans="1:4" x14ac:dyDescent="0.25">
      <c r="B3328" t="str">
        <f>HYPERLINK("https://www.chemistwarehouse.com.au/buy/71222/Rimmel-1000-Kisses-Lip-Liner-Colour-Pen-Indian-Pink"," Rimmel 1000 Kisses Lip Liner Colour Pen Indian Pink")</f>
        <v xml:space="preserve"> Rimmel 1000 Kisses Lip Liner Colour Pen Indian Pink</v>
      </c>
      <c r="C3328" t="s">
        <v>242</v>
      </c>
      <c r="D3328" t="s">
        <v>400</v>
      </c>
    </row>
    <row r="3329" spans="1:4" x14ac:dyDescent="0.25">
      <c r="B3329" t="str">
        <f>HYPERLINK("https://www.chemistwarehouse.com.au/buy/71224/Rimmel-1000-Kisses-Lip-Liner-Colour-Pen-Wild-Clover"," Rimmel 1000 Kisses Lip Liner Colour Pen Wild Clover ")</f>
        <v xml:space="preserve"> Rimmel 1000 Kisses Lip Liner Colour Pen Wild Clover </v>
      </c>
      <c r="C3329" t="s">
        <v>242</v>
      </c>
      <c r="D3329" t="s">
        <v>400</v>
      </c>
    </row>
    <row r="3330" spans="1:4" x14ac:dyDescent="0.25">
      <c r="A3330" t="s">
        <v>1082</v>
      </c>
    </row>
    <row r="3331" spans="1:4" x14ac:dyDescent="0.25">
      <c r="B3331" t="str">
        <f>HYPERLINK("https://www.chemistwarehouse.com.au/buy/79638/Rimmel-Exaggerate-Lip-Liner-Peachy-Beachy"," Rimmel Exaggerate Lip Liner Peachy Beachy")</f>
        <v xml:space="preserve"> Rimmel Exaggerate Lip Liner Peachy Beachy</v>
      </c>
      <c r="C3331" t="s">
        <v>211</v>
      </c>
      <c r="D3331" t="s">
        <v>329</v>
      </c>
    </row>
    <row r="3332" spans="1:4" x14ac:dyDescent="0.25">
      <c r="B3332" t="str">
        <f>HYPERLINK("https://www.chemistwarehouse.com.au/buy/79639/Rimmel-Exaggerate-Lip-Liner-Under-My-Spell"," Rimmel Exaggerate Lip Liner Under My Spell")</f>
        <v xml:space="preserve"> Rimmel Exaggerate Lip Liner Under My Spell</v>
      </c>
      <c r="C3332" t="s">
        <v>211</v>
      </c>
      <c r="D3332" t="s">
        <v>329</v>
      </c>
    </row>
    <row r="3333" spans="1:4" x14ac:dyDescent="0.25">
      <c r="B3333" t="str">
        <f>HYPERLINK("https://www.chemistwarehouse.com.au/buy/71228/Rimmel-Lip-Liner-Exaggerate-Colour-Addiction"," Rimmel Lip Liner Exaggerate Colour Addiction")</f>
        <v xml:space="preserve"> Rimmel Lip Liner Exaggerate Colour Addiction</v>
      </c>
      <c r="C3333" t="s">
        <v>98</v>
      </c>
      <c r="D3333" t="s">
        <v>150</v>
      </c>
    </row>
    <row r="3334" spans="1:4" x14ac:dyDescent="0.25">
      <c r="B3334" t="str">
        <f>HYPERLINK("https://www.chemistwarehouse.com.au/buy/71231/Rimmel-Lip-Liner-Exaggerate-Colour-Red-Diva"," Rimmel Lip Liner Exaggerate Colour Red Diva")</f>
        <v xml:space="preserve"> Rimmel Lip Liner Exaggerate Colour Red Diva</v>
      </c>
      <c r="C3334" t="s">
        <v>98</v>
      </c>
      <c r="D3334" t="s">
        <v>150</v>
      </c>
    </row>
    <row r="3335" spans="1:4" x14ac:dyDescent="0.25">
      <c r="B3335" t="str">
        <f>HYPERLINK("https://www.chemistwarehouse.com.au/buy/77959/Rimmel-Exaggerate-Lip-Liner-Eastend-Snob"," Rimmel Exaggerate Lip Liner Eastend Snob")</f>
        <v xml:space="preserve"> Rimmel Exaggerate Lip Liner Eastend Snob</v>
      </c>
      <c r="C3335" t="s">
        <v>98</v>
      </c>
      <c r="D3335" t="s">
        <v>150</v>
      </c>
    </row>
    <row r="3336" spans="1:4" x14ac:dyDescent="0.25">
      <c r="B3336" t="str">
        <f>HYPERLINK("https://www.chemistwarehouse.com.au/buy/79637/Rimmel-Exaggerate-Lip-Liner-Call-Me-Crazy"," Rimmel Exaggerate Lip Liner Call Me Crazy")</f>
        <v xml:space="preserve"> Rimmel Exaggerate Lip Liner Call Me Crazy</v>
      </c>
      <c r="C3336" t="s">
        <v>211</v>
      </c>
      <c r="D3336" t="s">
        <v>329</v>
      </c>
    </row>
    <row r="3337" spans="1:4" x14ac:dyDescent="0.25">
      <c r="B3337" t="str">
        <f>HYPERLINK("https://www.chemistwarehouse.com.au/buy/81188/Rimmel-Exaggerate-Lip-Liner-Pink-a-Punch"," Rimmel Exaggerate Lip Liner Pink a Punch")</f>
        <v xml:space="preserve"> Rimmel Exaggerate Lip Liner Pink a Punch</v>
      </c>
      <c r="C3337" t="s">
        <v>98</v>
      </c>
      <c r="D3337" t="s">
        <v>150</v>
      </c>
    </row>
    <row r="3338" spans="1:4" x14ac:dyDescent="0.25">
      <c r="B3338" t="str">
        <f>HYPERLINK("https://www.chemistwarehouse.com.au/buy/81189/Rimmel-Exaggerate-Lip-Liner-Youre-All-Mine"," Rimmel Exaggerate Lip Liner Youre All Mine")</f>
        <v xml:space="preserve"> Rimmel Exaggerate Lip Liner Youre All Mine</v>
      </c>
      <c r="C3338" t="s">
        <v>98</v>
      </c>
      <c r="D3338" t="s">
        <v>150</v>
      </c>
    </row>
    <row r="3339" spans="1:4" x14ac:dyDescent="0.25">
      <c r="A3339" t="s">
        <v>1083</v>
      </c>
    </row>
    <row r="3340" spans="1:4" x14ac:dyDescent="0.25">
      <c r="B3340" t="str">
        <f>HYPERLINK("https://www.chemistwarehouse.com.au/buy/78087/Rimmel-Moisture-Renew-Universal-Lip-Liner"," Rimmel Moisture Renew Universal Lip Liner")</f>
        <v xml:space="preserve"> Rimmel Moisture Renew Universal Lip Liner</v>
      </c>
      <c r="C3340" t="s">
        <v>211</v>
      </c>
      <c r="D3340" t="s">
        <v>1031</v>
      </c>
    </row>
    <row r="3341" spans="1:4" x14ac:dyDescent="0.25">
      <c r="A3341" t="s">
        <v>1084</v>
      </c>
    </row>
    <row r="3342" spans="1:4" x14ac:dyDescent="0.25">
      <c r="B3342" t="str">
        <f>HYPERLINK("https://www.chemistwarehouse.com.au/buy/71239/Rimmel-Lasting-Finish-Lipstick-Candy"," Rimmel Lasting Finish Lipstick Candy ")</f>
        <v xml:space="preserve"> Rimmel Lasting Finish Lipstick Candy </v>
      </c>
      <c r="C3342" t="s">
        <v>32</v>
      </c>
      <c r="D3342" t="s">
        <v>150</v>
      </c>
    </row>
    <row r="3343" spans="1:4" x14ac:dyDescent="0.25">
      <c r="B3343" t="str">
        <f>HYPERLINK("https://www.chemistwarehouse.com.au/buy/71240/Rimmel-Lasting-Finish-Lipstick-Coffee-Shimmer"," Rimmel Lasting Finish Lipstick Coffee Shimmer ")</f>
        <v xml:space="preserve"> Rimmel Lasting Finish Lipstick Coffee Shimmer </v>
      </c>
      <c r="C3343" t="s">
        <v>32</v>
      </c>
      <c r="D3343" t="s">
        <v>150</v>
      </c>
    </row>
    <row r="3344" spans="1:4" x14ac:dyDescent="0.25">
      <c r="B3344" t="str">
        <f>HYPERLINK("https://www.chemistwarehouse.com.au/buy/71241/Rimmel-Lasting-Finish-Lipstick-Heather-Shimmer"," Rimmel Lasting Finish Lipstick Heather Shimmer ")</f>
        <v xml:space="preserve"> Rimmel Lasting Finish Lipstick Heather Shimmer </v>
      </c>
      <c r="C3344" t="s">
        <v>32</v>
      </c>
      <c r="D3344" t="s">
        <v>150</v>
      </c>
    </row>
    <row r="3345" spans="1:4" x14ac:dyDescent="0.25">
      <c r="B3345" t="str">
        <f>HYPERLINK("https://www.chemistwarehouse.com.au/buy/71242/Rimmel-Lasting-Finish-Lipstick-Pink-Blush"," Rimmel Lasting Finish Lipstick Pink Blush")</f>
        <v xml:space="preserve"> Rimmel Lasting Finish Lipstick Pink Blush</v>
      </c>
      <c r="C3345" t="s">
        <v>32</v>
      </c>
      <c r="D3345" t="s">
        <v>150</v>
      </c>
    </row>
    <row r="3346" spans="1:4" x14ac:dyDescent="0.25">
      <c r="B3346" t="str">
        <f>HYPERLINK("https://www.chemistwarehouse.com.au/buy/71233/Rimmel-Lasting-Finish-Lipstick-Asia"," Rimmel Lasting Finish Lipstick Asia")</f>
        <v xml:space="preserve"> Rimmel Lasting Finish Lipstick Asia</v>
      </c>
      <c r="C3346" t="s">
        <v>32</v>
      </c>
      <c r="D3346" t="s">
        <v>150</v>
      </c>
    </row>
    <row r="3347" spans="1:4" x14ac:dyDescent="0.25">
      <c r="B3347" t="str">
        <f>HYPERLINK("https://www.chemistwarehouse.com.au/buy/71237/Rimmel-Lasting-Finish-Lipstick-Alarm"," Rimmel Lasting Finish Lipstick Alarm ")</f>
        <v xml:space="preserve"> Rimmel Lasting Finish Lipstick Alarm </v>
      </c>
      <c r="C3347" t="s">
        <v>32</v>
      </c>
      <c r="D3347" t="s">
        <v>150</v>
      </c>
    </row>
    <row r="3348" spans="1:4" x14ac:dyDescent="0.25">
      <c r="A3348" t="s">
        <v>1085</v>
      </c>
    </row>
    <row r="3349" spans="1:4" x14ac:dyDescent="0.25">
      <c r="B3349" t="str">
        <f>HYPERLINK("https://www.chemistwarehouse.com.au/buy/76408/Rimmel-Lasting-Finish-By-Kate-Moss-Nude-045"," Rimmel Lasting Finish By Kate Moss Nude 045")</f>
        <v xml:space="preserve"> Rimmel Lasting Finish By Kate Moss Nude 045</v>
      </c>
      <c r="C3349" t="s">
        <v>324</v>
      </c>
      <c r="D3349" t="s">
        <v>799</v>
      </c>
    </row>
    <row r="3350" spans="1:4" x14ac:dyDescent="0.25">
      <c r="B3350" t="str">
        <f>HYPERLINK("https://www.chemistwarehouse.com.au/buy/76409/Rimmel-Lasting-Finish-By-Kate-Moss-Nude-048"," Rimmel Lasting Finish By Kate Moss Nude 048")</f>
        <v xml:space="preserve"> Rimmel Lasting Finish By Kate Moss Nude 048</v>
      </c>
      <c r="C3350" t="s">
        <v>324</v>
      </c>
      <c r="D3350" t="s">
        <v>799</v>
      </c>
    </row>
    <row r="3351" spans="1:4" x14ac:dyDescent="0.25">
      <c r="B3351" t="str">
        <f>HYPERLINK("https://www.chemistwarehouse.com.au/buy/77973/Rimmel-Lasting-Finish-Lipstick-by-Kate-030"," Rimmel Lasting Finish Lipstick by Kate #030")</f>
        <v xml:space="preserve"> Rimmel Lasting Finish Lipstick by Kate #030</v>
      </c>
      <c r="C3351" t="s">
        <v>98</v>
      </c>
      <c r="D3351" t="s">
        <v>150</v>
      </c>
    </row>
    <row r="3352" spans="1:4" x14ac:dyDescent="0.25">
      <c r="B3352" t="str">
        <f>HYPERLINK("https://www.chemistwarehouse.com.au/buy/77975/Rimmel-Lasting-Finish-Lipstick-by-Kate-034"," Rimmel Lasting Finish Lipstick by Kate #034")</f>
        <v xml:space="preserve"> Rimmel Lasting Finish Lipstick by Kate #034</v>
      </c>
      <c r="C3352" t="s">
        <v>164</v>
      </c>
      <c r="D3352" t="s">
        <v>572</v>
      </c>
    </row>
    <row r="3353" spans="1:4" x14ac:dyDescent="0.25">
      <c r="B3353" t="str">
        <f>HYPERLINK("https://www.chemistwarehouse.com.au/buy/77976/Rimmel-Lasting-Finish-Lipstick-by-Kate-037"," Rimmel Lasting Finish Lipstick by Kate #037")</f>
        <v xml:space="preserve"> Rimmel Lasting Finish Lipstick by Kate #037</v>
      </c>
      <c r="C3353" t="s">
        <v>164</v>
      </c>
      <c r="D3353" t="s">
        <v>897</v>
      </c>
    </row>
    <row r="3354" spans="1:4" x14ac:dyDescent="0.25">
      <c r="B3354" t="str">
        <f>HYPERLINK("https://www.chemistwarehouse.com.au/buy/77977/Rimmel-Lasting-Finish-Lipstick-by-Kate-038"," Rimmel Lasting Finish Lipstick by Kate #038")</f>
        <v xml:space="preserve"> Rimmel Lasting Finish Lipstick by Kate #038</v>
      </c>
      <c r="C3354" t="s">
        <v>98</v>
      </c>
      <c r="D3354" t="s">
        <v>150</v>
      </c>
    </row>
    <row r="3355" spans="1:4" x14ac:dyDescent="0.25">
      <c r="B3355" t="str">
        <f>HYPERLINK("https://www.chemistwarehouse.com.au/buy/77978/Rimmel-Lasting-Finish-Lipstick-by-Kate-110"," Rimmel Lasting Finish Lipstick by Kate #110")</f>
        <v xml:space="preserve"> Rimmel Lasting Finish Lipstick by Kate #110</v>
      </c>
      <c r="C3355" t="s">
        <v>164</v>
      </c>
      <c r="D3355" t="s">
        <v>572</v>
      </c>
    </row>
    <row r="3356" spans="1:4" x14ac:dyDescent="0.25">
      <c r="B3356" t="str">
        <f>HYPERLINK("https://www.chemistwarehouse.com.au/buy/79634/Rimmel-Lasting-Finish-Lip-Balm-By-Kate-Moss"," Rimmel Lasting Finish Lip Balm By Kate Moss")</f>
        <v xml:space="preserve"> Rimmel Lasting Finish Lip Balm By Kate Moss</v>
      </c>
      <c r="C3356" t="s">
        <v>45</v>
      </c>
      <c r="D3356" t="s">
        <v>1086</v>
      </c>
    </row>
    <row r="3357" spans="1:4" x14ac:dyDescent="0.25">
      <c r="B3357" t="str">
        <f>HYPERLINK("https://www.chemistwarehouse.com.au/buy/79640/Rimmel-Lasting-Finish-Matte-Lipstick-by-Kate-Moss-101"," Rimmel Lasting Finish Matte Lipstick by Kate Moss 101")</f>
        <v xml:space="preserve"> Rimmel Lasting Finish Matte Lipstick by Kate Moss 101</v>
      </c>
      <c r="C3357" t="s">
        <v>98</v>
      </c>
      <c r="D3357" t="s">
        <v>150</v>
      </c>
    </row>
    <row r="3358" spans="1:4" x14ac:dyDescent="0.25">
      <c r="B3358" t="str">
        <f>HYPERLINK("https://www.chemistwarehouse.com.au/buy/80406/Rimmel-Lasting-Finish-Lipstick-by-Kate-Moss-Anniversary-051"," Rimmel Lasting Finish Lipstick by Kate Moss Anniversary 051")</f>
        <v xml:space="preserve"> Rimmel Lasting Finish Lipstick by Kate Moss Anniversary 051</v>
      </c>
      <c r="C3358" t="s">
        <v>290</v>
      </c>
      <c r="D3358" t="s">
        <v>799</v>
      </c>
    </row>
    <row r="3359" spans="1:4" x14ac:dyDescent="0.25">
      <c r="B3359" t="str">
        <f>HYPERLINK("https://www.chemistwarehouse.com.au/buy/80407/Rimmel-Lasting-Finish-Lipstick-by-Kate-Moss-Anniversary-052"," Rimmel Lasting Finish Lipstick by Kate Moss Anniversary 052")</f>
        <v xml:space="preserve"> Rimmel Lasting Finish Lipstick by Kate Moss Anniversary 052</v>
      </c>
      <c r="C3359" t="s">
        <v>290</v>
      </c>
      <c r="D3359" t="s">
        <v>799</v>
      </c>
    </row>
    <row r="3360" spans="1:4" x14ac:dyDescent="0.25">
      <c r="B3360" t="str">
        <f>HYPERLINK("https://www.chemistwarehouse.com.au/buy/80408/Rimmel-Lasting-Finish-Lipstick-by-Kate-Moss-Anniversary-053"," Rimmel Lasting Finish Lipstick by Kate Moss Anniversary 053")</f>
        <v xml:space="preserve"> Rimmel Lasting Finish Lipstick by Kate Moss Anniversary 053</v>
      </c>
      <c r="C3360" t="s">
        <v>290</v>
      </c>
      <c r="D3360" t="s">
        <v>799</v>
      </c>
    </row>
    <row r="3361" spans="1:4" x14ac:dyDescent="0.25">
      <c r="B3361" t="str">
        <f>HYPERLINK("https://www.chemistwarehouse.com.au/buy/80409/Rimmel-Lasting-Finish-Lipstick-by-Kate-Moss-Anniversary-054"," Rimmel Lasting Finish Lipstick by Kate Moss Anniversary 054")</f>
        <v xml:space="preserve"> Rimmel Lasting Finish Lipstick by Kate Moss Anniversary 054</v>
      </c>
      <c r="C3361" t="s">
        <v>290</v>
      </c>
      <c r="D3361" t="s">
        <v>799</v>
      </c>
    </row>
    <row r="3362" spans="1:4" x14ac:dyDescent="0.25">
      <c r="B3362" t="str">
        <f>HYPERLINK("https://www.chemistwarehouse.com.au/buy/80410/Rimmel-Lasting-Finish-Lipstick-by-Kate-Moss-Anniversary-055"," Rimmel Lasting Finish Lipstick by Kate Moss Anniversary 055")</f>
        <v xml:space="preserve"> Rimmel Lasting Finish Lipstick by Kate Moss Anniversary 055</v>
      </c>
      <c r="C3362" t="s">
        <v>290</v>
      </c>
      <c r="D3362" t="s">
        <v>799</v>
      </c>
    </row>
    <row r="3363" spans="1:4" x14ac:dyDescent="0.25">
      <c r="B3363" t="str">
        <f>HYPERLINK("https://www.chemistwarehouse.com.au/buy/80411/Rimmel-Lasting-Finish-Lipstick-by-Kate-Moss-Anniversary-056"," Rimmel Lasting Finish Lipstick by Kate Moss Anniversary 056")</f>
        <v xml:space="preserve"> Rimmel Lasting Finish Lipstick by Kate Moss Anniversary 056</v>
      </c>
      <c r="C3363" t="s">
        <v>290</v>
      </c>
      <c r="D3363" t="s">
        <v>799</v>
      </c>
    </row>
    <row r="3364" spans="1:4" x14ac:dyDescent="0.25">
      <c r="B3364" t="str">
        <f>HYPERLINK("https://www.chemistwarehouse.com.au/buy/74713/Rimmel-Lasting-Finish-Lipstick-by-Kate-020"," Rimmel Lasting Finish Lipstick by Kate #020")</f>
        <v xml:space="preserve"> Rimmel Lasting Finish Lipstick by Kate #020</v>
      </c>
      <c r="C3364" t="s">
        <v>98</v>
      </c>
      <c r="D3364" t="s">
        <v>150</v>
      </c>
    </row>
    <row r="3365" spans="1:4" x14ac:dyDescent="0.25">
      <c r="B3365" t="str">
        <f>HYPERLINK("https://www.chemistwarehouse.com.au/buy/74714/Rimmel-Lasting-Finish-Lipstick-by-Kate-022"," Rimmel Lasting Finish Lipstick by Kate #022")</f>
        <v xml:space="preserve"> Rimmel Lasting Finish Lipstick by Kate #022</v>
      </c>
      <c r="C3365" t="s">
        <v>98</v>
      </c>
      <c r="D3365" t="s">
        <v>150</v>
      </c>
    </row>
    <row r="3366" spans="1:4" x14ac:dyDescent="0.25">
      <c r="B3366" t="str">
        <f>HYPERLINK("https://www.chemistwarehouse.com.au/buy/74723/Rimmel-Lasting-Finish-Lipstick-by-Kate-Red-n-Chic"," Rimmel Lasting Finish Lipstick by Kate Red n Chic")</f>
        <v xml:space="preserve"> Rimmel Lasting Finish Lipstick by Kate Red n Chic</v>
      </c>
      <c r="C3366" t="s">
        <v>98</v>
      </c>
      <c r="D3366" t="s">
        <v>150</v>
      </c>
    </row>
    <row r="3367" spans="1:4" x14ac:dyDescent="0.25">
      <c r="B3367" t="str">
        <f>HYPERLINK("https://www.chemistwarehouse.com.au/buy/76406/Rimmel-Lasting-Finish-By-Kate-Moss-Nude-042"," Rimmel Lasting Finish By Kate Moss Nude 042")</f>
        <v xml:space="preserve"> Rimmel Lasting Finish By Kate Moss Nude 042</v>
      </c>
      <c r="C3367" t="s">
        <v>324</v>
      </c>
      <c r="D3367" t="s">
        <v>799</v>
      </c>
    </row>
    <row r="3368" spans="1:4" x14ac:dyDescent="0.25">
      <c r="B3368" t="str">
        <f>HYPERLINK("https://www.chemistwarehouse.com.au/buy/76407/Rimmel-Lasting-Finish-By-Kate-Moss-Nude-043"," Rimmel Lasting Finish By Kate Moss Nude 043")</f>
        <v xml:space="preserve"> Rimmel Lasting Finish By Kate Moss Nude 043</v>
      </c>
      <c r="C3368" t="s">
        <v>324</v>
      </c>
      <c r="D3368" t="s">
        <v>799</v>
      </c>
    </row>
    <row r="3369" spans="1:4" x14ac:dyDescent="0.25">
      <c r="B3369" t="str">
        <f>HYPERLINK("https://www.chemistwarehouse.com.au/buy/74712/Rimmel-Lasting-Finish-Lipstick-by-Kate-016"," Rimmel Lasting Finish Lipstick by Kate #016")</f>
        <v xml:space="preserve"> Rimmel Lasting Finish Lipstick by Kate #016</v>
      </c>
      <c r="C3369" t="s">
        <v>98</v>
      </c>
      <c r="D3369" t="s">
        <v>147</v>
      </c>
    </row>
    <row r="3370" spans="1:4" x14ac:dyDescent="0.25">
      <c r="B3370" t="str">
        <f>HYPERLINK("https://www.chemistwarehouse.com.au/buy/76405/Rimmel-Lasting-Finish-By-Kate-Moss-Nude-040"," Rimmel Lasting Finish By Kate Moss Nude 040")</f>
        <v xml:space="preserve"> Rimmel Lasting Finish By Kate Moss Nude 040</v>
      </c>
      <c r="C3370" t="s">
        <v>164</v>
      </c>
      <c r="D3370" t="s">
        <v>572</v>
      </c>
    </row>
    <row r="3371" spans="1:4" x14ac:dyDescent="0.25">
      <c r="A3371" t="s">
        <v>1087</v>
      </c>
    </row>
    <row r="3372" spans="1:4" x14ac:dyDescent="0.25">
      <c r="B3372" t="str">
        <f>HYPERLINK("https://www.chemistwarehouse.com.au/buy/74717/Rimmel-Lasting-Finish-Matte-Lipstick-by-Kate-103"," Rimmel Lasting Finish Matte Lipstick by Kate #103")</f>
        <v xml:space="preserve"> Rimmel Lasting Finish Matte Lipstick by Kate #103</v>
      </c>
      <c r="C3372" t="s">
        <v>98</v>
      </c>
      <c r="D3372" t="s">
        <v>150</v>
      </c>
    </row>
    <row r="3373" spans="1:4" x14ac:dyDescent="0.25">
      <c r="B3373" t="str">
        <f>HYPERLINK("https://www.chemistwarehouse.com.au/buy/74719/Rimmel-Lasting-Finish-Matte-Lipstick-by-Kate-107"," Rimmel Lasting Finish Matte Lipstick by Kate #107")</f>
        <v xml:space="preserve"> Rimmel Lasting Finish Matte Lipstick by Kate #107</v>
      </c>
      <c r="C3373" t="s">
        <v>98</v>
      </c>
      <c r="D3373" t="s">
        <v>150</v>
      </c>
    </row>
    <row r="3374" spans="1:4" x14ac:dyDescent="0.25">
      <c r="B3374" t="str">
        <f>HYPERLINK("https://www.chemistwarehouse.com.au/buy/74720/Rimmel-Lasting-Finish-Matte-Lipstick-by-Kate-111"," Rimmel Lasting Finish Matte Lipstick by Kate #111")</f>
        <v xml:space="preserve"> Rimmel Lasting Finish Matte Lipstick by Kate #111</v>
      </c>
      <c r="C3374" t="s">
        <v>98</v>
      </c>
      <c r="D3374" t="s">
        <v>150</v>
      </c>
    </row>
    <row r="3375" spans="1:4" x14ac:dyDescent="0.25">
      <c r="A3375" t="s">
        <v>1088</v>
      </c>
    </row>
    <row r="3376" spans="1:4" x14ac:dyDescent="0.25">
      <c r="B3376" t="str">
        <f>HYPERLINK("https://www.chemistwarehouse.com.au/buy/72298/Rimmel-Moisture-Renew-Lipstick-As-You-Want-Victoria"," Rimmel Moisture Renew Lipstick As You Want Victoria")</f>
        <v xml:space="preserve"> Rimmel Moisture Renew Lipstick As You Want Victoria</v>
      </c>
      <c r="C3376" t="s">
        <v>290</v>
      </c>
      <c r="D3376" t="s">
        <v>799</v>
      </c>
    </row>
    <row r="3377" spans="1:4" x14ac:dyDescent="0.25">
      <c r="B3377" t="str">
        <f>HYPERLINK("https://www.chemistwarehouse.com.au/buy/72302/Rimmel-Moisture-Renew-Lipstick-Fancy"," Rimmel Moisture Renew Lipstick Fancy")</f>
        <v xml:space="preserve"> Rimmel Moisture Renew Lipstick Fancy</v>
      </c>
      <c r="C3377" t="s">
        <v>290</v>
      </c>
      <c r="D3377" t="s">
        <v>799</v>
      </c>
    </row>
    <row r="3378" spans="1:4" x14ac:dyDescent="0.25">
      <c r="B3378" t="str">
        <f>HYPERLINK("https://www.chemistwarehouse.com.au/buy/72303/Rimmel-Moisture-Renew-Lipstick-Heather-Shimmer"," Rimmel Moisture Renew Lipstick Heather Shimmer")</f>
        <v xml:space="preserve"> Rimmel Moisture Renew Lipstick Heather Shimmer</v>
      </c>
      <c r="C3378" t="s">
        <v>290</v>
      </c>
      <c r="D3378" t="s">
        <v>799</v>
      </c>
    </row>
    <row r="3379" spans="1:4" x14ac:dyDescent="0.25">
      <c r="B3379" t="str">
        <f>HYPERLINK("https://www.chemistwarehouse.com.au/buy/72304/Rimmel-Moisture-Renew-Lipstick-In-love-with-Ginger"," Rimmel Moisture Renew Lipstick In love with Ginger")</f>
        <v xml:space="preserve"> Rimmel Moisture Renew Lipstick In love with Ginger</v>
      </c>
      <c r="C3379" t="s">
        <v>290</v>
      </c>
      <c r="D3379" t="s">
        <v>799</v>
      </c>
    </row>
    <row r="3380" spans="1:4" x14ac:dyDescent="0.25">
      <c r="B3380" t="str">
        <f>HYPERLINK("https://www.chemistwarehouse.com.au/buy/72305/Rimmel-Moisture-Renew-Lipstick-Notting-Hill-Nude"," Rimmel Moisture Renew Lipstick Notting Hill Nude")</f>
        <v xml:space="preserve"> Rimmel Moisture Renew Lipstick Notting Hill Nude</v>
      </c>
      <c r="C3380" t="s">
        <v>290</v>
      </c>
      <c r="D3380" t="s">
        <v>799</v>
      </c>
    </row>
    <row r="3381" spans="1:4" x14ac:dyDescent="0.25">
      <c r="B3381" t="str">
        <f>HYPERLINK("https://www.chemistwarehouse.com.au/buy/72308/Rimmel-Moisture-Renew-Lipstick-Sloanee-Plum"," Rimmel Moisture Renew Lipstick Sloanee Plum")</f>
        <v xml:space="preserve"> Rimmel Moisture Renew Lipstick Sloanee Plum</v>
      </c>
      <c r="C3381" t="s">
        <v>290</v>
      </c>
      <c r="D3381" t="s">
        <v>799</v>
      </c>
    </row>
    <row r="3382" spans="1:4" x14ac:dyDescent="0.25">
      <c r="B3382" t="str">
        <f>HYPERLINK("https://www.chemistwarehouse.com.au/buy/72309/Rimmel-Moisture-Renew-Lipstick-Vintage-Pink"," Rimmel Moisture Renew Lipstick Vintage Pink")</f>
        <v xml:space="preserve"> Rimmel Moisture Renew Lipstick Vintage Pink</v>
      </c>
      <c r="C3382" t="s">
        <v>290</v>
      </c>
      <c r="D3382" t="s">
        <v>799</v>
      </c>
    </row>
    <row r="3383" spans="1:4" x14ac:dyDescent="0.25">
      <c r="B3383" t="str">
        <f>HYPERLINK("https://www.chemistwarehouse.com.au/buy/77985/Rimmel-Moisture-Renew-Lipstick-Mayfair-Red-Lady"," Rimmel Moisture Renew Lipstick Mayfair Red Lady")</f>
        <v xml:space="preserve"> Rimmel Moisture Renew Lipstick Mayfair Red Lady</v>
      </c>
      <c r="C3383" t="s">
        <v>290</v>
      </c>
      <c r="D3383" t="s">
        <v>799</v>
      </c>
    </row>
    <row r="3384" spans="1:4" x14ac:dyDescent="0.25">
      <c r="B3384" t="str">
        <f>HYPERLINK("https://www.chemistwarehouse.com.au/buy/78088/Rimmel-Moisture-Renew-Lipstick-Dark-Night-Waterl-Oops"," Rimmel Moisture Renew Lipstick Dark Night Waterl-Oops")</f>
        <v xml:space="preserve"> Rimmel Moisture Renew Lipstick Dark Night Waterl-Oops</v>
      </c>
      <c r="C3384" t="s">
        <v>290</v>
      </c>
      <c r="D3384" t="s">
        <v>799</v>
      </c>
    </row>
    <row r="3385" spans="1:4" x14ac:dyDescent="0.25">
      <c r="B3385" t="str">
        <f>HYPERLINK("https://www.chemistwarehouse.com.au/buy/79755/Rimmel-Moisture-Renew-Sheer-And-Shine-Lipstick-Better-amp-Brighter-700"," Rimmel Moisture Renew Sheer And Shine Lipstick Better &amp; Brighter #700")</f>
        <v xml:space="preserve"> Rimmel Moisture Renew Sheer And Shine Lipstick Better &amp; Brighter #700</v>
      </c>
      <c r="C3385" t="s">
        <v>290</v>
      </c>
      <c r="D3385" t="s">
        <v>799</v>
      </c>
    </row>
    <row r="3386" spans="1:4" x14ac:dyDescent="0.25">
      <c r="B3386" t="str">
        <f>HYPERLINK("https://www.chemistwarehouse.com.au/buy/79756/Rimmel-Moisture-Renew-Sheer-And-Shine-Lipstick-Glowrious-Pink-200"," Rimmel Moisture Renew Sheer And Shine Lipstick Glowrious Pink #200")</f>
        <v xml:space="preserve"> Rimmel Moisture Renew Sheer And Shine Lipstick Glowrious Pink #200</v>
      </c>
      <c r="C3386" t="s">
        <v>290</v>
      </c>
      <c r="D3386" t="s">
        <v>799</v>
      </c>
    </row>
    <row r="3387" spans="1:4" x14ac:dyDescent="0.25">
      <c r="B3387" t="str">
        <f>HYPERLINK("https://www.chemistwarehouse.com.au/buy/79757/Rimmel-Moisture-Renew-Sheer-And-Shine-Lipstick-Pink-Rules-300"," Rimmel Moisture Renew Sheer And Shine Lipstick Pink Rules #300")</f>
        <v xml:space="preserve"> Rimmel Moisture Renew Sheer And Shine Lipstick Pink Rules #300</v>
      </c>
      <c r="C3387" t="s">
        <v>290</v>
      </c>
      <c r="D3387" t="s">
        <v>799</v>
      </c>
    </row>
    <row r="3388" spans="1:4" x14ac:dyDescent="0.25">
      <c r="B3388" t="str">
        <f>HYPERLINK("https://www.chemistwarehouse.com.au/buy/79758/Rimmel-Moisture-Renew-Sheer-And-Shine-Lipstick-Redy-Set-Go-500"," Rimmel Moisture Renew Sheer And Shine Lipstick Redy Set Go #500")</f>
        <v xml:space="preserve"> Rimmel Moisture Renew Sheer And Shine Lipstick Redy Set Go #500</v>
      </c>
      <c r="C3388" t="s">
        <v>290</v>
      </c>
      <c r="D3388" t="s">
        <v>799</v>
      </c>
    </row>
    <row r="3389" spans="1:4" x14ac:dyDescent="0.25">
      <c r="B3389" t="str">
        <f>HYPERLINK("https://www.chemistwarehouse.com.au/buy/79759/Rimmel-Moisture-Renew-Sheer-And-Shine-Lipstick-Spin-All-Spring-600"," Rimmel Moisture Renew Sheer And Shine Lipstick Spin All Spring #600")</f>
        <v xml:space="preserve"> Rimmel Moisture Renew Sheer And Shine Lipstick Spin All Spring #600</v>
      </c>
      <c r="C3389" t="s">
        <v>290</v>
      </c>
      <c r="D3389" t="s">
        <v>799</v>
      </c>
    </row>
    <row r="3390" spans="1:4" x14ac:dyDescent="0.25">
      <c r="B3390" t="str">
        <f>HYPERLINK("https://www.chemistwarehouse.com.au/buy/79760/Rimmel-Moisture-Renew-Sheer-And-Shine-Lipstick-Woke-Up-Like-This-100"," Rimmel Moisture Renew Sheer And Shine Lipstick Woke Up Like This #100")</f>
        <v xml:space="preserve"> Rimmel Moisture Renew Sheer And Shine Lipstick Woke Up Like This #100</v>
      </c>
      <c r="C3390" t="s">
        <v>290</v>
      </c>
      <c r="D3390" t="s">
        <v>799</v>
      </c>
    </row>
    <row r="3391" spans="1:4" x14ac:dyDescent="0.25">
      <c r="A3391" t="s">
        <v>1089</v>
      </c>
    </row>
    <row r="3392" spans="1:4" x14ac:dyDescent="0.25">
      <c r="B3392" t="str">
        <f>HYPERLINK("https://www.chemistwarehouse.com.au/buy/78089/Rimmel-The-Only-1-Best-Of-The-Best-510"," Rimmel The Only 1 Best Of The Best 510")</f>
        <v xml:space="preserve"> Rimmel The Only 1 Best Of The Best 510</v>
      </c>
      <c r="C3392" t="s">
        <v>228</v>
      </c>
      <c r="D3392" t="s">
        <v>329</v>
      </c>
    </row>
    <row r="3393" spans="2:4" x14ac:dyDescent="0.25">
      <c r="B3393" t="str">
        <f>HYPERLINK("https://www.chemistwarehouse.com.au/buy/78090/Rimmel-The-Only-1-Call-Me-Crazy-620"," Rimmel The Only 1 Call Me Crazy 620")</f>
        <v xml:space="preserve"> Rimmel The Only 1 Call Me Crazy 620</v>
      </c>
      <c r="C3393" t="s">
        <v>228</v>
      </c>
      <c r="D3393" t="s">
        <v>329</v>
      </c>
    </row>
    <row r="3394" spans="2:4" x14ac:dyDescent="0.25">
      <c r="B3394" t="str">
        <f>HYPERLINK("https://www.chemistwarehouse.com.au/buy/78091/Rimmel-The-Only-1-Cheeky-Coral-610"," Rimmel The Only 1 Cheeky Coral 610")</f>
        <v xml:space="preserve"> Rimmel The Only 1 Cheeky Coral 610</v>
      </c>
      <c r="C3394" t="s">
        <v>228</v>
      </c>
      <c r="D3394" t="s">
        <v>329</v>
      </c>
    </row>
    <row r="3395" spans="2:4" x14ac:dyDescent="0.25">
      <c r="B3395" t="str">
        <f>HYPERLINK("https://www.chemistwarehouse.com.au/buy/78092/Rimmel-The-Only-1-Easy-Does-It-710"," Rimmel The Only 1 Easy Does It 710")</f>
        <v xml:space="preserve"> Rimmel The Only 1 Easy Does It 710</v>
      </c>
      <c r="C3395" t="s">
        <v>228</v>
      </c>
      <c r="D3395" t="s">
        <v>329</v>
      </c>
    </row>
    <row r="3396" spans="2:4" x14ac:dyDescent="0.25">
      <c r="B3396" t="str">
        <f>HYPERLINK("https://www.chemistwarehouse.com.au/buy/78093/Rimmel-The-Only-1-Its-A-Keeper-200"," Rimmel The Only 1 Its A Keeper 200")</f>
        <v xml:space="preserve"> Rimmel The Only 1 Its A Keeper 200</v>
      </c>
      <c r="C3396" t="s">
        <v>228</v>
      </c>
      <c r="D3396" t="s">
        <v>329</v>
      </c>
    </row>
    <row r="3397" spans="2:4" x14ac:dyDescent="0.25">
      <c r="B3397" t="str">
        <f>HYPERLINK("https://www.chemistwarehouse.com.au/buy/78094/Rimmel-The-Only-1-Listen-Up-300"," Rimmel The Only 1 Listen Up 300")</f>
        <v xml:space="preserve"> Rimmel The Only 1 Listen Up 300</v>
      </c>
      <c r="C3397" t="s">
        <v>46</v>
      </c>
      <c r="D3397" t="s">
        <v>355</v>
      </c>
    </row>
    <row r="3398" spans="2:4" x14ac:dyDescent="0.25">
      <c r="B3398" t="str">
        <f>HYPERLINK("https://www.chemistwarehouse.com.au/buy/78095/Rimmel-The-Only-1-Naughty-Nude-700"," Rimmel The Only 1 Naughty Nude 700")</f>
        <v xml:space="preserve"> Rimmel The Only 1 Naughty Nude 700</v>
      </c>
      <c r="C3398" t="s">
        <v>228</v>
      </c>
      <c r="D3398" t="s">
        <v>329</v>
      </c>
    </row>
    <row r="3399" spans="2:4" x14ac:dyDescent="0.25">
      <c r="B3399" t="str">
        <f>HYPERLINK("https://www.chemistwarehouse.com.au/buy/78096/Rimmel-The-Only-1-One-Of-A-Kind-810"," Rimmel The Only 1 One Of A Kind 810")</f>
        <v xml:space="preserve"> Rimmel The Only 1 One Of A Kind 810</v>
      </c>
      <c r="C3399" t="s">
        <v>228</v>
      </c>
      <c r="D3399" t="s">
        <v>329</v>
      </c>
    </row>
    <row r="3400" spans="2:4" x14ac:dyDescent="0.25">
      <c r="B3400" t="str">
        <f>HYPERLINK("https://www.chemistwarehouse.com.au/buy/78097/Rimmel-The-Only-1-Peachy-Beachy-600"," Rimmel The Only 1 Peachy Beachy 600")</f>
        <v xml:space="preserve"> Rimmel The Only 1 Peachy Beachy 600</v>
      </c>
      <c r="C3400" t="s">
        <v>46</v>
      </c>
      <c r="D3400" t="s">
        <v>355</v>
      </c>
    </row>
    <row r="3401" spans="2:4" x14ac:dyDescent="0.25">
      <c r="B3401" t="str">
        <f>HYPERLINK("https://www.chemistwarehouse.com.au/buy/78098/Rimmel-The-Only-1-Pink-A-Punch-110"," Rimmel The Only 1 Pink A Punch 110")</f>
        <v xml:space="preserve"> Rimmel The Only 1 Pink A Punch 110</v>
      </c>
      <c r="C3401" t="s">
        <v>228</v>
      </c>
      <c r="D3401" t="s">
        <v>329</v>
      </c>
    </row>
    <row r="3402" spans="2:4" x14ac:dyDescent="0.25">
      <c r="B3402" t="str">
        <f>HYPERLINK("https://www.chemistwarehouse.com.au/buy/78099/Rimmel-The-Only-1-Revolution-Red-500"," Rimmel The Only 1 Revolution Red 500")</f>
        <v xml:space="preserve"> Rimmel The Only 1 Revolution Red 500</v>
      </c>
      <c r="C3402" t="s">
        <v>46</v>
      </c>
      <c r="D3402" t="s">
        <v>355</v>
      </c>
    </row>
    <row r="3403" spans="2:4" x14ac:dyDescent="0.25">
      <c r="B3403" t="str">
        <f>HYPERLINK("https://www.chemistwarehouse.com.au/buy/78100/Rimmel-The-Only-1-Your-All-Mine-120"," Rimmel The Only 1 Your All Mine 120")</f>
        <v xml:space="preserve"> Rimmel The Only 1 Your All Mine 120</v>
      </c>
      <c r="C3403" t="s">
        <v>228</v>
      </c>
      <c r="D3403" t="s">
        <v>329</v>
      </c>
    </row>
    <row r="3404" spans="2:4" x14ac:dyDescent="0.25">
      <c r="B3404" t="str">
        <f>HYPERLINK("https://www.chemistwarehouse.com.au/buy/81213/Rimmel-The-Only-1-Oh-so-Wicked-820"," Rimmel The Only 1 Oh-so Wicked 820")</f>
        <v xml:space="preserve"> Rimmel The Only 1 Oh-so Wicked 820</v>
      </c>
      <c r="C3404" t="s">
        <v>228</v>
      </c>
      <c r="D3404" t="s">
        <v>329</v>
      </c>
    </row>
    <row r="3405" spans="2:4" x14ac:dyDescent="0.25">
      <c r="B3405" t="str">
        <f>HYPERLINK("https://www.chemistwarehouse.com.au/buy/81214/Rimmel-The-Only-1-Pink-Me-Love-Me-100"," Rimmel The Only 1 Pink Me Love Me 100")</f>
        <v xml:space="preserve"> Rimmel The Only 1 Pink Me Love Me 100</v>
      </c>
      <c r="C3405" t="s">
        <v>228</v>
      </c>
      <c r="D3405" t="s">
        <v>329</v>
      </c>
    </row>
    <row r="3406" spans="2:4" x14ac:dyDescent="0.25">
      <c r="B3406" t="str">
        <f>HYPERLINK("https://www.chemistwarehouse.com.au/buy/81215/Rimmel-The-Only-1-Under-My-Spell-800"," Rimmel The Only 1 Under My Spell 800")</f>
        <v xml:space="preserve"> Rimmel The Only 1 Under My Spell 800</v>
      </c>
      <c r="C3406" t="s">
        <v>228</v>
      </c>
      <c r="D3406" t="s">
        <v>329</v>
      </c>
    </row>
    <row r="3407" spans="2:4" x14ac:dyDescent="0.25">
      <c r="B3407" t="str">
        <f>HYPERLINK("https://www.chemistwarehouse.com.au/buy/82545/Rimmel-The-Only-1-Lipstick-Mauve-ment-210"," Rimmel The Only 1 Lipstick Mauve-ment 210")</f>
        <v xml:space="preserve"> Rimmel The Only 1 Lipstick Mauve-ment 210</v>
      </c>
      <c r="C3407" t="s">
        <v>443</v>
      </c>
      <c r="D3407" t="s">
        <v>799</v>
      </c>
    </row>
    <row r="3408" spans="2:4" x14ac:dyDescent="0.25">
      <c r="B3408" t="str">
        <f>HYPERLINK("https://www.chemistwarehouse.com.au/buy/82546/Rimmel-The-Only-1-Lipstick-Pretty-Penny-650"," Rimmel The Only 1 Lipstick Pretty Penny 650")</f>
        <v xml:space="preserve"> Rimmel The Only 1 Lipstick Pretty Penny 650</v>
      </c>
      <c r="C3408" t="s">
        <v>443</v>
      </c>
      <c r="D3408" t="s">
        <v>799</v>
      </c>
    </row>
    <row r="3409" spans="1:4" x14ac:dyDescent="0.25">
      <c r="B3409" t="str">
        <f>HYPERLINK("https://www.chemistwarehouse.com.au/buy/82541/Rimmel-The-Only-1-Lipstick-90s-Babe-780"," Rimmel The Only 1 Lipstick 90s Babe 780")</f>
        <v xml:space="preserve"> Rimmel The Only 1 Lipstick 90s Babe 780</v>
      </c>
      <c r="C3409" t="s">
        <v>443</v>
      </c>
      <c r="D3409" t="s">
        <v>799</v>
      </c>
    </row>
    <row r="3410" spans="1:4" x14ac:dyDescent="0.25">
      <c r="B3410" t="str">
        <f>HYPERLINK("https://www.chemistwarehouse.com.au/buy/82542/Rimmel-The-Only-1-Lipstick-Aint-No-Other-760"," Rimmel The Only 1 Lipstick Aint No Other 760")</f>
        <v xml:space="preserve"> Rimmel The Only 1 Lipstick Aint No Other 760</v>
      </c>
      <c r="C3410" t="s">
        <v>443</v>
      </c>
      <c r="D3410" t="s">
        <v>799</v>
      </c>
    </row>
    <row r="3411" spans="1:4" x14ac:dyDescent="0.25">
      <c r="B3411" t="str">
        <f>HYPERLINK("https://www.chemistwarehouse.com.au/buy/82543/Rimmel-The-Only-1-Lipstick-I-Dare-You-720"," Rimmel The Only 1 Lipstick I Dare You 720")</f>
        <v xml:space="preserve"> Rimmel The Only 1 Lipstick I Dare You 720</v>
      </c>
      <c r="C3411" t="s">
        <v>443</v>
      </c>
      <c r="D3411" t="s">
        <v>799</v>
      </c>
    </row>
    <row r="3412" spans="1:4" x14ac:dyDescent="0.25">
      <c r="B3412" t="str">
        <f>HYPERLINK("https://www.chemistwarehouse.com.au/buy/82544/Rimmel-The-Only-1-Lipstick-Mauve-Over-250"," Rimmel The Only 1 Lipstick Mauve Over 250")</f>
        <v xml:space="preserve"> Rimmel The Only 1 Lipstick Mauve Over 250</v>
      </c>
      <c r="C3412" t="s">
        <v>443</v>
      </c>
      <c r="D3412" t="s">
        <v>799</v>
      </c>
    </row>
    <row r="3413" spans="1:4" x14ac:dyDescent="0.25">
      <c r="A3413" t="s">
        <v>1090</v>
      </c>
    </row>
    <row r="3414" spans="1:4" x14ac:dyDescent="0.25">
      <c r="B3414" t="str">
        <f>HYPERLINK("https://www.chemistwarehouse.com.au/buy/82551/Rimmel-The-Only-1-Matte-Lipstick-Run-the-Show-800"," Rimmel The Only 1 Matte Lipstick Run the Show 800")</f>
        <v xml:space="preserve"> Rimmel The Only 1 Matte Lipstick Run the Show 800</v>
      </c>
      <c r="C3414" t="s">
        <v>228</v>
      </c>
      <c r="D3414" t="s">
        <v>329</v>
      </c>
    </row>
    <row r="3415" spans="1:4" x14ac:dyDescent="0.25">
      <c r="B3415" t="str">
        <f>HYPERLINK("https://www.chemistwarehouse.com.au/buy/82552/Rimmel-The-Only-1-Matte-Lipstick-Salute-200"," Rimmel The Only 1 Matte Lipstick Salute 200")</f>
        <v xml:space="preserve"> Rimmel The Only 1 Matte Lipstick Salute 200</v>
      </c>
      <c r="C3415" t="s">
        <v>228</v>
      </c>
      <c r="D3415" t="s">
        <v>329</v>
      </c>
    </row>
    <row r="3416" spans="1:4" x14ac:dyDescent="0.25">
      <c r="B3416" t="str">
        <f>HYPERLINK("https://www.chemistwarehouse.com.au/buy/82553/Rimmel-The-Only-1-Matte-Lipstick-Take-the-Stage-500"," Rimmel The Only 1 Matte Lipstick Take the Stage 500")</f>
        <v xml:space="preserve"> Rimmel The Only 1 Matte Lipstick Take the Stage 500</v>
      </c>
      <c r="C3416" t="s">
        <v>228</v>
      </c>
      <c r="D3416" t="s">
        <v>329</v>
      </c>
    </row>
    <row r="3417" spans="1:4" x14ac:dyDescent="0.25">
      <c r="B3417" t="str">
        <f>HYPERLINK("https://www.chemistwarehouse.com.au/buy/82554/Rimmel-The-Only-1-Matte-Lipstick-The-Matte-Factor-810"," Rimmel The Only 1 Matte Lipstick The Matte Factor 810")</f>
        <v xml:space="preserve"> Rimmel The Only 1 Matte Lipstick The Matte Factor 810</v>
      </c>
      <c r="C3417" t="s">
        <v>228</v>
      </c>
      <c r="D3417" t="s">
        <v>329</v>
      </c>
    </row>
    <row r="3418" spans="1:4" x14ac:dyDescent="0.25">
      <c r="B3418" t="str">
        <f>HYPERLINK("https://www.chemistwarehouse.com.au/buy/82555/Rimmel-The-Only-1-Matte-Lipstick-Trend-Setter-700"," Rimmel The Only 1 Matte Lipstick Trend Setter 700")</f>
        <v xml:space="preserve"> Rimmel The Only 1 Matte Lipstick Trend Setter 700</v>
      </c>
      <c r="C3418" t="s">
        <v>228</v>
      </c>
      <c r="D3418" t="s">
        <v>329</v>
      </c>
    </row>
    <row r="3419" spans="1:4" x14ac:dyDescent="0.25">
      <c r="B3419" t="str">
        <f>HYPERLINK("https://www.chemistwarehouse.com.au/buy/82548/Rimmel-The-Only-1-Matte-Lipstick-High-Flyer-610"," Rimmel The Only 1 Matte Lipstick High Flyer 610")</f>
        <v xml:space="preserve"> Rimmel The Only 1 Matte Lipstick High Flyer 610</v>
      </c>
      <c r="C3419" t="s">
        <v>228</v>
      </c>
      <c r="D3419" t="s">
        <v>329</v>
      </c>
    </row>
    <row r="3420" spans="1:4" x14ac:dyDescent="0.25">
      <c r="B3420" t="str">
        <f>HYPERLINK("https://www.chemistwarehouse.com.au/buy/82549/Rimmel-The-Only-1-Matte-Lipstick-Leader-of-the-Pack-110"," Rimmel The Only 1 Matte Lipstick Leader of the Pack 110")</f>
        <v xml:space="preserve"> Rimmel The Only 1 Matte Lipstick Leader of the Pack 110</v>
      </c>
      <c r="C3420" t="s">
        <v>228</v>
      </c>
      <c r="D3420" t="s">
        <v>329</v>
      </c>
    </row>
    <row r="3421" spans="1:4" x14ac:dyDescent="0.25">
      <c r="B3421" t="str">
        <f>HYPERLINK("https://www.chemistwarehouse.com.au/buy/82550/Rimmel-The-Only-1-Matte-Lipstick-Look-Whos-Talking-750"," Rimmel The Only 1 Matte Lipstick Look Whos Talking 750")</f>
        <v xml:space="preserve"> Rimmel The Only 1 Matte Lipstick Look Whos Talking 750</v>
      </c>
      <c r="C3421" t="s">
        <v>228</v>
      </c>
      <c r="D3421" t="s">
        <v>329</v>
      </c>
    </row>
    <row r="3422" spans="1:4" x14ac:dyDescent="0.25">
      <c r="B3422" t="str">
        <f>HYPERLINK("https://www.chemistwarehouse.com.au/buy/82547/Rimmel-The-Only-1-Matte-Lipstick-Call-the-Shots-120"," Rimmel The Only 1 Matte Lipstick Call the Shots 120")</f>
        <v xml:space="preserve"> Rimmel The Only 1 Matte Lipstick Call the Shots 120</v>
      </c>
      <c r="C3422" t="s">
        <v>228</v>
      </c>
      <c r="D3422" t="s">
        <v>329</v>
      </c>
    </row>
    <row r="3423" spans="1:4" x14ac:dyDescent="0.25">
      <c r="A3423" t="s">
        <v>1091</v>
      </c>
    </row>
    <row r="3424" spans="1:4" x14ac:dyDescent="0.25">
      <c r="B3424" t="str">
        <f>HYPERLINK("https://www.chemistwarehouse.com.au/buy/81190/Rimmel-Exclusive-Christmas-Gift-Set"," Rimmel Exclusive Christmas Gift Set")</f>
        <v xml:space="preserve"> Rimmel Exclusive Christmas Gift Set</v>
      </c>
      <c r="C3424" t="s">
        <v>63</v>
      </c>
      <c r="D3424" t="s">
        <v>500</v>
      </c>
    </row>
    <row r="3425" spans="1:4" x14ac:dyDescent="0.25">
      <c r="B3425" t="str">
        <f>HYPERLINK("https://www.chemistwarehouse.com.au/buy/82896/Rimmel-Good-to-Glow-Notting-Hill-Glow-001"," Rimmel Good to Glow Notting Hill Glow 001")</f>
        <v xml:space="preserve"> Rimmel Good to Glow Notting Hill Glow 001</v>
      </c>
      <c r="C3425" t="s">
        <v>98</v>
      </c>
      <c r="D3425" t="s">
        <v>150</v>
      </c>
    </row>
    <row r="3426" spans="1:4" x14ac:dyDescent="0.25">
      <c r="B3426" t="str">
        <f>HYPERLINK("https://www.chemistwarehouse.com.au/buy/82897/Rimmel-Good-to-Glow-Soho-Glow-003"," Rimmel Good to Glow Soho Glow 003")</f>
        <v xml:space="preserve"> Rimmel Good to Glow Soho Glow 003</v>
      </c>
      <c r="C3426" t="s">
        <v>98</v>
      </c>
      <c r="D3426" t="s">
        <v>150</v>
      </c>
    </row>
    <row r="3427" spans="1:4" x14ac:dyDescent="0.25">
      <c r="A3427" t="s">
        <v>1092</v>
      </c>
    </row>
    <row r="3428" spans="1:4" x14ac:dyDescent="0.25">
      <c r="B3428" t="str">
        <f>HYPERLINK("https://www.chemistwarehouse.com.au/buy/76232/Rimmel-Brow-This-Way-Eyebrow-Gel-004-Clear"," Rimmel Brow This Way Eyebrow Gel 004 Clear")</f>
        <v xml:space="preserve"> Rimmel Brow This Way Eyebrow Gel 004 Clear</v>
      </c>
      <c r="C3428" t="s">
        <v>324</v>
      </c>
      <c r="D3428" t="s">
        <v>799</v>
      </c>
    </row>
    <row r="3429" spans="1:4" x14ac:dyDescent="0.25">
      <c r="B3429" t="str">
        <f>HYPERLINK("https://www.chemistwarehouse.com.au/buy/76230/Rimmel-Brow-This-Way-Eyebrow-Gel-002-Medium-Brown"," Rimmel Brow This Way Eyebrow Gel 002 Medium Brown")</f>
        <v xml:space="preserve"> Rimmel Brow This Way Eyebrow Gel 002 Medium Brown</v>
      </c>
      <c r="C3429" t="s">
        <v>324</v>
      </c>
      <c r="D3429" t="s">
        <v>799</v>
      </c>
    </row>
    <row r="3430" spans="1:4" x14ac:dyDescent="0.25">
      <c r="B3430" t="str">
        <f>HYPERLINK("https://www.chemistwarehouse.com.au/buy/76231/Rimmel-Brow-This-Way-Eyebrow-Gel-003-Dark-Brown"," Rimmel Brow This Way Eyebrow Gel 003 Dark Brown")</f>
        <v xml:space="preserve"> Rimmel Brow This Way Eyebrow Gel 003 Dark Brown</v>
      </c>
      <c r="C3430" t="s">
        <v>324</v>
      </c>
      <c r="D3430" t="s">
        <v>799</v>
      </c>
    </row>
    <row r="3431" spans="1:4" x14ac:dyDescent="0.25">
      <c r="B3431" t="str">
        <f>HYPERLINK("https://www.chemistwarehouse.com.au/buy/76229/Rimmel-Brow-This-Way-Eyebrow-Gel-001-Blonde"," Rimmel Brow This Way Eyebrow Gel 001 Blonde")</f>
        <v xml:space="preserve"> Rimmel Brow This Way Eyebrow Gel 001 Blonde</v>
      </c>
      <c r="C3431" t="s">
        <v>324</v>
      </c>
      <c r="D3431" t="s">
        <v>799</v>
      </c>
    </row>
    <row r="3432" spans="1:4" x14ac:dyDescent="0.25">
      <c r="B3432" t="str">
        <f>HYPERLINK("https://www.chemistwarehouse.com.au/buy/76233/Rimmel-Brow-This-Way-Eyebrow-Powder-Kit-002-Mid-Brown"," Rimmel Brow This Way Eyebrow Powder Kit 002 Mid Brown")</f>
        <v xml:space="preserve"> Rimmel Brow This Way Eyebrow Powder Kit 002 Mid Brown</v>
      </c>
      <c r="C3432" t="s">
        <v>324</v>
      </c>
      <c r="D3432" t="s">
        <v>799</v>
      </c>
    </row>
    <row r="3433" spans="1:4" x14ac:dyDescent="0.25">
      <c r="B3433" t="str">
        <f>HYPERLINK("https://www.chemistwarehouse.com.au/buy/76234/Rimmel-Brow-This-Way-Eyebrow-Powder-Kit-003-Dark-Brown"," Rimmel Brow This Way Eyebrow Powder Kit 003 Dark Brown")</f>
        <v xml:space="preserve"> Rimmel Brow This Way Eyebrow Powder Kit 003 Dark Brown</v>
      </c>
      <c r="C3433" t="s">
        <v>324</v>
      </c>
      <c r="D3433" t="s">
        <v>799</v>
      </c>
    </row>
    <row r="3434" spans="1:4" x14ac:dyDescent="0.25">
      <c r="B3434" t="str">
        <f>HYPERLINK("https://www.chemistwarehouse.com.au/buy/80052/Rimmel-Brow-This-Way-Highlighting-Pencil-002"," Rimmel Brow This Way Highlighting Pencil 002")</f>
        <v xml:space="preserve"> Rimmel Brow This Way Highlighting Pencil 002</v>
      </c>
      <c r="C3434" t="s">
        <v>240</v>
      </c>
      <c r="D3434" t="s">
        <v>400</v>
      </c>
    </row>
    <row r="3435" spans="1:4" x14ac:dyDescent="0.25">
      <c r="B3435" t="str">
        <f>HYPERLINK("https://www.chemistwarehouse.com.au/buy/80053/Rimmel-Brow-This-Way-Highlighting-Pencil-001"," Rimmel Brow This Way Highlighting Pencil 001")</f>
        <v xml:space="preserve"> Rimmel Brow This Way Highlighting Pencil 001</v>
      </c>
      <c r="C3435" t="s">
        <v>240</v>
      </c>
      <c r="D3435" t="s">
        <v>400</v>
      </c>
    </row>
    <row r="3436" spans="1:4" x14ac:dyDescent="0.25">
      <c r="A3436" t="s">
        <v>1093</v>
      </c>
    </row>
    <row r="3437" spans="1:4" x14ac:dyDescent="0.25">
      <c r="B3437" t="str">
        <f>HYPERLINK("https://www.chemistwarehouse.com.au/buy/69241/Sally-Hansen-Miracle-cure-nail-polish-13-3ml"," Sally Hansen Miracle cure nail polish 13.3ml ")</f>
        <v xml:space="preserve"> Sally Hansen Miracle cure nail polish 13.3ml </v>
      </c>
      <c r="C3437" t="s">
        <v>407</v>
      </c>
      <c r="D3437" t="s">
        <v>376</v>
      </c>
    </row>
    <row r="3438" spans="1:4" x14ac:dyDescent="0.25">
      <c r="B3438" t="str">
        <f>HYPERLINK("https://www.chemistwarehouse.com.au/buy/69225/Sally-Hansen-Hard-As-Nails-Nude"," Sally Hansen Hard As Nails Nude ")</f>
        <v xml:space="preserve"> Sally Hansen Hard As Nails Nude </v>
      </c>
      <c r="C3438" t="s">
        <v>240</v>
      </c>
      <c r="D3438" t="s">
        <v>400</v>
      </c>
    </row>
    <row r="3439" spans="1:4" x14ac:dyDescent="0.25">
      <c r="B3439" t="str">
        <f>HYPERLINK("https://www.chemistwarehouse.com.au/buy/72637/Sally-Hansen-Salon-Manicure-Salon-Dry-amp-Go-Drops"," Sally Hansen Salon Manicure Salon Dry &amp; Go Drops")</f>
        <v xml:space="preserve"> Sally Hansen Salon Manicure Salon Dry &amp; Go Drops</v>
      </c>
      <c r="C3439" t="s">
        <v>292</v>
      </c>
      <c r="D3439" t="s">
        <v>329</v>
      </c>
    </row>
    <row r="3440" spans="1:4" x14ac:dyDescent="0.25">
      <c r="B3440" t="str">
        <f>HYPERLINK("https://www.chemistwarehouse.com.au/buy/74684/Sally-Hansen-Finest-Fingernails-Combo-Nail-amp-Cuticle-Scissors"," Sally Hansen Finest Fingernails Combo Nail &amp; Cuticle Scissors")</f>
        <v xml:space="preserve"> Sally Hansen Finest Fingernails Combo Nail &amp; Cuticle Scissors</v>
      </c>
      <c r="C3440" t="s">
        <v>292</v>
      </c>
      <c r="D3440" t="s">
        <v>329</v>
      </c>
    </row>
    <row r="3441" spans="2:4" x14ac:dyDescent="0.25">
      <c r="B3441" t="str">
        <f>HYPERLINK("https://www.chemistwarehouse.com.au/buy/74923/Sally-Hansen-18k-Cuticle-Eraser-8-8ml"," Sally Hansen 18k Cuticle Eraser 8.8ml")</f>
        <v xml:space="preserve"> Sally Hansen 18k Cuticle Eraser 8.8ml</v>
      </c>
      <c r="C3441" t="s">
        <v>98</v>
      </c>
      <c r="D3441" t="s">
        <v>150</v>
      </c>
    </row>
    <row r="3442" spans="2:4" x14ac:dyDescent="0.25">
      <c r="B3442" t="str">
        <f>HYPERLINK("https://www.chemistwarehouse.com.au/buy/74924/Sally-Hansen-18k-Gold-Hardner-9-75ml"," Sally Hansen 18k Gold Hardner 9.75ml")</f>
        <v xml:space="preserve"> Sally Hansen 18k Gold Hardner 9.75ml</v>
      </c>
      <c r="C3442" t="s">
        <v>292</v>
      </c>
      <c r="D3442" t="s">
        <v>329</v>
      </c>
    </row>
    <row r="3443" spans="2:4" x14ac:dyDescent="0.25">
      <c r="B3443" t="str">
        <f>HYPERLINK("https://www.chemistwarehouse.com.au/buy/78111/Sally-Hansen-Complete-Care-7-In-1-Treatment"," Sally Hansen Complete Care 7 In 1 Treatment")</f>
        <v xml:space="preserve"> Sally Hansen Complete Care 7 In 1 Treatment</v>
      </c>
      <c r="C3443" t="s">
        <v>407</v>
      </c>
      <c r="D3443" t="s">
        <v>376</v>
      </c>
    </row>
    <row r="3444" spans="2:4" x14ac:dyDescent="0.25">
      <c r="B3444" t="str">
        <f>HYPERLINK("https://www.chemistwarehouse.com.au/buy/81235/Sally-Hansen-Treat-Your-Toes-Control-Grip-Toe-Nail-Clip"," Sally Hansen Treat Your Toes Control Grip Toe Nail Clip")</f>
        <v xml:space="preserve"> Sally Hansen Treat Your Toes Control Grip Toe Nail Clip</v>
      </c>
      <c r="C3444" t="s">
        <v>233</v>
      </c>
      <c r="D3444" t="s">
        <v>754</v>
      </c>
    </row>
    <row r="3445" spans="2:4" x14ac:dyDescent="0.25">
      <c r="B3445" t="str">
        <f>HYPERLINK("https://www.chemistwarehouse.com.au/buy/74683/Sally-Hansen-Clip-n-Catch-Control-Grip-Nail-Clipper"," Sally Hansen Clip n Catch Control Grip Nail Clipper")</f>
        <v xml:space="preserve"> Sally Hansen Clip n Catch Control Grip Nail Clipper</v>
      </c>
      <c r="C3445" t="s">
        <v>98</v>
      </c>
      <c r="D3445" t="s">
        <v>150</v>
      </c>
    </row>
    <row r="3446" spans="2:4" x14ac:dyDescent="0.25">
      <c r="B3446" t="str">
        <f>HYPERLINK("https://www.chemistwarehouse.com.au/buy/69226/Sally-Hansen-Hard-As-Wraps"," Sally Hansen Hard As Wraps")</f>
        <v xml:space="preserve"> Sally Hansen Hard As Wraps</v>
      </c>
      <c r="C3446" t="s">
        <v>290</v>
      </c>
      <c r="D3446" t="s">
        <v>799</v>
      </c>
    </row>
    <row r="3447" spans="2:4" x14ac:dyDescent="0.25">
      <c r="B3447" t="str">
        <f>HYPERLINK("https://www.chemistwarehouse.com.au/buy/69227/Sally-Hansen-Insta-Dri-Anti-Chip-Top-Coat-13ml"," Sally Hansen Insta Dri Anti Chip Top Coat 13ml")</f>
        <v xml:space="preserve"> Sally Hansen Insta Dri Anti Chip Top Coat 13ml</v>
      </c>
      <c r="C3447" t="s">
        <v>228</v>
      </c>
      <c r="D3447" t="s">
        <v>329</v>
      </c>
    </row>
    <row r="3448" spans="2:4" x14ac:dyDescent="0.25">
      <c r="B3448" t="str">
        <f>HYPERLINK("https://www.chemistwarehouse.com.au/buy/69242/Sally-Hansen-Miracle-Nail-Thickener"," Sally Hansen Miracle Nail Thickener")</f>
        <v xml:space="preserve"> Sally Hansen Miracle Nail Thickener</v>
      </c>
      <c r="C3448" t="s">
        <v>407</v>
      </c>
      <c r="D3448" t="s">
        <v>376</v>
      </c>
    </row>
    <row r="3449" spans="2:4" x14ac:dyDescent="0.25">
      <c r="B3449" t="str">
        <f>HYPERLINK("https://www.chemistwarehouse.com.au/buy/69243/Sally-Hansen-Nail-Growth-Miracle"," Sally Hansen Nail Growth Miracle")</f>
        <v xml:space="preserve"> Sally Hansen Nail Growth Miracle</v>
      </c>
      <c r="C3449" t="s">
        <v>407</v>
      </c>
      <c r="D3449" t="s">
        <v>376</v>
      </c>
    </row>
    <row r="3450" spans="2:4" x14ac:dyDescent="0.25">
      <c r="B3450" t="str">
        <f>HYPERLINK("https://www.chemistwarehouse.com.au/buy/69244/Sally-Hansen-Nail-Shaper-Nail-Boards"," Sally Hansen Nail Shaper Nail Boards ")</f>
        <v xml:space="preserve"> Sally Hansen Nail Shaper Nail Boards </v>
      </c>
      <c r="C3450" t="s">
        <v>399</v>
      </c>
      <c r="D3450" t="s">
        <v>755</v>
      </c>
    </row>
    <row r="3451" spans="2:4" x14ac:dyDescent="0.25">
      <c r="B3451" t="str">
        <f>HYPERLINK("https://www.chemistwarehouse.com.au/buy/69246/Sally-Hansen-No-More-Ridges-Professional-Salon-Smoothing-Block"," Sally Hansen No More Ridges Professional Salon Smoothing Block ")</f>
        <v xml:space="preserve"> Sally Hansen No More Ridges Professional Salon Smoothing Block </v>
      </c>
      <c r="C3451" t="s">
        <v>483</v>
      </c>
      <c r="D3451" t="s">
        <v>147</v>
      </c>
    </row>
    <row r="3452" spans="2:4" x14ac:dyDescent="0.25">
      <c r="B3452" t="str">
        <f>HYPERLINK("https://www.chemistwarehouse.com.au/buy/69254/Sally-Hansen-Salon-Manicure-Cuticle-Eraser-Balm"," Sally Hansen Salon Manicure Cuticle Eraser + Balm")</f>
        <v xml:space="preserve"> Sally Hansen Salon Manicure Cuticle Eraser + Balm</v>
      </c>
      <c r="C3452" t="s">
        <v>212</v>
      </c>
      <c r="D3452" t="s">
        <v>799</v>
      </c>
    </row>
    <row r="3453" spans="2:4" x14ac:dyDescent="0.25">
      <c r="B3453" t="str">
        <f>HYPERLINK("https://www.chemistwarehouse.com.au/buy/69256/Sally-Hansen-Salon-Manicure-Ultra-Wear-Top-Coat"," Sally Hansen Salon Manicure Ultra Wear Top Coat")</f>
        <v xml:space="preserve"> Sally Hansen Salon Manicure Ultra Wear Top Coat</v>
      </c>
      <c r="C3453" t="s">
        <v>292</v>
      </c>
      <c r="D3453" t="s">
        <v>329</v>
      </c>
    </row>
    <row r="3454" spans="2:4" x14ac:dyDescent="0.25">
      <c r="B3454" t="str">
        <f>HYPERLINK("https://www.chemistwarehouse.com.au/buy/69257/Sally-Hansen-Triple-Strength-Nail-Fortifier"," Sally Hansen Triple Strength Nail Fortifier")</f>
        <v xml:space="preserve"> Sally Hansen Triple Strength Nail Fortifier</v>
      </c>
      <c r="C3454" t="s">
        <v>443</v>
      </c>
      <c r="D3454" t="s">
        <v>799</v>
      </c>
    </row>
    <row r="3455" spans="2:4" x14ac:dyDescent="0.25">
      <c r="B3455" t="str">
        <f>HYPERLINK("https://www.chemistwarehouse.com.au/buy/69258/Sally-Hansen-Vitamin-E-Moisturizing-Nail-amp-Cuticle-Oil"," Sally Hansen Vitamin E Moisturizing Nail &amp; Cuticle Oil")</f>
        <v xml:space="preserve"> Sally Hansen Vitamin E Moisturizing Nail &amp; Cuticle Oil</v>
      </c>
      <c r="C3455" t="s">
        <v>187</v>
      </c>
      <c r="D3455" t="s">
        <v>397</v>
      </c>
    </row>
    <row r="3456" spans="2:4" x14ac:dyDescent="0.25">
      <c r="B3456" t="str">
        <f>HYPERLINK("https://www.chemistwarehouse.com.au/buy/71373/Sally-Hansen-Cuticle-Rehab"," Sally Hansen Cuticle Rehab")</f>
        <v xml:space="preserve"> Sally Hansen Cuticle Rehab</v>
      </c>
      <c r="C3456" t="s">
        <v>290</v>
      </c>
      <c r="D3456" t="s">
        <v>799</v>
      </c>
    </row>
    <row r="3457" spans="1:4" x14ac:dyDescent="0.25">
      <c r="B3457" t="str">
        <f>HYPERLINK("https://www.chemistwarehouse.com.au/buy/71374/Sally-Hansen-Nail-Rehab"," Sally Hansen Nail Rehab")</f>
        <v xml:space="preserve"> Sally Hansen Nail Rehab</v>
      </c>
      <c r="C3457" t="s">
        <v>292</v>
      </c>
      <c r="D3457" t="s">
        <v>329</v>
      </c>
    </row>
    <row r="3458" spans="1:4" x14ac:dyDescent="0.25">
      <c r="B3458" t="str">
        <f>HYPERLINK("https://www.chemistwarehouse.com.au/buy/48791/Sally-Hansen-Diamond-Strength-Instant-Hard"," Sally Hansen Diamond Strength Instant Hard")</f>
        <v xml:space="preserve"> Sally Hansen Diamond Strength Instant Hard</v>
      </c>
      <c r="C3458" t="s">
        <v>233</v>
      </c>
      <c r="D3458" t="s">
        <v>799</v>
      </c>
    </row>
    <row r="3459" spans="1:4" x14ac:dyDescent="0.25">
      <c r="B3459" t="str">
        <f>HYPERLINK("https://www.chemistwarehouse.com.au/buy/53235/Sally-Hansen-Diamond-Base-amp-Top-Coat-13-3mL"," Sally Hansen Diamond Base &amp; Top Coat 13.3mL")</f>
        <v xml:space="preserve"> Sally Hansen Diamond Base &amp; Top Coat 13.3mL</v>
      </c>
      <c r="C3459" t="s">
        <v>292</v>
      </c>
      <c r="D3459" t="s">
        <v>329</v>
      </c>
    </row>
    <row r="3460" spans="1:4" x14ac:dyDescent="0.25">
      <c r="B3460" t="str">
        <f>HYPERLINK("https://www.chemistwarehouse.com.au/buy/53296/Sally-Hansen-Hard-as-Nails-Clear"," Sally Hansen Hard as Nails Clear")</f>
        <v xml:space="preserve"> Sally Hansen Hard as Nails Clear</v>
      </c>
      <c r="C3460" t="s">
        <v>98</v>
      </c>
      <c r="D3460" t="s">
        <v>150</v>
      </c>
    </row>
    <row r="3461" spans="1:4" x14ac:dyDescent="0.25">
      <c r="A3461" t="s">
        <v>1094</v>
      </c>
    </row>
    <row r="3462" spans="1:4" x14ac:dyDescent="0.25">
      <c r="B3462" t="str">
        <f>HYPERLINK("https://www.chemistwarehouse.com.au/buy/69259/Sally-Hansen-Strengthening-Remover-150ml"," Sally Hansen Strengthening Remover 150ml")</f>
        <v xml:space="preserve"> Sally Hansen Strengthening Remover 150ml</v>
      </c>
      <c r="C3462" t="s">
        <v>556</v>
      </c>
      <c r="D3462" t="s">
        <v>147</v>
      </c>
    </row>
    <row r="3463" spans="1:4" x14ac:dyDescent="0.25">
      <c r="B3463" t="str">
        <f>HYPERLINK("https://www.chemistwarehouse.com.au/buy/53298/Sally-Hansen-Remover-Artificial-Blue"," Sally Hansen Remover Artificial Blue")</f>
        <v xml:space="preserve"> Sally Hansen Remover Artificial Blue</v>
      </c>
      <c r="C3463" t="s">
        <v>556</v>
      </c>
      <c r="D3463" t="s">
        <v>147</v>
      </c>
    </row>
    <row r="3464" spans="1:4" x14ac:dyDescent="0.25">
      <c r="B3464" t="str">
        <f>HYPERLINK("https://www.chemistwarehouse.com.au/buy/69248/Sally-Hansen-Remover-Acetone-Free-150ml"," Sally Hansen Remover Acetone Free 150ml")</f>
        <v xml:space="preserve"> Sally Hansen Remover Acetone Free 150ml</v>
      </c>
      <c r="C3464" t="s">
        <v>556</v>
      </c>
      <c r="D3464" t="s">
        <v>147</v>
      </c>
    </row>
    <row r="3465" spans="1:4" x14ac:dyDescent="0.25">
      <c r="A3465" t="s">
        <v>1095</v>
      </c>
    </row>
    <row r="3466" spans="1:4" x14ac:dyDescent="0.25">
      <c r="B3466" t="str">
        <f>HYPERLINK("https://www.chemistwarehouse.com.au/buy/69193/Sally-Hansen-Complete-Salon-Manicure-So-Much-Fawn"," Sally Hansen Complete Salon Manicure So Much Fawn")</f>
        <v xml:space="preserve"> Sally Hansen Complete Salon Manicure So Much Fawn</v>
      </c>
      <c r="C3466" t="s">
        <v>164</v>
      </c>
      <c r="D3466" t="s">
        <v>353</v>
      </c>
    </row>
    <row r="3467" spans="1:4" x14ac:dyDescent="0.25">
      <c r="B3467" t="str">
        <f>HYPERLINK("https://www.chemistwarehouse.com.au/buy/73050/Sally-Hansen-Complete-Salon-Manicure-All-Fired-Up"," Sally Hansen Complete Salon Manicure All Fired Up")</f>
        <v xml:space="preserve"> Sally Hansen Complete Salon Manicure All Fired Up</v>
      </c>
      <c r="C3467" t="s">
        <v>212</v>
      </c>
      <c r="D3467" t="s">
        <v>799</v>
      </c>
    </row>
    <row r="3468" spans="1:4" x14ac:dyDescent="0.25">
      <c r="B3468" t="str">
        <f>HYPERLINK("https://www.chemistwarehouse.com.au/buy/73051/Sally-Hansen-Complete-Salon-Manicure-Arm-Candy"," Sally Hansen Complete Salon Manicure Arm Candy")</f>
        <v xml:space="preserve"> Sally Hansen Complete Salon Manicure Arm Candy</v>
      </c>
      <c r="C3468" t="s">
        <v>212</v>
      </c>
      <c r="D3468" t="s">
        <v>799</v>
      </c>
    </row>
    <row r="3469" spans="1:4" x14ac:dyDescent="0.25">
      <c r="B3469" t="str">
        <f>HYPERLINK("https://www.chemistwarehouse.com.au/buy/73052/Sally-Hansen-Complete-Salon-Manicure-Back-to-the-Fuchsia"," Sally Hansen Complete Salon Manicure Back to the Fuchsia")</f>
        <v xml:space="preserve"> Sally Hansen Complete Salon Manicure Back to the Fuchsia</v>
      </c>
      <c r="C3469" t="s">
        <v>164</v>
      </c>
      <c r="D3469" t="s">
        <v>353</v>
      </c>
    </row>
    <row r="3470" spans="1:4" x14ac:dyDescent="0.25">
      <c r="B3470" t="str">
        <f>HYPERLINK("https://www.chemistwarehouse.com.au/buy/73053/Sally-Hansen-Complete-Salon-Manicure-Berry-Important"," Sally Hansen Complete Salon Manicure Berry Important ")</f>
        <v xml:space="preserve"> Sally Hansen Complete Salon Manicure Berry Important </v>
      </c>
      <c r="C3470" t="s">
        <v>212</v>
      </c>
      <c r="D3470" t="s">
        <v>799</v>
      </c>
    </row>
    <row r="3471" spans="1:4" x14ac:dyDescent="0.25">
      <c r="B3471" t="str">
        <f>HYPERLINK("https://www.chemistwarehouse.com.au/buy/73055/Sally-Hansen-Complete-Salon-Manicure-Bleach-Babe"," Sally Hansen Complete Salon Manicure Bleach Babe ")</f>
        <v xml:space="preserve"> Sally Hansen Complete Salon Manicure Bleach Babe </v>
      </c>
      <c r="C3471" t="s">
        <v>164</v>
      </c>
      <c r="D3471" t="s">
        <v>353</v>
      </c>
    </row>
    <row r="3472" spans="1:4" x14ac:dyDescent="0.25">
      <c r="B3472" t="str">
        <f>HYPERLINK("https://www.chemistwarehouse.com.au/buy/73056/Sally-Hansen-Complete-Salon-Manicure-Cherry-Cherry-Bang-Bang"," Sally Hansen Complete Salon Manicure Cherry Cherry Bang Bang ")</f>
        <v xml:space="preserve"> Sally Hansen Complete Salon Manicure Cherry Cherry Bang Bang </v>
      </c>
      <c r="C3472" t="s">
        <v>164</v>
      </c>
      <c r="D3472" t="s">
        <v>353</v>
      </c>
    </row>
    <row r="3473" spans="2:4" x14ac:dyDescent="0.25">
      <c r="B3473" t="str">
        <f>HYPERLINK("https://www.chemistwarehouse.com.au/buy/73061/Sally-Hansen-Complete-Salon-Manicure-Naked-Ambition"," Sally Hansen Complete Salon Manicure Naked Ambition")</f>
        <v xml:space="preserve"> Sally Hansen Complete Salon Manicure Naked Ambition</v>
      </c>
      <c r="C3473" t="s">
        <v>212</v>
      </c>
      <c r="D3473" t="s">
        <v>799</v>
      </c>
    </row>
    <row r="3474" spans="2:4" x14ac:dyDescent="0.25">
      <c r="B3474" t="str">
        <f>HYPERLINK("https://www.chemistwarehouse.com.au/buy/73063/Sally-Hansen-Complete-Salon-Manicure-Raisin-The-Bar"," Sally Hansen Complete Salon Manicure Raisin The Bar")</f>
        <v xml:space="preserve"> Sally Hansen Complete Salon Manicure Raisin The Bar</v>
      </c>
      <c r="C3474" t="s">
        <v>212</v>
      </c>
      <c r="D3474" t="s">
        <v>799</v>
      </c>
    </row>
    <row r="3475" spans="2:4" x14ac:dyDescent="0.25">
      <c r="B3475" t="str">
        <f>HYPERLINK("https://www.chemistwarehouse.com.au/buy/74678/Sally-Hansen-Complete-Salon-Manicure-Peach-Of-Cake"," Sally Hansen Complete Salon Manicure Peach Of Cake")</f>
        <v xml:space="preserve"> Sally Hansen Complete Salon Manicure Peach Of Cake</v>
      </c>
      <c r="C3475" t="s">
        <v>164</v>
      </c>
      <c r="D3475" t="s">
        <v>353</v>
      </c>
    </row>
    <row r="3476" spans="2:4" x14ac:dyDescent="0.25">
      <c r="B3476" t="str">
        <f>HYPERLINK("https://www.chemistwarehouse.com.au/buy/74679/Sally-Hansen-Complete-Salon-Manicure-Pink-A-Card"," Sally Hansen Complete Salon Manicure Pink A Card")</f>
        <v xml:space="preserve"> Sally Hansen Complete Salon Manicure Pink A Card</v>
      </c>
      <c r="C3476" t="s">
        <v>212</v>
      </c>
      <c r="D3476" t="s">
        <v>799</v>
      </c>
    </row>
    <row r="3477" spans="2:4" x14ac:dyDescent="0.25">
      <c r="B3477" t="str">
        <f>HYPERLINK("https://www.chemistwarehouse.com.au/buy/77213/Sally-Hansen-Complete-Salon-Manicure-Aflorable"," Sally Hansen Complete Salon Manicure Aflorable")</f>
        <v xml:space="preserve"> Sally Hansen Complete Salon Manicure Aflorable</v>
      </c>
      <c r="C3477" t="s">
        <v>212</v>
      </c>
      <c r="D3477" t="s">
        <v>799</v>
      </c>
    </row>
    <row r="3478" spans="2:4" x14ac:dyDescent="0.25">
      <c r="B3478" t="str">
        <f>HYPERLINK("https://www.chemistwarehouse.com.au/buy/69173/Sally-Hansen-Complete-Salon-Manicure-Cafe-Au-Lait"," Sally Hansen Complete Salon Manicure Cafe Au Lait")</f>
        <v xml:space="preserve"> Sally Hansen Complete Salon Manicure Cafe Au Lait</v>
      </c>
      <c r="C3478" t="s">
        <v>212</v>
      </c>
      <c r="D3478" t="s">
        <v>799</v>
      </c>
    </row>
    <row r="3479" spans="2:4" x14ac:dyDescent="0.25">
      <c r="B3479" t="str">
        <f>HYPERLINK("https://www.chemistwarehouse.com.au/buy/69174/Sally-Hansen-Complete-Salon-Manicure-Clear-For-Takeoff"," Sally Hansen Complete Salon Manicure Clear For Takeoff")</f>
        <v xml:space="preserve"> Sally Hansen Complete Salon Manicure Clear For Takeoff</v>
      </c>
      <c r="C3479" t="s">
        <v>212</v>
      </c>
      <c r="D3479" t="s">
        <v>799</v>
      </c>
    </row>
    <row r="3480" spans="2:4" x14ac:dyDescent="0.25">
      <c r="B3480" t="str">
        <f>HYPERLINK("https://www.chemistwarehouse.com.au/buy/69175/Sally-Hansen-Complete-Salon-Manicure-Commander-In-Chic"," Sally Hansen Complete Salon Manicure Commander In Chic")</f>
        <v xml:space="preserve"> Sally Hansen Complete Salon Manicure Commander In Chic</v>
      </c>
      <c r="C3480" t="s">
        <v>212</v>
      </c>
      <c r="D3480" t="s">
        <v>799</v>
      </c>
    </row>
    <row r="3481" spans="2:4" x14ac:dyDescent="0.25">
      <c r="B3481" t="str">
        <f>HYPERLINK("https://www.chemistwarehouse.com.au/buy/69176/Sally-Hansen-Complete-Salon-Manicure-Firey-Island"," Sally Hansen Complete Salon Manicure Firey Island")</f>
        <v xml:space="preserve"> Sally Hansen Complete Salon Manicure Firey Island</v>
      </c>
      <c r="C3481" t="s">
        <v>164</v>
      </c>
      <c r="D3481" t="s">
        <v>353</v>
      </c>
    </row>
    <row r="3482" spans="2:4" x14ac:dyDescent="0.25">
      <c r="B3482" t="str">
        <f>HYPERLINK("https://www.chemistwarehouse.com.au/buy/69180/Sally-Hansen-Complete-Salon-Manicure-I-Pink-I-Can"," Sally Hansen Complete Salon Manicure I Pink I Can")</f>
        <v xml:space="preserve"> Sally Hansen Complete Salon Manicure I Pink I Can</v>
      </c>
      <c r="C3482" t="s">
        <v>212</v>
      </c>
      <c r="D3482" t="s">
        <v>799</v>
      </c>
    </row>
    <row r="3483" spans="2:4" x14ac:dyDescent="0.25">
      <c r="B3483" t="str">
        <f>HYPERLINK("https://www.chemistwarehouse.com.au/buy/69182/Sally-Hansen-Complete-Salon-Manicure-Kook-A-Mango"," Sally Hansen Complete Salon Manicure Kook A Mango")</f>
        <v xml:space="preserve"> Sally Hansen Complete Salon Manicure Kook A Mango</v>
      </c>
      <c r="C3483" t="s">
        <v>164</v>
      </c>
      <c r="D3483" t="s">
        <v>353</v>
      </c>
    </row>
    <row r="3484" spans="2:4" x14ac:dyDescent="0.25">
      <c r="B3484" t="str">
        <f>HYPERLINK("https://www.chemistwarehouse.com.au/buy/69188/Sally-Hansen-Complete-Salon-Manicure-Plums-The-Word"," Sally Hansen Complete Salon Manicure Plums The Word")</f>
        <v xml:space="preserve"> Sally Hansen Complete Salon Manicure Plums The Word</v>
      </c>
      <c r="C3484" t="s">
        <v>212</v>
      </c>
      <c r="D3484" t="s">
        <v>799</v>
      </c>
    </row>
    <row r="3485" spans="2:4" x14ac:dyDescent="0.25">
      <c r="B3485" t="str">
        <f>HYPERLINK("https://www.chemistwarehouse.com.au/buy/69189/Sally-Hansen-Complete-Salon-Manicure-Red-Zin"," Sally Hansen Complete Salon Manicure Red Zin")</f>
        <v xml:space="preserve"> Sally Hansen Complete Salon Manicure Red Zin</v>
      </c>
      <c r="C3485" t="s">
        <v>164</v>
      </c>
      <c r="D3485" t="s">
        <v>353</v>
      </c>
    </row>
    <row r="3486" spans="2:4" x14ac:dyDescent="0.25">
      <c r="B3486" t="str">
        <f>HYPERLINK("https://www.chemistwarehouse.com.au/buy/69190/Sally-Hansen-Complete-Salon-Manicure-Right-Said-Red"," Sally Hansen Complete Salon Manicure Right Said Red")</f>
        <v xml:space="preserve"> Sally Hansen Complete Salon Manicure Right Said Red</v>
      </c>
      <c r="C3486" t="s">
        <v>164</v>
      </c>
      <c r="D3486" t="s">
        <v>353</v>
      </c>
    </row>
    <row r="3487" spans="2:4" x14ac:dyDescent="0.25">
      <c r="B3487" t="str">
        <f>HYPERLINK("https://www.chemistwarehouse.com.au/buy/69191/Sally-Hansen-Complete-Salon-Manicure-Shell-We-Dance"," Sally Hansen Complete Salon Manicure Shell We Dance")</f>
        <v xml:space="preserve"> Sally Hansen Complete Salon Manicure Shell We Dance</v>
      </c>
      <c r="C3487" t="s">
        <v>212</v>
      </c>
      <c r="D3487" t="s">
        <v>799</v>
      </c>
    </row>
    <row r="3488" spans="2:4" x14ac:dyDescent="0.25">
      <c r="B3488" t="str">
        <f>HYPERLINK("https://www.chemistwarehouse.com.au/buy/69192/Sally-Hansen-Complete-Salon-Manicure-Shrimply-Divine"," Sally Hansen Complete Salon Manicure Shrimply Divine")</f>
        <v xml:space="preserve"> Sally Hansen Complete Salon Manicure Shrimply Divine</v>
      </c>
      <c r="C3488" t="s">
        <v>164</v>
      </c>
      <c r="D3488" t="s">
        <v>353</v>
      </c>
    </row>
    <row r="3489" spans="1:4" x14ac:dyDescent="0.25">
      <c r="B3489" t="str">
        <f>HYPERLINK("https://www.chemistwarehouse.com.au/buy/77216/Sally-Hansen-Complete-Salon-Manicure-Pardon-My-Garden"," Sally Hansen Complete Salon Manicure Pardon My Garden")</f>
        <v xml:space="preserve"> Sally Hansen Complete Salon Manicure Pardon My Garden</v>
      </c>
      <c r="C3489" t="s">
        <v>212</v>
      </c>
      <c r="D3489" t="s">
        <v>799</v>
      </c>
    </row>
    <row r="3490" spans="1:4" x14ac:dyDescent="0.25">
      <c r="A3490" t="s">
        <v>1096</v>
      </c>
    </row>
    <row r="3491" spans="1:4" x14ac:dyDescent="0.25">
      <c r="B3491" t="str">
        <f>HYPERLINK("https://www.chemistwarehouse.com.au/buy/69274/Sally-Hansen-Xtreme-Wear-Invisible"," Sally Hansen Xtreme Wear Invisible ")</f>
        <v xml:space="preserve"> Sally Hansen Xtreme Wear Invisible </v>
      </c>
      <c r="C3491" t="s">
        <v>556</v>
      </c>
      <c r="D3491" t="s">
        <v>150</v>
      </c>
    </row>
    <row r="3492" spans="1:4" x14ac:dyDescent="0.25">
      <c r="B3492" t="str">
        <f>HYPERLINK("https://www.chemistwarehouse.com.au/buy/69279/Sally-Hansen-Xtreme-Wear-Pink-Satin"," Sally Hansen Xtreme Wear Pink Satin")</f>
        <v xml:space="preserve"> Sally Hansen Xtreme Wear Pink Satin</v>
      </c>
      <c r="C3492" t="s">
        <v>556</v>
      </c>
      <c r="D3492" t="s">
        <v>150</v>
      </c>
    </row>
    <row r="3493" spans="1:4" x14ac:dyDescent="0.25">
      <c r="B3493" t="str">
        <f>HYPERLINK("https://www.chemistwarehouse.com.au/buy/75885/Sally-Hansen-Xtreme-Wear-All-Bright"," Sally Hansen Xtreme Wear All Bright ")</f>
        <v xml:space="preserve"> Sally Hansen Xtreme Wear All Bright </v>
      </c>
      <c r="C3493" t="s">
        <v>556</v>
      </c>
      <c r="D3493" t="s">
        <v>150</v>
      </c>
    </row>
    <row r="3494" spans="1:4" x14ac:dyDescent="0.25">
      <c r="B3494" t="str">
        <f>HYPERLINK("https://www.chemistwarehouse.com.au/buy/75888/Sally-Hansen-Xtreme-Wear-Giant-Peach"," Sally Hansen Xtreme Wear Giant Peach ")</f>
        <v xml:space="preserve"> Sally Hansen Xtreme Wear Giant Peach </v>
      </c>
      <c r="C3494" t="s">
        <v>556</v>
      </c>
      <c r="D3494" t="s">
        <v>150</v>
      </c>
    </row>
    <row r="3495" spans="1:4" x14ac:dyDescent="0.25">
      <c r="B3495" t="str">
        <f>HYPERLINK("https://www.chemistwarehouse.com.au/buy/73072/Sally-Hansen-Xtreme-Wear-Hot-Tamale"," Sally Hansen Xtreme Wear Hot Tamale")</f>
        <v xml:space="preserve"> Sally Hansen Xtreme Wear Hot Tamale</v>
      </c>
      <c r="C3495" t="s">
        <v>556</v>
      </c>
      <c r="D3495" t="s">
        <v>150</v>
      </c>
    </row>
    <row r="3496" spans="1:4" x14ac:dyDescent="0.25">
      <c r="B3496" t="str">
        <f>HYPERLINK("https://www.chemistwarehouse.com.au/buy/73073/Sally-Hansen-Xtreme-Wear-Pink-Punk"," Sally Hansen Xtreme Wear Pink Punk ")</f>
        <v xml:space="preserve"> Sally Hansen Xtreme Wear Pink Punk </v>
      </c>
      <c r="C3496" t="s">
        <v>556</v>
      </c>
      <c r="D3496" t="s">
        <v>150</v>
      </c>
    </row>
    <row r="3497" spans="1:4" x14ac:dyDescent="0.25">
      <c r="B3497" t="str">
        <f>HYPERLINK("https://www.chemistwarehouse.com.au/buy/78120/Sally-Hansen-Xtreme-Wear-Hot-Magenta"," Sally Hansen Xtreme Wear Hot Magenta ")</f>
        <v xml:space="preserve"> Sally Hansen Xtreme Wear Hot Magenta </v>
      </c>
      <c r="C3497" t="s">
        <v>556</v>
      </c>
      <c r="D3497" t="s">
        <v>150</v>
      </c>
    </row>
    <row r="3498" spans="1:4" x14ac:dyDescent="0.25">
      <c r="B3498" t="str">
        <f>HYPERLINK("https://www.chemistwarehouse.com.au/buy/69280/Sally-Hansen-Xtreme-Wear-Red-Carpet"," Sally Hansen Xtreme Wear Red Carpet")</f>
        <v xml:space="preserve"> Sally Hansen Xtreme Wear Red Carpet</v>
      </c>
      <c r="C3498" t="s">
        <v>556</v>
      </c>
      <c r="D3498" t="s">
        <v>150</v>
      </c>
    </row>
    <row r="3499" spans="1:4" x14ac:dyDescent="0.25">
      <c r="B3499" t="str">
        <f>HYPERLINK("https://www.chemistwarehouse.com.au/buy/69281/Sally-Hansen-Xtreme-Wear-Rockstar-Pink"," Sally Hansen Xtreme Wear Rockstar Pink")</f>
        <v xml:space="preserve"> Sally Hansen Xtreme Wear Rockstar Pink</v>
      </c>
      <c r="C3499" t="s">
        <v>556</v>
      </c>
      <c r="D3499" t="s">
        <v>150</v>
      </c>
    </row>
    <row r="3500" spans="1:4" x14ac:dyDescent="0.25">
      <c r="B3500" t="str">
        <f>HYPERLINK("https://www.chemistwarehouse.com.au/buy/69282/Sally-Hansen-Xtreme-Wear-Strobe-Light"," Sally Hansen Xtreme Wear Strobe Light")</f>
        <v xml:space="preserve"> Sally Hansen Xtreme Wear Strobe Light</v>
      </c>
      <c r="C3500" t="s">
        <v>556</v>
      </c>
      <c r="D3500" t="s">
        <v>150</v>
      </c>
    </row>
    <row r="3501" spans="1:4" x14ac:dyDescent="0.25">
      <c r="B3501" t="str">
        <f>HYPERLINK("https://www.chemistwarehouse.com.au/buy/69283/Sally-Hansen-Xtreme-Wear-Sun-Kissed"," Sally Hansen Xtreme Wear Sun Kissed")</f>
        <v xml:space="preserve"> Sally Hansen Xtreme Wear Sun Kissed</v>
      </c>
      <c r="C3501" t="s">
        <v>556</v>
      </c>
      <c r="D3501" t="s">
        <v>150</v>
      </c>
    </row>
    <row r="3502" spans="1:4" x14ac:dyDescent="0.25">
      <c r="B3502" t="str">
        <f>HYPERLINK("https://www.chemistwarehouse.com.au/buy/69285/Sally-Hansen-Xtreme-Wear-White-On"," Sally Hansen Xtreme Wear White On ")</f>
        <v xml:space="preserve"> Sally Hansen Xtreme Wear White On </v>
      </c>
      <c r="C3502" t="s">
        <v>556</v>
      </c>
      <c r="D3502" t="s">
        <v>150</v>
      </c>
    </row>
    <row r="3503" spans="1:4" x14ac:dyDescent="0.25">
      <c r="B3503" t="str">
        <f>HYPERLINK("https://www.chemistwarehouse.com.au/buy/69276/Sally-Hansen-Xtreme-Wear-Mellow-Yellow"," Sally Hansen Xtreme Wear Mellow Yellow ")</f>
        <v xml:space="preserve"> Sally Hansen Xtreme Wear Mellow Yellow </v>
      </c>
      <c r="C3503" t="s">
        <v>556</v>
      </c>
      <c r="D3503" t="s">
        <v>150</v>
      </c>
    </row>
    <row r="3504" spans="1:4" x14ac:dyDescent="0.25">
      <c r="B3504" t="str">
        <f>HYPERLINK("https://www.chemistwarehouse.com.au/buy/69277/Sally-Hansen-Xtreme-Wear-Mint-Sorbet"," Sally Hansen Xtreme Wear Mint Sorbet ")</f>
        <v xml:space="preserve"> Sally Hansen Xtreme Wear Mint Sorbet </v>
      </c>
      <c r="C3504" t="s">
        <v>556</v>
      </c>
      <c r="D3504" t="s">
        <v>150</v>
      </c>
    </row>
    <row r="3505" spans="1:4" x14ac:dyDescent="0.25">
      <c r="B3505" t="str">
        <f>HYPERLINK("https://www.chemistwarehouse.com.au/buy/69278/Sally-Hansen-Xtreme-Wear-Pacific-Blue"," Sally Hansen Xtreme Wear Pacific Blue")</f>
        <v xml:space="preserve"> Sally Hansen Xtreme Wear Pacific Blue</v>
      </c>
      <c r="C3505" t="s">
        <v>556</v>
      </c>
      <c r="D3505" t="s">
        <v>150</v>
      </c>
    </row>
    <row r="3506" spans="1:4" x14ac:dyDescent="0.25">
      <c r="B3506" t="str">
        <f>HYPERLINK("https://www.chemistwarehouse.com.au/buy/69260/Sally-Hansen-Xtreme-Wear-Bamboo-Shoot"," Sally Hansen Xtreme Wear Bamboo Shoot ")</f>
        <v xml:space="preserve"> Sally Hansen Xtreme Wear Bamboo Shoot </v>
      </c>
      <c r="C3506" t="s">
        <v>556</v>
      </c>
      <c r="D3506" t="s">
        <v>150</v>
      </c>
    </row>
    <row r="3507" spans="1:4" x14ac:dyDescent="0.25">
      <c r="B3507" t="str">
        <f>HYPERLINK("https://www.chemistwarehouse.com.au/buy/69261/Sally-Hansen-Xtreme-Wear-Black-Out"," Sally Hansen Xtreme Wear Black Out ")</f>
        <v xml:space="preserve"> Sally Hansen Xtreme Wear Black Out </v>
      </c>
      <c r="C3507" t="s">
        <v>556</v>
      </c>
      <c r="D3507" t="s">
        <v>150</v>
      </c>
    </row>
    <row r="3508" spans="1:4" x14ac:dyDescent="0.25">
      <c r="B3508" t="str">
        <f>HYPERLINK("https://www.chemistwarehouse.com.au/buy/69262/Sally-Hansen-Xtreme-Wear-Blue-Me-Away"," Sally Hansen Xtreme Wear Blue Me Away")</f>
        <v xml:space="preserve"> Sally Hansen Xtreme Wear Blue Me Away</v>
      </c>
      <c r="C3508" t="s">
        <v>483</v>
      </c>
      <c r="D3508" t="s">
        <v>397</v>
      </c>
    </row>
    <row r="3509" spans="1:4" x14ac:dyDescent="0.25">
      <c r="B3509" t="str">
        <f>HYPERLINK("https://www.chemistwarehouse.com.au/buy/69263/Sally-Hansen-Xtreme-Wear-Brick-Wall"," Sally Hansen Xtreme Wear Brick Wall")</f>
        <v xml:space="preserve"> Sally Hansen Xtreme Wear Brick Wall</v>
      </c>
      <c r="C3509" t="s">
        <v>556</v>
      </c>
      <c r="D3509" t="s">
        <v>150</v>
      </c>
    </row>
    <row r="3510" spans="1:4" x14ac:dyDescent="0.25">
      <c r="B3510" t="str">
        <f>HYPERLINK("https://www.chemistwarehouse.com.au/buy/69265/Sally-Hansen-Xtreme-Wear-Celeb-City"," Sally Hansen Xtreme Wear Celeb City ")</f>
        <v xml:space="preserve"> Sally Hansen Xtreme Wear Celeb City </v>
      </c>
      <c r="C3510" t="s">
        <v>556</v>
      </c>
      <c r="D3510" t="s">
        <v>150</v>
      </c>
    </row>
    <row r="3511" spans="1:4" x14ac:dyDescent="0.25">
      <c r="B3511" t="str">
        <f>HYPERLINK("https://www.chemistwarehouse.com.au/buy/69266/Sally-Hansen-Xtreme-Wear-Cherry-Red"," Sally Hansen Xtreme Wear Cherry Red ")</f>
        <v xml:space="preserve"> Sally Hansen Xtreme Wear Cherry Red </v>
      </c>
      <c r="C3511" t="s">
        <v>556</v>
      </c>
      <c r="D3511" t="s">
        <v>150</v>
      </c>
    </row>
    <row r="3512" spans="1:4" x14ac:dyDescent="0.25">
      <c r="B3512" t="str">
        <f>HYPERLINK("https://www.chemistwarehouse.com.au/buy/69269/Sally-Hansen-Xtreme-Wear-Disco-Ball"," Sally Hansen Xtreme Wear Disco Ball ")</f>
        <v xml:space="preserve"> Sally Hansen Xtreme Wear Disco Ball </v>
      </c>
      <c r="C3512" t="s">
        <v>556</v>
      </c>
      <c r="D3512" t="s">
        <v>150</v>
      </c>
    </row>
    <row r="3513" spans="1:4" x14ac:dyDescent="0.25">
      <c r="B3513" t="str">
        <f>HYPERLINK("https://www.chemistwarehouse.com.au/buy/69270/Sally-Hansen-Xtreme-Wear-First-Blush"," Sally Hansen Xtreme Wear First Blush ")</f>
        <v xml:space="preserve"> Sally Hansen Xtreme Wear First Blush </v>
      </c>
      <c r="C3513" t="s">
        <v>556</v>
      </c>
      <c r="D3513" t="s">
        <v>150</v>
      </c>
    </row>
    <row r="3514" spans="1:4" x14ac:dyDescent="0.25">
      <c r="B3514" t="str">
        <f>HYPERLINK("https://www.chemistwarehouse.com.au/buy/69271/Sally-Hansen-Xtreme-Wear-Fuchsia-Power"," Sally Hansen Xtreme Wear Fuchsia Power ")</f>
        <v xml:space="preserve"> Sally Hansen Xtreme Wear Fuchsia Power </v>
      </c>
      <c r="C3514" t="s">
        <v>556</v>
      </c>
      <c r="D3514" t="s">
        <v>150</v>
      </c>
    </row>
    <row r="3515" spans="1:4" x14ac:dyDescent="0.25">
      <c r="A3515" t="s">
        <v>1097</v>
      </c>
    </row>
    <row r="3516" spans="1:4" x14ac:dyDescent="0.25">
      <c r="B3516" t="str">
        <f>HYPERLINK("https://www.chemistwarehouse.com.au/buy/71473/Sally-Hansen-Big-Shiny-Top-Coat"," Sally Hansen Big Shiny Top Coat")</f>
        <v xml:space="preserve"> Sally Hansen Big Shiny Top Coat</v>
      </c>
      <c r="C3516" t="s">
        <v>98</v>
      </c>
      <c r="D3516" t="s">
        <v>150</v>
      </c>
    </row>
    <row r="3517" spans="1:4" x14ac:dyDescent="0.25">
      <c r="B3517" t="str">
        <f>HYPERLINK("https://www.chemistwarehouse.com.au/buy/71474/Sally-Hansen-Big-Matte-Top-Coat"," Sally Hansen Big Matte Top Coat")</f>
        <v xml:space="preserve"> Sally Hansen Big Matte Top Coat</v>
      </c>
      <c r="C3517" t="s">
        <v>98</v>
      </c>
      <c r="D3517" t="s">
        <v>150</v>
      </c>
    </row>
    <row r="3518" spans="1:4" x14ac:dyDescent="0.25">
      <c r="B3518" t="str">
        <f>HYPERLINK("https://www.chemistwarehouse.com.au/buy/75241/Sally-Hansen-3D-gel-Shine-Top-Coat-13-3ml"," Sally Hansen 3D gel Shine Top Coat 13.3ml")</f>
        <v xml:space="preserve"> Sally Hansen 3D gel Shine Top Coat 13.3ml</v>
      </c>
      <c r="C3518" t="s">
        <v>292</v>
      </c>
      <c r="D3518" t="s">
        <v>329</v>
      </c>
    </row>
    <row r="3519" spans="1:4" x14ac:dyDescent="0.25">
      <c r="B3519" t="str">
        <f>HYPERLINK("https://www.chemistwarehouse.com.au/buy/79072/Sally-Hansen-Big-Kwik-Dry-Top-Coat"," Sally Hansen Big Kwik Dry Top Coat")</f>
        <v xml:space="preserve"> Sally Hansen Big Kwik Dry Top Coat</v>
      </c>
      <c r="C3519" t="s">
        <v>98</v>
      </c>
      <c r="D3519" t="s">
        <v>150</v>
      </c>
    </row>
    <row r="3520" spans="1:4" x14ac:dyDescent="0.25">
      <c r="B3520" t="str">
        <f>HYPERLINK("https://www.chemistwarehouse.com.au/buy/79073/Sally-Hansen-Big-Peel-Off-Base-Coat"," Sally Hansen Big Peel Off Base Coat")</f>
        <v xml:space="preserve"> Sally Hansen Big Peel Off Base Coat</v>
      </c>
      <c r="C3520" t="s">
        <v>98</v>
      </c>
      <c r="D3520" t="s">
        <v>150</v>
      </c>
    </row>
    <row r="3521" spans="1:4" x14ac:dyDescent="0.25">
      <c r="B3521" t="str">
        <f>HYPERLINK("https://www.chemistwarehouse.com.au/buy/79647/Sally-Hansen-Big-Kwik-Dry-Top-Coat-Carded"," Sally Hansen Big Kwik Dry Top Coat Carded")</f>
        <v xml:space="preserve"> Sally Hansen Big Kwik Dry Top Coat Carded</v>
      </c>
      <c r="C3521" t="s">
        <v>98</v>
      </c>
      <c r="D3521" t="s">
        <v>150</v>
      </c>
    </row>
    <row r="3522" spans="1:4" x14ac:dyDescent="0.25">
      <c r="B3522" t="str">
        <f>HYPERLINK("https://www.chemistwarehouse.com.au/buy/79648/Sally-Hansen-Big-Peel-Off-Base-Coat-Carded"," Sally Hansen Big Peel Off Base Coat Carded")</f>
        <v xml:space="preserve"> Sally Hansen Big Peel Off Base Coat Carded</v>
      </c>
      <c r="C3522" t="s">
        <v>98</v>
      </c>
      <c r="D3522" t="s">
        <v>150</v>
      </c>
    </row>
    <row r="3523" spans="1:4" x14ac:dyDescent="0.25">
      <c r="B3523" t="str">
        <f>HYPERLINK("https://www.chemistwarehouse.com.au/buy/81216/Sally-Hansen-Big-Shimmer-Top-Coat"," Sally Hansen Big Shimmer Top Coat")</f>
        <v xml:space="preserve"> Sally Hansen Big Shimmer Top Coat</v>
      </c>
      <c r="C3523" t="s">
        <v>98</v>
      </c>
      <c r="D3523" t="s">
        <v>150</v>
      </c>
    </row>
    <row r="3524" spans="1:4" x14ac:dyDescent="0.25">
      <c r="B3524" t="str">
        <f>HYPERLINK("https://www.chemistwarehouse.com.au/buy/79074/Sally-Hansen-Big-Shiny-Top-Coat-Blast"," Sally Hansen Big Shiny Top Coat Blast")</f>
        <v xml:space="preserve"> Sally Hansen Big Shiny Top Coat Blast</v>
      </c>
      <c r="C3524" t="s">
        <v>98</v>
      </c>
      <c r="D3524" t="s">
        <v>150</v>
      </c>
    </row>
    <row r="3525" spans="1:4" x14ac:dyDescent="0.25">
      <c r="A3525" t="s">
        <v>1098</v>
      </c>
    </row>
    <row r="3526" spans="1:4" x14ac:dyDescent="0.25">
      <c r="B3526" t="str">
        <f>HYPERLINK("https://www.chemistwarehouse.com.au/buy/72876/Sally-Hansen-Miracle-Gel-B-Girl"," Sally Hansen Miracle Gel B Girl ")</f>
        <v xml:space="preserve"> Sally Hansen Miracle Gel B Girl </v>
      </c>
      <c r="C3526" t="s">
        <v>237</v>
      </c>
      <c r="D3526" t="s">
        <v>145</v>
      </c>
    </row>
    <row r="3527" spans="1:4" x14ac:dyDescent="0.25">
      <c r="B3527" t="str">
        <f>HYPERLINK("https://www.chemistwarehouse.com.au/buy/72877/Sally-Hansen-Miracle-Gel-Birthday-Suite"," Sally Hansen Miracle Gel Birthday Suite")</f>
        <v xml:space="preserve"> Sally Hansen Miracle Gel Birthday Suite</v>
      </c>
      <c r="C3527" t="s">
        <v>237</v>
      </c>
      <c r="D3527" t="s">
        <v>145</v>
      </c>
    </row>
    <row r="3528" spans="1:4" x14ac:dyDescent="0.25">
      <c r="B3528" t="str">
        <f>HYPERLINK("https://www.chemistwarehouse.com.au/buy/72879/Sally-Hansen-Miracle-Gel-Get-Mod"," Sally Hansen Miracle Gel Get Mod ")</f>
        <v xml:space="preserve"> Sally Hansen Miracle Gel Get Mod </v>
      </c>
      <c r="C3528" t="s">
        <v>237</v>
      </c>
      <c r="D3528" t="s">
        <v>145</v>
      </c>
    </row>
    <row r="3529" spans="1:4" x14ac:dyDescent="0.25">
      <c r="B3529" t="str">
        <f>HYPERLINK("https://www.chemistwarehouse.com.au/buy/72880/Sally-Hansen-Miracle-Gel-Malibu-Peach"," Sally Hansen Miracle Gel Malibu Peach")</f>
        <v xml:space="preserve"> Sally Hansen Miracle Gel Malibu Peach</v>
      </c>
      <c r="C3529" t="s">
        <v>237</v>
      </c>
      <c r="D3529" t="s">
        <v>145</v>
      </c>
    </row>
    <row r="3530" spans="1:4" x14ac:dyDescent="0.25">
      <c r="B3530" t="str">
        <f>HYPERLINK("https://www.chemistwarehouse.com.au/buy/72881/Sally-Hansen-Miracle-Gel-Pink-Tank"," Sally Hansen Miracle Gel Pink Tank")</f>
        <v xml:space="preserve"> Sally Hansen Miracle Gel Pink Tank</v>
      </c>
      <c r="C3530" t="s">
        <v>237</v>
      </c>
      <c r="D3530" t="s">
        <v>145</v>
      </c>
    </row>
    <row r="3531" spans="1:4" x14ac:dyDescent="0.25">
      <c r="B3531" t="str">
        <f>HYPERLINK("https://www.chemistwarehouse.com.au/buy/72882/Sally-Hansen-Miracle-Gel-Pinkie-Promise"," Sally Hansen Miracle Gel Pinkie Promise")</f>
        <v xml:space="preserve"> Sally Hansen Miracle Gel Pinkie Promise</v>
      </c>
      <c r="C3531" t="s">
        <v>237</v>
      </c>
      <c r="D3531" t="s">
        <v>145</v>
      </c>
    </row>
    <row r="3532" spans="1:4" x14ac:dyDescent="0.25">
      <c r="B3532" t="str">
        <f>HYPERLINK("https://www.chemistwarehouse.com.au/buy/72883/Sally-Hansen-Miracle-Gel-Red-Eye"," Sally Hansen Miracle Gel Red Eye")</f>
        <v xml:space="preserve"> Sally Hansen Miracle Gel Red Eye</v>
      </c>
      <c r="C3532" t="s">
        <v>237</v>
      </c>
      <c r="D3532" t="s">
        <v>145</v>
      </c>
    </row>
    <row r="3533" spans="1:4" x14ac:dyDescent="0.25">
      <c r="B3533" t="str">
        <f>HYPERLINK("https://www.chemistwarehouse.com.au/buy/72884/Sally-Hansen-Miracle-Gel-Shock-Wave"," Sally Hansen Miracle Gel Shock Wave")</f>
        <v xml:space="preserve"> Sally Hansen Miracle Gel Shock Wave</v>
      </c>
      <c r="C3533" t="s">
        <v>237</v>
      </c>
      <c r="D3533" t="s">
        <v>145</v>
      </c>
    </row>
    <row r="3534" spans="1:4" x14ac:dyDescent="0.25">
      <c r="B3534" t="str">
        <f>HYPERLINK("https://www.chemistwarehouse.com.au/buy/72885/Sally-Hansen-Miracle-Gel-Street-Flair"," Sally Hansen Miracle Gel Street Flair")</f>
        <v xml:space="preserve"> Sally Hansen Miracle Gel Street Flair</v>
      </c>
      <c r="C3534" t="s">
        <v>237</v>
      </c>
      <c r="D3534" t="s">
        <v>1099</v>
      </c>
    </row>
    <row r="3535" spans="1:4" x14ac:dyDescent="0.25">
      <c r="B3535" t="str">
        <f>HYPERLINK("https://www.chemistwarehouse.com.au/buy/72888/Sally-Hansen-Miracle-Gel-Top-Coat"," Sally Hansen Miracle Gel Top Coat")</f>
        <v xml:space="preserve"> Sally Hansen Miracle Gel Top Coat</v>
      </c>
      <c r="C3535" t="s">
        <v>237</v>
      </c>
      <c r="D3535" t="s">
        <v>145</v>
      </c>
    </row>
    <row r="3536" spans="1:4" x14ac:dyDescent="0.25">
      <c r="B3536" t="str">
        <f>HYPERLINK("https://www.chemistwarehouse.com.au/buy/74851/Sally-Hansen-Miracle-Gel-All-Chalked-Up"," Sally Hansen Miracle Gel All Chalked Up ")</f>
        <v xml:space="preserve"> Sally Hansen Miracle Gel All Chalked Up </v>
      </c>
      <c r="C3536" t="s">
        <v>237</v>
      </c>
      <c r="D3536" t="s">
        <v>145</v>
      </c>
    </row>
    <row r="3537" spans="1:4" x14ac:dyDescent="0.25">
      <c r="B3537" t="str">
        <f>HYPERLINK("https://www.chemistwarehouse.com.au/buy/74852/Sally-Hansen-Miracle-Gel-Creme-de-la-Creme"," Sally Hansen Miracle Gel Creme de la Creme")</f>
        <v xml:space="preserve"> Sally Hansen Miracle Gel Creme de la Creme</v>
      </c>
      <c r="C3537" t="s">
        <v>237</v>
      </c>
      <c r="D3537" t="s">
        <v>145</v>
      </c>
    </row>
    <row r="3538" spans="1:4" x14ac:dyDescent="0.25">
      <c r="B3538" t="str">
        <f>HYPERLINK("https://www.chemistwarehouse.com.au/buy/74853/Sally-Hansen-Miracle-Gel-Dig-Fig"," Sally Hansen Miracle Gel Dig Fig ")</f>
        <v xml:space="preserve"> Sally Hansen Miracle Gel Dig Fig </v>
      </c>
      <c r="C3538" t="s">
        <v>237</v>
      </c>
      <c r="D3538" t="s">
        <v>145</v>
      </c>
    </row>
    <row r="3539" spans="1:4" x14ac:dyDescent="0.25">
      <c r="B3539" t="str">
        <f>HYPERLINK("https://www.chemistwarehouse.com.au/buy/74854/Sally-Hansen-Miracle-Gel-Game-of-Chromes"," Sally Hansen Miracle Gel Game of Chromes")</f>
        <v xml:space="preserve"> Sally Hansen Miracle Gel Game of Chromes</v>
      </c>
      <c r="C3539" t="s">
        <v>237</v>
      </c>
      <c r="D3539" t="s">
        <v>145</v>
      </c>
    </row>
    <row r="3540" spans="1:4" x14ac:dyDescent="0.25">
      <c r="B3540" t="str">
        <f>HYPERLINK("https://www.chemistwarehouse.com.au/buy/74856/Sally-Hansen-Miracle-Gel-Greyfitti"," Sally Hansen Miracle Gel Greyfitti  ")</f>
        <v xml:space="preserve"> Sally Hansen Miracle Gel Greyfitti  </v>
      </c>
      <c r="C3540" t="s">
        <v>237</v>
      </c>
      <c r="D3540" t="s">
        <v>145</v>
      </c>
    </row>
    <row r="3541" spans="1:4" x14ac:dyDescent="0.25">
      <c r="B3541" t="str">
        <f>HYPERLINK("https://www.chemistwarehouse.com.au/buy/74857/Sally-Hansen-Miracle-Gel-Hunger-Flames"," Sally Hansen Miracle Gel Hunger Flames")</f>
        <v xml:space="preserve"> Sally Hansen Miracle Gel Hunger Flames</v>
      </c>
      <c r="C3541" t="s">
        <v>237</v>
      </c>
      <c r="D3541" t="s">
        <v>145</v>
      </c>
    </row>
    <row r="3542" spans="1:4" x14ac:dyDescent="0.25">
      <c r="B3542" t="str">
        <f>HYPERLINK("https://www.chemistwarehouse.com.au/buy/74858/Sally-Hansen-Miracle-Gel-Mad-Women"," Sally Hansen Miracle Gel Mad Women")</f>
        <v xml:space="preserve"> Sally Hansen Miracle Gel Mad Women</v>
      </c>
      <c r="C3542" t="s">
        <v>237</v>
      </c>
      <c r="D3542" t="s">
        <v>145</v>
      </c>
    </row>
    <row r="3543" spans="1:4" x14ac:dyDescent="0.25">
      <c r="B3543" t="str">
        <f>HYPERLINK("https://www.chemistwarehouse.com.au/buy/74859/Sally-Hansen-Miracle-Gel-Pinkie-Rings"," Sally Hansen Miracle Gel Pinkie Rings ")</f>
        <v xml:space="preserve"> Sally Hansen Miracle Gel Pinkie Rings </v>
      </c>
      <c r="C3543" t="s">
        <v>237</v>
      </c>
      <c r="D3543" t="s">
        <v>145</v>
      </c>
    </row>
    <row r="3544" spans="1:4" x14ac:dyDescent="0.25">
      <c r="B3544" t="str">
        <f>HYPERLINK("https://www.chemistwarehouse.com.au/buy/74860/Sally-Hansen-Miracle-Gel-Pretty-Piggie"," Sally Hansen Miracle Gel Pretty Piggie  ")</f>
        <v xml:space="preserve"> Sally Hansen Miracle Gel Pretty Piggie  </v>
      </c>
      <c r="C3544" t="s">
        <v>237</v>
      </c>
      <c r="D3544" t="s">
        <v>145</v>
      </c>
    </row>
    <row r="3545" spans="1:4" x14ac:dyDescent="0.25">
      <c r="B3545" t="str">
        <f>HYPERLINK("https://www.chemistwarehouse.com.au/buy/74861/Sally-Hansen-Miracle-Gel-Spice-Age"," Sally Hansen Miracle Gel Spice Age")</f>
        <v xml:space="preserve"> Sally Hansen Miracle Gel Spice Age</v>
      </c>
      <c r="C3545" t="s">
        <v>237</v>
      </c>
      <c r="D3545" t="s">
        <v>145</v>
      </c>
    </row>
    <row r="3546" spans="1:4" x14ac:dyDescent="0.25">
      <c r="B3546" t="str">
        <f>HYPERLINK("https://www.chemistwarehouse.com.au/buy/74862/Sally-Hansen-Miracle-Gel-Tidal-Wave"," Sally Hansen Miracle Gel Tidal Wave ")</f>
        <v xml:space="preserve"> Sally Hansen Miracle Gel Tidal Wave </v>
      </c>
      <c r="C3546" t="s">
        <v>237</v>
      </c>
      <c r="D3546" t="s">
        <v>145</v>
      </c>
    </row>
    <row r="3547" spans="1:4" x14ac:dyDescent="0.25">
      <c r="B3547" t="str">
        <f>HYPERLINK("https://www.chemistwarehouse.com.au/buy/78577/Sally-Hansen-Miracle-Gel-Toem-ly-Yours"," Sally Hansen Miracle Gel Toem-ly Yours")</f>
        <v xml:space="preserve"> Sally Hansen Miracle Gel Toem-ly Yours</v>
      </c>
      <c r="C3547" t="s">
        <v>237</v>
      </c>
      <c r="D3547" t="s">
        <v>145</v>
      </c>
    </row>
    <row r="3548" spans="1:4" x14ac:dyDescent="0.25">
      <c r="B3548" t="str">
        <f>HYPERLINK("https://www.chemistwarehouse.com.au/buy/78578/Sally-Hansen-Miracle-Gel-Tribal-Sun"," Sally Hansen Miracle Gel Tribal Sun")</f>
        <v xml:space="preserve"> Sally Hansen Miracle Gel Tribal Sun</v>
      </c>
      <c r="C3548" t="s">
        <v>237</v>
      </c>
      <c r="D3548" t="s">
        <v>145</v>
      </c>
    </row>
    <row r="3549" spans="1:4" x14ac:dyDescent="0.25">
      <c r="B3549" t="str">
        <f>HYPERLINK("https://www.chemistwarehouse.com.au/buy/80412/Sally-Hansen-Miracle-Gel-Duo-Pack-Plush-Blush"," Sally Hansen Miracle Gel Duo Pack Plush Blush")</f>
        <v xml:space="preserve"> Sally Hansen Miracle Gel Duo Pack Plush Blush</v>
      </c>
      <c r="C3549" t="s">
        <v>407</v>
      </c>
      <c r="D3549" t="s">
        <v>376</v>
      </c>
    </row>
    <row r="3550" spans="1:4" x14ac:dyDescent="0.25">
      <c r="A3550" t="s">
        <v>1100</v>
      </c>
    </row>
    <row r="3551" spans="1:4" x14ac:dyDescent="0.25">
      <c r="B3551" t="str">
        <f>HYPERLINK("https://www.chemistwarehouse.com.au/buy/79764/Sally-Hansen-Xtreme-Wear-Coral-Reef"," Sally Hansen Xtreme Wear Coral Reef")</f>
        <v xml:space="preserve"> Sally Hansen Xtreme Wear Coral Reef</v>
      </c>
      <c r="C3551" t="s">
        <v>556</v>
      </c>
      <c r="D3551" t="s">
        <v>150</v>
      </c>
    </row>
    <row r="3552" spans="1:4" x14ac:dyDescent="0.25">
      <c r="B3552" t="str">
        <f>HYPERLINK("https://www.chemistwarehouse.com.au/buy/79765/Sally-Hansen-Xtreme-Wear-Breeze-Blue"," Sally Hansen Xtreme Wear Breeze Blue")</f>
        <v xml:space="preserve"> Sally Hansen Xtreme Wear Breeze Blue</v>
      </c>
      <c r="C3552" t="s">
        <v>556</v>
      </c>
      <c r="D3552" t="s">
        <v>150</v>
      </c>
    </row>
    <row r="3553" spans="1:4" x14ac:dyDescent="0.25">
      <c r="B3553" t="str">
        <f>HYPERLINK("https://www.chemistwarehouse.com.au/buy/79766/Sally-Hansen-Xtreme-Wear-Jazzy-Jade"," Sally Hansen Xtreme Wear Jazzy Jade")</f>
        <v xml:space="preserve"> Sally Hansen Xtreme Wear Jazzy Jade</v>
      </c>
      <c r="C3553" t="s">
        <v>556</v>
      </c>
      <c r="D3553" t="s">
        <v>150</v>
      </c>
    </row>
    <row r="3554" spans="1:4" x14ac:dyDescent="0.25">
      <c r="B3554" t="str">
        <f>HYPERLINK("https://www.chemistwarehouse.com.au/buy/79768/Sally-Hansen-Xtreme-Wear-Lacey-Lilac"," Sally Hansen Xtreme Wear Lacey Lilac")</f>
        <v xml:space="preserve"> Sally Hansen Xtreme Wear Lacey Lilac</v>
      </c>
      <c r="C3554" t="s">
        <v>556</v>
      </c>
      <c r="D3554" t="s">
        <v>150</v>
      </c>
    </row>
    <row r="3555" spans="1:4" x14ac:dyDescent="0.25">
      <c r="B3555" t="str">
        <f>HYPERLINK("https://www.chemistwarehouse.com.au/buy/81236/Sally-Hansen-Xtreme-Wear-Bare-It-All-Limited-Edition"," Sally Hansen Xtreme Wear Bare It All Limited Edition")</f>
        <v xml:space="preserve"> Sally Hansen Xtreme Wear Bare It All Limited Edition</v>
      </c>
      <c r="C3555" t="s">
        <v>483</v>
      </c>
      <c r="D3555" t="s">
        <v>397</v>
      </c>
    </row>
    <row r="3556" spans="1:4" x14ac:dyDescent="0.25">
      <c r="B3556" t="str">
        <f>HYPERLINK("https://www.chemistwarehouse.com.au/buy/81238/Sally-Hansen-Xtreme-Wear-Green-Thumb"," Sally Hansen Xtreme Wear Green Thumb")</f>
        <v xml:space="preserve"> Sally Hansen Xtreme Wear Green Thumb</v>
      </c>
      <c r="C3556" t="s">
        <v>556</v>
      </c>
      <c r="D3556" t="s">
        <v>150</v>
      </c>
    </row>
    <row r="3557" spans="1:4" x14ac:dyDescent="0.25">
      <c r="B3557" t="str">
        <f>HYPERLINK("https://www.chemistwarehouse.com.au/buy/81239/Sally-Hansen-Xtreme-Wear-Orchid-Around"," Sally Hansen Xtreme Wear Orchid Around")</f>
        <v xml:space="preserve"> Sally Hansen Xtreme Wear Orchid Around</v>
      </c>
      <c r="C3557" t="s">
        <v>556</v>
      </c>
      <c r="D3557" t="s">
        <v>150</v>
      </c>
    </row>
    <row r="3558" spans="1:4" x14ac:dyDescent="0.25">
      <c r="B3558" t="str">
        <f>HYPERLINK("https://www.chemistwarehouse.com.au/buy/81240/Sally-Hansen-Xtreme-Wear-Rebel-Red"," Sally Hansen Xtreme Wear Rebel Red")</f>
        <v xml:space="preserve"> Sally Hansen Xtreme Wear Rebel Red</v>
      </c>
      <c r="C3558" t="s">
        <v>556</v>
      </c>
      <c r="D3558" t="s">
        <v>150</v>
      </c>
    </row>
    <row r="3559" spans="1:4" x14ac:dyDescent="0.25">
      <c r="B3559" t="str">
        <f>HYPERLINK("https://www.chemistwarehouse.com.au/buy/81241/Sally-Hansen-Xtreme-Wear-Tickled-Pink-Limited-Edition"," Sally Hansen Xtreme Wear Tickled Pink Limited Edition")</f>
        <v xml:space="preserve"> Sally Hansen Xtreme Wear Tickled Pink Limited Edition</v>
      </c>
      <c r="C3559" t="s">
        <v>483</v>
      </c>
      <c r="D3559" t="s">
        <v>397</v>
      </c>
    </row>
    <row r="3560" spans="1:4" x14ac:dyDescent="0.25">
      <c r="B3560" t="str">
        <f>HYPERLINK("https://www.chemistwarehouse.com.au/buy/79056/Sally-Hansen-Xtreme-Wear-Mauve-Over"," Sally Hansen Xtreme Wear Mauve Over")</f>
        <v xml:space="preserve"> Sally Hansen Xtreme Wear Mauve Over</v>
      </c>
      <c r="C3560" t="s">
        <v>556</v>
      </c>
      <c r="D3560" t="s">
        <v>150</v>
      </c>
    </row>
    <row r="3561" spans="1:4" x14ac:dyDescent="0.25">
      <c r="B3561" t="str">
        <f>HYPERLINK("https://www.chemistwarehouse.com.au/buy/79767/Sally-Hansen-Xtreme-Wear-Pucker-Up"," Sally Hansen Xtreme Wear Pucker Up")</f>
        <v xml:space="preserve"> Sally Hansen Xtreme Wear Pucker Up</v>
      </c>
      <c r="C3561" t="s">
        <v>556</v>
      </c>
      <c r="D3561" t="s">
        <v>150</v>
      </c>
    </row>
    <row r="3562" spans="1:4" x14ac:dyDescent="0.25">
      <c r="A3562" t="s">
        <v>1101</v>
      </c>
    </row>
    <row r="3563" spans="1:4" x14ac:dyDescent="0.25">
      <c r="B3563" t="str">
        <f>HYPERLINK("https://www.chemistwarehouse.com.au/buy/79050/Sally-Hansen-Complete-Salon-Manicure-Beige-Glass"," Sally Hansen Complete Salon Manicure Beige Glass")</f>
        <v xml:space="preserve"> Sally Hansen Complete Salon Manicure Beige Glass</v>
      </c>
      <c r="C3563" t="s">
        <v>212</v>
      </c>
      <c r="D3563" t="s">
        <v>799</v>
      </c>
    </row>
    <row r="3564" spans="1:4" x14ac:dyDescent="0.25">
      <c r="B3564" t="str">
        <f>HYPERLINK("https://www.chemistwarehouse.com.au/buy/79215/Sally-Hansen-Complete-Salon-Manicure-Maasai-Red"," Sally Hansen Complete Salon Manicure Maasai Red")</f>
        <v xml:space="preserve"> Sally Hansen Complete Salon Manicure Maasai Red</v>
      </c>
      <c r="C3564" t="s">
        <v>212</v>
      </c>
      <c r="D3564" t="s">
        <v>799</v>
      </c>
    </row>
    <row r="3565" spans="1:4" x14ac:dyDescent="0.25">
      <c r="B3565" t="str">
        <f>HYPERLINK("https://www.chemistwarehouse.com.au/buy/79216/Sally-Hansen-Complete-Salon-Manicure-Winter-Sky"," Sally Hansen Complete Salon Manicure Winter Sky")</f>
        <v xml:space="preserve"> Sally Hansen Complete Salon Manicure Winter Sky</v>
      </c>
      <c r="C3565" t="s">
        <v>212</v>
      </c>
      <c r="D3565" t="s">
        <v>799</v>
      </c>
    </row>
    <row r="3566" spans="1:4" x14ac:dyDescent="0.25">
      <c r="B3566" t="str">
        <f>HYPERLINK("https://www.chemistwarehouse.com.au/buy/79217/Sally-Hansen-Complete-Salon-Manicure-Lady-T"," Sally Hansen Complete Salon Manicure Lady T")</f>
        <v xml:space="preserve"> Sally Hansen Complete Salon Manicure Lady T</v>
      </c>
      <c r="C3566" t="s">
        <v>212</v>
      </c>
      <c r="D3566" t="s">
        <v>799</v>
      </c>
    </row>
    <row r="3567" spans="1:4" x14ac:dyDescent="0.25">
      <c r="B3567" t="str">
        <f>HYPERLINK("https://www.chemistwarehouse.com.au/buy/79219/Sally-Hansen-Complete-Salon-Manicure-Midnight-Affair"," Sally Hansen Complete Salon Manicure Midnight Affair")</f>
        <v xml:space="preserve"> Sally Hansen Complete Salon Manicure Midnight Affair</v>
      </c>
      <c r="C3567" t="s">
        <v>212</v>
      </c>
      <c r="D3567" t="s">
        <v>799</v>
      </c>
    </row>
    <row r="3568" spans="1:4" x14ac:dyDescent="0.25">
      <c r="B3568" t="str">
        <f>HYPERLINK("https://www.chemistwarehouse.com.au/buy/79218/Sally-Hansen-Complete-Salon-Manicure-Rose-Glass"," Sally Hansen Complete Salon Manicure Rose Glass")</f>
        <v xml:space="preserve"> Sally Hansen Complete Salon Manicure Rose Glass</v>
      </c>
      <c r="C3568" t="s">
        <v>212</v>
      </c>
      <c r="D3568" t="s">
        <v>799</v>
      </c>
    </row>
    <row r="3569" spans="1:4" x14ac:dyDescent="0.25">
      <c r="A3569" t="s">
        <v>1102</v>
      </c>
    </row>
    <row r="3570" spans="1:4" x14ac:dyDescent="0.25">
      <c r="B3570" t="str">
        <f>HYPERLINK("https://www.chemistwarehouse.com.au/buy/81218/Sally-Hansen-Big-Primer-Base-Coat"," Sally Hansen Big Primer Base Coat")</f>
        <v xml:space="preserve"> Sally Hansen Big Primer Base Coat</v>
      </c>
      <c r="C3570" t="s">
        <v>98</v>
      </c>
      <c r="D3570" t="s">
        <v>150</v>
      </c>
    </row>
    <row r="3571" spans="1:4" x14ac:dyDescent="0.25">
      <c r="B3571" t="str">
        <f>HYPERLINK("https://www.chemistwarehouse.com.au/buy/81219/Sally-Hansen-Big-Primer-Base-Coat-Carded"," Sally Hansen Big Primer Base Coat Carded")</f>
        <v xml:space="preserve"> Sally Hansen Big Primer Base Coat Carded</v>
      </c>
      <c r="C3571" t="s">
        <v>98</v>
      </c>
      <c r="D3571" t="s">
        <v>150</v>
      </c>
    </row>
    <row r="3572" spans="1:4" x14ac:dyDescent="0.25">
      <c r="A3572" t="s">
        <v>1103</v>
      </c>
    </row>
    <row r="3573" spans="1:4" x14ac:dyDescent="0.25">
      <c r="B3573" t="str">
        <f>HYPERLINK("https://www.chemistwarehouse.com.au/buy/82615/Sally-Hansen-Colour-Therapy-Aurant-You-Relaxed-14-7ml"," Sally Hansen Colour Therapy Aurant You Relaxed 14.7ml")</f>
        <v xml:space="preserve"> Sally Hansen Colour Therapy Aurant You Relaxed 14.7ml</v>
      </c>
      <c r="C3573" t="s">
        <v>290</v>
      </c>
      <c r="D3573" t="s">
        <v>332</v>
      </c>
    </row>
    <row r="3574" spans="1:4" x14ac:dyDescent="0.25">
      <c r="B3574" t="str">
        <f>HYPERLINK("https://www.chemistwarehouse.com.au/buy/82616/Sally-Hansen-Colour-Therapy-Blushed-Petal-14-7ml"," Sally Hansen Colour Therapy Blushed Petal 14.7ml")</f>
        <v xml:space="preserve"> Sally Hansen Colour Therapy Blushed Petal 14.7ml</v>
      </c>
      <c r="C3574" t="s">
        <v>290</v>
      </c>
      <c r="D3574" t="s">
        <v>332</v>
      </c>
    </row>
    <row r="3575" spans="1:4" x14ac:dyDescent="0.25">
      <c r="B3575" t="str">
        <f>HYPERLINK("https://www.chemistwarehouse.com.au/buy/82617/Sally-Hansen-Colour-Therapy-Chai-On-Life-14-7ml"," Sally Hansen Colour Therapy Chai On Life 14.7ml")</f>
        <v xml:space="preserve"> Sally Hansen Colour Therapy Chai On Life 14.7ml</v>
      </c>
      <c r="C3575" t="s">
        <v>290</v>
      </c>
      <c r="D3575" t="s">
        <v>332</v>
      </c>
    </row>
    <row r="3576" spans="1:4" x14ac:dyDescent="0.25">
      <c r="B3576" t="str">
        <f>HYPERLINK("https://www.chemistwarehouse.com.au/buy/82621/Sally-Hansen-Colour-Therapy-Nail-amp-Cuticle-Elixir-14-7ml"," Sally Hansen Colour Therapy Nail &amp; Cuticle Elixir 14.7ml")</f>
        <v xml:space="preserve"> Sally Hansen Colour Therapy Nail &amp; Cuticle Elixir 14.7ml</v>
      </c>
      <c r="C3576" t="s">
        <v>290</v>
      </c>
      <c r="D3576" t="s">
        <v>332</v>
      </c>
    </row>
    <row r="3577" spans="1:4" x14ac:dyDescent="0.25">
      <c r="B3577" t="str">
        <f>HYPERLINK("https://www.chemistwarehouse.com.au/buy/82622/Sally-Hansen-Colour-Therapy-Ohm-My-Magenta-14-7ml"," Sally Hansen Colour Therapy Ohm My Magenta 14.7ml")</f>
        <v xml:space="preserve"> Sally Hansen Colour Therapy Ohm My Magenta 14.7ml</v>
      </c>
      <c r="C3577" t="s">
        <v>290</v>
      </c>
      <c r="D3577" t="s">
        <v>332</v>
      </c>
    </row>
    <row r="3578" spans="1:4" x14ac:dyDescent="0.25">
      <c r="B3578" t="str">
        <f>HYPERLINK("https://www.chemistwarehouse.com.au/buy/82623/Sally-Hansen-Colour-Therapy-Pampered-In-Pink-14-7ml"," Sally Hansen Colour Therapy Pampered In Pink 14.7ml")</f>
        <v xml:space="preserve"> Sally Hansen Colour Therapy Pampered In Pink 14.7ml</v>
      </c>
      <c r="C3578" t="s">
        <v>290</v>
      </c>
      <c r="D3578" t="s">
        <v>332</v>
      </c>
    </row>
    <row r="3579" spans="1:4" x14ac:dyDescent="0.25">
      <c r="B3579" t="str">
        <f>HYPERLINK("https://www.chemistwarehouse.com.au/buy/82624/Sally-Hansen-Colour-Therapy-Powder-Room-14-7ml"," Sally Hansen Colour Therapy Powder Room 14.7ml")</f>
        <v xml:space="preserve"> Sally Hansen Colour Therapy Powder Room 14.7ml</v>
      </c>
      <c r="C3579" t="s">
        <v>290</v>
      </c>
      <c r="D3579" t="s">
        <v>332</v>
      </c>
    </row>
    <row r="3580" spans="1:4" x14ac:dyDescent="0.25">
      <c r="B3580" t="str">
        <f>HYPERLINK("https://www.chemistwarehouse.com.au/buy/82625/Sally-Hansen-Colour-Therapy-Primrose-amp-Proper-14-7ml"," Sally Hansen Colour Therapy Primrose &amp; Proper 14.7ml")</f>
        <v xml:space="preserve"> Sally Hansen Colour Therapy Primrose &amp; Proper 14.7ml</v>
      </c>
      <c r="C3580" t="s">
        <v>290</v>
      </c>
      <c r="D3580" t="s">
        <v>332</v>
      </c>
    </row>
    <row r="3581" spans="1:4" x14ac:dyDescent="0.25">
      <c r="B3581" t="str">
        <f>HYPERLINK("https://www.chemistwarehouse.com.au/buy/82626/Sally-Hansen-Colour-Therapy-Red-y-to-Glow-14-7ml"," Sally Hansen Colour Therapy Red-y to Glow 14.7ml")</f>
        <v xml:space="preserve"> Sally Hansen Colour Therapy Red-y to Glow 14.7ml</v>
      </c>
      <c r="C3581" t="s">
        <v>290</v>
      </c>
      <c r="D3581" t="s">
        <v>332</v>
      </c>
    </row>
    <row r="3582" spans="1:4" x14ac:dyDescent="0.25">
      <c r="B3582" t="str">
        <f>HYPERLINK("https://www.chemistwarehouse.com.au/buy/82628/Sally-Hansen-Colour-Therapy-Rosy-Quartz-14-7ml"," Sally Hansen Colour Therapy Rosy Quartz 14.7ml")</f>
        <v xml:space="preserve"> Sally Hansen Colour Therapy Rosy Quartz 14.7ml</v>
      </c>
      <c r="C3582" t="s">
        <v>290</v>
      </c>
      <c r="D3582" t="s">
        <v>332</v>
      </c>
    </row>
    <row r="3583" spans="1:4" x14ac:dyDescent="0.25">
      <c r="B3583" t="str">
        <f>HYPERLINK("https://www.chemistwarehouse.com.au/buy/82629/Sally-Hansen-Colour-Therapy-Slicks-amp-Stones-14-7ml"," Sally Hansen Colour Therapy Slicks &amp; Stones 14.7ml")</f>
        <v xml:space="preserve"> Sally Hansen Colour Therapy Slicks &amp; Stones 14.7ml</v>
      </c>
      <c r="C3583" t="s">
        <v>290</v>
      </c>
      <c r="D3583" t="s">
        <v>332</v>
      </c>
    </row>
    <row r="3584" spans="1:4" x14ac:dyDescent="0.25">
      <c r="B3584" t="str">
        <f>HYPERLINK("https://www.chemistwarehouse.com.au/buy/82630/Sally-Hansen-Colour-Therapy-Soothing-Sapphire-14-7ml"," Sally Hansen Colour Therapy Soothing Sapphire 14.7ml")</f>
        <v xml:space="preserve"> Sally Hansen Colour Therapy Soothing Sapphire 14.7ml</v>
      </c>
      <c r="C3584" t="s">
        <v>290</v>
      </c>
      <c r="D3584" t="s">
        <v>332</v>
      </c>
    </row>
    <row r="3585" spans="1:4" x14ac:dyDescent="0.25">
      <c r="B3585" t="str">
        <f>HYPERLINK("https://www.chemistwarehouse.com.au/buy/82633/Sally-Hansen-Colour-Therapy-Therapewter-14-7ml"," Sally Hansen Colour Therapy Therapewter 14.7ml")</f>
        <v xml:space="preserve"> Sally Hansen Colour Therapy Therapewter 14.7ml</v>
      </c>
      <c r="C3585" t="s">
        <v>290</v>
      </c>
      <c r="D3585" t="s">
        <v>332</v>
      </c>
    </row>
    <row r="3586" spans="1:4" x14ac:dyDescent="0.25">
      <c r="B3586" t="str">
        <f>HYPERLINK("https://www.chemistwarehouse.com.au/buy/82634/Sally-Hansen-Colour-Therapy-Top-Coat-14-7ml"," Sally Hansen Colour Therapy Top Coat 14.7ml")</f>
        <v xml:space="preserve"> Sally Hansen Colour Therapy Top Coat 14.7ml</v>
      </c>
      <c r="C3586" t="s">
        <v>290</v>
      </c>
      <c r="D3586" t="s">
        <v>332</v>
      </c>
    </row>
    <row r="3587" spans="1:4" x14ac:dyDescent="0.25">
      <c r="B3587" t="str">
        <f>HYPERLINK("https://www.chemistwarehouse.com.au/buy/82636/Sally-Hansen-Colour-Therapy-Well-Well-Well"," Sally Hansen Colour Therapy Well Well Well")</f>
        <v xml:space="preserve"> Sally Hansen Colour Therapy Well Well Well</v>
      </c>
      <c r="C3587" t="s">
        <v>292</v>
      </c>
      <c r="D3587" t="s">
        <v>329</v>
      </c>
    </row>
    <row r="3588" spans="1:4" x14ac:dyDescent="0.25">
      <c r="B3588" t="str">
        <f>HYPERLINK("https://www.chemistwarehouse.com.au/buy/82631/Sally-Hansen-Colour-Therapy-Stelly-Serene"," Sally Hansen Colour Therapy Stelly Serene")</f>
        <v xml:space="preserve"> Sally Hansen Colour Therapy Stelly Serene</v>
      </c>
      <c r="C3588" t="s">
        <v>292</v>
      </c>
      <c r="D3588" t="s">
        <v>329</v>
      </c>
    </row>
    <row r="3589" spans="1:4" x14ac:dyDescent="0.25">
      <c r="B3589" t="str">
        <f>HYPERLINK("https://www.chemistwarehouse.com.au/buy/82632/Sally-Hansen-Colour-Therapy-Teal-Good-14-7ml"," Sally Hansen Colour Therapy Teal Good 14.7ml")</f>
        <v xml:space="preserve"> Sally Hansen Colour Therapy Teal Good 14.7ml</v>
      </c>
      <c r="C3589" t="s">
        <v>290</v>
      </c>
      <c r="D3589" t="s">
        <v>332</v>
      </c>
    </row>
    <row r="3590" spans="1:4" x14ac:dyDescent="0.25">
      <c r="B3590" t="str">
        <f>HYPERLINK("https://www.chemistwarehouse.com.au/buy/82627/Sally-Hansen-Colour-Therapy-Renude"," Sally Hansen Colour Therapy Renude")</f>
        <v xml:space="preserve"> Sally Hansen Colour Therapy Renude</v>
      </c>
      <c r="C3590" t="s">
        <v>292</v>
      </c>
      <c r="D3590" t="s">
        <v>329</v>
      </c>
    </row>
    <row r="3591" spans="1:4" x14ac:dyDescent="0.25">
      <c r="B3591" t="str">
        <f>HYPERLINK("https://www.chemistwarehouse.com.au/buy/82618/Sally-Hansen-Colour-Therapy-Good-as-Blue"," Sally Hansen Colour Therapy Good as Blue")</f>
        <v xml:space="preserve"> Sally Hansen Colour Therapy Good as Blue</v>
      </c>
      <c r="C3591" t="s">
        <v>292</v>
      </c>
      <c r="D3591" t="s">
        <v>329</v>
      </c>
    </row>
    <row r="3592" spans="1:4" x14ac:dyDescent="0.25">
      <c r="B3592" t="str">
        <f>HYPERLINK("https://www.chemistwarehouse.com.au/buy/82619/Sally-Hansen-Colour-Therapy-Haute-Stone"," Sally Hansen Colour Therapy Haute Stone")</f>
        <v xml:space="preserve"> Sally Hansen Colour Therapy Haute Stone</v>
      </c>
      <c r="C3592" t="s">
        <v>292</v>
      </c>
      <c r="D3592" t="s">
        <v>329</v>
      </c>
    </row>
    <row r="3593" spans="1:4" x14ac:dyDescent="0.25">
      <c r="B3593" t="str">
        <f>HYPERLINK("https://www.chemistwarehouse.com.au/buy/82620/Sally-Hansen-Colour-Therapy-Mud-Mask-14-7ml"," Sally Hansen Colour Therapy Mud Mask 14.7ml")</f>
        <v xml:space="preserve"> Sally Hansen Colour Therapy Mud Mask 14.7ml</v>
      </c>
      <c r="C3593" t="s">
        <v>290</v>
      </c>
      <c r="D3593" t="s">
        <v>332</v>
      </c>
    </row>
    <row r="3594" spans="1:4" x14ac:dyDescent="0.25">
      <c r="A3594" t="s">
        <v>1104</v>
      </c>
    </row>
    <row r="3595" spans="1:4" x14ac:dyDescent="0.25">
      <c r="B3595" t="str">
        <f>HYPERLINK("https://www.chemistwarehouse.com.au/buy/49642/Natural-Glamour-Compact-Summer"," Natural Glamour Compact Summer")</f>
        <v xml:space="preserve"> Natural Glamour Compact Summer</v>
      </c>
      <c r="C3595" t="s">
        <v>10</v>
      </c>
      <c r="D3595" t="s">
        <v>167</v>
      </c>
    </row>
    <row r="3596" spans="1:4" x14ac:dyDescent="0.25">
      <c r="B3596" t="str">
        <f>HYPERLINK("https://www.chemistwarehouse.com.au/buy/66139/Lancome-Hypnose-Mascara-Waterproof-01-Noir"," Lancome Hypnose Mascara Waterproof 01 Noir")</f>
        <v xml:space="preserve"> Lancome Hypnose Mascara Waterproof 01 Noir</v>
      </c>
      <c r="C3596" t="s">
        <v>6</v>
      </c>
      <c r="D3596" t="s">
        <v>489</v>
      </c>
    </row>
    <row r="3597" spans="1:4" x14ac:dyDescent="0.25">
      <c r="B3597" t="str">
        <f>HYPERLINK("https://www.chemistwarehouse.com.au/buy/66992/freezeFrame-Instant-Lash-Extreme"," freezeFrame Instant Lash Extreme")</f>
        <v xml:space="preserve"> freezeFrame Instant Lash Extreme</v>
      </c>
      <c r="C3597" t="s">
        <v>276</v>
      </c>
      <c r="D3597" t="s">
        <v>1105</v>
      </c>
    </row>
    <row r="3598" spans="1:4" x14ac:dyDescent="0.25">
      <c r="B3598" t="str">
        <f>HYPERLINK("https://www.chemistwarehouse.com.au/buy/49644/Natural-Glamour-Loose-Winter"," Natural Glamour Loose Winter")</f>
        <v xml:space="preserve"> Natural Glamour Loose Winter</v>
      </c>
      <c r="C3598" t="s">
        <v>10</v>
      </c>
      <c r="D3598" t="s">
        <v>167</v>
      </c>
    </row>
    <row r="3599" spans="1:4" x14ac:dyDescent="0.25">
      <c r="B3599" t="str">
        <f>HYPERLINK("https://www.chemistwarehouse.com.au/buy/49641/Natural-Glamour-Loose-Summer"," Natural Glamour Loose Summer")</f>
        <v xml:space="preserve"> Natural Glamour Loose Summer</v>
      </c>
      <c r="C3599" t="s">
        <v>10</v>
      </c>
      <c r="D3599" t="s">
        <v>167</v>
      </c>
    </row>
    <row r="3600" spans="1:4" x14ac:dyDescent="0.25">
      <c r="B3600" t="str">
        <f>HYPERLINK("https://www.chemistwarehouse.com.au/buy/58344/Natural-Glamour-Compact-Winter"," Natural Glamour Compact Winter")</f>
        <v xml:space="preserve"> Natural Glamour Compact Winter</v>
      </c>
      <c r="C3600" t="s">
        <v>10</v>
      </c>
      <c r="D3600" t="s">
        <v>167</v>
      </c>
    </row>
    <row r="3601" spans="2:4" x14ac:dyDescent="0.25">
      <c r="B3601" t="str">
        <f>HYPERLINK("https://www.chemistwarehouse.com.au/buy/76495/Eylure-Miss-Lashlets-Emily"," Eylure Miss Lashlets Emily")</f>
        <v xml:space="preserve"> Eylure Miss Lashlets Emily</v>
      </c>
      <c r="C3601" t="s">
        <v>115</v>
      </c>
      <c r="D3601" t="s">
        <v>635</v>
      </c>
    </row>
    <row r="3602" spans="2:4" x14ac:dyDescent="0.25">
      <c r="B3602" t="str">
        <f>HYPERLINK("https://www.chemistwarehouse.com.au/buy/82379/Punim-Oil-Free-Make-Up-Remover-Lavender-60-Moist-Towellettes"," Punim Oil Free Make Up Remover Lavender 60 Moist Towellettes")</f>
        <v xml:space="preserve"> Punim Oil Free Make Up Remover Lavender 60 Moist Towellettes</v>
      </c>
      <c r="C3602" t="s">
        <v>556</v>
      </c>
      <c r="D3602">
        <v>0</v>
      </c>
    </row>
    <row r="3603" spans="2:4" x14ac:dyDescent="0.25">
      <c r="B3603" t="str">
        <f>HYPERLINK("https://www.chemistwarehouse.com.au/buy/82380/Almay-Oil-Free-Gentle-Eye-Make-Up-Remover-Pads-80-Pads-Twin-Pack"," Almay Oil Free Gentle Eye Make Up Remover Pads 80 Pads Twin Pack")</f>
        <v xml:space="preserve"> Almay Oil Free Gentle Eye Make Up Remover Pads 80 Pads Twin Pack</v>
      </c>
      <c r="C3603" t="s">
        <v>45</v>
      </c>
      <c r="D3603">
        <v>0</v>
      </c>
    </row>
    <row r="3604" spans="2:4" x14ac:dyDescent="0.25">
      <c r="B3604" t="str">
        <f>HYPERLINK("https://www.chemistwarehouse.com.au/buy/82382/Punim-Oil-Free-Make-Up-Remover-Apricot-60-Moist-Towellettes"," Punim Oil Free Make Up Remover Apricot 60 Moist Towellettes")</f>
        <v xml:space="preserve"> Punim Oil Free Make Up Remover Apricot 60 Moist Towellettes</v>
      </c>
      <c r="C3604" t="s">
        <v>556</v>
      </c>
      <c r="D3604">
        <v>0</v>
      </c>
    </row>
    <row r="3605" spans="2:4" x14ac:dyDescent="0.25">
      <c r="B3605" t="str">
        <f>HYPERLINK("https://www.chemistwarehouse.com.au/buy/82383/Punim-Oil-Free-Make-Up-Remover-Cucumber-60-Moist-Towellettes"," Punim Oil Free Make Up Remover Cucumber 60 Moist Towellettes")</f>
        <v xml:space="preserve"> Punim Oil Free Make Up Remover Cucumber 60 Moist Towellettes</v>
      </c>
      <c r="C3605" t="s">
        <v>556</v>
      </c>
      <c r="D3605">
        <v>0</v>
      </c>
    </row>
    <row r="3606" spans="2:4" x14ac:dyDescent="0.25">
      <c r="B3606" t="str">
        <f>HYPERLINK("https://www.chemistwarehouse.com.au/buy/74976/Garnier-Express-2-In-1-Eye-Makeup-Remover-125ml"," Garnier Express 2 In 1 Eye Makeup Remover 125ml")</f>
        <v xml:space="preserve"> Garnier Express 2 In 1 Eye Makeup Remover 125ml</v>
      </c>
      <c r="C3606" t="s">
        <v>554</v>
      </c>
      <c r="D3606" t="s">
        <v>325</v>
      </c>
    </row>
    <row r="3607" spans="2:4" x14ac:dyDescent="0.25">
      <c r="B3607" t="str">
        <f>HYPERLINK("https://www.chemistwarehouse.com.au/buy/82873/Paul-Frank-Scented-Nail-Art-7-Piece-Set"," Paul Frank Scented Nail Art 7 Piece Set")</f>
        <v xml:space="preserve"> Paul Frank Scented Nail Art 7 Piece Set</v>
      </c>
      <c r="C3607" t="s">
        <v>556</v>
      </c>
      <c r="D3607">
        <v>0</v>
      </c>
    </row>
    <row r="3608" spans="2:4" x14ac:dyDescent="0.25">
      <c r="B3608" t="str">
        <f>HYPERLINK("https://www.chemistwarehouse.com.au/buy/76493/Elizabeth-Arden-Mousse-Tera"," Elizabeth Arden Mousse Tera")</f>
        <v xml:space="preserve"> Elizabeth Arden Mousse Tera</v>
      </c>
      <c r="C3608" t="s">
        <v>45</v>
      </c>
      <c r="D3608" t="s">
        <v>46</v>
      </c>
    </row>
    <row r="3609" spans="2:4" x14ac:dyDescent="0.25">
      <c r="B3609" t="str">
        <f>HYPERLINK("https://www.chemistwarehouse.com.au/buy/82611/Almay-Eye-Make-up-Remover-80-Pads-Plus-Bonus-Travel-Size-15-Pads"," Almay Eye Make up Remover 80 Pads Plus Bonus Travel Size 15 Pads")</f>
        <v xml:space="preserve"> Almay Eye Make up Remover 80 Pads Plus Bonus Travel Size 15 Pads</v>
      </c>
      <c r="C3609" t="s">
        <v>556</v>
      </c>
      <c r="D3609">
        <v>0</v>
      </c>
    </row>
    <row r="3610" spans="2:4" x14ac:dyDescent="0.25">
      <c r="B3610" t="str">
        <f>HYPERLINK("https://www.chemistwarehouse.com.au/buy/78240/Elizabeth-Arden-Mousse-Bisque"," Elizabeth Arden Mousse Bisque")</f>
        <v xml:space="preserve"> Elizabeth Arden Mousse Bisque</v>
      </c>
      <c r="C3610" t="s">
        <v>45</v>
      </c>
      <c r="D3610" t="s">
        <v>46</v>
      </c>
    </row>
    <row r="3611" spans="2:4" x14ac:dyDescent="0.25">
      <c r="B3611" t="str">
        <f>HYPERLINK("https://www.chemistwarehouse.com.au/buy/78241/Elizabeth-Arden-Mousse-Melba"," Elizabeth Arden Mousse Melba")</f>
        <v xml:space="preserve"> Elizabeth Arden Mousse Melba</v>
      </c>
      <c r="C3611" t="s">
        <v>45</v>
      </c>
      <c r="D3611" t="s">
        <v>46</v>
      </c>
    </row>
    <row r="3612" spans="2:4" x14ac:dyDescent="0.25">
      <c r="B3612" t="str">
        <f>HYPERLINK("https://www.chemistwarehouse.com.au/buy/78242/Elizabeth-Arden-Mousse-Shell"," Elizabeth Arden Mousse Shell")</f>
        <v xml:space="preserve"> Elizabeth Arden Mousse Shell</v>
      </c>
      <c r="C3612" t="s">
        <v>45</v>
      </c>
      <c r="D3612" t="s">
        <v>46</v>
      </c>
    </row>
    <row r="3613" spans="2:4" x14ac:dyDescent="0.25">
      <c r="B3613" t="str">
        <f>HYPERLINK("https://www.chemistwarehouse.com.au/buy/78243/Sun-Kissed-Bronzing-Compact-Large"," Sun Kissed Bronzing Compact Large")</f>
        <v xml:space="preserve"> Sun Kissed Bronzing Compact Large</v>
      </c>
      <c r="C3613" t="s">
        <v>162</v>
      </c>
      <c r="D3613" t="s">
        <v>45</v>
      </c>
    </row>
    <row r="3614" spans="2:4" x14ac:dyDescent="0.25">
      <c r="B3614" t="str">
        <f>HYPERLINK("https://www.chemistwarehouse.com.au/buy/78260/Ardell-Trio-3-in-1-Lashes"," Ardell Trio 3 in 1 Lashes")</f>
        <v xml:space="preserve"> Ardell Trio 3 in 1 Lashes</v>
      </c>
      <c r="C3614" t="s">
        <v>162</v>
      </c>
      <c r="D3614" t="s">
        <v>556</v>
      </c>
    </row>
    <row r="3615" spans="2:4" x14ac:dyDescent="0.25">
      <c r="B3615" t="str">
        <f>HYPERLINK("https://www.chemistwarehouse.com.au/buy/79578/Cutex-Quick-N-Go-Ice-Coffee"," Cutex Quick N Go Ice Coffee")</f>
        <v xml:space="preserve"> Cutex Quick N Go Ice Coffee</v>
      </c>
      <c r="C3615" t="s">
        <v>146</v>
      </c>
      <c r="D3615">
        <v>0</v>
      </c>
    </row>
    <row r="3616" spans="2:4" x14ac:dyDescent="0.25">
      <c r="B3616" t="str">
        <f>HYPERLINK("https://www.chemistwarehouse.com.au/buy/79654/YSL-Mascara-Black"," YSL Mascara Black")</f>
        <v xml:space="preserve"> YSL Mascara Black</v>
      </c>
      <c r="C3616" t="s">
        <v>110</v>
      </c>
      <c r="D3616">
        <v>0</v>
      </c>
    </row>
    <row r="3617" spans="1:4" x14ac:dyDescent="0.25">
      <c r="B3617" t="str">
        <f>HYPERLINK("https://www.chemistwarehouse.com.au/buy/81692/Australis-AC-On-Tour-Contour-Kit-Cream-amp-Powder"," Australis AC On Tour Contour Kit Cream &amp; Powder")</f>
        <v xml:space="preserve"> Australis AC On Tour Contour Kit Cream &amp; Powder</v>
      </c>
      <c r="C3617" t="s">
        <v>46</v>
      </c>
      <c r="D3617" t="s">
        <v>417</v>
      </c>
    </row>
    <row r="3618" spans="1:4" x14ac:dyDescent="0.25">
      <c r="B3618" t="str">
        <f>HYPERLINK("https://www.chemistwarehouse.com.au/buy/81693/Enliven-Conditioning-Nail-Polish-Remover-250ml"," Enliven Conditioning Nail Polish Remover 250ml")</f>
        <v xml:space="preserve"> Enliven Conditioning Nail Polish Remover 250ml</v>
      </c>
      <c r="C3618" t="s">
        <v>635</v>
      </c>
      <c r="D3618" t="s">
        <v>115</v>
      </c>
    </row>
    <row r="3619" spans="1:4" x14ac:dyDescent="0.25">
      <c r="A3619" t="s">
        <v>1106</v>
      </c>
    </row>
    <row r="3620" spans="1:4" x14ac:dyDescent="0.25">
      <c r="B3620" t="str">
        <f>HYPERLINK("https://www.chemistwarehouse.com.au/buy/58196/YSL-Touche-Eclat-No-2"," YSL Touche Eclat No. 2")</f>
        <v xml:space="preserve"> YSL Touche Eclat No. 2</v>
      </c>
      <c r="C3620" t="s">
        <v>166</v>
      </c>
      <c r="D3620" t="s">
        <v>836</v>
      </c>
    </row>
    <row r="3621" spans="1:4" x14ac:dyDescent="0.25">
      <c r="B3621" t="str">
        <f>HYPERLINK("https://www.chemistwarehouse.com.au/buy/63706/YSL-Touche-Eclat-No-3"," YSL Touche Eclat No.3")</f>
        <v xml:space="preserve"> YSL Touche Eclat No.3</v>
      </c>
      <c r="C3621" t="s">
        <v>166</v>
      </c>
      <c r="D3621" t="s">
        <v>836</v>
      </c>
    </row>
    <row r="3622" spans="1:4" x14ac:dyDescent="0.25">
      <c r="A3622" t="s">
        <v>1107</v>
      </c>
    </row>
    <row r="3623" spans="1:4" x14ac:dyDescent="0.25">
      <c r="B3623" t="str">
        <f>HYPERLINK("https://www.chemistwarehouse.com.au/buy/82030/W7-Prime-Magic-Primer"," W7 Prime Magic Primer")</f>
        <v xml:space="preserve"> W7 Prime Magic Primer</v>
      </c>
      <c r="C3623" t="s">
        <v>556</v>
      </c>
      <c r="D3623">
        <v>0</v>
      </c>
    </row>
    <row r="3624" spans="1:4" x14ac:dyDescent="0.25">
      <c r="A3624" t="s">
        <v>1108</v>
      </c>
    </row>
    <row r="3625" spans="1:4" x14ac:dyDescent="0.25">
      <c r="B3625" t="str">
        <f>HYPERLINK("https://www.chemistwarehouse.com.au/buy/75311/W7-Light-Diffusing-Concealer"," W7 Light Diffusing Concealer")</f>
        <v xml:space="preserve"> W7 Light Diffusing Concealer</v>
      </c>
      <c r="C3625" t="s">
        <v>556</v>
      </c>
      <c r="D3625">
        <v>0</v>
      </c>
    </row>
    <row r="3626" spans="1:4" x14ac:dyDescent="0.25">
      <c r="B3626" t="str">
        <f>HYPERLINK("https://www.chemistwarehouse.com.au/buy/80738/W7-Camouflage-Kit"," W7 Camouflage Kit")</f>
        <v xml:space="preserve"> W7 Camouflage Kit</v>
      </c>
      <c r="C3626" t="s">
        <v>556</v>
      </c>
      <c r="D3626">
        <v>0</v>
      </c>
    </row>
    <row r="3627" spans="1:4" x14ac:dyDescent="0.25">
      <c r="B3627" t="str">
        <f>HYPERLINK("https://www.chemistwarehouse.com.au/buy/80739/W7-Catwalk-Concealer-Deep"," W7 Catwalk Concealer Deep")</f>
        <v xml:space="preserve"> W7 Catwalk Concealer Deep</v>
      </c>
      <c r="C3627" t="s">
        <v>556</v>
      </c>
      <c r="D3627">
        <v>0</v>
      </c>
    </row>
    <row r="3628" spans="1:4" x14ac:dyDescent="0.25">
      <c r="B3628" t="str">
        <f>HYPERLINK("https://www.chemistwarehouse.com.au/buy/80740/W7-Catwalk-Concealer-Fair"," W7 Catwalk Concealer Fair")</f>
        <v xml:space="preserve"> W7 Catwalk Concealer Fair</v>
      </c>
      <c r="C3628" t="s">
        <v>556</v>
      </c>
      <c r="D3628">
        <v>0</v>
      </c>
    </row>
    <row r="3629" spans="1:4" x14ac:dyDescent="0.25">
      <c r="B3629" t="str">
        <f>HYPERLINK("https://www.chemistwarehouse.com.au/buy/80741/W7-Catwalk-Concealer-Light"," W7 Catwalk Concealer Light")</f>
        <v xml:space="preserve"> W7 Catwalk Concealer Light</v>
      </c>
      <c r="C3629" t="s">
        <v>556</v>
      </c>
      <c r="D3629">
        <v>0</v>
      </c>
    </row>
    <row r="3630" spans="1:4" x14ac:dyDescent="0.25">
      <c r="B3630" t="str">
        <f>HYPERLINK("https://www.chemistwarehouse.com.au/buy/80742/W7-Catwalk-Concealer-Medium"," W7 Catwalk Concealer Medium")</f>
        <v xml:space="preserve"> W7 Catwalk Concealer Medium</v>
      </c>
      <c r="C3630" t="s">
        <v>556</v>
      </c>
      <c r="D3630">
        <v>0</v>
      </c>
    </row>
    <row r="3631" spans="1:4" x14ac:dyDescent="0.25">
      <c r="B3631" t="str">
        <f>HYPERLINK("https://www.chemistwarehouse.com.au/buy/80743/W7-Hide-It-Concealer-Light-Medium"," W7 Hide It Concealer Light/Medium")</f>
        <v xml:space="preserve"> W7 Hide It Concealer Light/Medium</v>
      </c>
      <c r="C3631" t="s">
        <v>556</v>
      </c>
      <c r="D3631">
        <v>0</v>
      </c>
    </row>
    <row r="3632" spans="1:4" x14ac:dyDescent="0.25">
      <c r="B3632" t="str">
        <f>HYPERLINK("https://www.chemistwarehouse.com.au/buy/80744/W7-Hide-It-Concealer-Medium-Deep"," W7 Hide It Concealer Medium/Deep")</f>
        <v xml:space="preserve"> W7 Hide It Concealer Medium/Deep</v>
      </c>
      <c r="C3632" t="s">
        <v>556</v>
      </c>
      <c r="D3632">
        <v>0</v>
      </c>
    </row>
    <row r="3633" spans="1:4" x14ac:dyDescent="0.25">
      <c r="B3633" t="str">
        <f>HYPERLINK("https://www.chemistwarehouse.com.au/buy/80745/W7-Skin-Fresh-Concealer-Fair"," W7 Skin Fresh Concealer Fair")</f>
        <v xml:space="preserve"> W7 Skin Fresh Concealer Fair</v>
      </c>
      <c r="C3633" t="s">
        <v>556</v>
      </c>
      <c r="D3633">
        <v>0</v>
      </c>
    </row>
    <row r="3634" spans="1:4" x14ac:dyDescent="0.25">
      <c r="B3634" t="str">
        <f>HYPERLINK("https://www.chemistwarehouse.com.au/buy/80746/W7-Skin-Fresh-Concealer-Medium"," W7 Skin Fresh Concealer Medium")</f>
        <v xml:space="preserve"> W7 Skin Fresh Concealer Medium</v>
      </c>
      <c r="C3634" t="s">
        <v>556</v>
      </c>
      <c r="D3634">
        <v>0</v>
      </c>
    </row>
    <row r="3635" spans="1:4" x14ac:dyDescent="0.25">
      <c r="B3635" t="str">
        <f>HYPERLINK("https://www.chemistwarehouse.com.au/buy/80747/W7-Tea-Tree-Concealer-Light-Medium"," W7 Tea Tree Concealer Light/Medium")</f>
        <v xml:space="preserve"> W7 Tea Tree Concealer Light/Medium</v>
      </c>
      <c r="C3635" t="s">
        <v>556</v>
      </c>
      <c r="D3635">
        <v>0</v>
      </c>
    </row>
    <row r="3636" spans="1:4" x14ac:dyDescent="0.25">
      <c r="B3636" t="str">
        <f>HYPERLINK("https://www.chemistwarehouse.com.au/buy/80748/W7-Tea-Tree-Concealer-Medium-Deep"," W7 Tea Tree Concealer Medium/Deep")</f>
        <v xml:space="preserve"> W7 Tea Tree Concealer Medium/Deep</v>
      </c>
      <c r="C3636" t="s">
        <v>556</v>
      </c>
      <c r="D3636">
        <v>0</v>
      </c>
    </row>
    <row r="3637" spans="1:4" x14ac:dyDescent="0.25">
      <c r="B3637" t="str">
        <f>HYPERLINK("https://www.chemistwarehouse.com.au/buy/80749/W7-Tinted-Moisturiser"," W7 Tinted Moisturiser")</f>
        <v xml:space="preserve"> W7 Tinted Moisturiser</v>
      </c>
      <c r="C3637" t="s">
        <v>556</v>
      </c>
      <c r="D3637">
        <v>0</v>
      </c>
    </row>
    <row r="3638" spans="1:4" x14ac:dyDescent="0.25">
      <c r="A3638" t="s">
        <v>1109</v>
      </c>
    </row>
    <row r="3639" spans="1:4" x14ac:dyDescent="0.25">
      <c r="B3639" t="str">
        <f>HYPERLINK("https://www.chemistwarehouse.com.au/buy/75306/W7-Bronzing-Pearls"," W7 Bronzing Pearls")</f>
        <v xml:space="preserve"> W7 Bronzing Pearls</v>
      </c>
      <c r="C3639" t="s">
        <v>556</v>
      </c>
      <c r="D3639">
        <v>0</v>
      </c>
    </row>
    <row r="3640" spans="1:4" x14ac:dyDescent="0.25">
      <c r="B3640" t="str">
        <f>HYPERLINK("https://www.chemistwarehouse.com.au/buy/80768/W7-Africa-Bronzer"," W7 Africa Bronzer")</f>
        <v xml:space="preserve"> W7 Africa Bronzer</v>
      </c>
      <c r="C3640" t="s">
        <v>556</v>
      </c>
      <c r="D3640">
        <v>0</v>
      </c>
    </row>
    <row r="3641" spans="1:4" x14ac:dyDescent="0.25">
      <c r="B3641" t="str">
        <f>HYPERLINK("https://www.chemistwarehouse.com.au/buy/80769/W7-Honolulu-Pressed-Bronzer"," W7 Honolulu Pressed Bronzer")</f>
        <v xml:space="preserve"> W7 Honolulu Pressed Bronzer</v>
      </c>
      <c r="C3641" t="s">
        <v>556</v>
      </c>
      <c r="D3641">
        <v>0</v>
      </c>
    </row>
    <row r="3642" spans="1:4" x14ac:dyDescent="0.25">
      <c r="B3642" t="str">
        <f>HYPERLINK("https://www.chemistwarehouse.com.au/buy/80770/W7-The-Bronzer-Matte-Compact"," W7 The Bronzer Matte Compact")</f>
        <v xml:space="preserve"> W7 The Bronzer Matte Compact</v>
      </c>
      <c r="C3642" t="s">
        <v>556</v>
      </c>
      <c r="D3642">
        <v>0</v>
      </c>
    </row>
    <row r="3643" spans="1:4" x14ac:dyDescent="0.25">
      <c r="A3643" t="s">
        <v>1110</v>
      </c>
    </row>
    <row r="3644" spans="1:4" x14ac:dyDescent="0.25">
      <c r="B3644" t="str">
        <f>HYPERLINK("https://www.chemistwarehouse.com.au/buy/80707/W7-Anti-Redness-Prime-Magic-Primer"," W7 Anti Redness Prime Magic Primer")</f>
        <v xml:space="preserve"> W7 Anti Redness Prime Magic Primer</v>
      </c>
      <c r="C3644" t="s">
        <v>556</v>
      </c>
      <c r="D3644">
        <v>0</v>
      </c>
    </row>
    <row r="3645" spans="1:4" x14ac:dyDescent="0.25">
      <c r="B3645" t="str">
        <f>HYPERLINK("https://www.chemistwarehouse.com.au/buy/80708/W7-Prime-And-Glow-Primer"," W7 Prime And Glow Primer")</f>
        <v xml:space="preserve"> W7 Prime And Glow Primer</v>
      </c>
      <c r="C3645" t="s">
        <v>556</v>
      </c>
      <c r="D3645">
        <v>0</v>
      </c>
    </row>
    <row r="3646" spans="1:4" x14ac:dyDescent="0.25">
      <c r="A3646" t="s">
        <v>1111</v>
      </c>
    </row>
    <row r="3647" spans="1:4" x14ac:dyDescent="0.25">
      <c r="B3647" t="str">
        <f>HYPERLINK("https://www.chemistwarehouse.com.au/buy/80710/W7-Catwalk-Perfection-Cream-Compact-Foundation-Biscuit"," W7 Catwalk Perfection Cream Compact Foundation Biscuit")</f>
        <v xml:space="preserve"> W7 Catwalk Perfection Cream Compact Foundation Biscuit</v>
      </c>
      <c r="C3647" t="s">
        <v>556</v>
      </c>
      <c r="D3647">
        <v>0</v>
      </c>
    </row>
    <row r="3648" spans="1:4" x14ac:dyDescent="0.25">
      <c r="B3648" t="str">
        <f>HYPERLINK("https://www.chemistwarehouse.com.au/buy/80711/W7-Catwalk-Perfection-Cream-Compact-Foundation-Honey"," W7 Catwalk Perfection Cream Compact Foundation Honey")</f>
        <v xml:space="preserve"> W7 Catwalk Perfection Cream Compact Foundation Honey</v>
      </c>
      <c r="C3648" t="s">
        <v>556</v>
      </c>
      <c r="D3648">
        <v>0</v>
      </c>
    </row>
    <row r="3649" spans="2:4" x14ac:dyDescent="0.25">
      <c r="B3649" t="str">
        <f>HYPERLINK("https://www.chemistwarehouse.com.au/buy/80719/W7-HD-Foundation-Natural-Beige"," W7 HD Foundation Natural Beige")</f>
        <v xml:space="preserve"> W7 HD Foundation Natural Beige</v>
      </c>
      <c r="C3649" t="s">
        <v>556</v>
      </c>
      <c r="D3649">
        <v>0</v>
      </c>
    </row>
    <row r="3650" spans="2:4" x14ac:dyDescent="0.25">
      <c r="B3650" t="str">
        <f>HYPERLINK("https://www.chemistwarehouse.com.au/buy/80720/W7-HD-Foundation-Natural-Tan"," W7 HD Foundation Natural Tan")</f>
        <v xml:space="preserve"> W7 HD Foundation Natural Tan</v>
      </c>
      <c r="C3650" t="s">
        <v>556</v>
      </c>
      <c r="D3650">
        <v>0</v>
      </c>
    </row>
    <row r="3651" spans="2:4" x14ac:dyDescent="0.25">
      <c r="B3651" t="str">
        <f>HYPERLINK("https://www.chemistwarehouse.com.au/buy/80721/W7-HD-Foundation-Sand-Beige"," W7 HD Foundation Sand Beige")</f>
        <v xml:space="preserve"> W7 HD Foundation Sand Beige</v>
      </c>
      <c r="C3651" t="s">
        <v>556</v>
      </c>
      <c r="D3651">
        <v>0</v>
      </c>
    </row>
    <row r="3652" spans="2:4" x14ac:dyDescent="0.25">
      <c r="B3652" t="str">
        <f>HYPERLINK("https://www.chemistwarehouse.com.au/buy/80722/W7-HD-Foundation-True-Beige"," W7 HD Foundation True Beige")</f>
        <v xml:space="preserve"> W7 HD Foundation True Beige</v>
      </c>
      <c r="C3652" t="s">
        <v>556</v>
      </c>
      <c r="D3652">
        <v>0</v>
      </c>
    </row>
    <row r="3653" spans="2:4" x14ac:dyDescent="0.25">
      <c r="B3653" t="str">
        <f>HYPERLINK("https://www.chemistwarehouse.com.au/buy/80728/W7-Powder-Puff-Mini"," W7 Powder Puff Mini")</f>
        <v xml:space="preserve"> W7 Powder Puff Mini</v>
      </c>
      <c r="C3653" t="s">
        <v>556</v>
      </c>
      <c r="D3653">
        <v>0</v>
      </c>
    </row>
    <row r="3654" spans="2:4" x14ac:dyDescent="0.25">
      <c r="B3654" t="str">
        <f>HYPERLINK("https://www.chemistwarehouse.com.au/buy/80729/W7-Sheer-Colour-Foundation-Biscuit"," W7 Sheer Colour Foundation Biscuit")</f>
        <v xml:space="preserve"> W7 Sheer Colour Foundation Biscuit</v>
      </c>
      <c r="C3654" t="s">
        <v>556</v>
      </c>
      <c r="D3654">
        <v>0</v>
      </c>
    </row>
    <row r="3655" spans="2:4" x14ac:dyDescent="0.25">
      <c r="B3655" t="str">
        <f>HYPERLINK("https://www.chemistwarehouse.com.au/buy/80730/W7-Sheer-Colour-Foundation-Natural-Beige-Honey"," W7 Sheer Colour Foundation Natural Beige/Honey")</f>
        <v xml:space="preserve"> W7 Sheer Colour Foundation Natural Beige/Honey</v>
      </c>
      <c r="C3655" t="s">
        <v>556</v>
      </c>
      <c r="D3655">
        <v>0</v>
      </c>
    </row>
    <row r="3656" spans="2:4" x14ac:dyDescent="0.25">
      <c r="B3656" t="str">
        <f>HYPERLINK("https://www.chemistwarehouse.com.au/buy/80731/W7-Sheer-Colour-Foundation-Nude"," W7 Sheer Colour Foundation Nude")</f>
        <v xml:space="preserve"> W7 Sheer Colour Foundation Nude</v>
      </c>
      <c r="C3656" t="s">
        <v>556</v>
      </c>
      <c r="D3656">
        <v>0</v>
      </c>
    </row>
    <row r="3657" spans="2:4" x14ac:dyDescent="0.25">
      <c r="B3657" t="str">
        <f>HYPERLINK("https://www.chemistwarehouse.com.au/buy/80732/W7-Sheer-Colour-Foundation-Sand"," W7 Sheer Colour Foundation Sand")</f>
        <v xml:space="preserve"> W7 Sheer Colour Foundation Sand</v>
      </c>
      <c r="C3657" t="s">
        <v>556</v>
      </c>
      <c r="D3657">
        <v>0</v>
      </c>
    </row>
    <row r="3658" spans="2:4" x14ac:dyDescent="0.25">
      <c r="B3658" t="str">
        <f>HYPERLINK("https://www.chemistwarehouse.com.au/buy/80733/W7-Skin-Fresh-Foundation-Cameo-Beige"," W7 Skin Fresh Foundation Cameo Beige")</f>
        <v xml:space="preserve"> W7 Skin Fresh Foundation Cameo Beige</v>
      </c>
      <c r="C3658" t="s">
        <v>556</v>
      </c>
      <c r="D3658">
        <v>0</v>
      </c>
    </row>
    <row r="3659" spans="2:4" x14ac:dyDescent="0.25">
      <c r="B3659" t="str">
        <f>HYPERLINK("https://www.chemistwarehouse.com.au/buy/80734/W7-Skin-Fresh-Foundation-Fawn-Beige"," W7 Skin Fresh Foundation Fawn Beige")</f>
        <v xml:space="preserve"> W7 Skin Fresh Foundation Fawn Beige</v>
      </c>
      <c r="C3659" t="s">
        <v>556</v>
      </c>
      <c r="D3659">
        <v>0</v>
      </c>
    </row>
    <row r="3660" spans="2:4" x14ac:dyDescent="0.25">
      <c r="B3660" t="str">
        <f>HYPERLINK("https://www.chemistwarehouse.com.au/buy/80735/W7-Skin-Fresh-Foundation-Golden-Beige"," W7 Skin Fresh Foundation Golden Beige")</f>
        <v xml:space="preserve"> W7 Skin Fresh Foundation Golden Beige</v>
      </c>
      <c r="C3660" t="s">
        <v>556</v>
      </c>
      <c r="D3660">
        <v>0</v>
      </c>
    </row>
    <row r="3661" spans="2:4" x14ac:dyDescent="0.25">
      <c r="B3661" t="str">
        <f>HYPERLINK("https://www.chemistwarehouse.com.au/buy/80736/W7-Skin-Fresh-Foundation-Nude-Beige"," W7 Skin Fresh Foundation Nude Beige")</f>
        <v xml:space="preserve"> W7 Skin Fresh Foundation Nude Beige</v>
      </c>
      <c r="C3661" t="s">
        <v>556</v>
      </c>
      <c r="D3661">
        <v>0</v>
      </c>
    </row>
    <row r="3662" spans="2:4" x14ac:dyDescent="0.25">
      <c r="B3662" t="str">
        <f>HYPERLINK("https://www.chemistwarehouse.com.au/buy/80737/W7-Skin-Fresh-Foundation-Sand-Beige"," W7 Skin Fresh Foundation Sand Beige")</f>
        <v xml:space="preserve"> W7 Skin Fresh Foundation Sand Beige</v>
      </c>
      <c r="C3662" t="s">
        <v>556</v>
      </c>
      <c r="D3662">
        <v>0</v>
      </c>
    </row>
    <row r="3663" spans="2:4" x14ac:dyDescent="0.25">
      <c r="B3663" t="str">
        <f>HYPERLINK("https://www.chemistwarehouse.com.au/buy/80709/W7-Catwalk-Perfection-Cream-Compact-Foundation-Beige"," W7 Catwalk Perfection Cream Compact Foundation Beige")</f>
        <v xml:space="preserve"> W7 Catwalk Perfection Cream Compact Foundation Beige</v>
      </c>
      <c r="C3663" t="s">
        <v>556</v>
      </c>
      <c r="D3663">
        <v>0</v>
      </c>
    </row>
    <row r="3664" spans="2:4" x14ac:dyDescent="0.25">
      <c r="B3664" t="str">
        <f>HYPERLINK("https://www.chemistwarehouse.com.au/buy/80723/W7-Photoshoot-Foundation-Buff"," W7 Photoshoot Foundation Buff")</f>
        <v xml:space="preserve"> W7 Photoshoot Foundation Buff</v>
      </c>
      <c r="C3664" t="s">
        <v>556</v>
      </c>
      <c r="D3664">
        <v>0</v>
      </c>
    </row>
    <row r="3665" spans="1:4" x14ac:dyDescent="0.25">
      <c r="B3665" t="str">
        <f>HYPERLINK("https://www.chemistwarehouse.com.au/buy/80724/W7-Photoshoot-Foundation-Natural-Beige"," W7 Photoshoot Foundation Natural Beige")</f>
        <v xml:space="preserve"> W7 Photoshoot Foundation Natural Beige</v>
      </c>
      <c r="C3665" t="s">
        <v>556</v>
      </c>
      <c r="D3665">
        <v>0</v>
      </c>
    </row>
    <row r="3666" spans="1:4" x14ac:dyDescent="0.25">
      <c r="B3666" t="str">
        <f>HYPERLINK("https://www.chemistwarehouse.com.au/buy/80725/W7-Photoshoot-Foundation-Natural-Tan"," W7 Photoshoot Foundation Natural Tan")</f>
        <v xml:space="preserve"> W7 Photoshoot Foundation Natural Tan</v>
      </c>
      <c r="C3666" t="s">
        <v>556</v>
      </c>
      <c r="D3666">
        <v>0</v>
      </c>
    </row>
    <row r="3667" spans="1:4" x14ac:dyDescent="0.25">
      <c r="B3667" t="str">
        <f>HYPERLINK("https://www.chemistwarehouse.com.au/buy/80726/W7-Photoshoot-Foundation-Sand-Beige"," W7 Photoshoot Foundation Sand Beige")</f>
        <v xml:space="preserve"> W7 Photoshoot Foundation Sand Beige</v>
      </c>
      <c r="C3667" t="s">
        <v>556</v>
      </c>
      <c r="D3667">
        <v>0</v>
      </c>
    </row>
    <row r="3668" spans="1:4" x14ac:dyDescent="0.25">
      <c r="B3668" t="str">
        <f>HYPERLINK("https://www.chemistwarehouse.com.au/buy/80727/W7-Photoshoot-Foundation-True-Beige"," W7 Photoshoot Foundation True Beige")</f>
        <v xml:space="preserve"> W7 Photoshoot Foundation True Beige</v>
      </c>
      <c r="C3668" t="s">
        <v>556</v>
      </c>
      <c r="D3668">
        <v>0</v>
      </c>
    </row>
    <row r="3669" spans="1:4" x14ac:dyDescent="0.25">
      <c r="B3669" t="str">
        <f>HYPERLINK("https://www.chemistwarehouse.com.au/buy/80712/W7-Fantastic-Matte-Foundation"," W7 Fantastic Matte Foundation")</f>
        <v xml:space="preserve"> W7 Fantastic Matte Foundation</v>
      </c>
      <c r="C3669" t="s">
        <v>556</v>
      </c>
      <c r="D3669">
        <v>0</v>
      </c>
    </row>
    <row r="3670" spans="1:4" x14ac:dyDescent="0.25">
      <c r="B3670" t="str">
        <f>HYPERLINK("https://www.chemistwarehouse.com.au/buy/80713/W7-Genius-Foundation-Buff"," W7 Genius Foundation Buff")</f>
        <v xml:space="preserve"> W7 Genius Foundation Buff</v>
      </c>
      <c r="C3670" t="s">
        <v>556</v>
      </c>
      <c r="D3670">
        <v>0</v>
      </c>
    </row>
    <row r="3671" spans="1:4" x14ac:dyDescent="0.25">
      <c r="A3671" t="s">
        <v>1112</v>
      </c>
    </row>
    <row r="3672" spans="1:4" x14ac:dyDescent="0.25">
      <c r="B3672" t="str">
        <f>HYPERLINK("https://www.chemistwarehouse.com.au/buy/80756/W7-Sheer-Loose-Powder-Biscuit"," W7 Sheer Loose Powder Biscuit")</f>
        <v xml:space="preserve"> W7 Sheer Loose Powder Biscuit</v>
      </c>
      <c r="C3672" t="s">
        <v>556</v>
      </c>
      <c r="D3672">
        <v>0</v>
      </c>
    </row>
    <row r="3673" spans="1:4" x14ac:dyDescent="0.25">
      <c r="B3673" t="str">
        <f>HYPERLINK("https://www.chemistwarehouse.com.au/buy/80759/W7-Sheer-Loose-Powder-Natural-Beige"," W7 Sheer Loose Powder Natural Beige")</f>
        <v xml:space="preserve"> W7 Sheer Loose Powder Natural Beige</v>
      </c>
      <c r="C3673" t="s">
        <v>556</v>
      </c>
      <c r="D3673">
        <v>0</v>
      </c>
    </row>
    <row r="3674" spans="1:4" x14ac:dyDescent="0.25">
      <c r="B3674" t="str">
        <f>HYPERLINK("https://www.chemistwarehouse.com.au/buy/80757/W7-Sheer-Loose-Powder-Honey"," W7 Sheer Loose Powder Honey")</f>
        <v xml:space="preserve"> W7 Sheer Loose Powder Honey</v>
      </c>
      <c r="C3674" t="s">
        <v>556</v>
      </c>
      <c r="D3674">
        <v>0</v>
      </c>
    </row>
    <row r="3675" spans="1:4" x14ac:dyDescent="0.25">
      <c r="B3675" t="str">
        <f>HYPERLINK("https://www.chemistwarehouse.com.au/buy/80758/W7-Sheer-Loose-Powder-Ivory"," W7 Sheer Loose Powder Ivory")</f>
        <v xml:space="preserve"> W7 Sheer Loose Powder Ivory</v>
      </c>
      <c r="C3675" t="s">
        <v>556</v>
      </c>
      <c r="D3675">
        <v>0</v>
      </c>
    </row>
    <row r="3676" spans="1:4" x14ac:dyDescent="0.25">
      <c r="B3676" t="str">
        <f>HYPERLINK("https://www.chemistwarehouse.com.au/buy/80750/W7-Banana-Dreams-Powder"," W7 Banana Dreams Powder")</f>
        <v xml:space="preserve"> W7 Banana Dreams Powder</v>
      </c>
      <c r="C3676" t="s">
        <v>556</v>
      </c>
      <c r="D3676">
        <v>0</v>
      </c>
    </row>
    <row r="3677" spans="1:4" x14ac:dyDescent="0.25">
      <c r="B3677" t="str">
        <f>HYPERLINK("https://www.chemistwarehouse.com.au/buy/80751/W7-Honolulu-Loose-Powder"," W7 Honolulu Loose Powder")</f>
        <v xml:space="preserve"> W7 Honolulu Loose Powder</v>
      </c>
      <c r="C3677" t="s">
        <v>556</v>
      </c>
      <c r="D3677">
        <v>0</v>
      </c>
    </row>
    <row r="3678" spans="1:4" x14ac:dyDescent="0.25">
      <c r="B3678" t="str">
        <f>HYPERLINK("https://www.chemistwarehouse.com.au/buy/80752/W7-Puff-Perfection-Cream-Powder-Compact-Medium"," W7 Puff Perfection Cream Powder Compact Medium")</f>
        <v xml:space="preserve"> W7 Puff Perfection Cream Powder Compact Medium</v>
      </c>
      <c r="C3678" t="s">
        <v>556</v>
      </c>
      <c r="D3678">
        <v>0</v>
      </c>
    </row>
    <row r="3679" spans="1:4" x14ac:dyDescent="0.25">
      <c r="B3679" t="str">
        <f>HYPERLINK("https://www.chemistwarehouse.com.au/buy/80753/W7-Puff-Perfection-Cream-Powder-Compact-New-Beige"," W7 Puff Perfection Cream Powder Compact New Beige")</f>
        <v xml:space="preserve"> W7 Puff Perfection Cream Powder Compact New Beige</v>
      </c>
      <c r="C3679" t="s">
        <v>556</v>
      </c>
      <c r="D3679">
        <v>0</v>
      </c>
    </row>
    <row r="3680" spans="1:4" x14ac:dyDescent="0.25">
      <c r="B3680" t="str">
        <f>HYPERLINK("https://www.chemistwarehouse.com.au/buy/80754/W7-Puff-Perfection-Cream-Powder-Compact-Translucent"," W7 Puff Perfection Cream Powder Compact Translucent")</f>
        <v xml:space="preserve"> W7 Puff Perfection Cream Powder Compact Translucent</v>
      </c>
      <c r="C3680" t="s">
        <v>556</v>
      </c>
      <c r="D3680">
        <v>0</v>
      </c>
    </row>
    <row r="3681" spans="1:4" x14ac:dyDescent="0.25">
      <c r="B3681" t="str">
        <f>HYPERLINK("https://www.chemistwarehouse.com.au/buy/80755/W7-Puff-Perfection-Cream-Powder-Compact-True-Touch"," W7 Puff Perfection Cream Powder Compact True Touch")</f>
        <v xml:space="preserve"> W7 Puff Perfection Cream Powder Compact True Touch</v>
      </c>
      <c r="C3681" t="s">
        <v>556</v>
      </c>
      <c r="D3681">
        <v>0</v>
      </c>
    </row>
    <row r="3682" spans="1:4" x14ac:dyDescent="0.25">
      <c r="A3682" t="s">
        <v>1113</v>
      </c>
    </row>
    <row r="3683" spans="1:4" x14ac:dyDescent="0.25">
      <c r="B3683" t="str">
        <f>HYPERLINK("https://www.chemistwarehouse.com.au/buy/80764/W7-Powder-Blusher-Baby-Pink"," W7 Powder Blusher Baby Pink")</f>
        <v xml:space="preserve"> W7 Powder Blusher Baby Pink</v>
      </c>
      <c r="C3683" t="s">
        <v>556</v>
      </c>
      <c r="D3683">
        <v>0</v>
      </c>
    </row>
    <row r="3684" spans="1:4" x14ac:dyDescent="0.25">
      <c r="B3684" t="str">
        <f>HYPERLINK("https://www.chemistwarehouse.com.au/buy/80766/W7-Powder-Blusher-Rose"," W7 Powder Blusher Rose")</f>
        <v xml:space="preserve"> W7 Powder Blusher Rose</v>
      </c>
      <c r="C3684" t="s">
        <v>556</v>
      </c>
      <c r="D3684">
        <v>0</v>
      </c>
    </row>
    <row r="3685" spans="1:4" x14ac:dyDescent="0.25">
      <c r="B3685" t="str">
        <f>HYPERLINK("https://www.chemistwarehouse.com.au/buy/80767/W7-Powder-Blusher-Tawny"," W7 Powder Blusher Tawny")</f>
        <v xml:space="preserve"> W7 Powder Blusher Tawny</v>
      </c>
      <c r="C3685" t="s">
        <v>556</v>
      </c>
      <c r="D3685">
        <v>0</v>
      </c>
    </row>
    <row r="3686" spans="1:4" x14ac:dyDescent="0.25">
      <c r="B3686" t="str">
        <f>HYPERLINK("https://www.chemistwarehouse.com.au/buy/80765/W7-Powder-Blusher-Nude-Kiss"," W7 Powder Blusher Nude Kiss")</f>
        <v xml:space="preserve"> W7 Powder Blusher Nude Kiss</v>
      </c>
      <c r="C3686" t="s">
        <v>556</v>
      </c>
      <c r="D3686">
        <v>0</v>
      </c>
    </row>
    <row r="3687" spans="1:4" x14ac:dyDescent="0.25">
      <c r="B3687" t="str">
        <f>HYPERLINK("https://www.chemistwarehouse.com.au/buy/80760/W7-Duo-Blusher-1"," W7 Duo Blusher 1")</f>
        <v xml:space="preserve"> W7 Duo Blusher 1</v>
      </c>
      <c r="C3687" t="s">
        <v>556</v>
      </c>
      <c r="D3687">
        <v>0</v>
      </c>
    </row>
    <row r="3688" spans="1:4" x14ac:dyDescent="0.25">
      <c r="B3688" t="str">
        <f>HYPERLINK("https://www.chemistwarehouse.com.au/buy/80761/W7-Duo-Blusher-2"," W7 Duo Blusher 2")</f>
        <v xml:space="preserve"> W7 Duo Blusher 2</v>
      </c>
      <c r="C3688" t="s">
        <v>556</v>
      </c>
      <c r="D3688">
        <v>0</v>
      </c>
    </row>
    <row r="3689" spans="1:4" x14ac:dyDescent="0.25">
      <c r="B3689" t="str">
        <f>HYPERLINK("https://www.chemistwarehouse.com.au/buy/80762/W7-Duo-Blusher-3"," W7 Duo Blusher 3")</f>
        <v xml:space="preserve"> W7 Duo Blusher 3</v>
      </c>
      <c r="C3689" t="s">
        <v>556</v>
      </c>
      <c r="D3689">
        <v>0</v>
      </c>
    </row>
    <row r="3690" spans="1:4" x14ac:dyDescent="0.25">
      <c r="B3690" t="str">
        <f>HYPERLINK("https://www.chemistwarehouse.com.au/buy/80763/W7-Duo-Blusher-4"," W7 Duo Blusher 4")</f>
        <v xml:space="preserve"> W7 Duo Blusher 4</v>
      </c>
      <c r="C3690" t="s">
        <v>556</v>
      </c>
      <c r="D3690">
        <v>0</v>
      </c>
    </row>
    <row r="3691" spans="1:4" x14ac:dyDescent="0.25">
      <c r="A3691" t="s">
        <v>1114</v>
      </c>
    </row>
    <row r="3692" spans="1:4" x14ac:dyDescent="0.25">
      <c r="B3692" t="str">
        <f>HYPERLINK("https://www.chemistwarehouse.com.au/buy/80771/W7-Glowcomotion-Compact"," W7 Glowcomotion Compact")</f>
        <v xml:space="preserve"> W7 Glowcomotion Compact</v>
      </c>
      <c r="C3692" t="s">
        <v>556</v>
      </c>
      <c r="D3692">
        <v>0</v>
      </c>
    </row>
    <row r="3693" spans="1:4" x14ac:dyDescent="0.25">
      <c r="A3693" t="s">
        <v>1115</v>
      </c>
    </row>
    <row r="3694" spans="1:4" x14ac:dyDescent="0.25">
      <c r="B3694" t="str">
        <f>HYPERLINK("https://www.chemistwarehouse.com.au/buy/80772/W7-The-Cheeky-Trio-Cheek-Kit"," W7 The Cheeky Trio Cheek Kit")</f>
        <v xml:space="preserve"> W7 The Cheeky Trio Cheek Kit</v>
      </c>
      <c r="C3694" t="s">
        <v>45</v>
      </c>
      <c r="D3694">
        <v>0</v>
      </c>
    </row>
    <row r="3695" spans="1:4" x14ac:dyDescent="0.25">
      <c r="A3695" t="s">
        <v>1116</v>
      </c>
    </row>
    <row r="3696" spans="1:4" x14ac:dyDescent="0.25">
      <c r="B3696" t="str">
        <f>HYPERLINK("https://www.chemistwarehouse.com.au/buy/65034/W7-Paintbox-77-Shades-Eyeshadows"," W7 Paintbox 77 Shades Eyeshadows")</f>
        <v xml:space="preserve"> W7 Paintbox 77 Shades Eyeshadows</v>
      </c>
      <c r="C3696" t="s">
        <v>45</v>
      </c>
      <c r="D3696">
        <v>0</v>
      </c>
    </row>
    <row r="3697" spans="2:4" x14ac:dyDescent="0.25">
      <c r="B3697" t="str">
        <f>HYPERLINK("https://www.chemistwarehouse.com.au/buy/80786/W7-London-Eyes-Eyeshadow-Palette"," W7 London Eyes Eyeshadow Palette")</f>
        <v xml:space="preserve"> W7 London Eyes Eyeshadow Palette</v>
      </c>
      <c r="C3697" t="s">
        <v>556</v>
      </c>
      <c r="D3697">
        <v>0</v>
      </c>
    </row>
    <row r="3698" spans="2:4" x14ac:dyDescent="0.25">
      <c r="B3698" t="str">
        <f>HYPERLINK("https://www.chemistwarehouse.com.au/buy/80787/W7-Smokin-Eye-Palette"," W7 Smokin Eye Palette")</f>
        <v xml:space="preserve"> W7 Smokin Eye Palette</v>
      </c>
      <c r="C3698" t="s">
        <v>45</v>
      </c>
      <c r="D3698">
        <v>0</v>
      </c>
    </row>
    <row r="3699" spans="2:4" x14ac:dyDescent="0.25">
      <c r="B3699" t="str">
        <f>HYPERLINK("https://www.chemistwarehouse.com.au/buy/74671/W7-In-The-Nude-Eyeshadow-Palette"," W7 In The Nude Eyeshadow Palette")</f>
        <v xml:space="preserve"> W7 In The Nude Eyeshadow Palette</v>
      </c>
      <c r="C3699" t="s">
        <v>45</v>
      </c>
      <c r="D3699">
        <v>0</v>
      </c>
    </row>
    <row r="3700" spans="2:4" x14ac:dyDescent="0.25">
      <c r="B3700" t="str">
        <f>HYPERLINK("https://www.chemistwarehouse.com.au/buy/80773/W7-Beat-It-Eye-Palette"," W7 Beat It Eye Palette")</f>
        <v xml:space="preserve"> W7 Beat It Eye Palette</v>
      </c>
      <c r="C3700" t="s">
        <v>45</v>
      </c>
      <c r="D3700">
        <v>0</v>
      </c>
    </row>
    <row r="3701" spans="2:4" x14ac:dyDescent="0.25">
      <c r="B3701" t="str">
        <f>HYPERLINK("https://www.chemistwarehouse.com.au/buy/80774/W7-Bronze-Queen"," W7 Bronze Queen")</f>
        <v xml:space="preserve"> W7 Bronze Queen</v>
      </c>
      <c r="C3701" t="s">
        <v>556</v>
      </c>
      <c r="D3701">
        <v>0</v>
      </c>
    </row>
    <row r="3702" spans="2:4" x14ac:dyDescent="0.25">
      <c r="B3702" t="str">
        <f>HYPERLINK("https://www.chemistwarehouse.com.au/buy/80788/W7-Yummy-Eyes-Eyeshadow-All-White"," W7 Yummy Eyes Eyeshadow All White")</f>
        <v xml:space="preserve"> W7 Yummy Eyes Eyeshadow All White</v>
      </c>
      <c r="C3702" t="s">
        <v>556</v>
      </c>
      <c r="D3702">
        <v>0</v>
      </c>
    </row>
    <row r="3703" spans="2:4" x14ac:dyDescent="0.25">
      <c r="B3703" t="str">
        <f>HYPERLINK("https://www.chemistwarehouse.com.au/buy/80789/W7-Yummy-Eyes-Eyeshadow-Burnt-Copper"," W7 Yummy Eyes Eyeshadow Burnt Copper")</f>
        <v xml:space="preserve"> W7 Yummy Eyes Eyeshadow Burnt Copper</v>
      </c>
      <c r="C3703" t="s">
        <v>556</v>
      </c>
      <c r="D3703">
        <v>0</v>
      </c>
    </row>
    <row r="3704" spans="2:4" x14ac:dyDescent="0.25">
      <c r="B3704" t="str">
        <f>HYPERLINK("https://www.chemistwarehouse.com.au/buy/80780/W7-Eyeshadow-Up-In-Smoke"," W7 Eyeshadow Up In Smoke")</f>
        <v xml:space="preserve"> W7 Eyeshadow Up In Smoke</v>
      </c>
      <c r="C3704" t="s">
        <v>45</v>
      </c>
      <c r="D3704">
        <v>0</v>
      </c>
    </row>
    <row r="3705" spans="2:4" x14ac:dyDescent="0.25">
      <c r="B3705" t="str">
        <f>HYPERLINK("https://www.chemistwarehouse.com.au/buy/80781/W7-In-The-Buff-Eyeshadow-Palette"," W7 In The Buff Eyeshadow Palette")</f>
        <v xml:space="preserve"> W7 In The Buff Eyeshadow Palette</v>
      </c>
      <c r="C3705" t="s">
        <v>45</v>
      </c>
      <c r="D3705">
        <v>0</v>
      </c>
    </row>
    <row r="3706" spans="2:4" x14ac:dyDescent="0.25">
      <c r="B3706" t="str">
        <f>HYPERLINK("https://www.chemistwarehouse.com.au/buy/80782/W7-In-The-City-Eyeshadow-Palette"," W7 In The City Eyeshadow Palette")</f>
        <v xml:space="preserve"> W7 In The City Eyeshadow Palette</v>
      </c>
      <c r="C3706" t="s">
        <v>45</v>
      </c>
      <c r="D3706">
        <v>0</v>
      </c>
    </row>
    <row r="3707" spans="2:4" x14ac:dyDescent="0.25">
      <c r="B3707" t="str">
        <f>HYPERLINK("https://www.chemistwarehouse.com.au/buy/80783/W7-In-The-Mood-Eyeshadow-Palette"," W7 In The Mood Eyeshadow Palette")</f>
        <v xml:space="preserve"> W7 In The Mood Eyeshadow Palette</v>
      </c>
      <c r="C3707" t="s">
        <v>45</v>
      </c>
      <c r="D3707">
        <v>0</v>
      </c>
    </row>
    <row r="3708" spans="2:4" x14ac:dyDescent="0.25">
      <c r="B3708" t="str">
        <f>HYPERLINK("https://www.chemistwarehouse.com.au/buy/80784/W7-In-The-Night-Eyeshadow-Palette"," W7 In The Night Eyeshadow Palette")</f>
        <v xml:space="preserve"> W7 In The Night Eyeshadow Palette</v>
      </c>
      <c r="C3708" t="s">
        <v>45</v>
      </c>
      <c r="D3708">
        <v>0</v>
      </c>
    </row>
    <row r="3709" spans="2:4" x14ac:dyDescent="0.25">
      <c r="B3709" t="str">
        <f>HYPERLINK("https://www.chemistwarehouse.com.au/buy/80785/W7-London-Eyes-3-Piece-Christmas-Set"," W7 London Eyes 3 Piece Christmas Set")</f>
        <v xml:space="preserve"> W7 London Eyes 3 Piece Christmas Set</v>
      </c>
      <c r="C3709" t="s">
        <v>45</v>
      </c>
      <c r="D3709">
        <v>0</v>
      </c>
    </row>
    <row r="3710" spans="2:4" x14ac:dyDescent="0.25">
      <c r="B3710" t="str">
        <f>HYPERLINK("https://www.chemistwarehouse.com.au/buy/74070/W7-Eye-Shadow-Naked-Nude"," W7 Eye Shadow Naked Nude")</f>
        <v xml:space="preserve"> W7 Eye Shadow Naked Nude</v>
      </c>
      <c r="C3710" t="s">
        <v>556</v>
      </c>
      <c r="D3710">
        <v>0</v>
      </c>
    </row>
    <row r="3711" spans="2:4" x14ac:dyDescent="0.25">
      <c r="B3711" t="str">
        <f>HYPERLINK("https://www.chemistwarehouse.com.au/buy/80791/W7-Yummy-Eyes-Eyeshadow-Gold-Dust"," W7 Yummy Eyes Eyeshadow Gold Dust")</f>
        <v xml:space="preserve"> W7 Yummy Eyes Eyeshadow Gold Dust</v>
      </c>
      <c r="C3711" t="s">
        <v>556</v>
      </c>
      <c r="D3711">
        <v>0</v>
      </c>
    </row>
    <row r="3712" spans="2:4" x14ac:dyDescent="0.25">
      <c r="B3712" t="str">
        <f>HYPERLINK("https://www.chemistwarehouse.com.au/buy/80790/W7-Yummy-Eyes-Eyeshadow-Cafe-Latte"," W7 Yummy Eyes Eyeshadow Cafe Latte")</f>
        <v xml:space="preserve"> W7 Yummy Eyes Eyeshadow Cafe Latte</v>
      </c>
      <c r="C3712" t="s">
        <v>556</v>
      </c>
      <c r="D3712">
        <v>0</v>
      </c>
    </row>
    <row r="3713" spans="1:4" x14ac:dyDescent="0.25">
      <c r="B3713" t="str">
        <f>HYPERLINK("https://www.chemistwarehouse.com.au/buy/80775/W7-Chunky-Eyes-Cappucino"," W7 Chunky Eyes Cappucino")</f>
        <v xml:space="preserve"> W7 Chunky Eyes Cappucino</v>
      </c>
      <c r="C3713" t="s">
        <v>556</v>
      </c>
      <c r="D3713">
        <v>0</v>
      </c>
    </row>
    <row r="3714" spans="1:4" x14ac:dyDescent="0.25">
      <c r="B3714" t="str">
        <f>HYPERLINK("https://www.chemistwarehouse.com.au/buy/80776/W7-Chunky-Eyes-Coffee"," W7 Chunky Eyes Coffee")</f>
        <v xml:space="preserve"> W7 Chunky Eyes Coffee</v>
      </c>
      <c r="C3714" t="s">
        <v>556</v>
      </c>
      <c r="D3714">
        <v>0</v>
      </c>
    </row>
    <row r="3715" spans="1:4" x14ac:dyDescent="0.25">
      <c r="B3715" t="str">
        <f>HYPERLINK("https://www.chemistwarehouse.com.au/buy/80777/W7-Chunky-Eyes-Latte"," W7 Chunky Eyes Latte")</f>
        <v xml:space="preserve"> W7 Chunky Eyes Latte</v>
      </c>
      <c r="C3715" t="s">
        <v>556</v>
      </c>
      <c r="D3715">
        <v>0</v>
      </c>
    </row>
    <row r="3716" spans="1:4" x14ac:dyDescent="0.25">
      <c r="B3716" t="str">
        <f>HYPERLINK("https://www.chemistwarehouse.com.au/buy/80778/W7-Chunky-Eyes-Mocha"," W7 Chunky Eyes Mocha")</f>
        <v xml:space="preserve"> W7 Chunky Eyes Mocha</v>
      </c>
      <c r="C3716" t="s">
        <v>556</v>
      </c>
      <c r="D3716">
        <v>0</v>
      </c>
    </row>
    <row r="3717" spans="1:4" x14ac:dyDescent="0.25">
      <c r="B3717" t="str">
        <f>HYPERLINK("https://www.chemistwarehouse.com.au/buy/80779/W7-Cool-Pastels-For-London-Natural-Nudes-Eye-Shadow-Palette"," W7 Cool Pastels For London Natural Nudes Eye Shadow Palette")</f>
        <v xml:space="preserve"> W7 Cool Pastels For London Natural Nudes Eye Shadow Palette</v>
      </c>
      <c r="C3717" t="s">
        <v>556</v>
      </c>
      <c r="D3717">
        <v>0</v>
      </c>
    </row>
    <row r="3718" spans="1:4" x14ac:dyDescent="0.25">
      <c r="A3718" t="s">
        <v>1117</v>
      </c>
    </row>
    <row r="3719" spans="1:4" x14ac:dyDescent="0.25">
      <c r="B3719" t="str">
        <f>HYPERLINK("https://www.chemistwarehouse.com.au/buy/80794/W7-Automatic-Fine-Eye-Liner"," W7 Automatic Fine Eye Liner")</f>
        <v xml:space="preserve"> W7 Automatic Fine Eye Liner</v>
      </c>
      <c r="C3719" t="s">
        <v>556</v>
      </c>
      <c r="D3719">
        <v>0</v>
      </c>
    </row>
    <row r="3720" spans="1:4" x14ac:dyDescent="0.25">
      <c r="B3720" t="str">
        <f>HYPERLINK("https://www.chemistwarehouse.com.au/buy/75307/W7-Deluxe-Gel-Eye-Pencil-Blackest-Black"," W7 Deluxe Gel Eye Pencil Blackest Black")</f>
        <v xml:space="preserve"> W7 Deluxe Gel Eye Pencil Blackest Black</v>
      </c>
      <c r="C3720" t="s">
        <v>556</v>
      </c>
      <c r="D3720">
        <v>0</v>
      </c>
    </row>
    <row r="3721" spans="1:4" x14ac:dyDescent="0.25">
      <c r="B3721" t="str">
        <f>HYPERLINK("https://www.chemistwarehouse.com.au/buy/75308/W7-Liquid-Eyeliner-Pot"," W7 Liquid Eyeliner Pot")</f>
        <v xml:space="preserve"> W7 Liquid Eyeliner Pot</v>
      </c>
      <c r="C3721" t="s">
        <v>556</v>
      </c>
      <c r="D3721">
        <v>0</v>
      </c>
    </row>
    <row r="3722" spans="1:4" x14ac:dyDescent="0.25">
      <c r="B3722" t="str">
        <f>HYPERLINK("https://www.chemistwarehouse.com.au/buy/75310/W7-Gel-Pencil-Blackest-Black"," W7 Gel Pencil Blackest Black")</f>
        <v xml:space="preserve"> W7 Gel Pencil Blackest Black</v>
      </c>
      <c r="C3722" t="s">
        <v>556</v>
      </c>
      <c r="D3722">
        <v>0</v>
      </c>
    </row>
    <row r="3723" spans="1:4" x14ac:dyDescent="0.25">
      <c r="B3723" t="str">
        <f>HYPERLINK("https://www.chemistwarehouse.com.au/buy/80792/W7-Automatic-Eyeliner-Pen-Waterproof-Black"," W7 Automatic Eyeliner Pen Waterproof Black")</f>
        <v xml:space="preserve"> W7 Automatic Eyeliner Pen Waterproof Black</v>
      </c>
      <c r="C3723" t="s">
        <v>556</v>
      </c>
      <c r="D3723">
        <v>0</v>
      </c>
    </row>
    <row r="3724" spans="1:4" x14ac:dyDescent="0.25">
      <c r="B3724" t="str">
        <f>HYPERLINK("https://www.chemistwarehouse.com.au/buy/80793/W7-Automatic-Eyeliner-Pencil-Black"," W7 Automatic Eyeliner Pencil Black")</f>
        <v xml:space="preserve"> W7 Automatic Eyeliner Pencil Black</v>
      </c>
      <c r="C3724" t="s">
        <v>556</v>
      </c>
      <c r="D3724">
        <v>0</v>
      </c>
    </row>
    <row r="3725" spans="1:4" x14ac:dyDescent="0.25">
      <c r="B3725" t="str">
        <f>HYPERLINK("https://www.chemistwarehouse.com.au/buy/80796/W7-Boom-Big-Bold-Crayon-Eyeliner-Black"," W7 Boom Big Bold Crayon Eyeliner Black")</f>
        <v xml:space="preserve"> W7 Boom Big Bold Crayon Eyeliner Black</v>
      </c>
      <c r="C3725" t="s">
        <v>556</v>
      </c>
      <c r="D3725">
        <v>0</v>
      </c>
    </row>
    <row r="3726" spans="1:4" x14ac:dyDescent="0.25">
      <c r="B3726" t="str">
        <f>HYPERLINK("https://www.chemistwarehouse.com.au/buy/80797/W7-Super-Duo-Eyeliner-Blackest-Black"," W7 Super Duo Eyeliner Blackest Black")</f>
        <v xml:space="preserve"> W7 Super Duo Eyeliner Blackest Black</v>
      </c>
      <c r="C3726" t="s">
        <v>556</v>
      </c>
      <c r="D3726">
        <v>0</v>
      </c>
    </row>
    <row r="3727" spans="1:4" x14ac:dyDescent="0.25">
      <c r="B3727" t="str">
        <f>HYPERLINK("https://www.chemistwarehouse.com.au/buy/80798/W7-Twist-And-Shape-Combi-Eye-Pencil-Blonde"," W7 Twist And Shape Combi Eye Pencil Blonde")</f>
        <v xml:space="preserve"> W7 Twist And Shape Combi Eye Pencil Blonde</v>
      </c>
      <c r="C3727" t="s">
        <v>556</v>
      </c>
      <c r="D3727">
        <v>0</v>
      </c>
    </row>
    <row r="3728" spans="1:4" x14ac:dyDescent="0.25">
      <c r="B3728" t="str">
        <f>HYPERLINK("https://www.chemistwarehouse.com.au/buy/80799/W7-Twist-And-Shape-Combi-Eye-Pencil-Brown"," W7 Twist And Shape Combi Eye Pencil Brown")</f>
        <v xml:space="preserve"> W7 Twist And Shape Combi Eye Pencil Brown</v>
      </c>
      <c r="C3728" t="s">
        <v>556</v>
      </c>
      <c r="D3728">
        <v>0</v>
      </c>
    </row>
    <row r="3729" spans="1:4" x14ac:dyDescent="0.25">
      <c r="B3729" t="str">
        <f>HYPERLINK("https://www.chemistwarehouse.com.au/buy/80800/W7-Twist-And-Shape-Combi-Eye-Pencil-Dark-Brown"," W7 Twist And Shape Combi Eye Pencil Dark Brown")</f>
        <v xml:space="preserve"> W7 Twist And Shape Combi Eye Pencil Dark Brown</v>
      </c>
      <c r="C3729" t="s">
        <v>556</v>
      </c>
      <c r="D3729">
        <v>0</v>
      </c>
    </row>
    <row r="3730" spans="1:4" x14ac:dyDescent="0.25">
      <c r="B3730" t="str">
        <f>HYPERLINK("https://www.chemistwarehouse.com.au/buy/80795/W7-Aye-Aye-Captain-Liquid-Eyeliner-Very-Black"," W7 Aye Aye Captain Liquid Eyeliner Very Black")</f>
        <v xml:space="preserve"> W7 Aye Aye Captain Liquid Eyeliner Very Black</v>
      </c>
      <c r="C3730" t="s">
        <v>556</v>
      </c>
      <c r="D3730">
        <v>0</v>
      </c>
    </row>
    <row r="3731" spans="1:4" x14ac:dyDescent="0.25">
      <c r="A3731" t="s">
        <v>1118</v>
      </c>
    </row>
    <row r="3732" spans="1:4" x14ac:dyDescent="0.25">
      <c r="B3732" t="str">
        <f>HYPERLINK("https://www.chemistwarehouse.com.au/buy/80807/W7-Keep-Em-Dry-Waterproof-Mascara"," W7 Keep Em Dry Waterproof Mascara")</f>
        <v xml:space="preserve"> W7 Keep Em Dry Waterproof Mascara</v>
      </c>
      <c r="C3732" t="s">
        <v>556</v>
      </c>
      <c r="D3732">
        <v>0</v>
      </c>
    </row>
    <row r="3733" spans="1:4" x14ac:dyDescent="0.25">
      <c r="B3733" t="str">
        <f>HYPERLINK("https://www.chemistwarehouse.com.au/buy/80808/W7-Lashed-Up-Mascara"," W7 Lashed Up Mascara")</f>
        <v xml:space="preserve"> W7 Lashed Up Mascara</v>
      </c>
      <c r="C3733" t="s">
        <v>556</v>
      </c>
      <c r="D3733">
        <v>0</v>
      </c>
    </row>
    <row r="3734" spans="1:4" x14ac:dyDescent="0.25">
      <c r="B3734" t="str">
        <f>HYPERLINK("https://www.chemistwarehouse.com.au/buy/80809/W7-Lashtastic-Mascara-Black"," W7 Lashtastic Mascara Black")</f>
        <v xml:space="preserve"> W7 Lashtastic Mascara Black</v>
      </c>
      <c r="C3734" t="s">
        <v>556</v>
      </c>
      <c r="D3734">
        <v>0</v>
      </c>
    </row>
    <row r="3735" spans="1:4" x14ac:dyDescent="0.25">
      <c r="B3735" t="str">
        <f>HYPERLINK("https://www.chemistwarehouse.com.au/buy/80810/W7-Magic-Eyes-Mascara-Black"," W7 Magic Eyes Mascara Black")</f>
        <v xml:space="preserve"> W7 Magic Eyes Mascara Black</v>
      </c>
      <c r="C3735" t="s">
        <v>556</v>
      </c>
      <c r="D3735">
        <v>0</v>
      </c>
    </row>
    <row r="3736" spans="1:4" x14ac:dyDescent="0.25">
      <c r="B3736" t="str">
        <f>HYPERLINK("https://www.chemistwarehouse.com.au/buy/80812/W7-Show-Stopper-Mascara-Blackest-Black"," W7 Show Stopper Mascara Blackest Black")</f>
        <v xml:space="preserve"> W7 Show Stopper Mascara Blackest Black</v>
      </c>
      <c r="C3736" t="s">
        <v>556</v>
      </c>
      <c r="D3736">
        <v>0</v>
      </c>
    </row>
    <row r="3737" spans="1:4" x14ac:dyDescent="0.25">
      <c r="B3737" t="str">
        <f>HYPERLINK("https://www.chemistwarehouse.com.au/buy/80813/W7-Showing-Out-Mascara-Blackest-Black"," W7 Showing Out Mascara Blackest Black")</f>
        <v xml:space="preserve"> W7 Showing Out Mascara Blackest Black</v>
      </c>
      <c r="C3737" t="s">
        <v>556</v>
      </c>
      <c r="D3737">
        <v>0</v>
      </c>
    </row>
    <row r="3738" spans="1:4" x14ac:dyDescent="0.25">
      <c r="B3738" t="str">
        <f>HYPERLINK("https://www.chemistwarehouse.com.au/buy/80814/W7-Triple-Volume-Mascara"," W7 Triple Volume Mascara ")</f>
        <v xml:space="preserve"> W7 Triple Volume Mascara </v>
      </c>
      <c r="C3738" t="s">
        <v>556</v>
      </c>
      <c r="D3738">
        <v>0</v>
      </c>
    </row>
    <row r="3739" spans="1:4" x14ac:dyDescent="0.25">
      <c r="B3739" t="str">
        <f>HYPERLINK("https://www.chemistwarehouse.com.au/buy/80806/W7-Its-Brown-Mascara"," W7 Its Brown Mascara")</f>
        <v xml:space="preserve"> W7 Its Brown Mascara</v>
      </c>
      <c r="C3739" t="s">
        <v>556</v>
      </c>
      <c r="D3739">
        <v>0</v>
      </c>
    </row>
    <row r="3740" spans="1:4" x14ac:dyDescent="0.25">
      <c r="B3740" t="str">
        <f>HYPERLINK("https://www.chemistwarehouse.com.au/buy/74672/W7-Souffle-Mascara-Blackest-Black"," W7 Souffle Mascara Blackest Black")</f>
        <v xml:space="preserve"> W7 Souffle Mascara Blackest Black</v>
      </c>
      <c r="C3740" t="s">
        <v>556</v>
      </c>
      <c r="D3740">
        <v>0</v>
      </c>
    </row>
    <row r="3741" spans="1:4" x14ac:dyDescent="0.25">
      <c r="B3741" t="str">
        <f>HYPERLINK("https://www.chemistwarehouse.com.au/buy/75309/W7-Eyelust-Mascara-Blackest-Black"," W7 Eyelust Mascara Blackest Black")</f>
        <v xml:space="preserve"> W7 Eyelust Mascara Blackest Black</v>
      </c>
      <c r="C3741" t="s">
        <v>556</v>
      </c>
      <c r="D3741">
        <v>0</v>
      </c>
    </row>
    <row r="3742" spans="1:4" x14ac:dyDescent="0.25">
      <c r="B3742" t="str">
        <f>HYPERLINK("https://www.chemistwarehouse.com.au/buy/75312/W7-Absolute-Lashes-Mascara-Blackest-Black"," W7 Absolute Lashes Mascara Blackest Black")</f>
        <v xml:space="preserve"> W7 Absolute Lashes Mascara Blackest Black</v>
      </c>
      <c r="C3742" t="s">
        <v>556</v>
      </c>
      <c r="D3742">
        <v>0</v>
      </c>
    </row>
    <row r="3743" spans="1:4" x14ac:dyDescent="0.25">
      <c r="B3743" t="str">
        <f>HYPERLINK("https://www.chemistwarehouse.com.au/buy/75313/W7-Big-Lash-Mascara-Blackest-Black"," W7 Big Lash Mascara Blackest Black")</f>
        <v xml:space="preserve"> W7 Big Lash Mascara Blackest Black</v>
      </c>
      <c r="C3743" t="s">
        <v>556</v>
      </c>
      <c r="D3743">
        <v>0</v>
      </c>
    </row>
    <row r="3744" spans="1:4" x14ac:dyDescent="0.25">
      <c r="B3744" t="str">
        <f>HYPERLINK("https://www.chemistwarehouse.com.au/buy/75315/W7-Flirty-Eyes-Mascara-Black"," W7 Flirty Eyes Mascara Black")</f>
        <v xml:space="preserve"> W7 Flirty Eyes Mascara Black</v>
      </c>
      <c r="C3744" t="s">
        <v>556</v>
      </c>
      <c r="D3744">
        <v>0</v>
      </c>
    </row>
    <row r="3745" spans="1:4" x14ac:dyDescent="0.25">
      <c r="B3745" t="str">
        <f>HYPERLINK("https://www.chemistwarehouse.com.au/buy/75316/W7-Zoom-More-Volume-Mascara-Black"," W7 Zoom More Volume Mascara Black")</f>
        <v xml:space="preserve"> W7 Zoom More Volume Mascara Black</v>
      </c>
      <c r="C3745" t="s">
        <v>556</v>
      </c>
      <c r="D3745">
        <v>0</v>
      </c>
    </row>
    <row r="3746" spans="1:4" x14ac:dyDescent="0.25">
      <c r="B3746" t="str">
        <f>HYPERLINK("https://www.chemistwarehouse.com.au/buy/75318/W7-Oh-So-Waterproof-Mascara-Blackest-Black"," W7 Oh So Waterproof Mascara Blackest Black")</f>
        <v xml:space="preserve"> W7 Oh So Waterproof Mascara Blackest Black</v>
      </c>
      <c r="C3746" t="s">
        <v>556</v>
      </c>
      <c r="D3746">
        <v>0</v>
      </c>
    </row>
    <row r="3747" spans="1:4" x14ac:dyDescent="0.25">
      <c r="B3747" t="str">
        <f>HYPERLINK("https://www.chemistwarehouse.com.au/buy/80801/W7-Argan-Eyes-Mascara"," W7 Argan Eyes Mascara")</f>
        <v xml:space="preserve"> W7 Argan Eyes Mascara</v>
      </c>
      <c r="C3747" t="s">
        <v>556</v>
      </c>
      <c r="D3747">
        <v>0</v>
      </c>
    </row>
    <row r="3748" spans="1:4" x14ac:dyDescent="0.25">
      <c r="B3748" t="str">
        <f>HYPERLINK("https://www.chemistwarehouse.com.au/buy/80803/W7-Double-Up-Volume-Mascara-Waterproof-Blackest-Black"," W7 Double Up Volume Mascara Waterproof Blackest Black")</f>
        <v xml:space="preserve"> W7 Double Up Volume Mascara Waterproof Blackest Black</v>
      </c>
      <c r="C3748" t="s">
        <v>556</v>
      </c>
      <c r="D3748">
        <v>0</v>
      </c>
    </row>
    <row r="3749" spans="1:4" x14ac:dyDescent="0.25">
      <c r="B3749" t="str">
        <f>HYPERLINK("https://www.chemistwarehouse.com.au/buy/80804/W7-Extra-Extra-Big-Bold-Lashes-Mascara"," W7 Extra Extra Big Bold Lashes Mascara")</f>
        <v xml:space="preserve"> W7 Extra Extra Big Bold Lashes Mascara</v>
      </c>
      <c r="C3749" t="s">
        <v>556</v>
      </c>
      <c r="D3749">
        <v>0</v>
      </c>
    </row>
    <row r="3750" spans="1:4" x14ac:dyDescent="0.25">
      <c r="B3750" t="str">
        <f>HYPERLINK("https://www.chemistwarehouse.com.au/buy/80805/W7-Foxy-Lash-Mascara"," W7 Foxy Lash Mascara")</f>
        <v xml:space="preserve"> W7 Foxy Lash Mascara</v>
      </c>
      <c r="C3750" t="s">
        <v>556</v>
      </c>
      <c r="D3750">
        <v>0</v>
      </c>
    </row>
    <row r="3751" spans="1:4" x14ac:dyDescent="0.25">
      <c r="B3751" t="str">
        <f>HYPERLINK("https://www.chemistwarehouse.com.au/buy/80802/W7-Bunny-Lash-Mascara"," W7 Bunny Lash Mascara")</f>
        <v xml:space="preserve"> W7 Bunny Lash Mascara</v>
      </c>
      <c r="C3751" t="s">
        <v>556</v>
      </c>
      <c r="D3751">
        <v>0</v>
      </c>
    </row>
    <row r="3752" spans="1:4" x14ac:dyDescent="0.25">
      <c r="B3752" t="str">
        <f>HYPERLINK("https://www.chemistwarehouse.com.au/buy/75317/W7-Massive-Lash-Mascara-Blackest-Black"," W7 Massive Lash Mascara Blackest Black")</f>
        <v xml:space="preserve"> W7 Massive Lash Mascara Blackest Black</v>
      </c>
      <c r="C3752" t="s">
        <v>556</v>
      </c>
      <c r="D3752">
        <v>0</v>
      </c>
    </row>
    <row r="3753" spans="1:4" x14ac:dyDescent="0.25">
      <c r="B3753" t="str">
        <f>HYPERLINK("https://www.chemistwarehouse.com.au/buy/80811/W7-Queen-Bee-Mascara"," W7 Queen Bee Mascara")</f>
        <v xml:space="preserve"> W7 Queen Bee Mascara</v>
      </c>
      <c r="C3753" t="s">
        <v>556</v>
      </c>
      <c r="D3753">
        <v>0</v>
      </c>
    </row>
    <row r="3754" spans="1:4" x14ac:dyDescent="0.25">
      <c r="A3754" t="s">
        <v>1119</v>
      </c>
    </row>
    <row r="3755" spans="1:4" x14ac:dyDescent="0.25">
      <c r="B3755" t="str">
        <f>HYPERLINK("https://www.chemistwarehouse.com.au/buy/80815/W7-Brow-Parlour-Eyebrow-Grooming-Kit"," W7 Brow Parlour Eyebrow Grooming Kit")</f>
        <v xml:space="preserve"> W7 Brow Parlour Eyebrow Grooming Kit</v>
      </c>
      <c r="C3755" t="s">
        <v>556</v>
      </c>
      <c r="D3755">
        <v>0</v>
      </c>
    </row>
    <row r="3756" spans="1:4" x14ac:dyDescent="0.25">
      <c r="B3756" t="str">
        <f>HYPERLINK("https://www.chemistwarehouse.com.au/buy/80816/W7-Kabrow-Brow-Thickener-Blonde"," W7 Kabrow Brow Thickener Blonde")</f>
        <v xml:space="preserve"> W7 Kabrow Brow Thickener Blonde</v>
      </c>
      <c r="C3756" t="s">
        <v>556</v>
      </c>
      <c r="D3756">
        <v>0</v>
      </c>
    </row>
    <row r="3757" spans="1:4" x14ac:dyDescent="0.25">
      <c r="B3757" t="str">
        <f>HYPERLINK("https://www.chemistwarehouse.com.au/buy/80817/W7-Kabrow-Brow-Thickener-Brunette"," W7 Kabrow Brow Thickener Brunette")</f>
        <v xml:space="preserve"> W7 Kabrow Brow Thickener Brunette</v>
      </c>
      <c r="C3757" t="s">
        <v>556</v>
      </c>
      <c r="D3757">
        <v>0</v>
      </c>
    </row>
    <row r="3758" spans="1:4" x14ac:dyDescent="0.25">
      <c r="B3758" t="str">
        <f>HYPERLINK("https://www.chemistwarehouse.com.au/buy/80818/W7-Kabrow-Brow-Thickener-Medium-Brown"," W7 Kabrow Brow Thickener Medium Brown")</f>
        <v xml:space="preserve"> W7 Kabrow Brow Thickener Medium Brown</v>
      </c>
      <c r="C3758" t="s">
        <v>556</v>
      </c>
      <c r="D3758">
        <v>0</v>
      </c>
    </row>
    <row r="3759" spans="1:4" x14ac:dyDescent="0.25">
      <c r="B3759" t="str">
        <f>HYPERLINK("https://www.chemistwarehouse.com.au/buy/80819/W7-Super-Brows-Pencil-Blonde"," W7 Super Brows Pencil Blonde")</f>
        <v xml:space="preserve"> W7 Super Brows Pencil Blonde</v>
      </c>
      <c r="C3759" t="s">
        <v>556</v>
      </c>
      <c r="D3759">
        <v>0</v>
      </c>
    </row>
    <row r="3760" spans="1:4" x14ac:dyDescent="0.25">
      <c r="B3760" t="str">
        <f>HYPERLINK("https://www.chemistwarehouse.com.au/buy/80821/W7-Super-Brows-Pencil-Dark-Brown"," W7 Super Brows Pencil Dark Brown")</f>
        <v xml:space="preserve"> W7 Super Brows Pencil Dark Brown</v>
      </c>
      <c r="C3760" t="s">
        <v>556</v>
      </c>
      <c r="D3760">
        <v>0</v>
      </c>
    </row>
    <row r="3761" spans="1:4" x14ac:dyDescent="0.25">
      <c r="B3761" t="str">
        <f>HYPERLINK("https://www.chemistwarehouse.com.au/buy/80820/W7-Super-Brows-Pencil-Brown"," W7 Super Brows Pencil Brown")</f>
        <v xml:space="preserve"> W7 Super Brows Pencil Brown</v>
      </c>
      <c r="C3761" t="s">
        <v>556</v>
      </c>
      <c r="D3761">
        <v>0</v>
      </c>
    </row>
    <row r="3762" spans="1:4" x14ac:dyDescent="0.25">
      <c r="A3762" t="s">
        <v>1120</v>
      </c>
    </row>
    <row r="3763" spans="1:4" x14ac:dyDescent="0.25">
      <c r="B3763" t="str">
        <f>HYPERLINK("https://www.chemistwarehouse.com.au/buy/80822/W7-Flutter-Eyes-Lash-Adhesive"," W7 Flutter Eyes Lash Adhesive ")</f>
        <v xml:space="preserve"> W7 Flutter Eyes Lash Adhesive </v>
      </c>
      <c r="C3763" t="s">
        <v>556</v>
      </c>
      <c r="D3763">
        <v>0</v>
      </c>
    </row>
    <row r="3764" spans="1:4" x14ac:dyDescent="0.25">
      <c r="B3764" t="str">
        <f>HYPERLINK("https://www.chemistwarehouse.com.au/buy/80823/W7-Loads-of-Lashes"," W7 Loads of Lashes")</f>
        <v xml:space="preserve"> W7 Loads of Lashes</v>
      </c>
      <c r="C3764" t="s">
        <v>556</v>
      </c>
      <c r="D3764">
        <v>0</v>
      </c>
    </row>
    <row r="3765" spans="1:4" x14ac:dyDescent="0.25">
      <c r="A3765" t="s">
        <v>1121</v>
      </c>
    </row>
    <row r="3766" spans="1:4" x14ac:dyDescent="0.25">
      <c r="B3766" t="str">
        <f>HYPERLINK("https://www.chemistwarehouse.com.au/buy/78720/W7-Lip-Bomb-Trios"," W7 Lip Bomb Trios")</f>
        <v xml:space="preserve"> W7 Lip Bomb Trios</v>
      </c>
      <c r="C3766" t="s">
        <v>45</v>
      </c>
      <c r="D3766">
        <v>0</v>
      </c>
    </row>
    <row r="3767" spans="1:4" x14ac:dyDescent="0.25">
      <c r="B3767" t="str">
        <f>HYPERLINK("https://www.chemistwarehouse.com.au/buy/78721/W7-Lip-Bomb-Trio-Christmas"," W7 Lip Bomb Trio Christmas")</f>
        <v xml:space="preserve"> W7 Lip Bomb Trio Christmas</v>
      </c>
      <c r="C3767" t="s">
        <v>45</v>
      </c>
      <c r="D3767">
        <v>0</v>
      </c>
    </row>
    <row r="3768" spans="1:4" x14ac:dyDescent="0.25">
      <c r="B3768" t="str">
        <f>HYPERLINK("https://www.chemistwarehouse.com.au/buy/80924/W7-Argan-Oil-Lip-Balm"," W7 Argan Oil Lip Balm ")</f>
        <v xml:space="preserve"> W7 Argan Oil Lip Balm </v>
      </c>
      <c r="C3768" t="s">
        <v>556</v>
      </c>
      <c r="D3768">
        <v>0</v>
      </c>
    </row>
    <row r="3769" spans="1:4" x14ac:dyDescent="0.25">
      <c r="B3769" t="str">
        <f>HYPERLINK("https://www.chemistwarehouse.com.au/buy/80925/W7-Fruity-Lip-Balm-Tin-Atomic-Apple"," W7 Fruity Lip Balm Tin Atomic Apple")</f>
        <v xml:space="preserve"> W7 Fruity Lip Balm Tin Atomic Apple</v>
      </c>
      <c r="C3769" t="s">
        <v>556</v>
      </c>
      <c r="D3769">
        <v>0</v>
      </c>
    </row>
    <row r="3770" spans="1:4" x14ac:dyDescent="0.25">
      <c r="B3770" t="str">
        <f>HYPERLINK("https://www.chemistwarehouse.com.au/buy/80926/W7-Fruity-Lip-Balm-Tin-Cheeky-Cherry"," W7 Fruity Lip Balm Tin Cheeky Cherry")</f>
        <v xml:space="preserve"> W7 Fruity Lip Balm Tin Cheeky Cherry</v>
      </c>
      <c r="C3770" t="s">
        <v>556</v>
      </c>
      <c r="D3770">
        <v>0</v>
      </c>
    </row>
    <row r="3771" spans="1:4" x14ac:dyDescent="0.25">
      <c r="B3771" t="str">
        <f>HYPERLINK("https://www.chemistwarehouse.com.au/buy/80927/W7-Fruity-Lip-Balm-Tin-Ravishing-Raspberry"," W7 Fruity Lip Balm Tin Ravishing Raspberry")</f>
        <v xml:space="preserve"> W7 Fruity Lip Balm Tin Ravishing Raspberry</v>
      </c>
      <c r="C3771" t="s">
        <v>556</v>
      </c>
      <c r="D3771">
        <v>0</v>
      </c>
    </row>
    <row r="3772" spans="1:4" x14ac:dyDescent="0.25">
      <c r="B3772" t="str">
        <f>HYPERLINK("https://www.chemistwarehouse.com.au/buy/80928/W7-Fruity-Lip-Balm-Tin-Saucy-Strawberry"," W7 Fruity Lip Balm Tin Saucy Strawberry")</f>
        <v xml:space="preserve"> W7 Fruity Lip Balm Tin Saucy Strawberry</v>
      </c>
      <c r="C3772" t="s">
        <v>556</v>
      </c>
      <c r="D3772">
        <v>0</v>
      </c>
    </row>
    <row r="3773" spans="1:4" x14ac:dyDescent="0.25">
      <c r="A3773" t="s">
        <v>1122</v>
      </c>
    </row>
    <row r="3774" spans="1:4" x14ac:dyDescent="0.25">
      <c r="B3774" t="str">
        <f>HYPERLINK("https://www.chemistwarehouse.com.au/buy/80824/W7-Butter-Kiss-Lipstick-Pinks-Candy-Coral"," W7 Butter Kiss Lipstick Pinks Candy Coral")</f>
        <v xml:space="preserve"> W7 Butter Kiss Lipstick Pinks Candy Coral</v>
      </c>
      <c r="C3774" t="s">
        <v>556</v>
      </c>
      <c r="D3774">
        <v>0</v>
      </c>
    </row>
    <row r="3775" spans="1:4" x14ac:dyDescent="0.25">
      <c r="B3775" t="str">
        <f>HYPERLINK("https://www.chemistwarehouse.com.au/buy/80825/W7-Butter-Kiss-Lipstick-Pinks-Candy-Floss"," W7 Butter Kiss Lipstick Pinks Candy Floss")</f>
        <v xml:space="preserve"> W7 Butter Kiss Lipstick Pinks Candy Floss</v>
      </c>
      <c r="C3775" t="s">
        <v>556</v>
      </c>
      <c r="D3775">
        <v>0</v>
      </c>
    </row>
    <row r="3776" spans="1:4" x14ac:dyDescent="0.25">
      <c r="B3776" t="str">
        <f>HYPERLINK("https://www.chemistwarehouse.com.au/buy/80826/W7-Butter-Kiss-Lipstick-Pinks-Fabulous-Fuchsia"," W7 Butter Kiss Lipstick Pinks Fabulous Fuchsia")</f>
        <v xml:space="preserve"> W7 Butter Kiss Lipstick Pinks Fabulous Fuchsia</v>
      </c>
      <c r="C3776" t="s">
        <v>556</v>
      </c>
      <c r="D3776">
        <v>0</v>
      </c>
    </row>
    <row r="3777" spans="2:4" x14ac:dyDescent="0.25">
      <c r="B3777" t="str">
        <f>HYPERLINK("https://www.chemistwarehouse.com.au/buy/80827/W7-Butter-Kiss-Lipstick-Pinks-Pink-Icing"," W7 Butter Kiss Lipstick Pinks Pink Icing")</f>
        <v xml:space="preserve"> W7 Butter Kiss Lipstick Pinks Pink Icing</v>
      </c>
      <c r="C3777" t="s">
        <v>556</v>
      </c>
      <c r="D3777">
        <v>0</v>
      </c>
    </row>
    <row r="3778" spans="2:4" x14ac:dyDescent="0.25">
      <c r="B3778" t="str">
        <f>HYPERLINK("https://www.chemistwarehouse.com.au/buy/80828/W7-Butter-Kiss-Lipstick-Pinks-Pretty-in-Pink"," W7 Butter Kiss Lipstick Pinks Pretty in Pink")</f>
        <v xml:space="preserve"> W7 Butter Kiss Lipstick Pinks Pretty in Pink</v>
      </c>
      <c r="C3778" t="s">
        <v>556</v>
      </c>
      <c r="D3778">
        <v>0</v>
      </c>
    </row>
    <row r="3779" spans="2:4" x14ac:dyDescent="0.25">
      <c r="B3779" t="str">
        <f>HYPERLINK("https://www.chemistwarehouse.com.au/buy/80829/W7-Butter-Kiss-Lipstick-Pinks-Very-Berry"," W7 Butter Kiss Lipstick Pinks Very Berry")</f>
        <v xml:space="preserve"> W7 Butter Kiss Lipstick Pinks Very Berry</v>
      </c>
      <c r="C3779" t="s">
        <v>556</v>
      </c>
      <c r="D3779">
        <v>0</v>
      </c>
    </row>
    <row r="3780" spans="2:4" x14ac:dyDescent="0.25">
      <c r="B3780" t="str">
        <f>HYPERLINK("https://www.chemistwarehouse.com.au/buy/80830/W7-Butter-Kiss-Lipstick-Reds-Bordeaux"," W7 Butter Kiss Lipstick Reds Bordeaux")</f>
        <v xml:space="preserve"> W7 Butter Kiss Lipstick Reds Bordeaux</v>
      </c>
      <c r="C3780" t="s">
        <v>556</v>
      </c>
      <c r="D3780">
        <v>0</v>
      </c>
    </row>
    <row r="3781" spans="2:4" x14ac:dyDescent="0.25">
      <c r="B3781" t="str">
        <f>HYPERLINK("https://www.chemistwarehouse.com.au/buy/80831/W7-Butter-Kiss-Lipstick-Reds-Racing-Red"," W7 Butter Kiss Lipstick Reds Racing Red")</f>
        <v xml:space="preserve"> W7 Butter Kiss Lipstick Reds Racing Red</v>
      </c>
      <c r="C3781" t="s">
        <v>556</v>
      </c>
      <c r="D3781">
        <v>0</v>
      </c>
    </row>
    <row r="3782" spans="2:4" x14ac:dyDescent="0.25">
      <c r="B3782" t="str">
        <f>HYPERLINK("https://www.chemistwarehouse.com.au/buy/80832/W7-Butter-Kiss-Lipstick-Reds-Red-Dawn"," W7 Butter Kiss Lipstick Reds Red Dawn")</f>
        <v xml:space="preserve"> W7 Butter Kiss Lipstick Reds Red Dawn</v>
      </c>
      <c r="C3782" t="s">
        <v>556</v>
      </c>
      <c r="D3782">
        <v>0</v>
      </c>
    </row>
    <row r="3783" spans="2:4" x14ac:dyDescent="0.25">
      <c r="B3783" t="str">
        <f>HYPERLINK("https://www.chemistwarehouse.com.au/buy/80833/W7-Butter-Kiss-Lipstick-Reds-Red-Light"," W7 Butter Kiss Lipstick Reds Red Light")</f>
        <v xml:space="preserve"> W7 Butter Kiss Lipstick Reds Red Light</v>
      </c>
      <c r="C3783" t="s">
        <v>556</v>
      </c>
      <c r="D3783">
        <v>0</v>
      </c>
    </row>
    <row r="3784" spans="2:4" x14ac:dyDescent="0.25">
      <c r="B3784" t="str">
        <f>HYPERLINK("https://www.chemistwarehouse.com.au/buy/80834/W7-Butter-Kiss-Lipstick-Reds-Red-Rose"," W7 Butter Kiss Lipstick Reds Red Rose")</f>
        <v xml:space="preserve"> W7 Butter Kiss Lipstick Reds Red Rose</v>
      </c>
      <c r="C3784" t="s">
        <v>556</v>
      </c>
      <c r="D3784">
        <v>0</v>
      </c>
    </row>
    <row r="3785" spans="2:4" x14ac:dyDescent="0.25">
      <c r="B3785" t="str">
        <f>HYPERLINK("https://www.chemistwarehouse.com.au/buy/80835/W7-Butter-Kiss-Lipstick-Reds-Red-Tulip"," W7 Butter Kiss Lipstick Reds Red Tulip")</f>
        <v xml:space="preserve"> W7 Butter Kiss Lipstick Reds Red Tulip</v>
      </c>
      <c r="C3785" t="s">
        <v>556</v>
      </c>
      <c r="D3785">
        <v>0</v>
      </c>
    </row>
    <row r="3786" spans="2:4" x14ac:dyDescent="0.25">
      <c r="B3786" t="str">
        <f>HYPERLINK("https://www.chemistwarehouse.com.au/buy/80855/W7-Fashion-Lipstick-The-Pinks-Negligee"," W7 Fashion Lipstick The Pinks Negligee")</f>
        <v xml:space="preserve"> W7 Fashion Lipstick The Pinks Negligee</v>
      </c>
      <c r="C3786" t="s">
        <v>556</v>
      </c>
      <c r="D3786">
        <v>0</v>
      </c>
    </row>
    <row r="3787" spans="2:4" x14ac:dyDescent="0.25">
      <c r="B3787" t="str">
        <f>HYPERLINK("https://www.chemistwarehouse.com.au/buy/80856/W7-Fashion-Lipstick-The-Pinks-Pink-Shimmer"," W7 Fashion Lipstick The Pinks Pink Shimmer")</f>
        <v xml:space="preserve"> W7 Fashion Lipstick The Pinks Pink Shimmer</v>
      </c>
      <c r="C3787" t="s">
        <v>556</v>
      </c>
      <c r="D3787">
        <v>0</v>
      </c>
    </row>
    <row r="3788" spans="2:4" x14ac:dyDescent="0.25">
      <c r="B3788" t="str">
        <f>HYPERLINK("https://www.chemistwarehouse.com.au/buy/80857/W7-Fashion-Lipstick-The-Pinks-Raspberry-Ripple"," W7 Fashion Lipstick The Pinks Raspberry Ripple")</f>
        <v xml:space="preserve"> W7 Fashion Lipstick The Pinks Raspberry Ripple</v>
      </c>
      <c r="C3788" t="s">
        <v>556</v>
      </c>
      <c r="D3788">
        <v>0</v>
      </c>
    </row>
    <row r="3789" spans="2:4" x14ac:dyDescent="0.25">
      <c r="B3789" t="str">
        <f>HYPERLINK("https://www.chemistwarehouse.com.au/buy/80858/W7-Full-Colour-Lipstick-Angry-Annies"," W7 Full Colour Lipstick Angry Annies")</f>
        <v xml:space="preserve"> W7 Full Colour Lipstick Angry Annies</v>
      </c>
      <c r="C3789" t="s">
        <v>556</v>
      </c>
      <c r="D3789">
        <v>0</v>
      </c>
    </row>
    <row r="3790" spans="2:4" x14ac:dyDescent="0.25">
      <c r="B3790" t="str">
        <f>HYPERLINK("https://www.chemistwarehouse.com.au/buy/80859/W7-Full-Colour-Lipstick-Cin-Cin"," W7 Full Colour Lipstick Cin Cin")</f>
        <v xml:space="preserve"> W7 Full Colour Lipstick Cin Cin</v>
      </c>
      <c r="C3790" t="s">
        <v>556</v>
      </c>
      <c r="D3790">
        <v>0</v>
      </c>
    </row>
    <row r="3791" spans="2:4" x14ac:dyDescent="0.25">
      <c r="B3791" t="str">
        <f>HYPERLINK("https://www.chemistwarehouse.com.au/buy/80860/W7-Full-Colour-Lipstick-Lone-Star"," W7 Full Colour Lipstick Lone Star")</f>
        <v xml:space="preserve"> W7 Full Colour Lipstick Lone Star</v>
      </c>
      <c r="C3791" t="s">
        <v>556</v>
      </c>
      <c r="D3791">
        <v>0</v>
      </c>
    </row>
    <row r="3792" spans="2:4" x14ac:dyDescent="0.25">
      <c r="B3792" t="str">
        <f>HYPERLINK("https://www.chemistwarehouse.com.au/buy/80861/W7-Full-Colour-Lipstick-Sandpiper"," W7 Full Colour Lipstick Sandpiper")</f>
        <v xml:space="preserve"> W7 Full Colour Lipstick Sandpiper</v>
      </c>
      <c r="C3792" t="s">
        <v>556</v>
      </c>
      <c r="D3792">
        <v>0</v>
      </c>
    </row>
    <row r="3793" spans="1:4" x14ac:dyDescent="0.25">
      <c r="B3793" t="str">
        <f>HYPERLINK("https://www.chemistwarehouse.com.au/buy/80862/W7-Full-Colour-Lipstick-Sandy-Lane"," W7 Full Colour Lipstick Sandy Lane")</f>
        <v xml:space="preserve"> W7 Full Colour Lipstick Sandy Lane</v>
      </c>
      <c r="C3793" t="s">
        <v>556</v>
      </c>
      <c r="D3793">
        <v>0</v>
      </c>
    </row>
    <row r="3794" spans="1:4" x14ac:dyDescent="0.25">
      <c r="B3794" t="str">
        <f>HYPERLINK("https://www.chemistwarehouse.com.au/buy/80863/W7-Full-Colour-Lipstick-Tides"," W7 Full Colour Lipstick Tides")</f>
        <v xml:space="preserve"> W7 Full Colour Lipstick Tides</v>
      </c>
      <c r="C3794" t="s">
        <v>556</v>
      </c>
      <c r="D3794">
        <v>0</v>
      </c>
    </row>
    <row r="3795" spans="1:4" x14ac:dyDescent="0.25">
      <c r="B3795" t="str">
        <f>HYPERLINK("https://www.chemistwarehouse.com.au/buy/80864/W7-Kiss-Lipstick-Mattes-Capri-Sugarlips"," W7 Kiss Lipstick Mattes Capri Sugarlips")</f>
        <v xml:space="preserve"> W7 Kiss Lipstick Mattes Capri Sugarlips</v>
      </c>
      <c r="C3795" t="s">
        <v>556</v>
      </c>
      <c r="D3795">
        <v>0</v>
      </c>
    </row>
    <row r="3796" spans="1:4" x14ac:dyDescent="0.25">
      <c r="B3796" t="str">
        <f>HYPERLINK("https://www.chemistwarehouse.com.au/buy/80865/W7-Kiss-Lipstick-Mattes-Damson"," W7 Kiss Lipstick Mattes Damson")</f>
        <v xml:space="preserve"> W7 Kiss Lipstick Mattes Damson</v>
      </c>
      <c r="C3796" t="s">
        <v>556</v>
      </c>
      <c r="D3796">
        <v>0</v>
      </c>
    </row>
    <row r="3797" spans="1:4" x14ac:dyDescent="0.25">
      <c r="B3797" t="str">
        <f>HYPERLINK("https://www.chemistwarehouse.com.au/buy/80866/W7-Kiss-Lipstick-Mattes-Naked"," W7 Kiss Lipstick Mattes Naked")</f>
        <v xml:space="preserve"> W7 Kiss Lipstick Mattes Naked</v>
      </c>
      <c r="C3797" t="s">
        <v>556</v>
      </c>
      <c r="D3797">
        <v>0</v>
      </c>
    </row>
    <row r="3798" spans="1:4" x14ac:dyDescent="0.25">
      <c r="A3798" t="s">
        <v>1123</v>
      </c>
    </row>
    <row r="3799" spans="1:4" x14ac:dyDescent="0.25">
      <c r="B3799" t="str">
        <f>HYPERLINK("https://www.chemistwarehouse.com.au/buy/80904/W7-Glamorous-Lip-Gloss-2"," W7 Glamorous Lip Gloss 2")</f>
        <v xml:space="preserve"> W7 Glamorous Lip Gloss 2</v>
      </c>
      <c r="C3799" t="s">
        <v>556</v>
      </c>
      <c r="D3799">
        <v>0</v>
      </c>
    </row>
    <row r="3800" spans="1:4" x14ac:dyDescent="0.25">
      <c r="B3800" t="str">
        <f>HYPERLINK("https://www.chemistwarehouse.com.au/buy/80918/W7-Super-Kiss-Lip-Gloss-Venice-Beach"," W7 Super Kiss Lip Gloss Venice Beach")</f>
        <v xml:space="preserve"> W7 Super Kiss Lip Gloss Venice Beach</v>
      </c>
      <c r="C3800" t="s">
        <v>556</v>
      </c>
      <c r="D3800">
        <v>0</v>
      </c>
    </row>
    <row r="3801" spans="1:4" x14ac:dyDescent="0.25">
      <c r="B3801" t="str">
        <f>HYPERLINK("https://www.chemistwarehouse.com.au/buy/80919/W7-Tinted-Kiss-Lip-Oil-Bellini"," W7 Tinted Kiss Lip Oil Bellini")</f>
        <v xml:space="preserve"> W7 Tinted Kiss Lip Oil Bellini</v>
      </c>
      <c r="C3801" t="s">
        <v>556</v>
      </c>
      <c r="D3801">
        <v>0</v>
      </c>
    </row>
    <row r="3802" spans="1:4" x14ac:dyDescent="0.25">
      <c r="B3802" t="str">
        <f>HYPERLINK("https://www.chemistwarehouse.com.au/buy/80920/W7-Tinted-Kiss-Lip-Oil-Cherry-Brandy"," W7 Tinted Kiss Lip Oil Cherry Brandy")</f>
        <v xml:space="preserve"> W7 Tinted Kiss Lip Oil Cherry Brandy</v>
      </c>
      <c r="C3802" t="s">
        <v>556</v>
      </c>
      <c r="D3802">
        <v>0</v>
      </c>
    </row>
    <row r="3803" spans="1:4" x14ac:dyDescent="0.25">
      <c r="B3803" t="str">
        <f>HYPERLINK("https://www.chemistwarehouse.com.au/buy/80921/W7-Tinted-Kiss-Lip-Oil-English-Rose"," W7 Tinted Kiss Lip Oil English Rose")</f>
        <v xml:space="preserve"> W7 Tinted Kiss Lip Oil English Rose</v>
      </c>
      <c r="C3803" t="s">
        <v>556</v>
      </c>
      <c r="D3803">
        <v>0</v>
      </c>
    </row>
    <row r="3804" spans="1:4" x14ac:dyDescent="0.25">
      <c r="B3804" t="str">
        <f>HYPERLINK("https://www.chemistwarehouse.com.au/buy/80922/W7-Tinted-Kiss-Lip-Oil-In-The-Pink"," W7 Tinted Kiss Lip Oil In The Pink")</f>
        <v xml:space="preserve"> W7 Tinted Kiss Lip Oil In The Pink</v>
      </c>
      <c r="C3804" t="s">
        <v>556</v>
      </c>
      <c r="D3804">
        <v>0</v>
      </c>
    </row>
    <row r="3805" spans="1:4" x14ac:dyDescent="0.25">
      <c r="B3805" t="str">
        <f>HYPERLINK("https://www.chemistwarehouse.com.au/buy/80903/W7-Glamorous-Lip-Gloss-1"," W7 Glamorous Lip Gloss 1")</f>
        <v xml:space="preserve"> W7 Glamorous Lip Gloss 1</v>
      </c>
      <c r="C3805" t="s">
        <v>556</v>
      </c>
      <c r="D3805">
        <v>0</v>
      </c>
    </row>
    <row r="3806" spans="1:4" x14ac:dyDescent="0.25">
      <c r="B3806" t="str">
        <f>HYPERLINK("https://www.chemistwarehouse.com.au/buy/80905/W7-Glamorous-Lip-Gloss-3"," W7 Glamorous Lip Gloss 3")</f>
        <v xml:space="preserve"> W7 Glamorous Lip Gloss 3</v>
      </c>
      <c r="C3806" t="s">
        <v>556</v>
      </c>
      <c r="D3806">
        <v>0</v>
      </c>
    </row>
    <row r="3807" spans="1:4" x14ac:dyDescent="0.25">
      <c r="B3807" t="str">
        <f>HYPERLINK("https://www.chemistwarehouse.com.au/buy/80906/W7-Glamorous-Lip-Gloss-4"," W7 Glamorous Lip Gloss 4")</f>
        <v xml:space="preserve"> W7 Glamorous Lip Gloss 4</v>
      </c>
      <c r="C3807" t="s">
        <v>556</v>
      </c>
      <c r="D3807">
        <v>0</v>
      </c>
    </row>
    <row r="3808" spans="1:4" x14ac:dyDescent="0.25">
      <c r="B3808" t="str">
        <f>HYPERLINK("https://www.chemistwarehouse.com.au/buy/80907/W7-Glamorous-Lip-Gloss-5"," W7 Glamorous Lip Gloss 5")</f>
        <v xml:space="preserve"> W7 Glamorous Lip Gloss 5</v>
      </c>
      <c r="C3808" t="s">
        <v>556</v>
      </c>
      <c r="D3808">
        <v>0</v>
      </c>
    </row>
    <row r="3809" spans="1:4" x14ac:dyDescent="0.25">
      <c r="B3809" t="str">
        <f>HYPERLINK("https://www.chemistwarehouse.com.au/buy/80908/W7-Glamorous-Lip-Gloss-6"," W7 Glamorous Lip Gloss 6")</f>
        <v xml:space="preserve"> W7 Glamorous Lip Gloss 6</v>
      </c>
      <c r="C3809" t="s">
        <v>556</v>
      </c>
      <c r="D3809">
        <v>0</v>
      </c>
    </row>
    <row r="3810" spans="1:4" x14ac:dyDescent="0.25">
      <c r="B3810" t="str">
        <f>HYPERLINK("https://www.chemistwarehouse.com.au/buy/80909/W7-Kiss-Me-Lip-Plumping-Gloss"," W7 Kiss Me Lip Plumping Gloss")</f>
        <v xml:space="preserve"> W7 Kiss Me Lip Plumping Gloss</v>
      </c>
      <c r="C3810" t="s">
        <v>556</v>
      </c>
      <c r="D3810">
        <v>0</v>
      </c>
    </row>
    <row r="3811" spans="1:4" x14ac:dyDescent="0.25">
      <c r="B3811" t="str">
        <f>HYPERLINK("https://www.chemistwarehouse.com.au/buy/80910/W7-Lip-Paint-Lip-Gloss-Girlie"," W7 Lip Paint Lip Gloss Girlie")</f>
        <v xml:space="preserve"> W7 Lip Paint Lip Gloss Girlie</v>
      </c>
      <c r="C3811" t="s">
        <v>556</v>
      </c>
      <c r="D3811">
        <v>0</v>
      </c>
    </row>
    <row r="3812" spans="1:4" x14ac:dyDescent="0.25">
      <c r="B3812" t="str">
        <f>HYPERLINK("https://www.chemistwarehouse.com.au/buy/80911/W7-Lip-Paint-Lip-Gloss-Lady-Luck"," W7 Lip Paint Lip Gloss Lady Luck")</f>
        <v xml:space="preserve"> W7 Lip Paint Lip Gloss Lady Luck</v>
      </c>
      <c r="C3812" t="s">
        <v>556</v>
      </c>
      <c r="D3812">
        <v>0</v>
      </c>
    </row>
    <row r="3813" spans="1:4" x14ac:dyDescent="0.25">
      <c r="B3813" t="str">
        <f>HYPERLINK("https://www.chemistwarehouse.com.au/buy/80912/W7-Lip-Paint-Lip-Gloss-Naughty"," W7 Lip Paint Lip Gloss Naughty")</f>
        <v xml:space="preserve"> W7 Lip Paint Lip Gloss Naughty</v>
      </c>
      <c r="C3813" t="s">
        <v>556</v>
      </c>
      <c r="D3813">
        <v>0</v>
      </c>
    </row>
    <row r="3814" spans="1:4" x14ac:dyDescent="0.25">
      <c r="B3814" t="str">
        <f>HYPERLINK("https://www.chemistwarehouse.com.au/buy/80913/W7-Lip-Paint-Lip-Gloss-Perfection"," W7 Lip Paint Lip Gloss Perfection")</f>
        <v xml:space="preserve"> W7 Lip Paint Lip Gloss Perfection</v>
      </c>
      <c r="C3814" t="s">
        <v>556</v>
      </c>
      <c r="D3814">
        <v>0</v>
      </c>
    </row>
    <row r="3815" spans="1:4" x14ac:dyDescent="0.25">
      <c r="B3815" t="str">
        <f>HYPERLINK("https://www.chemistwarehouse.com.au/buy/80914/W7-Lip-Paint-Lip-Gloss-Queen-of-Hearts"," W7 Lip Paint Lip Gloss Queen of Hearts")</f>
        <v xml:space="preserve"> W7 Lip Paint Lip Gloss Queen of Hearts</v>
      </c>
      <c r="C3815" t="s">
        <v>556</v>
      </c>
      <c r="D3815">
        <v>0</v>
      </c>
    </row>
    <row r="3816" spans="1:4" x14ac:dyDescent="0.25">
      <c r="B3816" t="str">
        <f>HYPERLINK("https://www.chemistwarehouse.com.au/buy/80915/W7-Super-Kiss-Lip-Gloss-Birthday-Girl"," W7 Super Kiss Lip Gloss Birthday Girl")</f>
        <v xml:space="preserve"> W7 Super Kiss Lip Gloss Birthday Girl</v>
      </c>
      <c r="C3816" t="s">
        <v>556</v>
      </c>
      <c r="D3816">
        <v>0</v>
      </c>
    </row>
    <row r="3817" spans="1:4" x14ac:dyDescent="0.25">
      <c r="B3817" t="str">
        <f>HYPERLINK("https://www.chemistwarehouse.com.au/buy/80916/W7-Super-Kiss-Lip-Gloss-Graceland"," W7 Super Kiss Lip Gloss Graceland")</f>
        <v xml:space="preserve"> W7 Super Kiss Lip Gloss Graceland</v>
      </c>
      <c r="C3817" t="s">
        <v>556</v>
      </c>
      <c r="D3817">
        <v>0</v>
      </c>
    </row>
    <row r="3818" spans="1:4" x14ac:dyDescent="0.25">
      <c r="B3818" t="str">
        <f>HYPERLINK("https://www.chemistwarehouse.com.au/buy/80917/W7-Super-Kiss-Lip-Gloss-Iridescent"," W7 Super Kiss Lip Gloss Iridescent")</f>
        <v xml:space="preserve"> W7 Super Kiss Lip Gloss Iridescent</v>
      </c>
      <c r="C3818" t="s">
        <v>556</v>
      </c>
      <c r="D3818">
        <v>0</v>
      </c>
    </row>
    <row r="3819" spans="1:4" x14ac:dyDescent="0.25">
      <c r="A3819" t="s">
        <v>1124</v>
      </c>
    </row>
    <row r="3820" spans="1:4" x14ac:dyDescent="0.25">
      <c r="B3820" t="str">
        <f>HYPERLINK("https://www.chemistwarehouse.com.au/buy/80923/W7-Lip-Twister-Lip-Liner-Pencil-Red"," W7 Lip Twister Lip Liner Pencil Red")</f>
        <v xml:space="preserve"> W7 Lip Twister Lip Liner Pencil Red</v>
      </c>
      <c r="C3820" t="s">
        <v>556</v>
      </c>
      <c r="D3820">
        <v>0</v>
      </c>
    </row>
    <row r="3821" spans="1:4" x14ac:dyDescent="0.25">
      <c r="A3821" t="s">
        <v>1125</v>
      </c>
    </row>
    <row r="3822" spans="1:4" x14ac:dyDescent="0.25">
      <c r="B3822" t="str">
        <f>HYPERLINK("https://www.chemistwarehouse.com.au/buy/74071/W7-Eye-Makeup-Remover-City-Slicker"," W7 Eye Makeup Remover City Slicker")</f>
        <v xml:space="preserve"> W7 Eye Makeup Remover City Slicker</v>
      </c>
      <c r="C3822" t="s">
        <v>45</v>
      </c>
      <c r="D3822">
        <v>0</v>
      </c>
    </row>
    <row r="3823" spans="1:4" x14ac:dyDescent="0.25">
      <c r="B3823" t="str">
        <f>HYPERLINK("https://www.chemistwarehouse.com.au/buy/81118/W7-Best-Friend-Forever-Set"," W7 Best Friend Forever Set")</f>
        <v xml:space="preserve"> W7 Best Friend Forever Set</v>
      </c>
      <c r="C3823" t="s">
        <v>45</v>
      </c>
      <c r="D3823">
        <v>0</v>
      </c>
    </row>
    <row r="3824" spans="1:4" x14ac:dyDescent="0.25">
      <c r="B3824" t="str">
        <f>HYPERLINK("https://www.chemistwarehouse.com.au/buy/81120/W7-Fixing-Spray"," W7 Fixing Spray")</f>
        <v xml:space="preserve"> W7 Fixing Spray</v>
      </c>
      <c r="C3824" t="s">
        <v>556</v>
      </c>
      <c r="D3824">
        <v>0</v>
      </c>
    </row>
    <row r="3825" spans="1:4" x14ac:dyDescent="0.25">
      <c r="B3825" t="str">
        <f>HYPERLINK("https://www.chemistwarehouse.com.au/buy/81121/W7-The-Glam-Box-Set"," W7 The Glam Box  Set")</f>
        <v xml:space="preserve"> W7 The Glam Box  Set</v>
      </c>
      <c r="C3825" t="s">
        <v>237</v>
      </c>
      <c r="D3825">
        <v>0</v>
      </c>
    </row>
    <row r="3826" spans="1:4" x14ac:dyDescent="0.25">
      <c r="B3826" t="str">
        <f>HYPERLINK("https://www.chemistwarehouse.com.au/buy/81119/W7-Buddies-Fashion-Tape"," W7 Buddies Fashion Tape")</f>
        <v xml:space="preserve"> W7 Buddies Fashion Tape</v>
      </c>
      <c r="C3826" t="s">
        <v>556</v>
      </c>
      <c r="D3826">
        <v>0</v>
      </c>
    </row>
    <row r="3827" spans="1:4" x14ac:dyDescent="0.25">
      <c r="A3827" t="s">
        <v>1126</v>
      </c>
    </row>
    <row r="3828" spans="1:4" x14ac:dyDescent="0.25">
      <c r="B3828" t="str">
        <f>HYPERLINK("https://www.chemistwarehouse.com.au/buy/80956/W7-Nail-Enamel-116-Multi-Dazzle"," W7 Nail Enamel 116 Multi Dazzle")</f>
        <v xml:space="preserve"> W7 Nail Enamel 116 Multi Dazzle</v>
      </c>
      <c r="C3828" t="s">
        <v>371</v>
      </c>
      <c r="D3828">
        <v>0</v>
      </c>
    </row>
    <row r="3829" spans="1:4" x14ac:dyDescent="0.25">
      <c r="B3829" t="str">
        <f>HYPERLINK("https://www.chemistwarehouse.com.au/buy/80931/W7-Nail-Enamel-03-Blue-Dazzle"," W7 Nail Enamel 03 Blue Dazzle")</f>
        <v xml:space="preserve"> W7 Nail Enamel 03 Blue Dazzle</v>
      </c>
      <c r="C3829" t="s">
        <v>371</v>
      </c>
      <c r="D3829">
        <v>0</v>
      </c>
    </row>
    <row r="3830" spans="1:4" x14ac:dyDescent="0.25">
      <c r="B3830" t="str">
        <f>HYPERLINK("https://www.chemistwarehouse.com.au/buy/81073/W7-Nail-Enamel-71-Cosmic-Purple"," W7 Nail Enamel 71 Cosmic Purple")</f>
        <v xml:space="preserve"> W7 Nail Enamel 71 Cosmic Purple</v>
      </c>
      <c r="C3830" t="s">
        <v>371</v>
      </c>
      <c r="D3830">
        <v>0</v>
      </c>
    </row>
    <row r="3831" spans="1:4" x14ac:dyDescent="0.25">
      <c r="B3831" t="str">
        <f>HYPERLINK("https://www.chemistwarehouse.com.au/buy/81081/W7-Nail-Enamel-82-Pink-Raspberry"," W7 Nail Enamel 82 Pink Raspberry")</f>
        <v xml:space="preserve"> W7 Nail Enamel 82 Pink Raspberry</v>
      </c>
      <c r="C3831" t="s">
        <v>146</v>
      </c>
      <c r="D3831">
        <v>0</v>
      </c>
    </row>
    <row r="3832" spans="1:4" x14ac:dyDescent="0.25">
      <c r="B3832" t="str">
        <f>HYPERLINK("https://www.chemistwarehouse.com.au/buy/81102/W7-Nail-Enamel-MC140-Fuchsia-Fame"," W7 Nail Enamel MC140 Fuchsia Fame ")</f>
        <v xml:space="preserve"> W7 Nail Enamel MC140 Fuchsia Fame </v>
      </c>
      <c r="C3832" t="s">
        <v>146</v>
      </c>
      <c r="D3832">
        <v>0</v>
      </c>
    </row>
    <row r="3833" spans="1:4" x14ac:dyDescent="0.25">
      <c r="B3833" t="str">
        <f>HYPERLINK("https://www.chemistwarehouse.com.au/buy/81103/W7-Nail-Enamel-MC141-Fame"," W7 Nail Enamel MC141 Fame ")</f>
        <v xml:space="preserve"> W7 Nail Enamel MC141 Fame </v>
      </c>
      <c r="C3833" t="s">
        <v>146</v>
      </c>
      <c r="D3833">
        <v>0</v>
      </c>
    </row>
    <row r="3834" spans="1:4" x14ac:dyDescent="0.25">
      <c r="B3834" t="str">
        <f>HYPERLINK("https://www.chemistwarehouse.com.au/buy/81104/W7-Nail-Enamel-MC142-Sahara-Sunset"," W7 Nail Enamel MC142 Sahara Sunset")</f>
        <v xml:space="preserve"> W7 Nail Enamel MC142 Sahara Sunset</v>
      </c>
      <c r="C3834" t="s">
        <v>146</v>
      </c>
      <c r="D3834">
        <v>0</v>
      </c>
    </row>
    <row r="3835" spans="1:4" x14ac:dyDescent="0.25">
      <c r="B3835" t="str">
        <f>HYPERLINK("https://www.chemistwarehouse.com.au/buy/81105/W7-Nail-Enamel-MC201-Playful-Pink"," W7 Nail Enamel MC201 Playful Pink ")</f>
        <v xml:space="preserve"> W7 Nail Enamel MC201 Playful Pink </v>
      </c>
      <c r="C3835" t="s">
        <v>146</v>
      </c>
      <c r="D3835">
        <v>0</v>
      </c>
    </row>
    <row r="3836" spans="1:4" x14ac:dyDescent="0.25">
      <c r="B3836" t="str">
        <f>HYPERLINK("https://www.chemistwarehouse.com.au/buy/81106/W7-Nail-Enamel-MC202-Precious"," W7 Nail Enamel MC202 Precious")</f>
        <v xml:space="preserve"> W7 Nail Enamel MC202 Precious</v>
      </c>
      <c r="C3836" t="s">
        <v>146</v>
      </c>
      <c r="D3836">
        <v>0</v>
      </c>
    </row>
    <row r="3837" spans="1:4" x14ac:dyDescent="0.25">
      <c r="B3837" t="str">
        <f>HYPERLINK("https://www.chemistwarehouse.com.au/buy/81107/W7-Nail-Enamel-Mini-Paint-Shop"," W7 Nail Enamel Mini Paint Shop")</f>
        <v xml:space="preserve"> W7 Nail Enamel Mini Paint Shop</v>
      </c>
      <c r="C3837" t="s">
        <v>45</v>
      </c>
      <c r="D3837">
        <v>0</v>
      </c>
    </row>
    <row r="3838" spans="1:4" x14ac:dyDescent="0.25">
      <c r="B3838" t="str">
        <f>HYPERLINK("https://www.chemistwarehouse.com.au/buy/81067/W7-Nail-Enamel-65-Silk"," W7 Nail Enamel 65 Silk")</f>
        <v xml:space="preserve"> W7 Nail Enamel 65 Silk</v>
      </c>
      <c r="C3838" t="s">
        <v>146</v>
      </c>
      <c r="D3838">
        <v>0</v>
      </c>
    </row>
    <row r="3839" spans="1:4" x14ac:dyDescent="0.25">
      <c r="B3839" t="str">
        <f>HYPERLINK("https://www.chemistwarehouse.com.au/buy/81068/W7-Nail-Enamel-66-Chiffon"," W7 Nail Enamel 66 Chiffon")</f>
        <v xml:space="preserve"> W7 Nail Enamel 66 Chiffon</v>
      </c>
      <c r="C3839" t="s">
        <v>146</v>
      </c>
      <c r="D3839">
        <v>0</v>
      </c>
    </row>
    <row r="3840" spans="1:4" x14ac:dyDescent="0.25">
      <c r="B3840" t="str">
        <f>HYPERLINK("https://www.chemistwarehouse.com.au/buy/81070/W7-Nail-Enamel-68-Sheer-Peach"," W7 Nail Enamel 68 Sheer Peach")</f>
        <v xml:space="preserve"> W7 Nail Enamel 68 Sheer Peach</v>
      </c>
      <c r="C3840" t="s">
        <v>146</v>
      </c>
      <c r="D3840">
        <v>0</v>
      </c>
    </row>
    <row r="3841" spans="1:4" x14ac:dyDescent="0.25">
      <c r="B3841" t="str">
        <f>HYPERLINK("https://www.chemistwarehouse.com.au/buy/81076/W7-Nail-Enamel-74-Summer-Blues"," W7 Nail Enamel 74 Summer Blues")</f>
        <v xml:space="preserve"> W7 Nail Enamel 74 Summer Blues</v>
      </c>
      <c r="C3841" t="s">
        <v>146</v>
      </c>
      <c r="D3841">
        <v>0</v>
      </c>
    </row>
    <row r="3842" spans="1:4" x14ac:dyDescent="0.25">
      <c r="B3842" t="str">
        <f>HYPERLINK("https://www.chemistwarehouse.com.au/buy/81084/W7-Nail-Enamel-85-Summer-Fields"," W7 Nail Enamel 85 Summer Fields")</f>
        <v xml:space="preserve"> W7 Nail Enamel 85 Summer Fields</v>
      </c>
      <c r="C3842" t="s">
        <v>146</v>
      </c>
      <c r="D3842">
        <v>0</v>
      </c>
    </row>
    <row r="3843" spans="1:4" x14ac:dyDescent="0.25">
      <c r="B3843" t="str">
        <f>HYPERLINK("https://www.chemistwarehouse.com.au/buy/81085/W7-Nail-Enamel-86-Orange-Sorbet"," W7 Nail Enamel 86 Orange Sorbet")</f>
        <v xml:space="preserve"> W7 Nail Enamel 86 Orange Sorbet</v>
      </c>
      <c r="C3843" t="s">
        <v>146</v>
      </c>
      <c r="D3843">
        <v>0</v>
      </c>
    </row>
    <row r="3844" spans="1:4" x14ac:dyDescent="0.25">
      <c r="B3844" t="str">
        <f>HYPERLINK("https://www.chemistwarehouse.com.au/buy/81086/W7-Nail-Enamel-87-Pistachio"," W7 Nail Enamel 87 Pistachio")</f>
        <v xml:space="preserve"> W7 Nail Enamel 87 Pistachio</v>
      </c>
      <c r="C3844" t="s">
        <v>146</v>
      </c>
      <c r="D3844">
        <v>0</v>
      </c>
    </row>
    <row r="3845" spans="1:4" x14ac:dyDescent="0.25">
      <c r="B3845" t="str">
        <f>HYPERLINK("https://www.chemistwarehouse.com.au/buy/81087/W7-Nail-Enamel-88-Raspberry-Sorbet"," W7 Nail Enamel 88 Raspberry Sorbet")</f>
        <v xml:space="preserve"> W7 Nail Enamel 88 Raspberry Sorbet</v>
      </c>
      <c r="C3845" t="s">
        <v>146</v>
      </c>
      <c r="D3845">
        <v>0</v>
      </c>
    </row>
    <row r="3846" spans="1:4" x14ac:dyDescent="0.25">
      <c r="B3846" t="str">
        <f>HYPERLINK("https://www.chemistwarehouse.com.au/buy/81088/W7-Nail-Enamel-89-Peach-Sorbet"," W7 Nail Enamel 89 Peach Sorbet")</f>
        <v xml:space="preserve"> W7 Nail Enamel 89 Peach Sorbet</v>
      </c>
      <c r="C3846" t="s">
        <v>146</v>
      </c>
      <c r="D3846">
        <v>0</v>
      </c>
    </row>
    <row r="3847" spans="1:4" x14ac:dyDescent="0.25">
      <c r="B3847" t="str">
        <f>HYPERLINK("https://www.chemistwarehouse.com.au/buy/81089/W7-Nail-Enamel-90-Watermelon"," W7 Nail Enamel 90 Watermelon")</f>
        <v xml:space="preserve"> W7 Nail Enamel 90 Watermelon</v>
      </c>
      <c r="C3847" t="s">
        <v>146</v>
      </c>
      <c r="D3847">
        <v>0</v>
      </c>
    </row>
    <row r="3848" spans="1:4" x14ac:dyDescent="0.25">
      <c r="B3848" t="str">
        <f>HYPERLINK("https://www.chemistwarehouse.com.au/buy/81090/W7-Nail-Enamel-91-Lemon-Sorbet"," W7 Nail Enamel 91 Lemon Sorbet")</f>
        <v xml:space="preserve"> W7 Nail Enamel 91 Lemon Sorbet</v>
      </c>
      <c r="C3848" t="s">
        <v>146</v>
      </c>
      <c r="D3848">
        <v>0</v>
      </c>
    </row>
    <row r="3849" spans="1:4" x14ac:dyDescent="0.25">
      <c r="B3849" t="str">
        <f>HYPERLINK("https://www.chemistwarehouse.com.au/buy/81091/W7-Nail-Enamel-92-Silver-Mirror"," W7 Nail Enamel 92 Silver Mirror")</f>
        <v xml:space="preserve"> W7 Nail Enamel 92 Silver Mirror</v>
      </c>
      <c r="C3849" t="s">
        <v>146</v>
      </c>
      <c r="D3849">
        <v>0</v>
      </c>
    </row>
    <row r="3850" spans="1:4" x14ac:dyDescent="0.25">
      <c r="B3850" t="str">
        <f>HYPERLINK("https://www.chemistwarehouse.com.au/buy/81092/W7-Nail-Enamel-93-Blue-Mirror"," W7 Nail Enamel 93 Blue Mirror")</f>
        <v xml:space="preserve"> W7 Nail Enamel 93 Blue Mirror</v>
      </c>
      <c r="C3850" t="s">
        <v>146</v>
      </c>
      <c r="D3850">
        <v>0</v>
      </c>
    </row>
    <row r="3851" spans="1:4" x14ac:dyDescent="0.25">
      <c r="B3851" t="str">
        <f>HYPERLINK("https://www.chemistwarehouse.com.au/buy/81093/W7-Nail-Enamel-94-Gold-Mirror"," W7 Nail Enamel 94 Gold Mirror")</f>
        <v xml:space="preserve"> W7 Nail Enamel 94 Gold Mirror</v>
      </c>
      <c r="C3851" t="s">
        <v>146</v>
      </c>
      <c r="D3851">
        <v>0</v>
      </c>
    </row>
    <row r="3852" spans="1:4" x14ac:dyDescent="0.25">
      <c r="A3852" t="s">
        <v>1127</v>
      </c>
    </row>
    <row r="3853" spans="1:4" x14ac:dyDescent="0.25">
      <c r="B3853" t="str">
        <f>HYPERLINK("https://www.chemistwarehouse.com.au/buy/81111/W7-French-Affair-French-Manicure-Set"," W7 French Affair French Manicure Set ")</f>
        <v xml:space="preserve"> W7 French Affair French Manicure Set </v>
      </c>
      <c r="C3853" t="s">
        <v>556</v>
      </c>
      <c r="D3853">
        <v>0</v>
      </c>
    </row>
    <row r="3854" spans="1:4" x14ac:dyDescent="0.25">
      <c r="B3854" t="str">
        <f>HYPERLINK("https://www.chemistwarehouse.com.au/buy/81112/W7-Nail-Treatment-Armour"," W7 Nail Treatment Armour")</f>
        <v xml:space="preserve"> W7 Nail Treatment Armour</v>
      </c>
      <c r="C3854" t="s">
        <v>556</v>
      </c>
      <c r="D3854">
        <v>0</v>
      </c>
    </row>
    <row r="3855" spans="1:4" x14ac:dyDescent="0.25">
      <c r="B3855" t="str">
        <f>HYPERLINK("https://www.chemistwarehouse.com.au/buy/81113/W7-Nail-Treatment-Builder"," W7 Nail Treatment Builder")</f>
        <v xml:space="preserve"> W7 Nail Treatment Builder</v>
      </c>
      <c r="C3855" t="s">
        <v>556</v>
      </c>
      <c r="D3855">
        <v>0</v>
      </c>
    </row>
    <row r="3856" spans="1:4" x14ac:dyDescent="0.25">
      <c r="B3856" t="str">
        <f>HYPERLINK("https://www.chemistwarehouse.com.au/buy/81114/W7-Nail-Treatment-Platinum-Shine"," W7 Nail Treatment Platinum Shine")</f>
        <v xml:space="preserve"> W7 Nail Treatment Platinum Shine</v>
      </c>
      <c r="C3856" t="s">
        <v>556</v>
      </c>
      <c r="D3856">
        <v>0</v>
      </c>
    </row>
    <row r="3857" spans="1:4" x14ac:dyDescent="0.25">
      <c r="B3857" t="str">
        <f>HYPERLINK("https://www.chemistwarehouse.com.au/buy/81115/W7-Nail-Treatment-Rapid-Growth"," W7 Nail Treatment Rapid Growth")</f>
        <v xml:space="preserve"> W7 Nail Treatment Rapid Growth</v>
      </c>
      <c r="C3857" t="s">
        <v>556</v>
      </c>
      <c r="D3857">
        <v>0</v>
      </c>
    </row>
    <row r="3858" spans="1:4" x14ac:dyDescent="0.25">
      <c r="B3858" t="str">
        <f>HYPERLINK("https://www.chemistwarehouse.com.au/buy/81116/W7-Nail-Treatment-Rapid-Shine"," W7 Nail Treatment Rapid Shine ")</f>
        <v xml:space="preserve"> W7 Nail Treatment Rapid Shine </v>
      </c>
      <c r="C3858" t="s">
        <v>556</v>
      </c>
      <c r="D3858">
        <v>0</v>
      </c>
    </row>
    <row r="3859" spans="1:4" x14ac:dyDescent="0.25">
      <c r="A3859" t="s">
        <v>1128</v>
      </c>
    </row>
    <row r="3860" spans="1:4" x14ac:dyDescent="0.25">
      <c r="B3860" t="str">
        <f>HYPERLINK("https://www.chemistwarehouse.com.au/buy/76796/L-39-Oreal-Telescopic-Mascara-Black"," L'Oreal Telescopic Mascara Black")</f>
        <v xml:space="preserve"> L'Oreal Telescopic Mascara Black</v>
      </c>
      <c r="C3860" t="s">
        <v>50</v>
      </c>
      <c r="D3860" t="s">
        <v>49</v>
      </c>
    </row>
    <row r="3861" spans="1:4" x14ac:dyDescent="0.25">
      <c r="B3861" t="str">
        <f>HYPERLINK("https://www.chemistwarehouse.com.au/buy/76789/L-39-Oreal-False-Lash-Butterfly-Wings-Intenza-Mascara-Black"," L'Oreal False Lash Butterfly Wings Intenza Mascara Black")</f>
        <v xml:space="preserve"> L'Oreal False Lash Butterfly Wings Intenza Mascara Black</v>
      </c>
      <c r="C3861" t="s">
        <v>66</v>
      </c>
      <c r="D3861" t="s">
        <v>65</v>
      </c>
    </row>
    <row r="3862" spans="1:4" x14ac:dyDescent="0.25">
      <c r="B3862" t="str">
        <f>HYPERLINK("https://www.chemistwarehouse.com.au/buy/76790/L-39-Oreal-False-Lash-Telescopic-Mascara-Magnetic-Black"," L'Oreal False Lash Telescopic Mascara Magnetic Black")</f>
        <v xml:space="preserve"> L'Oreal False Lash Telescopic Mascara Magnetic Black</v>
      </c>
      <c r="C3862" t="s">
        <v>50</v>
      </c>
      <c r="D3862" t="s">
        <v>49</v>
      </c>
    </row>
    <row r="3863" spans="1:4" x14ac:dyDescent="0.25">
      <c r="B3863" t="str">
        <f>HYPERLINK("https://www.chemistwarehouse.com.au/buy/76791/L-39-Oreal-False-Lash-Telescopic-Mascara-Waterproof-Black"," L'Oreal False Lash Telescopic Mascara Waterproof Black")</f>
        <v xml:space="preserve"> L'Oreal False Lash Telescopic Mascara Waterproof Black</v>
      </c>
      <c r="C3863" t="s">
        <v>50</v>
      </c>
      <c r="D3863" t="s">
        <v>49</v>
      </c>
    </row>
    <row r="3864" spans="1:4" x14ac:dyDescent="0.25">
      <c r="B3864" t="str">
        <f>HYPERLINK("https://www.chemistwarehouse.com.au/buy/76792/L-39-Oreal-Lash-Architect-4D-Mascara-Black"," L'Oreal Lash Architect 4D Mascara Black")</f>
        <v xml:space="preserve"> L'Oreal Lash Architect 4D Mascara Black</v>
      </c>
      <c r="C3864" t="s">
        <v>129</v>
      </c>
      <c r="D3864" t="s">
        <v>128</v>
      </c>
    </row>
    <row r="3865" spans="1:4" x14ac:dyDescent="0.25">
      <c r="B3865" t="str">
        <f>HYPERLINK("https://www.chemistwarehouse.com.au/buy/76794/L-39-Oreal-Lash-Architect-4D-Mascara-Waterproof-Black"," L'Oreal Lash Architect 4D Mascara Waterproof Black")</f>
        <v xml:space="preserve"> L'Oreal Lash Architect 4D Mascara Waterproof Black</v>
      </c>
      <c r="C3865" t="s">
        <v>129</v>
      </c>
      <c r="D3865" t="s">
        <v>128</v>
      </c>
    </row>
    <row r="3866" spans="1:4" x14ac:dyDescent="0.25">
      <c r="B3866" t="str">
        <f>HYPERLINK("https://www.chemistwarehouse.com.au/buy/76795/L-39-Oreal-Mega-Volume-Miss-Manga-Mascara-Black"," L'Oreal Mega Volume Miss Manga Mascara Black")</f>
        <v xml:space="preserve"> L'Oreal Mega Volume Miss Manga Mascara Black</v>
      </c>
      <c r="C3866" t="s">
        <v>129</v>
      </c>
      <c r="D3866" t="s">
        <v>128</v>
      </c>
    </row>
    <row r="3867" spans="1:4" x14ac:dyDescent="0.25">
      <c r="B3867" t="str">
        <f>HYPERLINK("https://www.chemistwarehouse.com.au/buy/76787/L-39-Oreal-False-Lash-Butterfly-Wings-Black"," L'Oreal False Lash Butterfly Wings Black")</f>
        <v xml:space="preserve"> L'Oreal False Lash Butterfly Wings Black</v>
      </c>
      <c r="C3867" t="s">
        <v>66</v>
      </c>
      <c r="D3867" t="s">
        <v>65</v>
      </c>
    </row>
    <row r="3868" spans="1:4" x14ac:dyDescent="0.25">
      <c r="B3868" t="str">
        <f>HYPERLINK("https://www.chemistwarehouse.com.au/buy/76788/L-39-Oreal-False-Lash-Butterfly-Wings-Waterproof-Black"," L'Oreal False Lash Butterfly Wings Waterproof Black")</f>
        <v xml:space="preserve"> L'Oreal False Lash Butterfly Wings Waterproof Black</v>
      </c>
      <c r="C3868" t="s">
        <v>66</v>
      </c>
      <c r="D3868" t="s">
        <v>65</v>
      </c>
    </row>
    <row r="3869" spans="1:4" x14ac:dyDescent="0.25">
      <c r="B3869" t="str">
        <f>HYPERLINK("https://www.chemistwarehouse.com.au/buy/76797/L-39-Oreal-Telescopic-Mascara-Extra-Black"," L'Oreal Telescopic Mascara Extra Black")</f>
        <v xml:space="preserve"> L'Oreal Telescopic Mascara Extra Black</v>
      </c>
      <c r="C3869" t="s">
        <v>50</v>
      </c>
      <c r="D3869" t="s">
        <v>49</v>
      </c>
    </row>
    <row r="3870" spans="1:4" x14ac:dyDescent="0.25">
      <c r="B3870" t="str">
        <f>HYPERLINK("https://www.chemistwarehouse.com.au/buy/76798/L-39-Oreal-Volume-Million-Lashes-Excess-Black"," L'Oreal Volume Million Lashes Excess Black")</f>
        <v xml:space="preserve"> L'Oreal Volume Million Lashes Excess Black</v>
      </c>
      <c r="C3870" t="s">
        <v>56</v>
      </c>
      <c r="D3870" t="s">
        <v>55</v>
      </c>
    </row>
    <row r="3871" spans="1:4" x14ac:dyDescent="0.25">
      <c r="B3871" t="str">
        <f>HYPERLINK("https://www.chemistwarehouse.com.au/buy/76799/L-39-Oreal-Volume-Million-Lashes-Mascara-Black"," L'Oreal Volume Million Lashes Mascara Black")</f>
        <v xml:space="preserve"> L'Oreal Volume Million Lashes Mascara Black</v>
      </c>
      <c r="C3871" t="s">
        <v>56</v>
      </c>
      <c r="D3871" t="s">
        <v>55</v>
      </c>
    </row>
    <row r="3872" spans="1:4" x14ac:dyDescent="0.25">
      <c r="B3872" t="str">
        <f>HYPERLINK("https://www.chemistwarehouse.com.au/buy/76800/L-39-Oreal-Volume-Million-Lashes-Mascara-Extra-Black"," L'Oreal Volume Million Lashes Mascara Extra Black ")</f>
        <v xml:space="preserve"> L'Oreal Volume Million Lashes Mascara Extra Black </v>
      </c>
      <c r="C3872" t="s">
        <v>56</v>
      </c>
      <c r="D3872" t="s">
        <v>55</v>
      </c>
    </row>
    <row r="3873" spans="1:4" x14ac:dyDescent="0.25">
      <c r="B3873" t="str">
        <f>HYPERLINK("https://www.chemistwarehouse.com.au/buy/76801/L-39-Oreal-Volume-Million-Lashes-Mascara-Waterproof-Black"," L'Oreal Volume Million Lashes Mascara Waterproof Black")</f>
        <v xml:space="preserve"> L'Oreal Volume Million Lashes Mascara Waterproof Black</v>
      </c>
      <c r="C3873" t="s">
        <v>56</v>
      </c>
      <c r="D3873" t="s">
        <v>55</v>
      </c>
    </row>
    <row r="3874" spans="1:4" x14ac:dyDescent="0.25">
      <c r="B3874" t="str">
        <f>HYPERLINK("https://www.chemistwarehouse.com.au/buy/78499/L-39-Oreal-False-Lash-Superstar-Mascara"," L'Oreal False Lash Superstar Mascara")</f>
        <v xml:space="preserve"> L'Oreal False Lash Superstar Mascara</v>
      </c>
      <c r="C3874" t="s">
        <v>78</v>
      </c>
      <c r="D3874" t="s">
        <v>77</v>
      </c>
    </row>
    <row r="3875" spans="1:4" x14ac:dyDescent="0.25">
      <c r="B3875" t="str">
        <f>HYPERLINK("https://www.chemistwarehouse.com.au/buy/79735/L-39-Oreal-False-Lash-Butterfly-Sculpt-Mascara"," L'Oreal False Lash Butterfly Sculpt Mascara")</f>
        <v xml:space="preserve"> L'Oreal False Lash Butterfly Sculpt Mascara</v>
      </c>
      <c r="C3875" t="s">
        <v>66</v>
      </c>
      <c r="D3875" t="s">
        <v>65</v>
      </c>
    </row>
    <row r="3876" spans="1:4" x14ac:dyDescent="0.25">
      <c r="B3876" t="str">
        <f>HYPERLINK("https://www.chemistwarehouse.com.au/buy/81636/L-39-Oreal-Manga-Duo-Xmas-Pack"," L'Oreal Manga Duo Xmas Pack")</f>
        <v xml:space="preserve"> L'Oreal Manga Duo Xmas Pack</v>
      </c>
      <c r="C3876" t="s">
        <v>495</v>
      </c>
      <c r="D3876" t="s">
        <v>152</v>
      </c>
    </row>
    <row r="3877" spans="1:4" x14ac:dyDescent="0.25">
      <c r="A3877" t="s">
        <v>1129</v>
      </c>
    </row>
    <row r="3878" spans="1:4" x14ac:dyDescent="0.25">
      <c r="B3878" t="str">
        <f>HYPERLINK("https://www.chemistwarehouse.com.au/buy/76725/L-39-Oreal-Brow-Artist-Designer-302-Golden-Brown"," L'Oreal Brow Artist Designer 302 Golden Brown")</f>
        <v xml:space="preserve"> L'Oreal Brow Artist Designer 302 Golden Brown</v>
      </c>
      <c r="C3878" t="s">
        <v>198</v>
      </c>
      <c r="D3878" t="s">
        <v>197</v>
      </c>
    </row>
    <row r="3879" spans="1:4" x14ac:dyDescent="0.25">
      <c r="B3879" t="str">
        <f>HYPERLINK("https://www.chemistwarehouse.com.au/buy/76726/L-39-Oreal-Brow-Artist-Designer-303-Deep-Brown"," L'Oreal Brow Artist Designer 303 Deep Brown")</f>
        <v xml:space="preserve"> L'Oreal Brow Artist Designer 303 Deep Brown</v>
      </c>
      <c r="C3879" t="s">
        <v>18</v>
      </c>
      <c r="D3879" t="s">
        <v>17</v>
      </c>
    </row>
    <row r="3880" spans="1:4" x14ac:dyDescent="0.25">
      <c r="B3880" t="str">
        <f>HYPERLINK("https://www.chemistwarehouse.com.au/buy/76727/L-39-Oreal-Brow-Artist-Genius-01-Light"," L'Oreal Brow Artist Genius 01 Light")</f>
        <v xml:space="preserve"> L'Oreal Brow Artist Genius 01 Light</v>
      </c>
      <c r="C3880" t="s">
        <v>20</v>
      </c>
      <c r="D3880" t="s">
        <v>19</v>
      </c>
    </row>
    <row r="3881" spans="1:4" x14ac:dyDescent="0.25">
      <c r="B3881" t="str">
        <f>HYPERLINK("https://www.chemistwarehouse.com.au/buy/76728/L-39-Oreal-Brow-Artist-Genius-02-Medium"," L'Oreal Brow Artist Genius 02 Medium")</f>
        <v xml:space="preserve"> L'Oreal Brow Artist Genius 02 Medium</v>
      </c>
      <c r="C3881" t="s">
        <v>20</v>
      </c>
      <c r="D3881" t="s">
        <v>19</v>
      </c>
    </row>
    <row r="3882" spans="1:4" x14ac:dyDescent="0.25">
      <c r="B3882" t="str">
        <f>HYPERLINK("https://www.chemistwarehouse.com.au/buy/76729/L-39-Oreal-Brow-Artist-Plumper-02-Blonde"," L'Oreal Brow Artist Plumper 02 Blonde")</f>
        <v xml:space="preserve"> L'Oreal Brow Artist Plumper 02 Blonde</v>
      </c>
      <c r="C3882" t="s">
        <v>198</v>
      </c>
      <c r="D3882" t="s">
        <v>197</v>
      </c>
    </row>
    <row r="3883" spans="1:4" x14ac:dyDescent="0.25">
      <c r="B3883" t="str">
        <f>HYPERLINK("https://www.chemistwarehouse.com.au/buy/76730/L-39-Oreal-Brow-Artist-Plumper-04-Dark-Brunette"," L'Oreal Brow Artist Plumper 04 Dark Brunette")</f>
        <v xml:space="preserve"> L'Oreal Brow Artist Plumper 04 Dark Brunette</v>
      </c>
      <c r="C3883" t="s">
        <v>198</v>
      </c>
      <c r="D3883" t="s">
        <v>197</v>
      </c>
    </row>
    <row r="3884" spans="1:4" x14ac:dyDescent="0.25">
      <c r="B3884" t="str">
        <f>HYPERLINK("https://www.chemistwarehouse.com.au/buy/76731/L-39-Oreal-Brow-Artist-Plumper-05-Transparent"," L'Oreal Brow Artist Plumper 05 Transparent")</f>
        <v xml:space="preserve"> L'Oreal Brow Artist Plumper 05 Transparent</v>
      </c>
      <c r="C3884" t="s">
        <v>198</v>
      </c>
      <c r="D3884" t="s">
        <v>197</v>
      </c>
    </row>
    <row r="3885" spans="1:4" x14ac:dyDescent="0.25">
      <c r="B3885" t="str">
        <f>HYPERLINK("https://www.chemistwarehouse.com.au/buy/76732/L-39-Oreal-Superliner-Brow-Artist-02-Blonde"," L'Oreal Superliner Brow Artist 02 Blonde")</f>
        <v xml:space="preserve"> L'Oreal Superliner Brow Artist 02 Blonde</v>
      </c>
      <c r="C3885" t="s">
        <v>18</v>
      </c>
      <c r="D3885" t="s">
        <v>17</v>
      </c>
    </row>
    <row r="3886" spans="1:4" x14ac:dyDescent="0.25">
      <c r="B3886" t="str">
        <f>HYPERLINK("https://www.chemistwarehouse.com.au/buy/76733/L-39-Oreal-Superliner-Brow-Artist-03-Brunette"," L'Oreal Superliner Brow Artist 03 Brunette")</f>
        <v xml:space="preserve"> L'Oreal Superliner Brow Artist 03 Brunette</v>
      </c>
      <c r="C3886" t="s">
        <v>18</v>
      </c>
      <c r="D3886" t="s">
        <v>17</v>
      </c>
    </row>
    <row r="3887" spans="1:4" x14ac:dyDescent="0.25">
      <c r="B3887" t="str">
        <f>HYPERLINK("https://www.chemistwarehouse.com.au/buy/76734/L-39-Oreal-Superliner-Brow-Artist-04-Dark-Brunette"," L'Oreal Superliner Brow Artist 04 Dark Brunette")</f>
        <v xml:space="preserve"> L'Oreal Superliner Brow Artist 04 Dark Brunette</v>
      </c>
      <c r="C3887" t="s">
        <v>18</v>
      </c>
      <c r="D3887" t="s">
        <v>17</v>
      </c>
    </row>
    <row r="3888" spans="1:4" x14ac:dyDescent="0.25">
      <c r="B3888" t="str">
        <f>HYPERLINK("https://www.chemistwarehouse.com.au/buy/79733/L-39-Oreal-Brow-Artist-Sculpt-02-Brunette"," L'Oreal Brow Artist Sculpt 02 Brunette")</f>
        <v xml:space="preserve"> L'Oreal Brow Artist Sculpt 02 Brunette</v>
      </c>
      <c r="C3888" t="s">
        <v>5</v>
      </c>
      <c r="D3888" t="s">
        <v>4</v>
      </c>
    </row>
    <row r="3889" spans="1:4" x14ac:dyDescent="0.25">
      <c r="B3889" t="str">
        <f>HYPERLINK("https://www.chemistwarehouse.com.au/buy/79734/L-39-Oreal-Brow-Artist-Sculpt-04-Dark-Brown"," L'Oreal Brow Artist Sculpt 04 Dark Brown")</f>
        <v xml:space="preserve"> L'Oreal Brow Artist Sculpt 04 Dark Brown</v>
      </c>
      <c r="C3889" t="s">
        <v>5</v>
      </c>
      <c r="D3889" t="s">
        <v>4</v>
      </c>
    </row>
    <row r="3890" spans="1:4" x14ac:dyDescent="0.25">
      <c r="A3890" t="s">
        <v>1130</v>
      </c>
    </row>
    <row r="3891" spans="1:4" x14ac:dyDescent="0.25">
      <c r="B3891" t="str">
        <f>HYPERLINK("https://www.chemistwarehouse.com.au/buy/76735/L-39-Oreal-Color-Riche-Le-Khol-101-Midnight-Black"," L'Oreal Color Riche Le Khol 101 Midnight Black")</f>
        <v xml:space="preserve"> L'Oreal Color Riche Le Khol 101 Midnight Black</v>
      </c>
      <c r="C3891" t="s">
        <v>198</v>
      </c>
      <c r="D3891" t="s">
        <v>197</v>
      </c>
    </row>
    <row r="3892" spans="1:4" x14ac:dyDescent="0.25">
      <c r="B3892" t="str">
        <f>HYPERLINK("https://www.chemistwarehouse.com.au/buy/76736/L-39-Oreal-Color-Riche-Le-Khol-120-Immaculate-Snow"," L'Oreal Color Riche Le Khol 120 Immaculate Snow")</f>
        <v xml:space="preserve"> L'Oreal Color Riche Le Khol 120 Immaculate Snow</v>
      </c>
      <c r="C3892" t="s">
        <v>198</v>
      </c>
      <c r="D3892" t="s">
        <v>197</v>
      </c>
    </row>
    <row r="3893" spans="1:4" x14ac:dyDescent="0.25">
      <c r="B3893" t="str">
        <f>HYPERLINK("https://www.chemistwarehouse.com.au/buy/76737/L-39-Oreal-Color-Riche-Le-Smokey-201-Black-Velour"," L'Oreal Color Riche Le Smokey 201 Black Velour")</f>
        <v xml:space="preserve"> L'Oreal Color Riche Le Smokey 201 Black Velour</v>
      </c>
      <c r="C3893" t="s">
        <v>18</v>
      </c>
      <c r="D3893" t="s">
        <v>17</v>
      </c>
    </row>
    <row r="3894" spans="1:4" x14ac:dyDescent="0.25">
      <c r="B3894" t="str">
        <f>HYPERLINK("https://www.chemistwarehouse.com.au/buy/76738/L-39-Oreal-Color-Riche-Le-Smokey-202-Mystic-Grey"," L'Oreal Color Riche Le Smokey 202 Mystic Grey")</f>
        <v xml:space="preserve"> L'Oreal Color Riche Le Smokey 202 Mystic Grey</v>
      </c>
      <c r="C3894" t="s">
        <v>18</v>
      </c>
      <c r="D3894" t="s">
        <v>17</v>
      </c>
    </row>
    <row r="3895" spans="1:4" x14ac:dyDescent="0.25">
      <c r="B3895" t="str">
        <f>HYPERLINK("https://www.chemistwarehouse.com.au/buy/76739/L-39-Oreal-Color-Riche-Le-Smokey-204-Brown-Fusion"," L'Oreal Color Riche Le Smokey 204 Brown Fusion")</f>
        <v xml:space="preserve"> L'Oreal Color Riche Le Smokey 204 Brown Fusion</v>
      </c>
      <c r="C3895" t="s">
        <v>18</v>
      </c>
      <c r="D3895" t="s">
        <v>17</v>
      </c>
    </row>
    <row r="3896" spans="1:4" x14ac:dyDescent="0.25">
      <c r="B3896" t="str">
        <f>HYPERLINK("https://www.chemistwarehouse.com.au/buy/76740/L-39-Oreal-Color-Riche-Le-Smokey-207-Stormy-Sea"," L'Oreal Color Riche Le Smokey 207 Stormy Sea")</f>
        <v xml:space="preserve"> L'Oreal Color Riche Le Smokey 207 Stormy Sea</v>
      </c>
      <c r="C3896" t="s">
        <v>18</v>
      </c>
      <c r="D3896" t="s">
        <v>17</v>
      </c>
    </row>
    <row r="3897" spans="1:4" x14ac:dyDescent="0.25">
      <c r="B3897" t="str">
        <f>HYPERLINK("https://www.chemistwarehouse.com.au/buy/76745/L-39-Oreal-Superliner-Gel-Eyeliner-Black"," L'Oreal Superliner Gel Eyeliner Black")</f>
        <v xml:space="preserve"> L'Oreal Superliner Gel Eyeliner Black</v>
      </c>
      <c r="C3897" t="s">
        <v>20</v>
      </c>
      <c r="D3897" t="s">
        <v>19</v>
      </c>
    </row>
    <row r="3898" spans="1:4" x14ac:dyDescent="0.25">
      <c r="B3898" t="str">
        <f>HYPERLINK("https://www.chemistwarehouse.com.au/buy/76752/L-39-Oreal-Superliner-Smokissime-101-Taupe-Smoke"," L'Oreal Superliner Smokissime 101 Taupe Smoke")</f>
        <v xml:space="preserve"> L'Oreal Superliner Smokissime 101 Taupe Smoke</v>
      </c>
      <c r="C3898" t="s">
        <v>18</v>
      </c>
      <c r="D3898" t="s">
        <v>17</v>
      </c>
    </row>
    <row r="3899" spans="1:4" x14ac:dyDescent="0.25">
      <c r="B3899" t="str">
        <f>HYPERLINK("https://www.chemistwarehouse.com.au/buy/78498/L-39-Oreal-Superliner-Superstar-Black"," L'Oreal Superliner Superstar Black")</f>
        <v xml:space="preserve"> L'Oreal Superliner Superstar Black</v>
      </c>
      <c r="C3899" t="s">
        <v>20</v>
      </c>
      <c r="D3899" t="s">
        <v>19</v>
      </c>
    </row>
    <row r="3900" spans="1:4" x14ac:dyDescent="0.25">
      <c r="B3900" t="str">
        <f>HYPERLINK("https://www.chemistwarehouse.com.au/buy/76743/L-39-Oreal-Superliner-Eyeliner-01-Black"," L'Oreal Superliner Eyeliner 01 Black")</f>
        <v xml:space="preserve"> L'Oreal Superliner Eyeliner 01 Black</v>
      </c>
      <c r="C3900" t="s">
        <v>1131</v>
      </c>
      <c r="D3900" t="s">
        <v>1132</v>
      </c>
    </row>
    <row r="3901" spans="1:4" x14ac:dyDescent="0.25">
      <c r="A3901" t="s">
        <v>1133</v>
      </c>
    </row>
    <row r="3902" spans="1:4" x14ac:dyDescent="0.25">
      <c r="B3902" t="str">
        <f>HYPERLINK("https://www.chemistwarehouse.com.au/buy/76755/L-39-Oreal-Color-Riche-Crayon-Le-Kajal-501-Oriental-Black"," L'Oreal Color Riche Crayon Le Kajal 501 Oriental Black")</f>
        <v xml:space="preserve"> L'Oreal Color Riche Crayon Le Kajal 501 Oriental Black</v>
      </c>
      <c r="C3902" t="s">
        <v>15</v>
      </c>
      <c r="D3902" t="s">
        <v>14</v>
      </c>
    </row>
    <row r="3903" spans="1:4" x14ac:dyDescent="0.25">
      <c r="A3903" t="s">
        <v>1134</v>
      </c>
    </row>
    <row r="3904" spans="1:4" x14ac:dyDescent="0.25">
      <c r="B3904" t="str">
        <f>HYPERLINK("https://www.chemistwarehouse.com.au/buy/76764/L-39-Oreal-Color-Riche-Eyeshadow-Quads-E1-Timeless-Beige"," L'Oreal Color Riche Eyeshadow Quads E1 Timeless Beige")</f>
        <v xml:space="preserve"> L'Oreal Color Riche Eyeshadow Quads E1 Timeless Beige</v>
      </c>
      <c r="C3904" t="s">
        <v>194</v>
      </c>
      <c r="D3904" t="s">
        <v>193</v>
      </c>
    </row>
    <row r="3905" spans="1:4" x14ac:dyDescent="0.25">
      <c r="B3905" t="str">
        <f>HYPERLINK("https://www.chemistwarehouse.com.au/buy/76765/L-39-Oreal-Color-Riche-Eyeshadow-Quads-E3-Forever-Bronze"," L'Oreal Color Riche Eyeshadow Quads E3 Forever Bronze")</f>
        <v xml:space="preserve"> L'Oreal Color Riche Eyeshadow Quads E3 Forever Bronze</v>
      </c>
      <c r="C3905" t="s">
        <v>194</v>
      </c>
      <c r="D3905" t="s">
        <v>193</v>
      </c>
    </row>
    <row r="3906" spans="1:4" x14ac:dyDescent="0.25">
      <c r="B3906" t="str">
        <f>HYPERLINK("https://www.chemistwarehouse.com.au/buy/76766/L-39-Oreal-Color-Riche-Eyeshadow-Quads-E5-Incredible-Grey"," L'Oreal Color Riche Eyeshadow Quads E5 Incredible Grey")</f>
        <v xml:space="preserve"> L'Oreal Color Riche Eyeshadow Quads E5 Incredible Grey</v>
      </c>
      <c r="C3906" t="s">
        <v>194</v>
      </c>
      <c r="D3906" t="s">
        <v>193</v>
      </c>
    </row>
    <row r="3907" spans="1:4" x14ac:dyDescent="0.25">
      <c r="B3907" t="str">
        <f>HYPERLINK("https://www.chemistwarehouse.com.au/buy/76767/L-39-Oreal-Color-Riche-Eyeshadow-Quads-E4-Marron-Glace"," L'Oreal Color Riche Eyeshadow Quads E4 Marron Glace")</f>
        <v xml:space="preserve"> L'Oreal Color Riche Eyeshadow Quads E4 Marron Glace</v>
      </c>
      <c r="C3907" t="s">
        <v>194</v>
      </c>
      <c r="D3907" t="s">
        <v>193</v>
      </c>
    </row>
    <row r="3908" spans="1:4" x14ac:dyDescent="0.25">
      <c r="B3908" t="str">
        <f>HYPERLINK("https://www.chemistwarehouse.com.au/buy/76768/L-39-Oreal-Color-Riche-Eyeshadow-Quads-E6-Rose-Memories"," L'Oreal Color Riche Eyeshadow Quads E6 Rose Memories")</f>
        <v xml:space="preserve"> L'Oreal Color Riche Eyeshadow Quads E6 Rose Memories</v>
      </c>
      <c r="C3908" t="s">
        <v>194</v>
      </c>
      <c r="D3908" t="s">
        <v>193</v>
      </c>
    </row>
    <row r="3909" spans="1:4" x14ac:dyDescent="0.25">
      <c r="A3909" t="s">
        <v>1135</v>
      </c>
    </row>
    <row r="3910" spans="1:4" x14ac:dyDescent="0.25">
      <c r="B3910" t="str">
        <f>HYPERLINK("https://www.chemistwarehouse.com.au/buy/76770/L-39-Oreal-Color-Riche-Eyes-Mono-Canne-500-Quartz-Fume"," L'Oreal Color Riche Eyes Mono Canne 500 Quartz Fume")</f>
        <v xml:space="preserve"> L'Oreal Color Riche Eyes Mono Canne 500 Quartz Fume</v>
      </c>
      <c r="C3910" t="s">
        <v>15</v>
      </c>
      <c r="D3910" t="s">
        <v>14</v>
      </c>
    </row>
    <row r="3911" spans="1:4" x14ac:dyDescent="0.25">
      <c r="B3911" t="str">
        <f>HYPERLINK("https://www.chemistwarehouse.com.au/buy/76771/L-39-Oreal-Color-Riche-Eyes-Mono-Canne-502-Gold-Mania"," L'Oreal Color Riche Eyes Mono Canne 502 Gold Mania")</f>
        <v xml:space="preserve"> L'Oreal Color Riche Eyes Mono Canne 502 Gold Mania</v>
      </c>
      <c r="C3911" t="s">
        <v>15</v>
      </c>
      <c r="D3911" t="s">
        <v>14</v>
      </c>
    </row>
    <row r="3912" spans="1:4" x14ac:dyDescent="0.25">
      <c r="B3912" t="str">
        <f>HYPERLINK("https://www.chemistwarehouse.com.au/buy/76774/L-39-Oreal-Color-Riche-Eyes-Mono-Pure-106-Breaking-Nude"," L'Oreal Color Riche Eyes Mono Pure 106 Breaking Nude")</f>
        <v xml:space="preserve"> L'Oreal Color Riche Eyes Mono Pure 106 Breaking Nude</v>
      </c>
      <c r="C3912" t="s">
        <v>46</v>
      </c>
      <c r="D3912" t="s">
        <v>417</v>
      </c>
    </row>
    <row r="3913" spans="1:4" x14ac:dyDescent="0.25">
      <c r="B3913" t="str">
        <f>HYPERLINK("https://www.chemistwarehouse.com.au/buy/76775/L-39-Oreal-Color-Riche-Eyes-Mono-Pure-107-Macaron-Vanilla"," L'Oreal Color Riche Eyes Mono Pure 107 Macaron Vanilla")</f>
        <v xml:space="preserve"> L'Oreal Color Riche Eyes Mono Pure 107 Macaron Vanilla</v>
      </c>
      <c r="C3913" t="s">
        <v>15</v>
      </c>
      <c r="D3913" t="s">
        <v>14</v>
      </c>
    </row>
    <row r="3914" spans="1:4" x14ac:dyDescent="0.25">
      <c r="B3914" t="str">
        <f>HYPERLINK("https://www.chemistwarehouse.com.au/buy/76777/L-39-Oreal-Color-Riche-Eyes-Mono-Pure-207-Snow-In-Megeve"," L'Oreal Color Riche Eyes Mono Pure 207 Snow In Megeve")</f>
        <v xml:space="preserve"> L'Oreal Color Riche Eyes Mono Pure 207 Snow In Megeve</v>
      </c>
      <c r="C3914" t="s">
        <v>15</v>
      </c>
      <c r="D3914" t="s">
        <v>14</v>
      </c>
    </row>
    <row r="3915" spans="1:4" x14ac:dyDescent="0.25">
      <c r="B3915" t="str">
        <f>HYPERLINK("https://www.chemistwarehouse.com.au/buy/76778/L-39-Oreal-Color-Riche-Eyes-Mono-Pure-302-Die-For-Chocolate"," L'Oreal Color Riche Eyes Mono Pure 302 Die For Chocolate")</f>
        <v xml:space="preserve"> L'Oreal Color Riche Eyes Mono Pure 302 Die For Chocolate</v>
      </c>
      <c r="C3915" t="s">
        <v>15</v>
      </c>
      <c r="D3915" t="s">
        <v>14</v>
      </c>
    </row>
    <row r="3916" spans="1:4" x14ac:dyDescent="0.25">
      <c r="B3916" t="str">
        <f>HYPERLINK("https://www.chemistwarehouse.com.au/buy/76779/L-39-Oreal-Color-Riche-Eyes-Mono-Pure-406-Mauvie-Star"," L'Oreal Color Riche Eyes Mono Pure 406 Mauvie Star")</f>
        <v xml:space="preserve"> L'Oreal Color Riche Eyes Mono Pure 406 Mauvie Star</v>
      </c>
      <c r="C3916" t="s">
        <v>15</v>
      </c>
      <c r="D3916" t="s">
        <v>14</v>
      </c>
    </row>
    <row r="3917" spans="1:4" x14ac:dyDescent="0.25">
      <c r="B3917" t="str">
        <f>HYPERLINK("https://www.chemistwarehouse.com.au/buy/76776/L-39-Oreal-Color-Riche-Eyes-Mono-Pure-201-Cafe-St-Germain"," L'Oreal Color Riche Eyes Mono Pure 201 Cafe St Germain")</f>
        <v xml:space="preserve"> L'Oreal Color Riche Eyes Mono Pure 201 Cafe St Germain</v>
      </c>
      <c r="C3917" t="s">
        <v>46</v>
      </c>
      <c r="D3917" t="s">
        <v>417</v>
      </c>
    </row>
    <row r="3918" spans="1:4" x14ac:dyDescent="0.25">
      <c r="B3918" t="str">
        <f>HYPERLINK("https://www.chemistwarehouse.com.au/buy/76772/L-39-Oreal-Color-Riche-Eyes-Mono-Pure-100-Black-Is-Black"," L'Oreal Color Riche Eyes Mono Pure 100 Black Is Black")</f>
        <v xml:space="preserve"> L'Oreal Color Riche Eyes Mono Pure 100 Black Is Black</v>
      </c>
      <c r="C3918" t="s">
        <v>46</v>
      </c>
      <c r="D3918" t="s">
        <v>417</v>
      </c>
    </row>
    <row r="3919" spans="1:4" x14ac:dyDescent="0.25">
      <c r="B3919" t="str">
        <f>HYPERLINK("https://www.chemistwarehouse.com.au/buy/76773/L-39-Oreal-Color-Riche-Eyes-Mono-Pure-101-Macadam-Princess"," L'Oreal Color Riche Eyes Mono Pure 101 Macadam Princess")</f>
        <v xml:space="preserve"> L'Oreal Color Riche Eyes Mono Pure 101 Macadam Princess</v>
      </c>
      <c r="C3919" t="s">
        <v>46</v>
      </c>
      <c r="D3919" t="s">
        <v>417</v>
      </c>
    </row>
    <row r="3920" spans="1:4" x14ac:dyDescent="0.25">
      <c r="A3920" t="s">
        <v>1136</v>
      </c>
    </row>
    <row r="3921" spans="1:4" x14ac:dyDescent="0.25">
      <c r="B3921" t="str">
        <f>HYPERLINK("https://www.chemistwarehouse.com.au/buy/78506/L-39-Oreal-Color-Riche-Eyes-Nude-Palette-001-Rose"," L'Oreal Color Riche Eyes Nude Palette 001 Rose")</f>
        <v xml:space="preserve"> L'Oreal Color Riche Eyes Nude Palette 001 Rose</v>
      </c>
      <c r="C3921" t="s">
        <v>13</v>
      </c>
      <c r="D3921" t="s">
        <v>12</v>
      </c>
    </row>
    <row r="3922" spans="1:4" x14ac:dyDescent="0.25">
      <c r="B3922" t="str">
        <f>HYPERLINK("https://www.chemistwarehouse.com.au/buy/78507/L-39-Oreal-Color-Riche-Eyes-Nude-Palette-002-Beige"," L'Oreal Color Riche Eyes Nude Palette 002 Beige")</f>
        <v xml:space="preserve"> L'Oreal Color Riche Eyes Nude Palette 002 Beige</v>
      </c>
      <c r="C3922" t="s">
        <v>13</v>
      </c>
      <c r="D3922" t="s">
        <v>12</v>
      </c>
    </row>
    <row r="3923" spans="1:4" x14ac:dyDescent="0.25">
      <c r="B3923" t="str">
        <f>HYPERLINK("https://www.chemistwarehouse.com.au/buy/81663/L-39-Oreal-Color-Riche-Eyeshadow-La-Palette-Ombre"," L'Oreal Color Riche Eyeshadow La Palette Ombre")</f>
        <v xml:space="preserve"> L'Oreal Color Riche Eyeshadow La Palette Ombre</v>
      </c>
      <c r="C3923" t="s">
        <v>13</v>
      </c>
      <c r="D3923" t="s">
        <v>12</v>
      </c>
    </row>
    <row r="3924" spans="1:4" x14ac:dyDescent="0.25">
      <c r="A3924" t="s">
        <v>1137</v>
      </c>
    </row>
    <row r="3925" spans="1:4" x14ac:dyDescent="0.25">
      <c r="B3925" t="str">
        <f>HYPERLINK("https://www.chemistwarehouse.com.au/buy/77033/L-39-Oreal-Color-Riche-Lipstick-Extraordinare-101-Rose-Melody"," L'Oreal Color Riche Lipstick Extraordinare 101 Rose Melody")</f>
        <v xml:space="preserve"> L'Oreal Color Riche Lipstick Extraordinare 101 Rose Melody</v>
      </c>
      <c r="C3925" t="s">
        <v>46</v>
      </c>
      <c r="D3925" t="s">
        <v>359</v>
      </c>
    </row>
    <row r="3926" spans="1:4" x14ac:dyDescent="0.25">
      <c r="A3926" t="s">
        <v>1138</v>
      </c>
    </row>
    <row r="3927" spans="1:4" x14ac:dyDescent="0.25">
      <c r="B3927" t="str">
        <f>HYPERLINK("https://www.chemistwarehouse.com.au/buy/77049/L-39-Oreal-Infallible-Lip-Gloss-101-Girl-On-Top"," L'Oreal Infallible Lip Gloss 101 Girl On Top")</f>
        <v xml:space="preserve"> L'Oreal Infallible Lip Gloss 101 Girl On Top</v>
      </c>
      <c r="C3927" t="s">
        <v>129</v>
      </c>
      <c r="D3927" t="s">
        <v>128</v>
      </c>
    </row>
    <row r="3928" spans="1:4" x14ac:dyDescent="0.25">
      <c r="B3928" t="str">
        <f>HYPERLINK("https://www.chemistwarehouse.com.au/buy/77050/L-39-Oreal-Infallible-Lip-Gloss-102-Scream-And-Shout"," L'Oreal Infallible Lip Gloss 102 Scream And Shout")</f>
        <v xml:space="preserve"> L'Oreal Infallible Lip Gloss 102 Scream And Shout</v>
      </c>
      <c r="C3928" t="s">
        <v>129</v>
      </c>
      <c r="D3928" t="s">
        <v>128</v>
      </c>
    </row>
    <row r="3929" spans="1:4" x14ac:dyDescent="0.25">
      <c r="B3929" t="str">
        <f>HYPERLINK("https://www.chemistwarehouse.com.au/buy/77051/L-39-Oreal-Infallible-Lip-Gloss-103-Protest-Queen"," L'Oreal Infallible Lip Gloss 103 Protest Queen")</f>
        <v xml:space="preserve"> L'Oreal Infallible Lip Gloss 103 Protest Queen</v>
      </c>
      <c r="C3929" t="s">
        <v>129</v>
      </c>
      <c r="D3929" t="s">
        <v>128</v>
      </c>
    </row>
    <row r="3930" spans="1:4" x14ac:dyDescent="0.25">
      <c r="B3930" t="str">
        <f>HYPERLINK("https://www.chemistwarehouse.com.au/buy/77052/L-39-Oreal-Infallible-Lip-Gloss-104-Mafia-Gloss"," L'Oreal Infallible Lip Gloss 104 Mafia Gloss")</f>
        <v xml:space="preserve"> L'Oreal Infallible Lip Gloss 104 Mafia Gloss</v>
      </c>
      <c r="C3930" t="s">
        <v>129</v>
      </c>
      <c r="D3930" t="s">
        <v>128</v>
      </c>
    </row>
    <row r="3931" spans="1:4" x14ac:dyDescent="0.25">
      <c r="B3931" t="str">
        <f>HYPERLINK("https://www.chemistwarehouse.com.au/buy/77053/L-39-Oreal-Infallible-Lip-Gloss-106-Alerte-Rouge"," L'Oreal Infallible Lip Gloss 106 Alerte Rouge")</f>
        <v xml:space="preserve"> L'Oreal Infallible Lip Gloss 106 Alerte Rouge</v>
      </c>
      <c r="C3931" t="s">
        <v>129</v>
      </c>
      <c r="D3931" t="s">
        <v>128</v>
      </c>
    </row>
    <row r="3932" spans="1:4" x14ac:dyDescent="0.25">
      <c r="B3932" t="str">
        <f>HYPERLINK("https://www.chemistwarehouse.com.au/buy/77054/L-39-Oreal-Infallible-Lip-Gloss-107-Whos-The-Boss"," L'Oreal Infallible Lip Gloss 107 Whos The Boss")</f>
        <v xml:space="preserve"> L'Oreal Infallible Lip Gloss 107 Whos The Boss</v>
      </c>
      <c r="C3932" t="s">
        <v>129</v>
      </c>
      <c r="D3932" t="s">
        <v>128</v>
      </c>
    </row>
    <row r="3933" spans="1:4" x14ac:dyDescent="0.25">
      <c r="B3933" t="str">
        <f>HYPERLINK("https://www.chemistwarehouse.com.au/buy/77055/L-39-Oreal-Infallible-Lip-Gloss-108-Revolution-Fabulous"," L'Oreal Infallible Lip Gloss 108 Revolution Fabulous")</f>
        <v xml:space="preserve"> L'Oreal Infallible Lip Gloss 108 Revolution Fabulous</v>
      </c>
      <c r="C3933" t="s">
        <v>129</v>
      </c>
      <c r="D3933" t="s">
        <v>128</v>
      </c>
    </row>
    <row r="3934" spans="1:4" x14ac:dyDescent="0.25">
      <c r="B3934" t="str">
        <f>HYPERLINK("https://www.chemistwarehouse.com.au/buy/77056/L-39-Oreal-Infallible-Lip-Gloss-109-Fight-For-It"," L'Oreal Infallible Lip Gloss 109 Fight For It")</f>
        <v xml:space="preserve"> L'Oreal Infallible Lip Gloss 109 Fight For It</v>
      </c>
      <c r="C3934" t="s">
        <v>129</v>
      </c>
      <c r="D3934" t="s">
        <v>128</v>
      </c>
    </row>
    <row r="3935" spans="1:4" x14ac:dyDescent="0.25">
      <c r="B3935" t="str">
        <f>HYPERLINK("https://www.chemistwarehouse.com.au/buy/77057/L-39-Oreal-Infallible-Lip-Gloss-110-I-Got-The-Power"," L'Oreal Infallible Lip Gloss 110 I Got The Power")</f>
        <v xml:space="preserve"> L'Oreal Infallible Lip Gloss 110 I Got The Power</v>
      </c>
      <c r="C3935" t="s">
        <v>129</v>
      </c>
      <c r="D3935" t="s">
        <v>128</v>
      </c>
    </row>
    <row r="3936" spans="1:4" x14ac:dyDescent="0.25">
      <c r="B3936" t="str">
        <f>HYPERLINK("https://www.chemistwarehouse.com.au/buy/77058/L-39-Oreal-Infallible-Lip-Gloss-501-Bulletproof"," L'Oreal Infallible Lip Gloss 501 Bulletproof")</f>
        <v xml:space="preserve"> L'Oreal Infallible Lip Gloss 501 Bulletproof</v>
      </c>
      <c r="C3936" t="s">
        <v>129</v>
      </c>
      <c r="D3936" t="s">
        <v>128</v>
      </c>
    </row>
    <row r="3937" spans="1:4" x14ac:dyDescent="0.25">
      <c r="B3937" t="str">
        <f>HYPERLINK("https://www.chemistwarehouse.com.au/buy/77059/L-39-Oreal-Infallible-Lip-Gloss-502-Hold-Me-Clos"," L'Oreal Infallible Lip Gloss 502 Hold Me Clos")</f>
        <v xml:space="preserve"> L'Oreal Infallible Lip Gloss 502 Hold Me Clos</v>
      </c>
      <c r="C3937" t="s">
        <v>129</v>
      </c>
      <c r="D3937" t="s">
        <v>128</v>
      </c>
    </row>
    <row r="3938" spans="1:4" x14ac:dyDescent="0.25">
      <c r="B3938" t="str">
        <f>HYPERLINK("https://www.chemistwarehouse.com.au/buy/77060/L-39-Oreal-Infallible-Lip-Gloss-503-All-Night-Long"," L'Oreal Infallible Lip Gloss 503 All Night Long")</f>
        <v xml:space="preserve"> L'Oreal Infallible Lip Gloss 503 All Night Long</v>
      </c>
      <c r="C3938" t="s">
        <v>129</v>
      </c>
      <c r="D3938" t="s">
        <v>128</v>
      </c>
    </row>
    <row r="3939" spans="1:4" x14ac:dyDescent="0.25">
      <c r="B3939" t="str">
        <f>HYPERLINK("https://www.chemistwarehouse.com.au/buy/77061/L-39-Oreal-Infallible-Lip-Gloss-504-My-Sky-Is-The-Limit"," L'Oreal Infallible Lip Gloss 504 My Sky Is The Limit")</f>
        <v xml:space="preserve"> L'Oreal Infallible Lip Gloss 504 My Sky Is The Limit</v>
      </c>
      <c r="C3939" t="s">
        <v>129</v>
      </c>
      <c r="D3939" t="s">
        <v>128</v>
      </c>
    </row>
    <row r="3940" spans="1:4" x14ac:dyDescent="0.25">
      <c r="B3940" t="str">
        <f>HYPERLINK("https://www.chemistwarehouse.com.au/buy/77062/L-39-Oreal-Infallible-Lip-Gloss-505-Never-Let-Me-Go"," L'Oreal Infallible Lip Gloss 505 Never Let Me Go")</f>
        <v xml:space="preserve"> L'Oreal Infallible Lip Gloss 505 Never Let Me Go</v>
      </c>
      <c r="C3940" t="s">
        <v>129</v>
      </c>
      <c r="D3940" t="s">
        <v>128</v>
      </c>
    </row>
    <row r="3941" spans="1:4" x14ac:dyDescent="0.25">
      <c r="B3941" t="str">
        <f>HYPERLINK("https://www.chemistwarehouse.com.au/buy/77063/L-39-Oreal-Infallible-Lip-Gloss-509-You-Know-You-Love-Me"," L'Oreal Infallible Lip Gloss 509 You Know You Love Me")</f>
        <v xml:space="preserve"> L'Oreal Infallible Lip Gloss 509 You Know You Love Me</v>
      </c>
      <c r="C3941" t="s">
        <v>129</v>
      </c>
      <c r="D3941" t="s">
        <v>128</v>
      </c>
    </row>
    <row r="3942" spans="1:4" x14ac:dyDescent="0.25">
      <c r="A3942" t="s">
        <v>1139</v>
      </c>
    </row>
    <row r="3943" spans="1:4" x14ac:dyDescent="0.25">
      <c r="B3943" t="str">
        <f>HYPERLINK("https://www.chemistwarehouse.com.au/buy/77064/L-39-Oreal-Color-Riche-Lipliner-258-Berry-Blush"," L'Oreal Color Riche Lipliner 258 Berry Blush")</f>
        <v xml:space="preserve"> L'Oreal Color Riche Lipliner 258 Berry Blush</v>
      </c>
      <c r="C3943" t="s">
        <v>43</v>
      </c>
      <c r="D3943" t="s">
        <v>44</v>
      </c>
    </row>
    <row r="3944" spans="1:4" x14ac:dyDescent="0.25">
      <c r="B3944" t="str">
        <f>HYPERLINK("https://www.chemistwarehouse.com.au/buy/77066/L-39-Oreal-Color-Riche-Lipliner-300-Velvet-Robe"," L'Oreal Color Riche Lipliner 300 Velvet Robe")</f>
        <v xml:space="preserve"> L'Oreal Color Riche Lipliner 300 Velvet Robe</v>
      </c>
      <c r="C3944" t="s">
        <v>43</v>
      </c>
      <c r="D3944" t="s">
        <v>44</v>
      </c>
    </row>
    <row r="3945" spans="1:4" x14ac:dyDescent="0.25">
      <c r="B3945" t="str">
        <f>HYPERLINK("https://www.chemistwarehouse.com.au/buy/77067/L-39-Oreal-Color-Riche-Lipliner-302-Bois-De-Rose"," L'Oreal Color Riche Lipliner 302 Bois De Rose")</f>
        <v xml:space="preserve"> L'Oreal Color Riche Lipliner 302 Bois De Rose</v>
      </c>
      <c r="C3945" t="s">
        <v>43</v>
      </c>
      <c r="D3945" t="s">
        <v>44</v>
      </c>
    </row>
    <row r="3946" spans="1:4" x14ac:dyDescent="0.25">
      <c r="B3946" t="str">
        <f>HYPERLINK("https://www.chemistwarehouse.com.au/buy/77068/L-39-Oreal-Color-Riche-Lipliner-374-Intense-Plum"," L'Oreal Color Riche Lipliner 374 Intense Plum")</f>
        <v xml:space="preserve"> L'Oreal Color Riche Lipliner 374 Intense Plum</v>
      </c>
      <c r="C3946" t="s">
        <v>43</v>
      </c>
      <c r="D3946" t="s">
        <v>44</v>
      </c>
    </row>
    <row r="3947" spans="1:4" x14ac:dyDescent="0.25">
      <c r="B3947" t="str">
        <f>HYPERLINK("https://www.chemistwarehouse.com.au/buy/77071/L-39-Oreal-Color-Riche-Lipliner-630-Beige"," L'Oreal Color Riche Lipliner 630 Beige")</f>
        <v xml:space="preserve"> L'Oreal Color Riche Lipliner 630 Beige</v>
      </c>
      <c r="C3947" t="s">
        <v>43</v>
      </c>
      <c r="D3947" t="s">
        <v>44</v>
      </c>
    </row>
    <row r="3948" spans="1:4" x14ac:dyDescent="0.25">
      <c r="B3948" t="str">
        <f>HYPERLINK("https://www.chemistwarehouse.com.au/buy/77069/L-39-Oreal-Color-Riche-Lipliner-377-Perfect-Red"," L'Oreal Color Riche Lipliner 377 Perfect Red")</f>
        <v xml:space="preserve"> L'Oreal Color Riche Lipliner 377 Perfect Red</v>
      </c>
      <c r="C3948" t="s">
        <v>228</v>
      </c>
      <c r="D3948" t="s">
        <v>329</v>
      </c>
    </row>
    <row r="3949" spans="1:4" x14ac:dyDescent="0.25">
      <c r="B3949" t="str">
        <f>HYPERLINK("https://www.chemistwarehouse.com.au/buy/77070/L-39-Oreal-Color-Riche-Lipliner-461-Scarlett-Rouge"," L'Oreal Color Riche Lipliner 461 Scarlett Rouge")</f>
        <v xml:space="preserve"> L'Oreal Color Riche Lipliner 461 Scarlett Rouge</v>
      </c>
      <c r="C3949" t="s">
        <v>228</v>
      </c>
      <c r="D3949" t="s">
        <v>329</v>
      </c>
    </row>
    <row r="3950" spans="1:4" x14ac:dyDescent="0.25">
      <c r="A3950" t="s">
        <v>1140</v>
      </c>
    </row>
    <row r="3951" spans="1:4" x14ac:dyDescent="0.25">
      <c r="B3951" t="str">
        <f>HYPERLINK("https://www.chemistwarehouse.com.au/buy/78492/L-39-Oreal-Infallible-Matte-FX-Lip-01-Silencio"," L'Oreal Infallible Matte FX Lip 01 Silencio")</f>
        <v xml:space="preserve"> L'Oreal Infallible Matte FX Lip 01 Silencio</v>
      </c>
      <c r="C3951" t="s">
        <v>194</v>
      </c>
      <c r="D3951" t="s">
        <v>193</v>
      </c>
    </row>
    <row r="3952" spans="1:4" x14ac:dyDescent="0.25">
      <c r="B3952" t="str">
        <f>HYPERLINK("https://www.chemistwarehouse.com.au/buy/78493/L-39-Oreal-Infallible-Matte-FX-Lip-04-Oops-I-Did-It-Again"," L'Oreal Infallible Matte FX Lip 04 Oops I Did It Again")</f>
        <v xml:space="preserve"> L'Oreal Infallible Matte FX Lip 04 Oops I Did It Again</v>
      </c>
      <c r="C3952" t="s">
        <v>194</v>
      </c>
      <c r="D3952" t="s">
        <v>193</v>
      </c>
    </row>
    <row r="3953" spans="1:4" x14ac:dyDescent="0.25">
      <c r="B3953" t="str">
        <f>HYPERLINK("https://www.chemistwarehouse.com.au/buy/78494/L-39-Oreal-Infallible-Matte-FX-Lip-02-Like-A-Virgin"," L'Oreal Infallible Matte FX Lip 02 Like A Virgin")</f>
        <v xml:space="preserve"> L'Oreal Infallible Matte FX Lip 02 Like A Virgin</v>
      </c>
      <c r="C3953" t="s">
        <v>194</v>
      </c>
      <c r="D3953" t="s">
        <v>193</v>
      </c>
    </row>
    <row r="3954" spans="1:4" x14ac:dyDescent="0.25">
      <c r="B3954" t="str">
        <f>HYPERLINK("https://www.chemistwarehouse.com.au/buy/78495/L-39-Oreal-Infallible-Matte-FX-Lip-06-Disturbia"," L'Oreal Infallible Matte FX Lip 06 Disturbia")</f>
        <v xml:space="preserve"> L'Oreal Infallible Matte FX Lip 06 Disturbia</v>
      </c>
      <c r="C3954" t="s">
        <v>194</v>
      </c>
      <c r="D3954" t="s">
        <v>193</v>
      </c>
    </row>
    <row r="3955" spans="1:4" x14ac:dyDescent="0.25">
      <c r="B3955" t="str">
        <f>HYPERLINK("https://www.chemistwarehouse.com.au/buy/78496/L-39-Oreal-Infallible-Matte-FX-Lip-07-Say-My-Name"," L'Oreal Infallible Matte FX Lip 07 Say My Name")</f>
        <v xml:space="preserve"> L'Oreal Infallible Matte FX Lip 07 Say My Name</v>
      </c>
      <c r="C3955" t="s">
        <v>194</v>
      </c>
      <c r="D3955" t="s">
        <v>193</v>
      </c>
    </row>
    <row r="3956" spans="1:4" x14ac:dyDescent="0.25">
      <c r="B3956" t="str">
        <f>HYPERLINK("https://www.chemistwarehouse.com.au/buy/78497/L-39-Oreal-Infallible-Matte-FX-Lip-08-I-Gotta-Feeling"," L'Oreal Infallible Matte FX Lip 08 I Gotta Feeling")</f>
        <v xml:space="preserve"> L'Oreal Infallible Matte FX Lip 08 I Gotta Feeling</v>
      </c>
      <c r="C3956" t="s">
        <v>194</v>
      </c>
      <c r="D3956" t="s">
        <v>193</v>
      </c>
    </row>
    <row r="3957" spans="1:4" x14ac:dyDescent="0.25">
      <c r="A3957" t="s">
        <v>1141</v>
      </c>
    </row>
    <row r="3958" spans="1:4" x14ac:dyDescent="0.25">
      <c r="B3958" t="str">
        <f>HYPERLINK("https://www.chemistwarehouse.com.au/buy/77111/L-39-Oreal-Infallible-2-Step-Lipstick-109-Blossoming-Berry"," L'Oreal Infallible 2-Step Lipstick 109 Blossoming Berry")</f>
        <v xml:space="preserve"> L'Oreal Infallible 2-Step Lipstick 109 Blossoming Berry</v>
      </c>
      <c r="C3958" t="s">
        <v>13</v>
      </c>
      <c r="D3958" t="s">
        <v>12</v>
      </c>
    </row>
    <row r="3959" spans="1:4" x14ac:dyDescent="0.25">
      <c r="B3959" t="str">
        <f>HYPERLINK("https://www.chemistwarehouse.com.au/buy/77112/L-39-Oreal-Infallible-2-Step-Lipstick-110-Timeless-Rose"," L'Oreal Infallible 2-Step Lipstick 110 Timeless Rose")</f>
        <v xml:space="preserve"> L'Oreal Infallible 2-Step Lipstick 110 Timeless Rose</v>
      </c>
      <c r="C3959" t="s">
        <v>13</v>
      </c>
      <c r="D3959" t="s">
        <v>12</v>
      </c>
    </row>
    <row r="3960" spans="1:4" x14ac:dyDescent="0.25">
      <c r="B3960" t="str">
        <f>HYPERLINK("https://www.chemistwarehouse.com.au/buy/77113/L-39-Oreal-Infallible-2-Step-Lipstick-111-Permanent-Blush"," L'Oreal Infallible 2-Step Lipstick 111 Permanent Blush")</f>
        <v xml:space="preserve"> L'Oreal Infallible 2-Step Lipstick 111 Permanent Blush</v>
      </c>
      <c r="C3960" t="s">
        <v>13</v>
      </c>
      <c r="D3960" t="s">
        <v>12</v>
      </c>
    </row>
    <row r="3961" spans="1:4" x14ac:dyDescent="0.25">
      <c r="B3961" t="str">
        <f>HYPERLINK("https://www.chemistwarehouse.com.au/buy/77114/L-39-Oreal-Infallible-2-Step-Lipstick-113-Invincible-Sable"," L'Oreal Infallible 2-Step Lipstick 113 Invincible Sable")</f>
        <v xml:space="preserve"> L'Oreal Infallible 2-Step Lipstick 113 Invincible Sable</v>
      </c>
      <c r="C3961" t="s">
        <v>13</v>
      </c>
      <c r="D3961" t="s">
        <v>12</v>
      </c>
    </row>
    <row r="3962" spans="1:4" x14ac:dyDescent="0.25">
      <c r="B3962" t="str">
        <f>HYPERLINK("https://www.chemistwarehouse.com.au/buy/77115/L-39-Oreal-Infallible-2-Step-Lipstick-121-Flawless-Fuschia"," L'Oreal Infallible 2-Step Lipstick 121 Flawless Fuschia")</f>
        <v xml:space="preserve"> L'Oreal Infallible 2-Step Lipstick 121 Flawless Fuschia</v>
      </c>
      <c r="C3962" t="s">
        <v>13</v>
      </c>
      <c r="D3962" t="s">
        <v>12</v>
      </c>
    </row>
    <row r="3963" spans="1:4" x14ac:dyDescent="0.25">
      <c r="B3963" t="str">
        <f>HYPERLINK("https://www.chemistwarehouse.com.au/buy/77117/L-39-Oreal-Infallible-2-Step-Lipstick-209-Violet-Parfait"," L'Oreal Infallible 2-Step Lipstick 209 Violet Parfait")</f>
        <v xml:space="preserve"> L'Oreal Infallible 2-Step Lipstick 209 Violet Parfait</v>
      </c>
      <c r="C3963" t="s">
        <v>13</v>
      </c>
      <c r="D3963" t="s">
        <v>12</v>
      </c>
    </row>
    <row r="3964" spans="1:4" x14ac:dyDescent="0.25">
      <c r="B3964" t="str">
        <f>HYPERLINK("https://www.chemistwarehouse.com.au/buy/77118/L-39-Oreal-Infallible-2-Step-Lipstick-213-Toujours-Teaberrry"," L'Oreal Infallible 2-Step Lipstick 213 Toujours Teaberrry")</f>
        <v xml:space="preserve"> L'Oreal Infallible 2-Step Lipstick 213 Toujours Teaberrry</v>
      </c>
      <c r="C3964" t="s">
        <v>13</v>
      </c>
      <c r="D3964" t="s">
        <v>12</v>
      </c>
    </row>
    <row r="3965" spans="1:4" x14ac:dyDescent="0.25">
      <c r="B3965" t="str">
        <f>HYPERLINK("https://www.chemistwarehouse.com.au/buy/77119/L-39-Oreal-Infallible-2-Step-Lipstick-312-Incessant-Russet"," L'Oreal Infallible 2-Step Lipstick 312 Incessant Russet")</f>
        <v xml:space="preserve"> L'Oreal Infallible 2-Step Lipstick 312 Incessant Russet</v>
      </c>
      <c r="C3965" t="s">
        <v>13</v>
      </c>
      <c r="D3965" t="s">
        <v>12</v>
      </c>
    </row>
    <row r="3966" spans="1:4" x14ac:dyDescent="0.25">
      <c r="B3966" t="str">
        <f>HYPERLINK("https://www.chemistwarehouse.com.au/buy/77121/L-39-Oreal-Infallible-2-Step-Lipstick-404-Coral-Constant"," L'Oreal Infallible 2-Step Lipstick 404 Coral Constant")</f>
        <v xml:space="preserve"> L'Oreal Infallible 2-Step Lipstick 404 Coral Constant</v>
      </c>
      <c r="C3966" t="s">
        <v>13</v>
      </c>
      <c r="D3966" t="s">
        <v>12</v>
      </c>
    </row>
    <row r="3967" spans="1:4" x14ac:dyDescent="0.25">
      <c r="B3967" t="str">
        <f>HYPERLINK("https://www.chemistwarehouse.com.au/buy/77123/L-39-Oreal-Infallible-2-Step-Lipstick-506-Red-Infallible"," L'Oreal Infallible 2-Step Lipstick 506 Red Infallible")</f>
        <v xml:space="preserve"> L'Oreal Infallible 2-Step Lipstick 506 Red Infallible</v>
      </c>
      <c r="C3967" t="s">
        <v>13</v>
      </c>
      <c r="D3967" t="s">
        <v>12</v>
      </c>
    </row>
    <row r="3968" spans="1:4" x14ac:dyDescent="0.25">
      <c r="B3968" t="str">
        <f>HYPERLINK("https://www.chemistwarehouse.com.au/buy/77124/L-39-Oreal-Infallible-2-Step-Lipstick-507-Relentless-Rouge"," L'Oreal Infallible 2-Step Lipstick 507 Relentless Rouge")</f>
        <v xml:space="preserve"> L'Oreal Infallible 2-Step Lipstick 507 Relentless Rouge</v>
      </c>
      <c r="C3968" t="s">
        <v>13</v>
      </c>
      <c r="D3968" t="s">
        <v>12</v>
      </c>
    </row>
    <row r="3969" spans="1:4" x14ac:dyDescent="0.25">
      <c r="B3969" t="str">
        <f>HYPERLINK("https://www.chemistwarehouse.com.au/buy/77125/L-39-Oreal-Infallible-2-Step-Lipstick-510-Continual-Crimson"," L'Oreal Infallible 2-Step Lipstick 510 Continual Crimson")</f>
        <v xml:space="preserve"> L'Oreal Infallible 2-Step Lipstick 510 Continual Crimson</v>
      </c>
      <c r="C3969" t="s">
        <v>13</v>
      </c>
      <c r="D3969" t="s">
        <v>12</v>
      </c>
    </row>
    <row r="3970" spans="1:4" x14ac:dyDescent="0.25">
      <c r="B3970" t="str">
        <f>HYPERLINK("https://www.chemistwarehouse.com.au/buy/77126/L-39-Oreal-Infallible-2-Step-Lipstick-700-Boundless-Burgundy"," L'Oreal Infallible 2-Step Lipstick 700 Boundless Burgundy")</f>
        <v xml:space="preserve"> L'Oreal Infallible 2-Step Lipstick 700 Boundless Burgundy</v>
      </c>
      <c r="C3970" t="s">
        <v>13</v>
      </c>
      <c r="D3970" t="s">
        <v>12</v>
      </c>
    </row>
    <row r="3971" spans="1:4" x14ac:dyDescent="0.25">
      <c r="A3971" t="s">
        <v>1142</v>
      </c>
    </row>
    <row r="3972" spans="1:4" x14ac:dyDescent="0.25">
      <c r="B3972" t="str">
        <f>HYPERLINK("https://www.chemistwarehouse.com.au/buy/77088/L-39-Oreal-Color-Riche-Lipstick-303-Rose-Tendre"," L'Oreal Color Riche Lipstick 303 Rose Tendre")</f>
        <v xml:space="preserve"> L'Oreal Color Riche Lipstick 303 Rose Tendre</v>
      </c>
      <c r="C3972" t="s">
        <v>129</v>
      </c>
      <c r="D3972" t="s">
        <v>128</v>
      </c>
    </row>
    <row r="3973" spans="1:4" x14ac:dyDescent="0.25">
      <c r="B3973" t="str">
        <f>HYPERLINK("https://www.chemistwarehouse.com.au/buy/81661/L-39-Oreal-Color-Riche-Lipstick-134-Rose-Royale"," L'Oreal Color Riche Lipstick 134 Rose Royale")</f>
        <v xml:space="preserve"> L'Oreal Color Riche Lipstick 134 Rose Royale</v>
      </c>
      <c r="C3973" t="s">
        <v>129</v>
      </c>
      <c r="D3973" t="s">
        <v>128</v>
      </c>
    </row>
    <row r="3974" spans="1:4" x14ac:dyDescent="0.25">
      <c r="B3974" t="str">
        <f>HYPERLINK("https://www.chemistwarehouse.com.au/buy/81662/L-39-Oreal-Color-Riche-Lipstick-132-Magnolia-Irreverance"," L'Oreal Color Riche Lipstick 132 Magnolia Irreverance")</f>
        <v xml:space="preserve"> L'Oreal Color Riche Lipstick 132 Magnolia Irreverance</v>
      </c>
      <c r="C3974" t="s">
        <v>129</v>
      </c>
      <c r="D3974" t="s">
        <v>128</v>
      </c>
    </row>
    <row r="3975" spans="1:4" x14ac:dyDescent="0.25">
      <c r="B3975" t="str">
        <f>HYPERLINK("https://www.chemistwarehouse.com.au/buy/77074/L-39-Oreal-Color-Riche-Made-For-Me-Intense-Lipstick-293-Orange-Fever"," L'Oreal Color Riche Made For Me Intense Lipstick 293 Orange Fever")</f>
        <v xml:space="preserve"> L'Oreal Color Riche Made For Me Intense Lipstick 293 Orange Fever</v>
      </c>
      <c r="C3975" t="s">
        <v>129</v>
      </c>
      <c r="D3975" t="s">
        <v>128</v>
      </c>
    </row>
    <row r="3976" spans="1:4" x14ac:dyDescent="0.25">
      <c r="B3976" t="str">
        <f>HYPERLINK("https://www.chemistwarehouse.com.au/buy/77077/L-39-Oreal-Color-Riche-Made-For-Me-Natural-Lipstick-231-Sepia"," L'Oreal Color Riche Made For Me Natural Lipstick 231 Sepia")</f>
        <v xml:space="preserve"> L'Oreal Color Riche Made For Me Natural Lipstick 231 Sepia</v>
      </c>
      <c r="C3976" t="s">
        <v>129</v>
      </c>
      <c r="D3976" t="s">
        <v>128</v>
      </c>
    </row>
    <row r="3977" spans="1:4" x14ac:dyDescent="0.25">
      <c r="B3977" t="str">
        <f>HYPERLINK("https://www.chemistwarehouse.com.au/buy/77078/L-39-Oreal-Color-Riche-Made-For-Me-Natural-Lipstick-233-Taffeta"," L'Oreal Color Riche Made For Me Natural Lipstick 233 Taffeta")</f>
        <v xml:space="preserve"> L'Oreal Color Riche Made For Me Natural Lipstick 233 Taffeta</v>
      </c>
      <c r="C3977" t="s">
        <v>129</v>
      </c>
      <c r="D3977" t="s">
        <v>128</v>
      </c>
    </row>
    <row r="3978" spans="1:4" x14ac:dyDescent="0.25">
      <c r="B3978" t="str">
        <f>HYPERLINK("https://www.chemistwarehouse.com.au/buy/77079/L-39-Oreal-Color-Riche-Made-For-Me-Natural-Lipstick-235-Nude"," L'Oreal Color Riche Made For Me Natural Lipstick 235 Nude")</f>
        <v xml:space="preserve"> L'Oreal Color Riche Made For Me Natural Lipstick 235 Nude</v>
      </c>
      <c r="C3978" t="s">
        <v>129</v>
      </c>
      <c r="D3978" t="s">
        <v>128</v>
      </c>
    </row>
    <row r="3979" spans="1:4" x14ac:dyDescent="0.25">
      <c r="B3979" t="str">
        <f>HYPERLINK("https://www.chemistwarehouse.com.au/buy/77081/L-39-Oreal-Color-Riche-Made-For-Me-Natural-Lipstick-255-Blush-Plum"," L'Oreal Color Riche Made For Me Natural Lipstick 255 Blush Plum")</f>
        <v xml:space="preserve"> L'Oreal Color Riche Made For Me Natural Lipstick 255 Blush Plum</v>
      </c>
      <c r="C3979" t="s">
        <v>129</v>
      </c>
      <c r="D3979" t="s">
        <v>128</v>
      </c>
    </row>
    <row r="3980" spans="1:4" x14ac:dyDescent="0.25">
      <c r="B3980" t="str">
        <f>HYPERLINK("https://www.chemistwarehouse.com.au/buy/77093/L-39-Oreal-Color-Riche-Lipstick-630-Satin-Beige-A-Nu"," L'Oreal Color Riche Lipstick 630 Satin Beige A Nu")</f>
        <v xml:space="preserve"> L'Oreal Color Riche Lipstick 630 Satin Beige A Nu</v>
      </c>
      <c r="C3980" t="s">
        <v>129</v>
      </c>
      <c r="D3980" t="s">
        <v>128</v>
      </c>
    </row>
    <row r="3981" spans="1:4" x14ac:dyDescent="0.25">
      <c r="B3981" t="str">
        <f>HYPERLINK("https://www.chemistwarehouse.com.au/buy/77094/L-39-Oreal-Color-Riche-Lipstick-703-Cream-Oud-Obsession"," L'Oreal Color Riche Lipstick 703 Cream Oud Obsession")</f>
        <v xml:space="preserve"> L'Oreal Color Riche Lipstick 703 Cream Oud Obsession</v>
      </c>
      <c r="C3981" t="s">
        <v>129</v>
      </c>
      <c r="D3981" t="s">
        <v>128</v>
      </c>
    </row>
    <row r="3982" spans="1:4" x14ac:dyDescent="0.25">
      <c r="B3982" t="str">
        <f>HYPERLINK("https://www.chemistwarehouse.com.au/buy/79463/L-39-Oreal-Color-Riche-Lipstick-Exclusive-Pink-21-Naomi"," L'Oreal Color Riche Lipstick Exclusive Pink 21 Naomi")</f>
        <v xml:space="preserve"> L'Oreal Color Riche Lipstick Exclusive Pink 21 Naomi</v>
      </c>
      <c r="C3982" t="s">
        <v>129</v>
      </c>
      <c r="D3982" t="s">
        <v>128</v>
      </c>
    </row>
    <row r="3983" spans="1:4" x14ac:dyDescent="0.25">
      <c r="B3983" t="str">
        <f>HYPERLINK("https://www.chemistwarehouse.com.au/buy/79464/L-39-Oreal-Color-Riche-Lipstick-Exclusive-Pink-22-Julianne"," L'Oreal Color Riche Lipstick Exclusive Pink 22 Julianne")</f>
        <v xml:space="preserve"> L'Oreal Color Riche Lipstick Exclusive Pink 22 Julianne</v>
      </c>
      <c r="C3983" t="s">
        <v>129</v>
      </c>
      <c r="D3983" t="s">
        <v>128</v>
      </c>
    </row>
    <row r="3984" spans="1:4" x14ac:dyDescent="0.25">
      <c r="B3984" t="str">
        <f>HYPERLINK("https://www.chemistwarehouse.com.au/buy/79465/L-39-Oreal-Color-Riche-Lipstick-Exclusive-Pink-26-Natasha"," L'Oreal Color Riche Lipstick Exclusive Pink 26 Natasha")</f>
        <v xml:space="preserve"> L'Oreal Color Riche Lipstick Exclusive Pink 26 Natasha</v>
      </c>
      <c r="C3984" t="s">
        <v>129</v>
      </c>
      <c r="D3984" t="s">
        <v>128</v>
      </c>
    </row>
    <row r="3985" spans="1:4" x14ac:dyDescent="0.25">
      <c r="B3985" t="str">
        <f>HYPERLINK("https://www.chemistwarehouse.com.au/buy/79466/L-39-Oreal-Color-Riche-Lipstick-Exclusive-Pink-27-Eva-Pink"," L'Oreal Color Riche Lipstick Exclusive Pink 27 Eva Pink")</f>
        <v xml:space="preserve"> L'Oreal Color Riche Lipstick Exclusive Pink 27 Eva Pink</v>
      </c>
      <c r="C3985" t="s">
        <v>129</v>
      </c>
      <c r="D3985" t="s">
        <v>128</v>
      </c>
    </row>
    <row r="3986" spans="1:4" x14ac:dyDescent="0.25">
      <c r="B3986" t="str">
        <f>HYPERLINK("https://www.chemistwarehouse.com.au/buy/79467/L-39-Oreal-Color-Riche-Lipstick-Exclusive-Pink-30-Doutzen"," L'Oreal Color Riche Lipstick Exclusive Pink 30 Doutzen")</f>
        <v xml:space="preserve"> L'Oreal Color Riche Lipstick Exclusive Pink 30 Doutzen</v>
      </c>
      <c r="C3986" t="s">
        <v>129</v>
      </c>
      <c r="D3986" t="s">
        <v>128</v>
      </c>
    </row>
    <row r="3987" spans="1:4" x14ac:dyDescent="0.25">
      <c r="B3987" t="str">
        <f>HYPERLINK("https://www.chemistwarehouse.com.au/buy/81652/L-39-Oreal-Color-Riche-Lipstick-Collection-Exclusive-Nudes-Doutzen"," L'Oreal Color Riche Lipstick Collection Exclusive Nudes Doutzen")</f>
        <v xml:space="preserve"> L'Oreal Color Riche Lipstick Collection Exclusive Nudes Doutzen</v>
      </c>
      <c r="C3987" t="s">
        <v>129</v>
      </c>
      <c r="D3987" t="s">
        <v>128</v>
      </c>
    </row>
    <row r="3988" spans="1:4" x14ac:dyDescent="0.25">
      <c r="B3988" t="str">
        <f>HYPERLINK("https://www.chemistwarehouse.com.au/buy/81653/L-39-Oreal-Color-Riche-Lipstick-Collection-Exclusive-Nudes-Eva"," L'Oreal Color Riche Lipstick Collection Exclusive Nudes Eva")</f>
        <v xml:space="preserve"> L'Oreal Color Riche Lipstick Collection Exclusive Nudes Eva</v>
      </c>
      <c r="C3988" t="s">
        <v>129</v>
      </c>
      <c r="D3988" t="s">
        <v>128</v>
      </c>
    </row>
    <row r="3989" spans="1:4" x14ac:dyDescent="0.25">
      <c r="B3989" t="str">
        <f>HYPERLINK("https://www.chemistwarehouse.com.au/buy/81654/L-39-Oreal-Color-Riche-Lipstick-Collection-Exclusive-Nudes-JLO"," L'Oreal Color Riche Lipstick Collection Exclusive Nudes JLO")</f>
        <v xml:space="preserve"> L'Oreal Color Riche Lipstick Collection Exclusive Nudes JLO</v>
      </c>
      <c r="C3989" t="s">
        <v>129</v>
      </c>
      <c r="D3989" t="s">
        <v>128</v>
      </c>
    </row>
    <row r="3990" spans="1:4" x14ac:dyDescent="0.25">
      <c r="B3990" t="str">
        <f>HYPERLINK("https://www.chemistwarehouse.com.au/buy/81655/L-39-Oreal-Color-Riche-Lipstick-Collection-Exclusive-Nudes-Julianne"," L'Oreal Color Riche Lipstick Collection Exclusive Nudes Julianne")</f>
        <v xml:space="preserve"> L'Oreal Color Riche Lipstick Collection Exclusive Nudes Julianne</v>
      </c>
      <c r="C3990" t="s">
        <v>129</v>
      </c>
      <c r="D3990" t="s">
        <v>128</v>
      </c>
    </row>
    <row r="3991" spans="1:4" x14ac:dyDescent="0.25">
      <c r="B3991" t="str">
        <f>HYPERLINK("https://www.chemistwarehouse.com.au/buy/77084/L-39-Oreal-Color-Riche-Made-For-Me-Natural-Lipstick-378-Velvet-Rose"," L'Oreal Color Riche Made For Me Natural Lipstick 378 Velvet Rose")</f>
        <v xml:space="preserve"> L'Oreal Color Riche Made For Me Natural Lipstick 378 Velvet Rose</v>
      </c>
      <c r="C3991" t="s">
        <v>129</v>
      </c>
      <c r="D3991" t="s">
        <v>128</v>
      </c>
    </row>
    <row r="3992" spans="1:4" x14ac:dyDescent="0.25">
      <c r="B3992" t="str">
        <f>HYPERLINK("https://www.chemistwarehouse.com.au/buy/77085/L-39-Oreal-Color-Riche-Made-For-Me-Natural-Lipstick-453-Rose-Cream"," L'Oreal Color Riche Made For Me Natural Lipstick 453 Rose Cream")</f>
        <v xml:space="preserve"> L'Oreal Color Riche Made For Me Natural Lipstick 453 Rose Cream</v>
      </c>
      <c r="C3992" t="s">
        <v>129</v>
      </c>
      <c r="D3992" t="s">
        <v>128</v>
      </c>
    </row>
    <row r="3993" spans="1:4" x14ac:dyDescent="0.25">
      <c r="B3993" t="str">
        <f>HYPERLINK("https://www.chemistwarehouse.com.au/buy/77089/L-39-Oreal-Color-Riche-Lipstick-335-Carmin"," L'Oreal Color Riche Lipstick 335 Carmin")</f>
        <v xml:space="preserve"> L'Oreal Color Riche Lipstick 335 Carmin</v>
      </c>
      <c r="C3993" t="s">
        <v>495</v>
      </c>
      <c r="D3993" t="s">
        <v>152</v>
      </c>
    </row>
    <row r="3994" spans="1:4" x14ac:dyDescent="0.25">
      <c r="B3994" t="str">
        <f>HYPERLINK("https://www.chemistwarehouse.com.au/buy/77090/L-39-Oreal-Color-Riche-Lipstick-362-Cream-Cristal-Cappuccino"," L'Oreal Color Riche Lipstick 362 Cream Cristal Cappuccino")</f>
        <v xml:space="preserve"> L'Oreal Color Riche Lipstick 362 Cream Cristal Cappuccino</v>
      </c>
      <c r="C3994" t="s">
        <v>129</v>
      </c>
      <c r="D3994" t="s">
        <v>128</v>
      </c>
    </row>
    <row r="3995" spans="1:4" x14ac:dyDescent="0.25">
      <c r="B3995" t="str">
        <f>HYPERLINK("https://www.chemistwarehouse.com.au/buy/81656/L-39-Oreal-Color-Riche-Lipstick-Collection-Exclusive-Reds-Freida"," L'Oreal Color Riche Lipstick Collection Exclusive Reds Freida")</f>
        <v xml:space="preserve"> L'Oreal Color Riche Lipstick Collection Exclusive Reds Freida</v>
      </c>
      <c r="C3995" t="s">
        <v>129</v>
      </c>
      <c r="D3995" t="s">
        <v>128</v>
      </c>
    </row>
    <row r="3996" spans="1:4" x14ac:dyDescent="0.25">
      <c r="A3996" t="s">
        <v>1143</v>
      </c>
    </row>
    <row r="3997" spans="1:4" x14ac:dyDescent="0.25">
      <c r="B3997" t="str">
        <f>HYPERLINK("https://www.chemistwarehouse.com.au/buy/77100/L-39-Oreal-Color-Riche-Matte-Lipstick-330-Cocorico"," L'Oreal Color Riche Matte Lipstick 330 Cocorico")</f>
        <v xml:space="preserve"> L'Oreal Color Riche Matte Lipstick 330 Cocorico</v>
      </c>
      <c r="C3997" t="s">
        <v>129</v>
      </c>
      <c r="D3997" t="s">
        <v>128</v>
      </c>
    </row>
    <row r="3998" spans="1:4" x14ac:dyDescent="0.25">
      <c r="A3998" t="s">
        <v>1144</v>
      </c>
    </row>
    <row r="3999" spans="1:4" x14ac:dyDescent="0.25">
      <c r="B3999" t="str">
        <f>HYPERLINK("https://www.chemistwarehouse.com.au/buy/77128/L-39-Oreal-Le-Rouge-Infallible-Lipstick-121-Perennial-Pink"," L'Oreal Le Rouge Infallible Lipstick 121 Perennial Pink")</f>
        <v xml:space="preserve"> L'Oreal Le Rouge Infallible Lipstick 121 Perennial Pink</v>
      </c>
      <c r="C3999" t="s">
        <v>20</v>
      </c>
      <c r="D3999" t="s">
        <v>19</v>
      </c>
    </row>
    <row r="4000" spans="1:4" x14ac:dyDescent="0.25">
      <c r="B4000" t="str">
        <f>HYPERLINK("https://www.chemistwarehouse.com.au/buy/77129/L-39-Oreal-Le-Rouge-Infallible-Lipstick-129-Beyond-Blushing"," L'Oreal Le Rouge Infallible Lipstick 129 Beyond Blushing")</f>
        <v xml:space="preserve"> L'Oreal Le Rouge Infallible Lipstick 129 Beyond Blushing</v>
      </c>
      <c r="C4000" t="s">
        <v>20</v>
      </c>
      <c r="D4000" t="s">
        <v>19</v>
      </c>
    </row>
    <row r="4001" spans="1:4" x14ac:dyDescent="0.25">
      <c r="B4001" t="str">
        <f>HYPERLINK("https://www.chemistwarehouse.com.au/buy/77130/L-39-Oreal-Le-Rouge-Infallible-Lipstick-130-Enduring-Berry"," L'Oreal Le Rouge Infallible Lipstick 130 Enduring Berry")</f>
        <v xml:space="preserve"> L'Oreal Le Rouge Infallible Lipstick 130 Enduring Berry</v>
      </c>
      <c r="C4001" t="s">
        <v>20</v>
      </c>
      <c r="D4001" t="s">
        <v>19</v>
      </c>
    </row>
    <row r="4002" spans="1:4" x14ac:dyDescent="0.25">
      <c r="B4002" t="str">
        <f>HYPERLINK("https://www.chemistwarehouse.com.au/buy/77131/L-39-Oreal-Le-Rouge-Infallible-Lipstick-138-Forever-Fuschia"," L'Oreal Le Rouge Infallible Lipstick 138 Forever Fuschia")</f>
        <v xml:space="preserve"> L'Oreal Le Rouge Infallible Lipstick 138 Forever Fuschia</v>
      </c>
      <c r="C4002" t="s">
        <v>20</v>
      </c>
      <c r="D4002" t="s">
        <v>19</v>
      </c>
    </row>
    <row r="4003" spans="1:4" x14ac:dyDescent="0.25">
      <c r="B4003" t="str">
        <f>HYPERLINK("https://www.chemistwarehouse.com.au/buy/77132/L-39-Oreal-Le-Rouge-Infallible-Lipstick-212-Rambling-Rose"," L'Oreal Le Rouge Infallible Lipstick 212 Rambling Rose")</f>
        <v xml:space="preserve"> L'Oreal Le Rouge Infallible Lipstick 212 Rambling Rose</v>
      </c>
      <c r="C4003" t="s">
        <v>20</v>
      </c>
      <c r="D4003" t="s">
        <v>19</v>
      </c>
    </row>
    <row r="4004" spans="1:4" x14ac:dyDescent="0.25">
      <c r="B4004" t="str">
        <f>HYPERLINK("https://www.chemistwarehouse.com.au/buy/77133/L-39-Oreal-Le-Rouge-Infallible-Lipstick-227-Eternal-Rose"," L'Oreal Le Rouge Infallible Lipstick 227 Eternal Rose")</f>
        <v xml:space="preserve"> L'Oreal Le Rouge Infallible Lipstick 227 Eternal Rose</v>
      </c>
      <c r="C4004" t="s">
        <v>20</v>
      </c>
      <c r="D4004" t="s">
        <v>19</v>
      </c>
    </row>
    <row r="4005" spans="1:4" x14ac:dyDescent="0.25">
      <c r="B4005" t="str">
        <f>HYPERLINK("https://www.chemistwarehouse.com.au/buy/77134/L-39-Oreal-Le-Rouge-Infallible-Lipstick-312-Ravishing-Red"," L'Oreal Le Rouge Infallible Lipstick 312 Ravishing Red")</f>
        <v xml:space="preserve"> L'Oreal Le Rouge Infallible Lipstick 312 Ravishing Red</v>
      </c>
      <c r="C4005" t="s">
        <v>20</v>
      </c>
      <c r="D4005" t="s">
        <v>19</v>
      </c>
    </row>
    <row r="4006" spans="1:4" x14ac:dyDescent="0.25">
      <c r="B4006" t="str">
        <f>HYPERLINK("https://www.chemistwarehouse.com.au/buy/77135/L-39-Oreal-Le-Rouge-Infallible-Lipstick-337-Refined-Ruby"," L'Oreal Le Rouge Infallible Lipstick 337 Refined Ruby")</f>
        <v xml:space="preserve"> L'Oreal Le Rouge Infallible Lipstick 337 Refined Ruby</v>
      </c>
      <c r="C4006" t="s">
        <v>20</v>
      </c>
      <c r="D4006" t="s">
        <v>19</v>
      </c>
    </row>
    <row r="4007" spans="1:4" x14ac:dyDescent="0.25">
      <c r="B4007" t="str">
        <f>HYPERLINK("https://www.chemistwarehouse.com.au/buy/77136/L-39-Oreal-Le-Rouge-Infallible-Lipstick-421-Charismatic-Coral"," L'Oreal Le Rouge Infallible Lipstick 421 Charismatic Coral")</f>
        <v xml:space="preserve"> L'Oreal Le Rouge Infallible Lipstick 421 Charismatic Coral</v>
      </c>
      <c r="C4007" t="s">
        <v>20</v>
      </c>
      <c r="D4007" t="s">
        <v>19</v>
      </c>
    </row>
    <row r="4008" spans="1:4" x14ac:dyDescent="0.25">
      <c r="B4008" t="str">
        <f>HYPERLINK("https://www.chemistwarehouse.com.au/buy/77137/L-39-Oreal-Le-Rouge-Infallible-Lipstick-423-Perpetual-Peach"," L'Oreal Le Rouge Infallible Lipstick 423 Perpetual Peach")</f>
        <v xml:space="preserve"> L'Oreal Le Rouge Infallible Lipstick 423 Perpetual Peach</v>
      </c>
      <c r="C4008" t="s">
        <v>20</v>
      </c>
      <c r="D4008" t="s">
        <v>19</v>
      </c>
    </row>
    <row r="4009" spans="1:4" x14ac:dyDescent="0.25">
      <c r="B4009" t="str">
        <f>HYPERLINK("https://www.chemistwarehouse.com.au/buy/77138/L-39-Oreal-Le-Rouge-Infallible-Lipstick-425-Always-Apricot"," L'Oreal Le Rouge Infallible Lipstick 425 Always Apricot")</f>
        <v xml:space="preserve"> L'Oreal Le Rouge Infallible Lipstick 425 Always Apricot</v>
      </c>
      <c r="C4009" t="s">
        <v>20</v>
      </c>
      <c r="D4009" t="s">
        <v>19</v>
      </c>
    </row>
    <row r="4010" spans="1:4" x14ac:dyDescent="0.25">
      <c r="B4010" t="str">
        <f>HYPERLINK("https://www.chemistwarehouse.com.au/buy/77139/L-39-Oreal-Le-Rouge-Infallible-Lipstick-519-Tender-Berry"," L'Oreal Le Rouge Infallible Lipstick 519 Tender Berry")</f>
        <v xml:space="preserve"> L'Oreal Le Rouge Infallible Lipstick 519 Tender Berry</v>
      </c>
      <c r="C4010" t="s">
        <v>20</v>
      </c>
      <c r="D4010" t="s">
        <v>19</v>
      </c>
    </row>
    <row r="4011" spans="1:4" x14ac:dyDescent="0.25">
      <c r="B4011" t="str">
        <f>HYPERLINK("https://www.chemistwarehouse.com.au/buy/77140/L-39-Oreal-Le-Rouge-Infallible-Lipstick-543-Charming-Lilac"," L'Oreal Le Rouge Infallible Lipstick 543 Charming Lilac")</f>
        <v xml:space="preserve"> L'Oreal Le Rouge Infallible Lipstick 543 Charming Lilac</v>
      </c>
      <c r="C4011" t="s">
        <v>20</v>
      </c>
      <c r="D4011" t="s">
        <v>19</v>
      </c>
    </row>
    <row r="4012" spans="1:4" x14ac:dyDescent="0.25">
      <c r="B4012" t="str">
        <f>HYPERLINK("https://www.chemistwarehouse.com.au/buy/77141/L-39-Oreal-Le-Rouge-Infallible-Lipstick-737-Persistent-Plum"," L'Oreal Le Rouge Infallible Lipstick 737 Persistent Plum")</f>
        <v xml:space="preserve"> L'Oreal Le Rouge Infallible Lipstick 737 Persistent Plum</v>
      </c>
      <c r="C4012" t="s">
        <v>20</v>
      </c>
      <c r="D4012" t="s">
        <v>19</v>
      </c>
    </row>
    <row r="4013" spans="1:4" x14ac:dyDescent="0.25">
      <c r="B4013" t="str">
        <f>HYPERLINK("https://www.chemistwarehouse.com.au/buy/77142/L-39-Oreal-Le-Rouge-Infallible-Lipstick-741-Bold-Bordeaux"," L'Oreal Le Rouge Infallible Lipstick 741 Bold Bordeaux")</f>
        <v xml:space="preserve"> L'Oreal Le Rouge Infallible Lipstick 741 Bold Bordeaux</v>
      </c>
      <c r="C4013" t="s">
        <v>20</v>
      </c>
      <c r="D4013" t="s">
        <v>19</v>
      </c>
    </row>
    <row r="4014" spans="1:4" x14ac:dyDescent="0.25">
      <c r="B4014" t="str">
        <f>HYPERLINK("https://www.chemistwarehouse.com.au/buy/77143/L-39-Oreal-Le-Rouge-Infallible-Lipstick-814-Forever-Frappe"," L'Oreal Le Rouge Infallible Lipstick 814 Forever Frappe")</f>
        <v xml:space="preserve"> L'Oreal Le Rouge Infallible Lipstick 814 Forever Frappe</v>
      </c>
      <c r="C4014" t="s">
        <v>20</v>
      </c>
      <c r="D4014" t="s">
        <v>19</v>
      </c>
    </row>
    <row r="4015" spans="1:4" x14ac:dyDescent="0.25">
      <c r="B4015" t="str">
        <f>HYPERLINK("https://www.chemistwarehouse.com.au/buy/77144/L-39-Oreal-Le-Rouge-Infallible-Lipstick-829-Resilient-Raisin"," L'Oreal Le Rouge Infallible Lipstick 829 Resilient Raisin")</f>
        <v xml:space="preserve"> L'Oreal Le Rouge Infallible Lipstick 829 Resilient Raisin</v>
      </c>
      <c r="C4015" t="s">
        <v>20</v>
      </c>
      <c r="D4015" t="s">
        <v>19</v>
      </c>
    </row>
    <row r="4016" spans="1:4" x14ac:dyDescent="0.25">
      <c r="A4016" t="s">
        <v>1145</v>
      </c>
    </row>
    <row r="4017" spans="1:4" x14ac:dyDescent="0.25">
      <c r="B4017" t="str">
        <f>HYPERLINK("https://www.chemistwarehouse.com.au/buy/76805/L-39-Oreal-Lumi-Magique-Primer-20ml"," L'Oreal Lumi Magique Primer 20ml")</f>
        <v xml:space="preserve"> L'Oreal Lumi Magique Primer 20ml</v>
      </c>
      <c r="C4017" t="s">
        <v>13</v>
      </c>
      <c r="D4017" t="s">
        <v>12</v>
      </c>
    </row>
    <row r="4018" spans="1:4" x14ac:dyDescent="0.25">
      <c r="B4018" t="str">
        <f>HYPERLINK("https://www.chemistwarehouse.com.au/buy/76803/L-39-Oreal-Base-Magique-Smoothing-Primer"," L'Oreal Base Magique Smoothing Primer")</f>
        <v xml:space="preserve"> L'Oreal Base Magique Smoothing Primer</v>
      </c>
      <c r="C4018" t="s">
        <v>13</v>
      </c>
      <c r="D4018" t="s">
        <v>12</v>
      </c>
    </row>
    <row r="4019" spans="1:4" x14ac:dyDescent="0.25">
      <c r="B4019" t="str">
        <f>HYPERLINK("https://www.chemistwarehouse.com.au/buy/76804/L-39-Oreal-Infallible-Matte-Primer-01-35ml"," L'Oreal Infallible Matte Primer 01 35ml")</f>
        <v xml:space="preserve"> L'Oreal Infallible Matte Primer 01 35ml</v>
      </c>
      <c r="C4019" t="s">
        <v>13</v>
      </c>
      <c r="D4019" t="s">
        <v>12</v>
      </c>
    </row>
    <row r="4020" spans="1:4" x14ac:dyDescent="0.25">
      <c r="A4020" t="s">
        <v>1146</v>
      </c>
    </row>
    <row r="4021" spans="1:4" x14ac:dyDescent="0.25">
      <c r="B4021" t="str">
        <f>HYPERLINK("https://www.chemistwarehouse.com.au/buy/76806/L-39-Oreal-Nude-Magique-Light-30ml"," L'Oreal Nude Magique Light 30ml")</f>
        <v xml:space="preserve"> L'Oreal Nude Magique Light 30ml</v>
      </c>
      <c r="C4021" t="s">
        <v>20</v>
      </c>
      <c r="D4021" t="s">
        <v>19</v>
      </c>
    </row>
    <row r="4022" spans="1:4" x14ac:dyDescent="0.25">
      <c r="B4022" t="str">
        <f>HYPERLINK("https://www.chemistwarehouse.com.au/buy/76807/Loreal-Nude-Magique-Medium-30ml"," Loreal Nude Magique Medium 30ml")</f>
        <v xml:space="preserve"> Loreal Nude Magique Medium 30ml</v>
      </c>
      <c r="C4022" t="s">
        <v>20</v>
      </c>
      <c r="D4022" t="s">
        <v>19</v>
      </c>
    </row>
    <row r="4023" spans="1:4" x14ac:dyDescent="0.25">
      <c r="A4023" t="s">
        <v>1147</v>
      </c>
    </row>
    <row r="4024" spans="1:4" x14ac:dyDescent="0.25">
      <c r="B4024" t="str">
        <f>HYPERLINK("https://www.chemistwarehouse.com.au/buy/76810/L-39-Oreal-True-Match-Blush-120-Sandlewood-Pink"," L'Oreal True Match Blush 120 Sandlewood Pink")</f>
        <v xml:space="preserve"> L'Oreal True Match Blush 120 Sandlewood Pink</v>
      </c>
      <c r="C4024" t="s">
        <v>66</v>
      </c>
      <c r="D4024" t="s">
        <v>65</v>
      </c>
    </row>
    <row r="4025" spans="1:4" x14ac:dyDescent="0.25">
      <c r="B4025" t="str">
        <f>HYPERLINK("https://www.chemistwarehouse.com.au/buy/76811/L-39-Oreal-True-Match-Blush-145-Rosewood"," L'Oreal True Match Blush 145 Rosewood")</f>
        <v xml:space="preserve"> L'Oreal True Match Blush 145 Rosewood</v>
      </c>
      <c r="C4025" t="s">
        <v>66</v>
      </c>
      <c r="D4025" t="s">
        <v>65</v>
      </c>
    </row>
    <row r="4026" spans="1:4" x14ac:dyDescent="0.25">
      <c r="B4026" t="str">
        <f>HYPERLINK("https://www.chemistwarehouse.com.au/buy/76812/L-39-Oreal-True-Match-Blush-150-Candy-Cane-Pink"," L'Oreal True Match Blush 150 Candy Cane Pink")</f>
        <v xml:space="preserve"> L'Oreal True Match Blush 150 Candy Cane Pink</v>
      </c>
      <c r="C4026" t="s">
        <v>66</v>
      </c>
      <c r="D4026" t="s">
        <v>65</v>
      </c>
    </row>
    <row r="4027" spans="1:4" x14ac:dyDescent="0.25">
      <c r="B4027" t="str">
        <f>HYPERLINK("https://www.chemistwarehouse.com.au/buy/76813/L-39-Oreal-True-Match-Blush-163-Nectarine"," L'Oreal True Match Blush 163 Nectarine")</f>
        <v xml:space="preserve"> L'Oreal True Match Blush 163 Nectarine</v>
      </c>
      <c r="C4027" t="s">
        <v>66</v>
      </c>
      <c r="D4027" t="s">
        <v>65</v>
      </c>
    </row>
    <row r="4028" spans="1:4" x14ac:dyDescent="0.25">
      <c r="B4028" t="str">
        <f>HYPERLINK("https://www.chemistwarehouse.com.au/buy/76814/L-39-Oreal-True-Match-Blush-165-Rosy-Cheeks"," L'Oreal True Match Blush 165 Rosy Cheeks")</f>
        <v xml:space="preserve"> L'Oreal True Match Blush 165 Rosy Cheeks</v>
      </c>
      <c r="C4028" t="s">
        <v>66</v>
      </c>
      <c r="D4028" t="s">
        <v>65</v>
      </c>
    </row>
    <row r="4029" spans="1:4" x14ac:dyDescent="0.25">
      <c r="B4029" t="str">
        <f>HYPERLINK("https://www.chemistwarehouse.com.au/buy/76815/L-39-Oreal-True-Match-Blush-200-Golden-Amber"," L'Oreal True Match Blush 200 Golden Amber")</f>
        <v xml:space="preserve"> L'Oreal True Match Blush 200 Golden Amber</v>
      </c>
      <c r="C4029" t="s">
        <v>66</v>
      </c>
      <c r="D4029" t="s">
        <v>65</v>
      </c>
    </row>
    <row r="4030" spans="1:4" x14ac:dyDescent="0.25">
      <c r="B4030" t="str">
        <f>HYPERLINK("https://www.chemistwarehouse.com.au/buy/76816/L-39-Oreal-True-Match-Blush-90-Luminous-Rose"," L'Oreal True Match Blush 90 Luminous Rose")</f>
        <v xml:space="preserve"> L'Oreal True Match Blush 90 Luminous Rose</v>
      </c>
      <c r="C4030" t="s">
        <v>66</v>
      </c>
      <c r="D4030" t="s">
        <v>65</v>
      </c>
    </row>
    <row r="4031" spans="1:4" x14ac:dyDescent="0.25">
      <c r="A4031" t="s">
        <v>1148</v>
      </c>
    </row>
    <row r="4032" spans="1:4" x14ac:dyDescent="0.25">
      <c r="B4032" t="str">
        <f>HYPERLINK("https://www.chemistwarehouse.com.au/buy/76821/L-39-Oreal-Nude-Magique-CC-Anti-Dullness-Violet-30ml"," L'Oreal Nude Magique CC Anti-Dullness Violet 30ml")</f>
        <v xml:space="preserve"> L'Oreal Nude Magique CC Anti-Dullness Violet 30ml</v>
      </c>
      <c r="C4032" t="s">
        <v>50</v>
      </c>
      <c r="D4032" t="s">
        <v>49</v>
      </c>
    </row>
    <row r="4033" spans="1:4" x14ac:dyDescent="0.25">
      <c r="B4033" t="str">
        <f>HYPERLINK("https://www.chemistwarehouse.com.au/buy/76823/L-39-Oreal-Nude-Magique-CC-Anti-Redness"," L'Oreal Nude Magique CC Anti-Redness")</f>
        <v xml:space="preserve"> L'Oreal Nude Magique CC Anti-Redness</v>
      </c>
      <c r="C4033" t="s">
        <v>50</v>
      </c>
      <c r="D4033" t="s">
        <v>49</v>
      </c>
    </row>
    <row r="4034" spans="1:4" x14ac:dyDescent="0.25">
      <c r="A4034" t="s">
        <v>1149</v>
      </c>
    </row>
    <row r="4035" spans="1:4" x14ac:dyDescent="0.25">
      <c r="B4035" t="str">
        <f>HYPERLINK("https://www.chemistwarehouse.com.au/buy/79740/L-39-Oreal-Infallible-Blush-Trio-102-Nude-Beige"," L'Oreal Infallible Blush Trio 102 Nude Beige")</f>
        <v xml:space="preserve"> L'Oreal Infallible Blush Trio 102 Nude Beige</v>
      </c>
      <c r="C4035" t="s">
        <v>50</v>
      </c>
      <c r="D4035" t="s">
        <v>49</v>
      </c>
    </row>
    <row r="4036" spans="1:4" x14ac:dyDescent="0.25">
      <c r="B4036" t="str">
        <f>HYPERLINK("https://www.chemistwarehouse.com.au/buy/79741/L-39-Oreal-Infallible-Blush-Trio-201-Soft-Rosy"," L'Oreal Infallible Blush Trio 201 Soft Rosy")</f>
        <v xml:space="preserve"> L'Oreal Infallible Blush Trio 201 Soft Rosy</v>
      </c>
      <c r="C4036" t="s">
        <v>50</v>
      </c>
      <c r="D4036" t="s">
        <v>49</v>
      </c>
    </row>
    <row r="4037" spans="1:4" x14ac:dyDescent="0.25">
      <c r="B4037" t="str">
        <f>HYPERLINK("https://www.chemistwarehouse.com.au/buy/79742/L-39-Oreal-Infallible-Fixing-Mist-100ml"," L'Oreal Infallible Fixing Mist 100ml")</f>
        <v xml:space="preserve"> L'Oreal Infallible Fixing Mist 100ml</v>
      </c>
      <c r="C4037" t="s">
        <v>20</v>
      </c>
      <c r="D4037" t="s">
        <v>19</v>
      </c>
    </row>
    <row r="4038" spans="1:4" x14ac:dyDescent="0.25">
      <c r="B4038" t="str">
        <f>HYPERLINK("https://www.chemistwarehouse.com.au/buy/82586/L-39-Oreal-Infallible-Total-Cover-Concealer-Palette"," L'Oreal Infallible Total Cover Concealer Palette")</f>
        <v xml:space="preserve"> L'Oreal Infallible Total Cover Concealer Palette</v>
      </c>
      <c r="C4038" t="s">
        <v>13</v>
      </c>
      <c r="D4038" t="s">
        <v>12</v>
      </c>
    </row>
    <row r="4039" spans="1:4" x14ac:dyDescent="0.25">
      <c r="B4039" t="str">
        <f>HYPERLINK("https://www.chemistwarehouse.com.au/buy/76827/L-39-Oreal-Infallible-Concealer-6-Amber"," L'Oreal Infallible Concealer 6 Amber")</f>
        <v xml:space="preserve"> L'Oreal Infallible Concealer 6 Amber</v>
      </c>
      <c r="C4039" t="s">
        <v>46</v>
      </c>
      <c r="D4039" t="s">
        <v>417</v>
      </c>
    </row>
    <row r="4040" spans="1:4" x14ac:dyDescent="0.25">
      <c r="A4040" t="s">
        <v>1150</v>
      </c>
    </row>
    <row r="4041" spans="1:4" x14ac:dyDescent="0.25">
      <c r="B4041" t="str">
        <f>HYPERLINK("https://www.chemistwarehouse.com.au/buy/76828/L-39-Oreal-Lumi-Magique-Concealer-Dark"," L'Oreal Lumi Magique Concealer Dark")</f>
        <v xml:space="preserve"> L'Oreal Lumi Magique Concealer Dark</v>
      </c>
      <c r="C4041" t="s">
        <v>56</v>
      </c>
      <c r="D4041" t="s">
        <v>55</v>
      </c>
    </row>
    <row r="4042" spans="1:4" x14ac:dyDescent="0.25">
      <c r="B4042" t="str">
        <f>HYPERLINK("https://www.chemistwarehouse.com.au/buy/76829/L-39-Oreal-Lumi-Magique-Concealer-Light"," L'Oreal Lumi Magique Concealer Light")</f>
        <v xml:space="preserve"> L'Oreal Lumi Magique Concealer Light</v>
      </c>
      <c r="C4042" t="s">
        <v>56</v>
      </c>
      <c r="D4042" t="s">
        <v>55</v>
      </c>
    </row>
    <row r="4043" spans="1:4" x14ac:dyDescent="0.25">
      <c r="B4043" t="str">
        <f>HYPERLINK("https://www.chemistwarehouse.com.au/buy/76830/L-39-Oreal-Lumi-Magique-Concealer-Medium"," L'Oreal Lumi Magique Concealer Medium")</f>
        <v xml:space="preserve"> L'Oreal Lumi Magique Concealer Medium</v>
      </c>
      <c r="C4043" t="s">
        <v>56</v>
      </c>
      <c r="D4043" t="s">
        <v>55</v>
      </c>
    </row>
    <row r="4044" spans="1:4" x14ac:dyDescent="0.25">
      <c r="A4044" t="s">
        <v>1151</v>
      </c>
    </row>
    <row r="4045" spans="1:4" x14ac:dyDescent="0.25">
      <c r="B4045" t="str">
        <f>HYPERLINK("https://www.chemistwarehouse.com.au/buy/76831/L-39-Oreal-True-Match-Concealer-2-Vanilla"," L'Oreal True Match Concealer 2 Vanilla")</f>
        <v xml:space="preserve"> L'Oreal True Match Concealer 2 Vanilla</v>
      </c>
      <c r="C4045" t="s">
        <v>15</v>
      </c>
      <c r="D4045" t="s">
        <v>14</v>
      </c>
    </row>
    <row r="4046" spans="1:4" x14ac:dyDescent="0.25">
      <c r="B4046" t="str">
        <f>HYPERLINK("https://www.chemistwarehouse.com.au/buy/76832/L-39-Oreal-True-Match-Concealer-3-Cream"," L'Oreal True Match Concealer 3 Cream")</f>
        <v xml:space="preserve"> L'Oreal True Match Concealer 3 Cream</v>
      </c>
      <c r="C4046" t="s">
        <v>15</v>
      </c>
      <c r="D4046" t="s">
        <v>14</v>
      </c>
    </row>
    <row r="4047" spans="1:4" x14ac:dyDescent="0.25">
      <c r="B4047" t="str">
        <f>HYPERLINK("https://www.chemistwarehouse.com.au/buy/76833/L-39-Oreal-True-Match-Concealer-4-Beige-Natural"," L'Oreal True Match Concealer 4 Beige Natural")</f>
        <v xml:space="preserve"> L'Oreal True Match Concealer 4 Beige Natural</v>
      </c>
      <c r="C4047" t="s">
        <v>15</v>
      </c>
      <c r="D4047" t="s">
        <v>14</v>
      </c>
    </row>
    <row r="4048" spans="1:4" x14ac:dyDescent="0.25">
      <c r="B4048" t="str">
        <f>HYPERLINK("https://www.chemistwarehouse.com.au/buy/76834/L-39-Oreal-True-Match-Concealer-5-Sand"," L'Oreal True Match Concealer 5 Sand")</f>
        <v xml:space="preserve"> L'Oreal True Match Concealer 5 Sand</v>
      </c>
      <c r="C4048" t="s">
        <v>15</v>
      </c>
      <c r="D4048" t="s">
        <v>14</v>
      </c>
    </row>
    <row r="4049" spans="1:4" x14ac:dyDescent="0.25">
      <c r="A4049" t="s">
        <v>1152</v>
      </c>
    </row>
    <row r="4050" spans="1:4" x14ac:dyDescent="0.25">
      <c r="B4050" t="str">
        <f>HYPERLINK("https://www.chemistwarehouse.com.au/buy/76835/L-39-Oreal-True-Match-Pen-Stick-Concealer-10-Ivory"," L'Oreal True Match Pen Stick Concealer 10 Ivory")</f>
        <v xml:space="preserve"> L'Oreal True Match Pen Stick Concealer 10 Ivory</v>
      </c>
      <c r="C4050" t="s">
        <v>39</v>
      </c>
      <c r="D4050" t="s">
        <v>128</v>
      </c>
    </row>
    <row r="4051" spans="1:4" x14ac:dyDescent="0.25">
      <c r="B4051" t="str">
        <f>HYPERLINK("https://www.chemistwarehouse.com.au/buy/76836/L-39-Oreal-True-Match-Pen-Stick-Concealer-20-Vanilla"," L'Oreal True Match Pen Stick Concealer 20 Vanilla")</f>
        <v xml:space="preserve"> L'Oreal True Match Pen Stick Concealer 20 Vanilla</v>
      </c>
      <c r="C4051" t="s">
        <v>15</v>
      </c>
      <c r="D4051" t="s">
        <v>14</v>
      </c>
    </row>
    <row r="4052" spans="1:4" x14ac:dyDescent="0.25">
      <c r="B4052" t="str">
        <f>HYPERLINK("https://www.chemistwarehouse.com.au/buy/76838/L-39-Oreal-True-Match-Pen-Stick-Concealer-40-Natural"," L'Oreal True Match Pen Stick Concealer 40 Natural")</f>
        <v xml:space="preserve"> L'Oreal True Match Pen Stick Concealer 40 Natural</v>
      </c>
      <c r="C4052" t="s">
        <v>39</v>
      </c>
      <c r="D4052" t="s">
        <v>128</v>
      </c>
    </row>
    <row r="4053" spans="1:4" x14ac:dyDescent="0.25">
      <c r="B4053" t="str">
        <f>HYPERLINK("https://www.chemistwarehouse.com.au/buy/76837/L-39-Oreal-True-Match-Pen-Stick-Concealer-30-Beige"," L'Oreal True Match Pen Stick Concealer 30 Beige")</f>
        <v xml:space="preserve"> L'Oreal True Match Pen Stick Concealer 30 Beige</v>
      </c>
      <c r="C4053" t="s">
        <v>15</v>
      </c>
      <c r="D4053" t="s">
        <v>14</v>
      </c>
    </row>
    <row r="4054" spans="1:4" x14ac:dyDescent="0.25">
      <c r="A4054" t="s">
        <v>1153</v>
      </c>
    </row>
    <row r="4055" spans="1:4" x14ac:dyDescent="0.25">
      <c r="B4055" t="str">
        <f>HYPERLINK("https://www.chemistwarehouse.com.au/buy/76839/L-39-Oreal-Infallible-Liquid-Foundation-120-Vanilla-30ml"," L'Oreal Infallible Liquid Foundation 120 Vanilla 30ml")</f>
        <v xml:space="preserve"> L'Oreal Infallible Liquid Foundation 120 Vanilla 30ml</v>
      </c>
      <c r="C4055" t="s">
        <v>37</v>
      </c>
      <c r="D4055" t="s">
        <v>36</v>
      </c>
    </row>
    <row r="4056" spans="1:4" x14ac:dyDescent="0.25">
      <c r="B4056" t="str">
        <f>HYPERLINK("https://www.chemistwarehouse.com.au/buy/76840/L-39-Oreal-Infallible-Liquid-Foundation-130-True-Beige-30ml"," L'Oreal Infallible Liquid Foundation 130 True Beige 30ml")</f>
        <v xml:space="preserve"> L'Oreal Infallible Liquid Foundation 130 True Beige 30ml</v>
      </c>
      <c r="C4056" t="s">
        <v>37</v>
      </c>
      <c r="D4056" t="s">
        <v>36</v>
      </c>
    </row>
    <row r="4057" spans="1:4" x14ac:dyDescent="0.25">
      <c r="B4057" t="str">
        <f>HYPERLINK("https://www.chemistwarehouse.com.au/buy/76841/L-39-Oreal-Infallible-Liquid-Foundation-140-Golden-Beige-30ml"," L'Oreal Infallible Liquid Foundation 140 Golden Beige 30ml")</f>
        <v xml:space="preserve"> L'Oreal Infallible Liquid Foundation 140 Golden Beige 30ml</v>
      </c>
      <c r="C4057" t="s">
        <v>37</v>
      </c>
      <c r="D4057" t="s">
        <v>36</v>
      </c>
    </row>
    <row r="4058" spans="1:4" x14ac:dyDescent="0.25">
      <c r="B4058" t="str">
        <f>HYPERLINK("https://www.chemistwarehouse.com.au/buy/76842/L-39-Oreal-Infallible-Liquid-Foundation-145-Rose-Beige-30ml"," L'Oreal Infallible Liquid Foundation 145 Rose Beige 30ml")</f>
        <v xml:space="preserve"> L'Oreal Infallible Liquid Foundation 145 Rose Beige 30ml</v>
      </c>
      <c r="C4058" t="s">
        <v>37</v>
      </c>
      <c r="D4058" t="s">
        <v>36</v>
      </c>
    </row>
    <row r="4059" spans="1:4" x14ac:dyDescent="0.25">
      <c r="B4059" t="str">
        <f>HYPERLINK("https://www.chemistwarehouse.com.au/buy/76843/L-39-Oreal-Infallible-Liquid-Foundation-220-Sand-30ml"," L'Oreal Infallible Liquid Foundation 220 Sand 30ml")</f>
        <v xml:space="preserve"> L'Oreal Infallible Liquid Foundation 220 Sand 30ml</v>
      </c>
      <c r="C4059" t="s">
        <v>37</v>
      </c>
      <c r="D4059" t="s">
        <v>36</v>
      </c>
    </row>
    <row r="4060" spans="1:4" x14ac:dyDescent="0.25">
      <c r="B4060" t="str">
        <f>HYPERLINK("https://www.chemistwarehouse.com.au/buy/76844/L-39-Oreal-Infallible-Liquid-Foundation-150-Radiant-Bge-30ml"," L'Oreal Infallible Liquid Foundation 150 Radiant Bge 30ml")</f>
        <v xml:space="preserve"> L'Oreal Infallible Liquid Foundation 150 Radiant Bge 30ml</v>
      </c>
      <c r="C4060" t="s">
        <v>37</v>
      </c>
      <c r="D4060" t="s">
        <v>36</v>
      </c>
    </row>
    <row r="4061" spans="1:4" x14ac:dyDescent="0.25">
      <c r="B4061" t="str">
        <f>HYPERLINK("https://www.chemistwarehouse.com.au/buy/76845/L-39-Oreal-Infallible-Liquid-Foundation-235-Honey-30ml"," L'Oreal Infallible Liquid Foundation 235 Honey 30ml")</f>
        <v xml:space="preserve"> L'Oreal Infallible Liquid Foundation 235 Honey 30ml</v>
      </c>
      <c r="C4061" t="s">
        <v>37</v>
      </c>
      <c r="D4061" t="s">
        <v>36</v>
      </c>
    </row>
    <row r="4062" spans="1:4" x14ac:dyDescent="0.25">
      <c r="A4062" t="s">
        <v>1154</v>
      </c>
    </row>
    <row r="4063" spans="1:4" x14ac:dyDescent="0.25">
      <c r="B4063" t="str">
        <f>HYPERLINK("https://www.chemistwarehouse.com.au/buy/76978/L-39-Oreal-Infallible-Matte-Foundation-11-Vanilla-35ml"," L'Oreal Infallible Matte Foundation 11 Vanilla 35ml")</f>
        <v xml:space="preserve"> L'Oreal Infallible Matte Foundation 11 Vanilla 35ml</v>
      </c>
      <c r="C4063" t="s">
        <v>13</v>
      </c>
      <c r="D4063" t="s">
        <v>12</v>
      </c>
    </row>
    <row r="4064" spans="1:4" x14ac:dyDescent="0.25">
      <c r="B4064" t="str">
        <f>HYPERLINK("https://www.chemistwarehouse.com.au/buy/76979/L-39-Oreal-Infallible-Matte-Foundation-13-Rose-Beige-35ml"," L'Oreal Infallible Matte Foundation 13 Rose Beige 35ml")</f>
        <v xml:space="preserve"> L'Oreal Infallible Matte Foundation 13 Rose Beige 35ml</v>
      </c>
      <c r="C4064" t="s">
        <v>13</v>
      </c>
      <c r="D4064" t="s">
        <v>12</v>
      </c>
    </row>
    <row r="4065" spans="1:4" x14ac:dyDescent="0.25">
      <c r="B4065" t="str">
        <f>HYPERLINK("https://www.chemistwarehouse.com.au/buy/76980/L-39-Oreal-Infallible-Matte-Foundation-20-Sand-35ml"," L'Oreal Infallible Matte Foundation 20 Sand 35ml")</f>
        <v xml:space="preserve"> L'Oreal Infallible Matte Foundation 20 Sand 35ml</v>
      </c>
      <c r="C4065" t="s">
        <v>13</v>
      </c>
      <c r="D4065" t="s">
        <v>12</v>
      </c>
    </row>
    <row r="4066" spans="1:4" x14ac:dyDescent="0.25">
      <c r="B4066" t="str">
        <f>HYPERLINK("https://www.chemistwarehouse.com.au/buy/76981/L-39-Oreal-Infallible-Matte-Foundation-22-Radiant-Beige-35ml"," L'Oreal Infallible Matte Foundation 22 Radiant Beige 35ml")</f>
        <v xml:space="preserve"> L'Oreal Infallible Matte Foundation 22 Radiant Beige 35ml</v>
      </c>
      <c r="C4066" t="s">
        <v>13</v>
      </c>
      <c r="D4066" t="s">
        <v>12</v>
      </c>
    </row>
    <row r="4067" spans="1:4" x14ac:dyDescent="0.25">
      <c r="B4067" t="str">
        <f>HYPERLINK("https://www.chemistwarehouse.com.au/buy/76982/L-39-Oreal-Infallible-Matte-Foundation-24-Golden-Beige-35ml"," L'Oreal Infallible Matte Foundation 24 Golden Beige 35ml")</f>
        <v xml:space="preserve"> L'Oreal Infallible Matte Foundation 24 Golden Beige 35ml</v>
      </c>
      <c r="C4067" t="s">
        <v>13</v>
      </c>
      <c r="D4067" t="s">
        <v>12</v>
      </c>
    </row>
    <row r="4068" spans="1:4" x14ac:dyDescent="0.25">
      <c r="B4068" t="str">
        <f>HYPERLINK("https://www.chemistwarehouse.com.au/buy/76983/L-39-Oreal-Infallible-Matte-Foundation-30-Honey-35ml"," L'Oreal Infallible Matte Foundation 30 Honey 35ml")</f>
        <v xml:space="preserve"> L'Oreal Infallible Matte Foundation 30 Honey 35ml</v>
      </c>
      <c r="C4068" t="s">
        <v>13</v>
      </c>
      <c r="D4068" t="s">
        <v>12</v>
      </c>
    </row>
    <row r="4069" spans="1:4" x14ac:dyDescent="0.25">
      <c r="B4069" t="str">
        <f>HYPERLINK("https://www.chemistwarehouse.com.au/buy/76984/L-39-Oreal-Infallible-Matte-Foundation-32-Amber-35ml"," L'Oreal Infallible Matte Foundation 32 Amber 35ml")</f>
        <v xml:space="preserve"> L'Oreal Infallible Matte Foundation 32 Amber 35ml</v>
      </c>
      <c r="C4069" t="s">
        <v>13</v>
      </c>
      <c r="D4069" t="s">
        <v>12</v>
      </c>
    </row>
    <row r="4070" spans="1:4" x14ac:dyDescent="0.25">
      <c r="A4070" t="s">
        <v>1155</v>
      </c>
    </row>
    <row r="4071" spans="1:4" x14ac:dyDescent="0.25">
      <c r="B4071" t="str">
        <f>HYPERLINK("https://www.chemistwarehouse.com.au/buy/77001/L-39-Oreal-Nutrilift-Gold-Foundation-150-Creamy-Beige"," L'Oreal Nutrilift Gold Foundation 150 Creamy Beige")</f>
        <v xml:space="preserve"> L'Oreal Nutrilift Gold Foundation 150 Creamy Beige</v>
      </c>
      <c r="C4071" t="s">
        <v>68</v>
      </c>
      <c r="D4071" t="s">
        <v>67</v>
      </c>
    </row>
    <row r="4072" spans="1:4" x14ac:dyDescent="0.25">
      <c r="B4072" t="str">
        <f>HYPERLINK("https://www.chemistwarehouse.com.au/buy/77002/L-39-Oreal-Nutrilift-Gold-Foundation-160-Rose-Beige"," L'Oreal Nutrilift Gold Foundation 160 Rose Beige")</f>
        <v xml:space="preserve"> L'Oreal Nutrilift Gold Foundation 160 Rose Beige</v>
      </c>
      <c r="C4072" t="s">
        <v>68</v>
      </c>
      <c r="D4072" t="s">
        <v>67</v>
      </c>
    </row>
    <row r="4073" spans="1:4" x14ac:dyDescent="0.25">
      <c r="B4073" t="str">
        <f>HYPERLINK("https://www.chemistwarehouse.com.au/buy/77004/L-39-Oreal-Nutrilift-Gold-Foundation-180-Golden-Beige"," L'Oreal Nutrilift Gold Foundation 180 Golden Beige")</f>
        <v xml:space="preserve"> L'Oreal Nutrilift Gold Foundation 180 Golden Beige</v>
      </c>
      <c r="C4073" t="s">
        <v>68</v>
      </c>
      <c r="D4073" t="s">
        <v>67</v>
      </c>
    </row>
    <row r="4074" spans="1:4" x14ac:dyDescent="0.25">
      <c r="B4074" t="str">
        <f>HYPERLINK("https://www.chemistwarehouse.com.au/buy/77005/L-39-Oreal-Nutrilift-Gold-Foundation-250-Sandsable"," L'Oreal Nutrilift Gold Foundation 250 Sandsable")</f>
        <v xml:space="preserve"> L'Oreal Nutrilift Gold Foundation 250 Sandsable</v>
      </c>
      <c r="C4074" t="s">
        <v>68</v>
      </c>
      <c r="D4074" t="s">
        <v>67</v>
      </c>
    </row>
    <row r="4075" spans="1:4" x14ac:dyDescent="0.25">
      <c r="B4075" t="str">
        <f>HYPERLINK("https://www.chemistwarehouse.com.au/buy/77006/L-39-Oreal-Nutrilift-Gold-Foundation-330-Golden-Honey"," L'Oreal Nutrilift Gold Foundation 330 Golden Honey")</f>
        <v xml:space="preserve"> L'Oreal Nutrilift Gold Foundation 330 Golden Honey</v>
      </c>
      <c r="C4075" t="s">
        <v>68</v>
      </c>
      <c r="D4075" t="s">
        <v>67</v>
      </c>
    </row>
    <row r="4076" spans="1:4" x14ac:dyDescent="0.25">
      <c r="A4076" t="s">
        <v>1156</v>
      </c>
    </row>
    <row r="4077" spans="1:4" x14ac:dyDescent="0.25">
      <c r="B4077" t="str">
        <f>HYPERLINK("https://www.chemistwarehouse.com.au/buy/77007/L-39-Oreal-True-Match-Foundation-1W-Golden-Ivory-30ml"," L'Oreal True Match Foundation 1W Golden Ivory 30ml")</f>
        <v xml:space="preserve"> L'Oreal True Match Foundation 1W Golden Ivory 30ml</v>
      </c>
      <c r="C4077" t="s">
        <v>13</v>
      </c>
      <c r="D4077" t="s">
        <v>12</v>
      </c>
    </row>
    <row r="4078" spans="1:4" x14ac:dyDescent="0.25">
      <c r="B4078" t="str">
        <f>HYPERLINK("https://www.chemistwarehouse.com.au/buy/77008/L-39-Oreal-True-Match-Foundation-2C-Rose-Vanilla-30ml"," L'Oreal True Match Foundation 2C Rose Vanilla 30ml")</f>
        <v xml:space="preserve"> L'Oreal True Match Foundation 2C Rose Vanilla 30ml</v>
      </c>
      <c r="C4078" t="s">
        <v>13</v>
      </c>
      <c r="D4078" t="s">
        <v>12</v>
      </c>
    </row>
    <row r="4079" spans="1:4" x14ac:dyDescent="0.25">
      <c r="B4079" t="str">
        <f>HYPERLINK("https://www.chemistwarehouse.com.au/buy/77009/L-39-Oreal-True-Match-Foundation-2N-Vanilla-30ml"," L'Oreal True Match Foundation 2N Vanilla 30ml")</f>
        <v xml:space="preserve"> L'Oreal True Match Foundation 2N Vanilla 30ml</v>
      </c>
      <c r="C4079" t="s">
        <v>13</v>
      </c>
      <c r="D4079" t="s">
        <v>12</v>
      </c>
    </row>
    <row r="4080" spans="1:4" x14ac:dyDescent="0.25">
      <c r="B4080" t="str">
        <f>HYPERLINK("https://www.chemistwarehouse.com.au/buy/77010/L-39-Oreal-True-Match-Foundation-3C-Rose-Beige-30ml"," L'Oreal True Match Foundation 3C Rose Beige 30ml")</f>
        <v xml:space="preserve"> L'Oreal True Match Foundation 3C Rose Beige 30ml</v>
      </c>
      <c r="C4080" t="s">
        <v>13</v>
      </c>
      <c r="D4080" t="s">
        <v>12</v>
      </c>
    </row>
    <row r="4081" spans="1:4" x14ac:dyDescent="0.25">
      <c r="B4081" t="str">
        <f>HYPERLINK("https://www.chemistwarehouse.com.au/buy/77011/L-39-Oreal-True-Match-Foundation-3N-Creamy-Beige-30ml"," L'Oreal True Match Foundation 3N Creamy Beige 30ml")</f>
        <v xml:space="preserve"> L'Oreal True Match Foundation 3N Creamy Beige 30ml</v>
      </c>
      <c r="C4081" t="s">
        <v>13</v>
      </c>
      <c r="D4081" t="s">
        <v>12</v>
      </c>
    </row>
    <row r="4082" spans="1:4" x14ac:dyDescent="0.25">
      <c r="B4082" t="str">
        <f>HYPERLINK("https://www.chemistwarehouse.com.au/buy/77012/L-39-Oreal-True-Match-Foundation-3W-Golden-Beige-30ml"," L'Oreal True Match Foundation 3W Golden Beige 30ml")</f>
        <v xml:space="preserve"> L'Oreal True Match Foundation 3W Golden Beige 30ml</v>
      </c>
      <c r="C4082" t="s">
        <v>13</v>
      </c>
      <c r="D4082" t="s">
        <v>12</v>
      </c>
    </row>
    <row r="4083" spans="1:4" x14ac:dyDescent="0.25">
      <c r="B4083" t="str">
        <f>HYPERLINK("https://www.chemistwarehouse.com.au/buy/77013/L-39-Oreal-True-Match-Foundation-4N-Beige-30ml"," L'Oreal True Match Foundation 4N Beige 30ml")</f>
        <v xml:space="preserve"> L'Oreal True Match Foundation 4N Beige 30ml</v>
      </c>
      <c r="C4083" t="s">
        <v>13</v>
      </c>
      <c r="D4083" t="s">
        <v>12</v>
      </c>
    </row>
    <row r="4084" spans="1:4" x14ac:dyDescent="0.25">
      <c r="B4084" t="str">
        <f>HYPERLINK("https://www.chemistwarehouse.com.au/buy/77014/L-39-Oreal-True-Match-Foundation-4W-Golden-Nat-30ml"," L'Oreal True Match Foundation 4W Golden Nat 30ml")</f>
        <v xml:space="preserve"> L'Oreal True Match Foundation 4W Golden Nat 30ml</v>
      </c>
      <c r="C4084" t="s">
        <v>13</v>
      </c>
      <c r="D4084" t="s">
        <v>12</v>
      </c>
    </row>
    <row r="4085" spans="1:4" x14ac:dyDescent="0.25">
      <c r="B4085" t="str">
        <f>HYPERLINK("https://www.chemistwarehouse.com.au/buy/77015/L-39-Oreal-True-Match-Foundation-5N-Sand-30ml"," L'Oreal True Match Foundation 5N Sand 30ml")</f>
        <v xml:space="preserve"> L'Oreal True Match Foundation 5N Sand 30ml</v>
      </c>
      <c r="C4085" t="s">
        <v>13</v>
      </c>
      <c r="D4085" t="s">
        <v>12</v>
      </c>
    </row>
    <row r="4086" spans="1:4" x14ac:dyDescent="0.25">
      <c r="B4086" t="str">
        <f>HYPERLINK("https://www.chemistwarehouse.com.au/buy/77016/L-39-Oreal-True-Match-Foundation-5W-Golden-Sand-30ml"," L'Oreal True Match Foundation 5W Golden Sand 30ml")</f>
        <v xml:space="preserve"> L'Oreal True Match Foundation 5W Golden Sand 30ml</v>
      </c>
      <c r="C4086" t="s">
        <v>13</v>
      </c>
      <c r="D4086" t="s">
        <v>12</v>
      </c>
    </row>
    <row r="4087" spans="1:4" x14ac:dyDescent="0.25">
      <c r="B4087" t="str">
        <f>HYPERLINK("https://www.chemistwarehouse.com.au/buy/77017/L-39-Oreal-True-Match-Foundation-6N-Honey-30ml"," L'Oreal True Match Foundation 6N Honey 30ml")</f>
        <v xml:space="preserve"> L'Oreal True Match Foundation 6N Honey 30ml</v>
      </c>
      <c r="C4087" t="s">
        <v>13</v>
      </c>
      <c r="D4087" t="s">
        <v>12</v>
      </c>
    </row>
    <row r="4088" spans="1:4" x14ac:dyDescent="0.25">
      <c r="B4088" t="str">
        <f>HYPERLINK("https://www.chemistwarehouse.com.au/buy/79736/L-39-Oreal-True-Match-Foundation-Amber-Dore"," L'Oreal True Match Foundation Amber Dore")</f>
        <v xml:space="preserve"> L'Oreal True Match Foundation Amber Dore</v>
      </c>
      <c r="C4088" t="s">
        <v>13</v>
      </c>
      <c r="D4088" t="s">
        <v>12</v>
      </c>
    </row>
    <row r="4089" spans="1:4" x14ac:dyDescent="0.25">
      <c r="B4089" t="str">
        <f>HYPERLINK("https://www.chemistwarehouse.com.au/buy/79737/L-39-Oreal-True-Match-Foundation-Amber-Rose"," L'Oreal True Match Foundation Amber Rose")</f>
        <v xml:space="preserve"> L'Oreal True Match Foundation Amber Rose</v>
      </c>
      <c r="C4089" t="s">
        <v>13</v>
      </c>
      <c r="D4089" t="s">
        <v>12</v>
      </c>
    </row>
    <row r="4090" spans="1:4" x14ac:dyDescent="0.25">
      <c r="B4090" t="str">
        <f>HYPERLINK("https://www.chemistwarehouse.com.au/buy/79738/L-39-Oreal-True-Match-Foundation-Cappucino"," L'Oreal True Match Foundation Cappucino")</f>
        <v xml:space="preserve"> L'Oreal True Match Foundation Cappucino</v>
      </c>
      <c r="C4090" t="s">
        <v>13</v>
      </c>
      <c r="D4090" t="s">
        <v>12</v>
      </c>
    </row>
    <row r="4091" spans="1:4" x14ac:dyDescent="0.25">
      <c r="B4091" t="str">
        <f>HYPERLINK("https://www.chemistwarehouse.com.au/buy/79739/L-39-Ooreal-True-Match-Foundation-Ivory-Rose"," L'Ooreal True Match Foundation Ivory Rose")</f>
        <v xml:space="preserve"> L'Ooreal True Match Foundation Ivory Rose</v>
      </c>
      <c r="C4091" t="s">
        <v>13</v>
      </c>
      <c r="D4091" t="s">
        <v>12</v>
      </c>
    </row>
    <row r="4092" spans="1:4" x14ac:dyDescent="0.25">
      <c r="A4092" t="s">
        <v>1157</v>
      </c>
    </row>
    <row r="4093" spans="1:4" x14ac:dyDescent="0.25">
      <c r="B4093" t="str">
        <f>HYPERLINK("https://www.chemistwarehouse.com.au/buy/77018/L-39-Oreal-True-Match-Mineral-Face-N3-Creamy-Beige"," L'Oreal True Match Mineral Face N3 Creamy Beige")</f>
        <v xml:space="preserve"> L'Oreal True Match Mineral Face N3 Creamy Beige</v>
      </c>
      <c r="C4093" t="s">
        <v>25</v>
      </c>
      <c r="D4093" t="s">
        <v>24</v>
      </c>
    </row>
    <row r="4094" spans="1:4" x14ac:dyDescent="0.25">
      <c r="B4094" t="str">
        <f>HYPERLINK("https://www.chemistwarehouse.com.au/buy/77019/L-39-Oreal-True-Match-Mineral-Face-N6-Honey-Glow"," L'Oreal True Match Mineral Face N6 Honey Glow")</f>
        <v xml:space="preserve"> L'Oreal True Match Mineral Face N6 Honey Glow</v>
      </c>
      <c r="C4094" t="s">
        <v>25</v>
      </c>
      <c r="D4094" t="s">
        <v>24</v>
      </c>
    </row>
    <row r="4095" spans="1:4" x14ac:dyDescent="0.25">
      <c r="A4095" t="s">
        <v>1158</v>
      </c>
    </row>
    <row r="4096" spans="1:4" x14ac:dyDescent="0.25">
      <c r="B4096" t="str">
        <f>HYPERLINK("https://www.chemistwarehouse.com.au/buy/78500/L-39-Oreal-Nude-Magique-Cushion-Foundation-01-Porcelain"," L'Oreal Nude Magique Cushion Foundation 01 Porcelain")</f>
        <v xml:space="preserve"> L'Oreal Nude Magique Cushion Foundation 01 Porcelain</v>
      </c>
      <c r="C4096" t="s">
        <v>13</v>
      </c>
      <c r="D4096" t="s">
        <v>12</v>
      </c>
    </row>
    <row r="4097" spans="1:4" x14ac:dyDescent="0.25">
      <c r="B4097" t="str">
        <f>HYPERLINK("https://www.chemistwarehouse.com.au/buy/78501/L-39-Oreal-Nude-Magique-Cushion-Foundation-03-Vanilla"," L'Oreal Nude Magique Cushion Foundation 03 Vanilla")</f>
        <v xml:space="preserve"> L'Oreal Nude Magique Cushion Foundation 03 Vanilla</v>
      </c>
      <c r="C4097" t="s">
        <v>13</v>
      </c>
      <c r="D4097" t="s">
        <v>12</v>
      </c>
    </row>
    <row r="4098" spans="1:4" x14ac:dyDescent="0.25">
      <c r="B4098" t="str">
        <f>HYPERLINK("https://www.chemistwarehouse.com.au/buy/78502/L-39-Oreal-Nude-Magique-Cushion-Foundation-06-Rose-Beige"," L'Oreal Nude Magique Cushion Foundation 06 Rose Beige")</f>
        <v xml:space="preserve"> L'Oreal Nude Magique Cushion Foundation 06 Rose Beige</v>
      </c>
      <c r="C4098" t="s">
        <v>13</v>
      </c>
      <c r="D4098" t="s">
        <v>12</v>
      </c>
    </row>
    <row r="4099" spans="1:4" x14ac:dyDescent="0.25">
      <c r="B4099" t="str">
        <f>HYPERLINK("https://www.chemistwarehouse.com.au/buy/78503/L-39-Oreal-Nude-Magique-Cushion-Foundation-07-Golden-Beige"," L'Oreal Nude Magique Cushion Foundation 07 Golden Beige")</f>
        <v xml:space="preserve"> L'Oreal Nude Magique Cushion Foundation 07 Golden Beige</v>
      </c>
      <c r="C4099" t="s">
        <v>13</v>
      </c>
      <c r="D4099" t="s">
        <v>12</v>
      </c>
    </row>
    <row r="4100" spans="1:4" x14ac:dyDescent="0.25">
      <c r="B4100" t="str">
        <f>HYPERLINK("https://www.chemistwarehouse.com.au/buy/78504/L-39-Oreal-Nude-Magique-Cushion-Foundation-09-Beige"," L'Oreal Nude Magique Cushion Foundation 09 Beige")</f>
        <v xml:space="preserve"> L'Oreal Nude Magique Cushion Foundation 09 Beige</v>
      </c>
      <c r="C4100" t="s">
        <v>13</v>
      </c>
      <c r="D4100" t="s">
        <v>12</v>
      </c>
    </row>
    <row r="4101" spans="1:4" x14ac:dyDescent="0.25">
      <c r="B4101" t="str">
        <f>HYPERLINK("https://www.chemistwarehouse.com.au/buy/78505/L-39-Oreal-Nude-Magique-Cushion-Foundation-11-Golden-Amber"," L'Oreal Nude Magique Cushion Foundation 11 Golden Amber")</f>
        <v xml:space="preserve"> L'Oreal Nude Magique Cushion Foundation 11 Golden Amber</v>
      </c>
      <c r="C4101" t="s">
        <v>13</v>
      </c>
      <c r="D4101" t="s">
        <v>12</v>
      </c>
    </row>
    <row r="4102" spans="1:4" x14ac:dyDescent="0.25">
      <c r="A4102" t="s">
        <v>1159</v>
      </c>
    </row>
    <row r="4103" spans="1:4" x14ac:dyDescent="0.25">
      <c r="B4103" t="str">
        <f>HYPERLINK("https://www.chemistwarehouse.com.au/buy/82587/L-39-Oreal-Infallible-Total-Cover-Foundation-10-Porcelaine"," L'Oreal Infallible Total Cover Foundation 10 Porcelaine")</f>
        <v xml:space="preserve"> L'Oreal Infallible Total Cover Foundation 10 Porcelaine</v>
      </c>
      <c r="C4103" t="s">
        <v>13</v>
      </c>
      <c r="D4103" t="s">
        <v>12</v>
      </c>
    </row>
    <row r="4104" spans="1:4" x14ac:dyDescent="0.25">
      <c r="B4104" t="str">
        <f>HYPERLINK("https://www.chemistwarehouse.com.au/buy/82588/L-39-Oreal-Infallible-Total-Cover-Foundation-12-Natural-Rose"," L'Oreal Infallible Total Cover Foundation 12 Natural Rose")</f>
        <v xml:space="preserve"> L'Oreal Infallible Total Cover Foundation 12 Natural Rose</v>
      </c>
      <c r="C4104" t="s">
        <v>13</v>
      </c>
      <c r="D4104" t="s">
        <v>12</v>
      </c>
    </row>
    <row r="4105" spans="1:4" x14ac:dyDescent="0.25">
      <c r="B4105" t="str">
        <f>HYPERLINK("https://www.chemistwarehouse.com.au/buy/82589/L-39-Oreal-Infallible-Total-Cover-Foundation-21-Golden-Sand"," L'Oreal Infallible Total Cover Foundation 21 Golden Sand")</f>
        <v xml:space="preserve"> L'Oreal Infallible Total Cover Foundation 21 Golden Sand</v>
      </c>
      <c r="C4105" t="s">
        <v>13</v>
      </c>
      <c r="D4105" t="s">
        <v>12</v>
      </c>
    </row>
    <row r="4106" spans="1:4" x14ac:dyDescent="0.25">
      <c r="B4106" t="str">
        <f>HYPERLINK("https://www.chemistwarehouse.com.au/buy/82590/L-39-Oreal-Infallible-Total-Cover-Foundation-24-Golden-Beige"," L'Oreal Infallible Total Cover Foundation 24 Golden Beige")</f>
        <v xml:space="preserve"> L'Oreal Infallible Total Cover Foundation 24 Golden Beige</v>
      </c>
      <c r="C4106" t="s">
        <v>13</v>
      </c>
      <c r="D4106" t="s">
        <v>12</v>
      </c>
    </row>
    <row r="4107" spans="1:4" x14ac:dyDescent="0.25">
      <c r="B4107" t="str">
        <f>HYPERLINK("https://www.chemistwarehouse.com.au/buy/82591/L-39-Oreal-Infallible-Total-Cover-Foundation-9-Light-Sand-Nude"," L'Oreal Infallible Total Cover Foundation 9 Light Sand Nude")</f>
        <v xml:space="preserve"> L'Oreal Infallible Total Cover Foundation 9 Light Sand Nude</v>
      </c>
      <c r="C4107" t="s">
        <v>13</v>
      </c>
      <c r="D4107" t="s">
        <v>12</v>
      </c>
    </row>
    <row r="4108" spans="1:4" x14ac:dyDescent="0.25">
      <c r="B4108" t="str">
        <f>HYPERLINK("https://www.chemistwarehouse.com.au/buy/82592/L-39-Oreal-Infallible-Total-Cover-Foundation-GB-32-Amber"," L'Oreal Infallible Total Cover Foundation GB 32 Amber")</f>
        <v xml:space="preserve"> L'Oreal Infallible Total Cover Foundation GB 32 Amber</v>
      </c>
      <c r="C4108" t="s">
        <v>13</v>
      </c>
      <c r="D4108" t="s">
        <v>12</v>
      </c>
    </row>
    <row r="4109" spans="1:4" x14ac:dyDescent="0.25">
      <c r="A4109" t="s">
        <v>1160</v>
      </c>
    </row>
    <row r="4110" spans="1:4" x14ac:dyDescent="0.25">
      <c r="B4110" t="str">
        <f>HYPERLINK("https://www.chemistwarehouse.com.au/buy/77023/L-39-Oreal-Infallible-Powder-Compact-123-Warm-vanilla"," L'Oreal Infallible Powder Compact 123 Warm vanilla")</f>
        <v xml:space="preserve"> L'Oreal Infallible Powder Compact 123 Warm vanilla</v>
      </c>
      <c r="C4110" t="s">
        <v>13</v>
      </c>
      <c r="D4110" t="s">
        <v>12</v>
      </c>
    </row>
    <row r="4111" spans="1:4" x14ac:dyDescent="0.25">
      <c r="B4111" t="str">
        <f>HYPERLINK("https://www.chemistwarehouse.com.au/buy/77024/L-39-Oreal-Infallible-Powder-Compact-160-Sand-Beige"," L'Oreal Infallible Powder Compact 160 Sand Beige")</f>
        <v xml:space="preserve"> L'Oreal Infallible Powder Compact 160 Sand Beige</v>
      </c>
      <c r="C4111" t="s">
        <v>13</v>
      </c>
      <c r="D4111" t="s">
        <v>12</v>
      </c>
    </row>
    <row r="4112" spans="1:4" x14ac:dyDescent="0.25">
      <c r="B4112" t="str">
        <f>HYPERLINK("https://www.chemistwarehouse.com.au/buy/77025/L-39-Oreal-Infallible-Powder-Compact-225-Beige"," L'Oreal Infallible Powder Compact 225 Beige")</f>
        <v xml:space="preserve"> L'Oreal Infallible Powder Compact 225 Beige</v>
      </c>
      <c r="C4112" t="s">
        <v>13</v>
      </c>
      <c r="D4112" t="s">
        <v>12</v>
      </c>
    </row>
    <row r="4113" spans="1:4" x14ac:dyDescent="0.25">
      <c r="B4113" t="str">
        <f>HYPERLINK("https://www.chemistwarehouse.com.au/buy/77026/L-39-Oreal-Infallible-Powder-Compact-245-Warm-Sand"," L'Oreal Infallible Powder Compact 245 Warm Sand")</f>
        <v xml:space="preserve"> L'Oreal Infallible Powder Compact 245 Warm Sand</v>
      </c>
      <c r="C4113" t="s">
        <v>13</v>
      </c>
      <c r="D4113" t="s">
        <v>12</v>
      </c>
    </row>
    <row r="4114" spans="1:4" x14ac:dyDescent="0.25">
      <c r="A4114" t="s">
        <v>1161</v>
      </c>
    </row>
    <row r="4115" spans="1:4" x14ac:dyDescent="0.25">
      <c r="B4115" t="str">
        <f>HYPERLINK("https://www.chemistwarehouse.com.au/buy/77027/L-39-Oreal-Nude-Magique-BB-Powder-Light"," L'Oreal Nude Magique BB Powder Light")</f>
        <v xml:space="preserve"> L'Oreal Nude Magique BB Powder Light</v>
      </c>
      <c r="C4115" t="s">
        <v>50</v>
      </c>
      <c r="D4115" t="s">
        <v>49</v>
      </c>
    </row>
    <row r="4116" spans="1:4" x14ac:dyDescent="0.25">
      <c r="B4116" t="str">
        <f>HYPERLINK("https://www.chemistwarehouse.com.au/buy/77028/L-39-Oreal-Nude-Magique-BB-Powder-Medium"," L'Oreal Nude Magique BB Powder Medium")</f>
        <v xml:space="preserve"> L'Oreal Nude Magique BB Powder Medium</v>
      </c>
      <c r="C4116" t="s">
        <v>50</v>
      </c>
      <c r="D4116" t="s">
        <v>49</v>
      </c>
    </row>
    <row r="4117" spans="1:4" x14ac:dyDescent="0.25">
      <c r="A4117" t="s">
        <v>1162</v>
      </c>
    </row>
    <row r="4118" spans="1:4" x14ac:dyDescent="0.25">
      <c r="B4118" t="str">
        <f>HYPERLINK("https://www.chemistwarehouse.com.au/buy/77029/L-39-Oreal-True-Match-Powder-D3W3-Golden-Beige"," L'Oreal True Match Powder D3W3 Golden Beige")</f>
        <v xml:space="preserve"> L'Oreal True Match Powder D3W3 Golden Beige</v>
      </c>
      <c r="C4118" t="s">
        <v>13</v>
      </c>
      <c r="D4118" t="s">
        <v>12</v>
      </c>
    </row>
    <row r="4119" spans="1:4" x14ac:dyDescent="0.25">
      <c r="B4119" t="str">
        <f>HYPERLINK("https://www.chemistwarehouse.com.au/buy/77030/L-39-Oreal-True-Match-Powder-D5W5-Golden-Sand"," L'Oreal True Match Powder D5W5 Golden Sand")</f>
        <v xml:space="preserve"> L'Oreal True Match Powder D5W5 Golden Sand</v>
      </c>
      <c r="C4119" t="s">
        <v>13</v>
      </c>
      <c r="D4119" t="s">
        <v>12</v>
      </c>
    </row>
    <row r="4120" spans="1:4" x14ac:dyDescent="0.25">
      <c r="B4120" t="str">
        <f>HYPERLINK("https://www.chemistwarehouse.com.au/buy/77031/L-39-Oreal-True-Match-Powder-N4-Beige"," L'Oreal True Match Powder N4 Beige")</f>
        <v xml:space="preserve"> L'Oreal True Match Powder N4 Beige</v>
      </c>
      <c r="C4120" t="s">
        <v>13</v>
      </c>
      <c r="D4120" t="s">
        <v>12</v>
      </c>
    </row>
    <row r="4121" spans="1:4" x14ac:dyDescent="0.25">
      <c r="B4121" t="str">
        <f>HYPERLINK("https://www.chemistwarehouse.com.au/buy/77032/L-39-Oreal-True-Match-Powder-R2C2-Vanilla-Rose"," L'Oreal True Match Powder R2C2 Vanilla Rose")</f>
        <v xml:space="preserve"> L'Oreal True Match Powder R2C2 Vanilla Rose</v>
      </c>
      <c r="C4121" t="s">
        <v>13</v>
      </c>
      <c r="D4121" t="s">
        <v>12</v>
      </c>
    </row>
    <row r="4122" spans="1:4" x14ac:dyDescent="0.25">
      <c r="A4122" t="s">
        <v>1163</v>
      </c>
    </row>
    <row r="4123" spans="1:4" x14ac:dyDescent="0.25">
      <c r="B4123" t="str">
        <f>HYPERLINK("https://www.chemistwarehouse.com.au/buy/79743/L-39-Oreal-Infallible-Sculpt-Contouring-Palette-01-Light"," L'Oreal Infallible Sculpt Contouring Palette 01 Light")</f>
        <v xml:space="preserve"> L'Oreal Infallible Sculpt Contouring Palette 01 Light</v>
      </c>
      <c r="C4123" t="s">
        <v>13</v>
      </c>
      <c r="D4123" t="s">
        <v>12</v>
      </c>
    </row>
    <row r="4124" spans="1:4" x14ac:dyDescent="0.25">
      <c r="B4124" t="str">
        <f>HYPERLINK("https://www.chemistwarehouse.com.au/buy/79744/L-39-Oreal-Infallible-Sculpt-Contouring-Palette-03-Medium-To-Dark"," L'Oreal Infallible Sculpt Contouring Palette 03 Medium To Dark")</f>
        <v xml:space="preserve"> L'Oreal Infallible Sculpt Contouring Palette 03 Medium To Dark</v>
      </c>
      <c r="C4124" t="s">
        <v>13</v>
      </c>
      <c r="D4124" t="s">
        <v>12</v>
      </c>
    </row>
    <row r="4125" spans="1:4" x14ac:dyDescent="0.25">
      <c r="A4125" t="s">
        <v>1164</v>
      </c>
    </row>
    <row r="4126" spans="1:4" x14ac:dyDescent="0.25">
      <c r="B4126" t="str">
        <f>HYPERLINK("https://www.chemistwarehouse.com.au/buy/77145/L-39-Oreal-Color-Riche-Le-Vernis-000-Parisian-Cryst"," L'Oreal Color Riche Le Vernis 000 Parisian Cryst")</f>
        <v xml:space="preserve"> L'Oreal Color Riche Le Vernis 000 Parisian Cryst</v>
      </c>
      <c r="C4126" t="s">
        <v>162</v>
      </c>
      <c r="D4126" t="s">
        <v>482</v>
      </c>
    </row>
    <row r="4127" spans="1:4" x14ac:dyDescent="0.25">
      <c r="B4127" t="str">
        <f>HYPERLINK("https://www.chemistwarehouse.com.au/buy/77146/L-39-Oreal-Color-Riche-Le-Vernis-005-Vendome-Pearl"," L'Oreal Color Riche Le Vernis 005 Vendome Pearl")</f>
        <v xml:space="preserve"> L'Oreal Color Riche Le Vernis 005 Vendome Pearl</v>
      </c>
      <c r="C4127" t="s">
        <v>162</v>
      </c>
      <c r="D4127" t="s">
        <v>482</v>
      </c>
    </row>
    <row r="4128" spans="1:4" x14ac:dyDescent="0.25">
      <c r="B4128" t="str">
        <f>HYPERLINK("https://www.chemistwarehouse.com.au/buy/77148/L-39-Oreal-Color-Riche-Le-Vernis-102-Macnoisette"," L'Oreal Color Riche Le Vernis 102 Macnoisette")</f>
        <v xml:space="preserve"> L'Oreal Color Riche Le Vernis 102 Macnoisette</v>
      </c>
      <c r="C4128" t="s">
        <v>162</v>
      </c>
      <c r="D4128" t="s">
        <v>482</v>
      </c>
    </row>
    <row r="4129" spans="1:4" x14ac:dyDescent="0.25">
      <c r="B4129" t="str">
        <f>HYPERLINK("https://www.chemistwarehouse.com.au/buy/77153/L-39-Oreal-Color-Riche-Le-Vernis-208-So-Chic-Pink"," L'Oreal Color Riche Le Vernis 208 So Chic Pink")</f>
        <v xml:space="preserve"> L'Oreal Color Riche Le Vernis 208 So Chic Pink</v>
      </c>
      <c r="C4129" t="s">
        <v>162</v>
      </c>
      <c r="D4129" t="s">
        <v>482</v>
      </c>
    </row>
    <row r="4130" spans="1:4" x14ac:dyDescent="0.25">
      <c r="B4130" t="str">
        <f>HYPERLINK("https://www.chemistwarehouse.com.au/buy/77156/L-39-Oreal-Color-Riche-Le-Vernis-303-Lush-Tangerine"," L'Oreal Color Riche Le Vernis 303 Lush Tangerine")</f>
        <v xml:space="preserve"> L'Oreal Color Riche Le Vernis 303 Lush Tangerine</v>
      </c>
      <c r="C4130" t="s">
        <v>162</v>
      </c>
      <c r="D4130" t="s">
        <v>482</v>
      </c>
    </row>
    <row r="4131" spans="1:4" x14ac:dyDescent="0.25">
      <c r="B4131" t="str">
        <f>HYPERLINK("https://www.chemistwarehouse.com.au/buy/77147/L-39-Oreal-Color-Riche-Le-Vernis-101-Opera-Balerina"," L'Oreal Color Riche Le Vernis 101 Opera Balerina")</f>
        <v xml:space="preserve"> L'Oreal Color Riche Le Vernis 101 Opera Balerina</v>
      </c>
      <c r="C4131" t="s">
        <v>162</v>
      </c>
      <c r="D4131" t="s">
        <v>482</v>
      </c>
    </row>
    <row r="4132" spans="1:4" x14ac:dyDescent="0.25">
      <c r="A4132" t="s">
        <v>1165</v>
      </c>
    </row>
    <row r="4133" spans="1:4" x14ac:dyDescent="0.25">
      <c r="B4133" t="str">
        <f>HYPERLINK("https://www.chemistwarehouse.com.au/buy/77175/L-39-Oreal-Infallible-Nail-Gel-10-Keep-Magenta"," L'Oreal Infallible Nail Gel 10 Keep Magenta")</f>
        <v xml:space="preserve"> L'Oreal Infallible Nail Gel 10 Keep Magenta</v>
      </c>
      <c r="C4133" t="s">
        <v>41</v>
      </c>
      <c r="D4133" t="s">
        <v>42</v>
      </c>
    </row>
    <row r="4134" spans="1:4" x14ac:dyDescent="0.25">
      <c r="B4134" t="str">
        <f>HYPERLINK("https://www.chemistwarehouse.com.au/buy/77177/L-39-Oreal-Infallible-Nail-Gel-13-Orange-Extreme"," L'Oreal Infallible Nail Gel 13 Orange Extreme")</f>
        <v xml:space="preserve"> L'Oreal Infallible Nail Gel 13 Orange Extreme</v>
      </c>
      <c r="C4134" t="s">
        <v>41</v>
      </c>
      <c r="D4134" t="s">
        <v>42</v>
      </c>
    </row>
    <row r="4135" spans="1:4" x14ac:dyDescent="0.25">
      <c r="B4135" t="str">
        <f>HYPERLINK("https://www.chemistwarehouse.com.au/buy/77181/L-39-Oreal-Infallible-Nail-Gel-5-Irresistible-Bonbon"," L'Oreal Infallible Nail Gel 5 Irresistible Bonbon")</f>
        <v xml:space="preserve"> L'Oreal Infallible Nail Gel 5 Irresistible Bonbon</v>
      </c>
      <c r="C4135" t="s">
        <v>41</v>
      </c>
      <c r="D4135" t="s">
        <v>42</v>
      </c>
    </row>
    <row r="4136" spans="1:4" x14ac:dyDescent="0.25">
      <c r="B4136" t="str">
        <f>HYPERLINK("https://www.chemistwarehouse.com.au/buy/79730/L-39-Oreal-Infallible-Nail-Gel-40-Marshmellow-Power"," L'Oreal Infallible Nail Gel 40 Marshmellow Power")</f>
        <v xml:space="preserve"> L'Oreal Infallible Nail Gel 40 Marshmellow Power</v>
      </c>
      <c r="C4136" t="s">
        <v>41</v>
      </c>
      <c r="D4136" t="s">
        <v>42</v>
      </c>
    </row>
    <row r="4137" spans="1:4" x14ac:dyDescent="0.25">
      <c r="B4137" t="str">
        <f>HYPERLINK("https://www.chemistwarehouse.com.au/buy/79731/L-39-Oreal-Infallible-Nail-Gel-42-Unlimited-Lollipop"," L'Oreal Infallible Nail Gel 42 Unlimited Lollipop")</f>
        <v xml:space="preserve"> L'Oreal Infallible Nail Gel 42 Unlimited Lollipop</v>
      </c>
      <c r="C4137" t="s">
        <v>41</v>
      </c>
      <c r="D4137" t="s">
        <v>42</v>
      </c>
    </row>
    <row r="4138" spans="1:4" x14ac:dyDescent="0.25">
      <c r="B4138" t="str">
        <f>HYPERLINK("https://www.chemistwarehouse.com.au/buy/79732/L-39-Oreal-Infallible-Nail-Gel-43-Endless-Candyheart"," L'Oreal Infallible Nail Gel 43 Endless Candyheart")</f>
        <v xml:space="preserve"> L'Oreal Infallible Nail Gel 43 Endless Candyheart</v>
      </c>
      <c r="C4138" t="s">
        <v>41</v>
      </c>
      <c r="D4138" t="s">
        <v>42</v>
      </c>
    </row>
    <row r="4139" spans="1:4" x14ac:dyDescent="0.25">
      <c r="B4139" t="str">
        <f>HYPERLINK("https://www.chemistwarehouse.com.au/buy/77179/L-39-Oreal-Infallible-Nail-Gel-16-Forever-Burgundy"," L'Oreal Infallible Nail Gel 16 Forever Burgundy")</f>
        <v xml:space="preserve"> L'Oreal Infallible Nail Gel 16 Forever Burgundy</v>
      </c>
      <c r="C4139" t="s">
        <v>41</v>
      </c>
      <c r="D4139" t="s">
        <v>42</v>
      </c>
    </row>
    <row r="4140" spans="1:4" x14ac:dyDescent="0.25">
      <c r="B4140" t="str">
        <f>HYPERLINK("https://www.chemistwarehouse.com.au/buy/77180/L-39-Oreal-Infallible-Nail-Gel-20-Fuschia-For-Life"," L'Oreal Infallible Nail Gel 20 Fuschia For Life")</f>
        <v xml:space="preserve"> L'Oreal Infallible Nail Gel 20 Fuschia For Life</v>
      </c>
      <c r="C4140" t="s">
        <v>46</v>
      </c>
      <c r="D4140" t="s">
        <v>482</v>
      </c>
    </row>
    <row r="4141" spans="1:4" x14ac:dyDescent="0.25">
      <c r="B4141" t="str">
        <f>HYPERLINK("https://www.chemistwarehouse.com.au/buy/77178/L-39-Oreal-Infallible-Nail-Gel-12-Forever-Mink"," L'Oreal Infallible Nail Gel 12 Forever Mink")</f>
        <v xml:space="preserve"> L'Oreal Infallible Nail Gel 12 Forever Mink</v>
      </c>
      <c r="C4141" t="s">
        <v>41</v>
      </c>
      <c r="D4141" t="s">
        <v>42</v>
      </c>
    </row>
    <row r="4142" spans="1:4" x14ac:dyDescent="0.25">
      <c r="B4142" t="str">
        <f>HYPERLINK("https://www.chemistwarehouse.com.au/buy/77176/L-39-Oreal-Infallible-Nail-Gel-11-Red-Infallible"," L'Oreal Infallible Nail Gel 11 Red Infallible")</f>
        <v xml:space="preserve"> L'Oreal Infallible Nail Gel 11 Red Infallible</v>
      </c>
      <c r="C4142" t="s">
        <v>98</v>
      </c>
      <c r="D4142" t="s">
        <v>150</v>
      </c>
    </row>
    <row r="4143" spans="1:4" x14ac:dyDescent="0.25">
      <c r="A4143" t="s">
        <v>1166</v>
      </c>
    </row>
    <row r="4144" spans="1:4" x14ac:dyDescent="0.25">
      <c r="B4144" t="str">
        <f>HYPERLINK("https://www.chemistwarehouse.com.au/buy/77183/L-39-Oreal-Color-Riche-La-Manicure-Flash-Remover-75ml"," L'Oreal Color Riche La Manicure Flash Remover 75ml")</f>
        <v xml:space="preserve"> L'Oreal Color Riche La Manicure Flash Remover 75ml</v>
      </c>
      <c r="C4144" t="s">
        <v>41</v>
      </c>
      <c r="D4144" t="s">
        <v>42</v>
      </c>
    </row>
    <row r="4145" spans="1:4" x14ac:dyDescent="0.25">
      <c r="A4145" t="s">
        <v>1167</v>
      </c>
    </row>
    <row r="4146" spans="1:4" x14ac:dyDescent="0.25">
      <c r="B4146" t="str">
        <f>HYPERLINK("https://www.chemistwarehouse.com.au/buy/74065/Nude-by-Nature-Bronzer-15g"," Nude by Nature Bronzer 15g")</f>
        <v xml:space="preserve"> Nude by Nature Bronzer 15g</v>
      </c>
      <c r="C4146" t="s">
        <v>864</v>
      </c>
      <c r="D4146" t="s">
        <v>821</v>
      </c>
    </row>
    <row r="4147" spans="1:4" x14ac:dyDescent="0.25">
      <c r="B4147" t="str">
        <f>HYPERLINK("https://www.chemistwarehouse.com.au/buy/81776/Nude-by-Nature-Pressed-Matte-Mineral-Bronzer-10g"," Nude by Nature Pressed Matte Mineral Bronzer 10g")</f>
        <v xml:space="preserve"> Nude by Nature Pressed Matte Mineral Bronzer 10g</v>
      </c>
      <c r="C4147" t="s">
        <v>864</v>
      </c>
      <c r="D4147" t="s">
        <v>821</v>
      </c>
    </row>
    <row r="4148" spans="1:4" x14ac:dyDescent="0.25">
      <c r="A4148" t="s">
        <v>1168</v>
      </c>
    </row>
    <row r="4149" spans="1:4" x14ac:dyDescent="0.25">
      <c r="B4149" t="str">
        <f>HYPERLINK("https://www.chemistwarehouse.com.au/buy/74067/Nude-by-Nature-Mineral-Finishing-Veil-12g"," Nude by Nature Mineral Finishing Veil 12g")</f>
        <v xml:space="preserve"> Nude by Nature Mineral Finishing Veil 12g</v>
      </c>
      <c r="C4149" t="s">
        <v>864</v>
      </c>
      <c r="D4149" t="s">
        <v>821</v>
      </c>
    </row>
    <row r="4150" spans="1:4" x14ac:dyDescent="0.25">
      <c r="B4150" t="str">
        <f>HYPERLINK("https://www.chemistwarehouse.com.au/buy/81777/Nude-by-Nature-Pressed-Mattifying-Mineral-Veil-10g"," Nude by Nature Pressed Mattifying Mineral Veil 10g")</f>
        <v xml:space="preserve"> Nude by Nature Pressed Mattifying Mineral Veil 10g</v>
      </c>
      <c r="C4150" t="s">
        <v>864</v>
      </c>
      <c r="D4150" t="s">
        <v>821</v>
      </c>
    </row>
    <row r="4151" spans="1:4" x14ac:dyDescent="0.25">
      <c r="A4151" t="s">
        <v>1169</v>
      </c>
    </row>
    <row r="4152" spans="1:4" x14ac:dyDescent="0.25">
      <c r="B4152" t="str">
        <f>HYPERLINK("https://www.chemistwarehouse.com.au/buy/74066/Nude-by-Nature-Natural-Mineral-Cover-Dark-15g"," Nude by Nature Natural Mineral Cover Dark 15g")</f>
        <v xml:space="preserve"> Nude by Nature Natural Mineral Cover Dark 15g</v>
      </c>
      <c r="C4152" t="s">
        <v>864</v>
      </c>
      <c r="D4152" t="s">
        <v>821</v>
      </c>
    </row>
    <row r="4153" spans="1:4" x14ac:dyDescent="0.25">
      <c r="B4153" t="str">
        <f>HYPERLINK("https://www.chemistwarehouse.com.au/buy/81749/Nude-by-Nature-Liquid-Mineral-Foundation-Medium-30ml"," Nude by Nature Liquid Mineral Foundation Medium 30ml")</f>
        <v xml:space="preserve"> Nude by Nature Liquid Mineral Foundation Medium 30ml</v>
      </c>
      <c r="C4153" t="s">
        <v>864</v>
      </c>
      <c r="D4153" t="s">
        <v>821</v>
      </c>
    </row>
    <row r="4154" spans="1:4" x14ac:dyDescent="0.25">
      <c r="B4154" t="str">
        <f>HYPERLINK("https://www.chemistwarehouse.com.au/buy/81750/Nude-by-Nature-Liquid-Mineral-Foundation-Dark-30ml"," Nude by Nature Liquid Mineral Foundation Dark 30ml")</f>
        <v xml:space="preserve"> Nude by Nature Liquid Mineral Foundation Dark 30ml</v>
      </c>
      <c r="C4154" t="s">
        <v>864</v>
      </c>
      <c r="D4154" t="s">
        <v>821</v>
      </c>
    </row>
    <row r="4155" spans="1:4" x14ac:dyDescent="0.25">
      <c r="B4155" t="str">
        <f>HYPERLINK("https://www.chemistwarehouse.com.au/buy/81751/Nude-by-Nature-Liquid-Mineral-Foundation-Fair-30ml"," Nude by Nature Liquid Mineral Foundation Fair 30ml")</f>
        <v xml:space="preserve"> Nude by Nature Liquid Mineral Foundation Fair 30ml</v>
      </c>
      <c r="C4155" t="s">
        <v>864</v>
      </c>
      <c r="D4155" t="s">
        <v>821</v>
      </c>
    </row>
    <row r="4156" spans="1:4" x14ac:dyDescent="0.25">
      <c r="B4156" t="str">
        <f>HYPERLINK("https://www.chemistwarehouse.com.au/buy/81752/Nude-by-Nature-Liquid-Mineral-Foundation-Light-30ml"," Nude by Nature Liquid Mineral Foundation Light 30ml")</f>
        <v xml:space="preserve"> Nude by Nature Liquid Mineral Foundation Light 30ml</v>
      </c>
      <c r="C4156" t="s">
        <v>864</v>
      </c>
      <c r="D4156" t="s">
        <v>821</v>
      </c>
    </row>
    <row r="4157" spans="1:4" x14ac:dyDescent="0.25">
      <c r="B4157" t="str">
        <f>HYPERLINK("https://www.chemistwarehouse.com.au/buy/81753/Nude-by-Nature-Liquid-Mineral-Foundation-Light-Medium-30ml"," Nude by Nature Liquid Mineral Foundation Light/Medium 30ml")</f>
        <v xml:space="preserve"> Nude by Nature Liquid Mineral Foundation Light/Medium 30ml</v>
      </c>
      <c r="C4157" t="s">
        <v>864</v>
      </c>
      <c r="D4157" t="s">
        <v>821</v>
      </c>
    </row>
    <row r="4158" spans="1:4" x14ac:dyDescent="0.25">
      <c r="B4158" t="str">
        <f>HYPERLINK("https://www.chemistwarehouse.com.au/buy/81770/Nude-by-Nature-Natural-Mineral-Cover-Fair-15g"," Nude by Nature Natural Mineral Cover Fair 15g")</f>
        <v xml:space="preserve"> Nude by Nature Natural Mineral Cover Fair 15g</v>
      </c>
      <c r="C4158" t="s">
        <v>864</v>
      </c>
      <c r="D4158" t="s">
        <v>821</v>
      </c>
    </row>
    <row r="4159" spans="1:4" x14ac:dyDescent="0.25">
      <c r="B4159" t="str">
        <f>HYPERLINK("https://www.chemistwarehouse.com.au/buy/81771/Nude-by-Nature-Natural-Mineral-Cover-Light-15g"," Nude by Nature Natural Mineral Cover Light 15g")</f>
        <v xml:space="preserve"> Nude by Nature Natural Mineral Cover Light 15g</v>
      </c>
      <c r="C4159" t="s">
        <v>864</v>
      </c>
      <c r="D4159" t="s">
        <v>821</v>
      </c>
    </row>
    <row r="4160" spans="1:4" x14ac:dyDescent="0.25">
      <c r="B4160" t="str">
        <f>HYPERLINK("https://www.chemistwarehouse.com.au/buy/81772/Nude-by-Nature-Natural-Mineral-Cover-Light-Medium-15g"," Nude by Nature Natural Mineral Cover Light/Medium 15g")</f>
        <v xml:space="preserve"> Nude by Nature Natural Mineral Cover Light/Medium 15g</v>
      </c>
      <c r="C4160" t="s">
        <v>864</v>
      </c>
      <c r="D4160" t="s">
        <v>821</v>
      </c>
    </row>
    <row r="4161" spans="1:4" x14ac:dyDescent="0.25">
      <c r="B4161" t="str">
        <f>HYPERLINK("https://www.chemistwarehouse.com.au/buy/81773/Nude-by-Nature-Natural-Mineral-Cover-Medium-15g"," Nude by Nature Natural Mineral Cover Medium 15g")</f>
        <v xml:space="preserve"> Nude by Nature Natural Mineral Cover Medium 15g</v>
      </c>
      <c r="C4161" t="s">
        <v>864</v>
      </c>
      <c r="D4161" t="s">
        <v>821</v>
      </c>
    </row>
    <row r="4162" spans="1:4" x14ac:dyDescent="0.25">
      <c r="B4162" t="str">
        <f>HYPERLINK("https://www.chemistwarehouse.com.au/buy/81778/Nude-by-Nature-Pressed-Mineral-Cover-Dark-10g"," Nude by Nature Pressed Mineral Cover Dark 10g")</f>
        <v xml:space="preserve"> Nude by Nature Pressed Mineral Cover Dark 10g</v>
      </c>
      <c r="C4162" t="s">
        <v>864</v>
      </c>
      <c r="D4162" t="s">
        <v>821</v>
      </c>
    </row>
    <row r="4163" spans="1:4" x14ac:dyDescent="0.25">
      <c r="B4163" t="str">
        <f>HYPERLINK("https://www.chemistwarehouse.com.au/buy/81779/Nude-by-Nature-Pressed-Mineral-Cover-Fair-10g"," Nude by Nature Pressed Mineral Cover Fair 10g")</f>
        <v xml:space="preserve"> Nude by Nature Pressed Mineral Cover Fair 10g</v>
      </c>
      <c r="C4163" t="s">
        <v>864</v>
      </c>
      <c r="D4163" t="s">
        <v>821</v>
      </c>
    </row>
    <row r="4164" spans="1:4" x14ac:dyDescent="0.25">
      <c r="B4164" t="str">
        <f>HYPERLINK("https://www.chemistwarehouse.com.au/buy/81780/Nude-by-Nature-Pressed-Mineral-Cover-Light-10g"," Nude by Nature Pressed Mineral Cover Light 10g")</f>
        <v xml:space="preserve"> Nude by Nature Pressed Mineral Cover Light 10g</v>
      </c>
      <c r="C4164" t="s">
        <v>864</v>
      </c>
      <c r="D4164" t="s">
        <v>821</v>
      </c>
    </row>
    <row r="4165" spans="1:4" x14ac:dyDescent="0.25">
      <c r="B4165" t="str">
        <f>HYPERLINK("https://www.chemistwarehouse.com.au/buy/81781/Nude-by-Nature-Pressed-Mineral-Cover-Light-Medium-10g"," Nude by Nature Pressed Mineral Cover Light/Medium 10g")</f>
        <v xml:space="preserve"> Nude by Nature Pressed Mineral Cover Light/Medium 10g</v>
      </c>
      <c r="C4165" t="s">
        <v>864</v>
      </c>
      <c r="D4165" t="s">
        <v>821</v>
      </c>
    </row>
    <row r="4166" spans="1:4" x14ac:dyDescent="0.25">
      <c r="B4166" t="str">
        <f>HYPERLINK("https://www.chemistwarehouse.com.au/buy/81782/Nude-by-Nature-Pressed-Mineral-Cover-Medium-10g"," Nude by Nature Pressed Mineral Cover Medium 10g")</f>
        <v xml:space="preserve"> Nude by Nature Pressed Mineral Cover Medium 10g</v>
      </c>
      <c r="C4166" t="s">
        <v>864</v>
      </c>
      <c r="D4166" t="s">
        <v>821</v>
      </c>
    </row>
    <row r="4167" spans="1:4" x14ac:dyDescent="0.25">
      <c r="B4167" t="str">
        <f>HYPERLINK("https://www.chemistwarehouse.com.au/buy/82282/Nude-by-Nature-Natural-Mineral-Cover-Beige-15g"," Nude by Nature Natural Mineral Cover Beige 15g")</f>
        <v xml:space="preserve"> Nude by Nature Natural Mineral Cover Beige 15g</v>
      </c>
      <c r="C4167" t="s">
        <v>864</v>
      </c>
      <c r="D4167" t="s">
        <v>821</v>
      </c>
    </row>
    <row r="4168" spans="1:4" x14ac:dyDescent="0.25">
      <c r="B4168" t="str">
        <f>HYPERLINK("https://www.chemistwarehouse.com.au/buy/82283/Nude-by-Nature-Natural-Mineral-Cover-Olive-15g"," Nude by Nature Natural Mineral Cover Olive 15g")</f>
        <v xml:space="preserve"> Nude by Nature Natural Mineral Cover Olive 15g</v>
      </c>
      <c r="C4168" t="s">
        <v>864</v>
      </c>
      <c r="D4168" t="s">
        <v>821</v>
      </c>
    </row>
    <row r="4169" spans="1:4" x14ac:dyDescent="0.25">
      <c r="B4169" t="str">
        <f>HYPERLINK("https://www.chemistwarehouse.com.au/buy/82284/Nude-by-Nature-Natural-Mineral-Cover-Tan-15g"," Nude by Nature Natural Mineral Cover Tan 15g")</f>
        <v xml:space="preserve"> Nude by Nature Natural Mineral Cover Tan 15g</v>
      </c>
      <c r="C4169" t="s">
        <v>864</v>
      </c>
      <c r="D4169" t="s">
        <v>821</v>
      </c>
    </row>
    <row r="4170" spans="1:4" x14ac:dyDescent="0.25">
      <c r="B4170" t="str">
        <f>HYPERLINK("https://www.chemistwarehouse.com.au/buy/82285/Nude-by-Nature-Pressed-Mineral-Cover-Beige-10g"," Nude by Nature Pressed Mineral Cover Beige 10g")</f>
        <v xml:space="preserve"> Nude by Nature Pressed Mineral Cover Beige 10g</v>
      </c>
      <c r="C4170" t="s">
        <v>864</v>
      </c>
      <c r="D4170" t="s">
        <v>821</v>
      </c>
    </row>
    <row r="4171" spans="1:4" x14ac:dyDescent="0.25">
      <c r="B4171" t="str">
        <f>HYPERLINK("https://www.chemistwarehouse.com.au/buy/82286/Nude-by-Nature-Pressed-Mineral-Cover-Olive-10g"," Nude by Nature Pressed Mineral Cover Olive 10g")</f>
        <v xml:space="preserve"> Nude by Nature Pressed Mineral Cover Olive 10g</v>
      </c>
      <c r="C4171" t="s">
        <v>864</v>
      </c>
      <c r="D4171" t="s">
        <v>821</v>
      </c>
    </row>
    <row r="4172" spans="1:4" x14ac:dyDescent="0.25">
      <c r="B4172" t="str">
        <f>HYPERLINK("https://www.chemistwarehouse.com.au/buy/82287/Nude-by-Nature-Pressed-Mineral-Cover-Tan-10g"," Nude by Nature Pressed Mineral Cover Tan 10g")</f>
        <v xml:space="preserve"> Nude by Nature Pressed Mineral Cover Tan 10g</v>
      </c>
      <c r="C4172" t="s">
        <v>864</v>
      </c>
      <c r="D4172" t="s">
        <v>821</v>
      </c>
    </row>
    <row r="4173" spans="1:4" x14ac:dyDescent="0.25">
      <c r="A4173" t="s">
        <v>1170</v>
      </c>
    </row>
    <row r="4174" spans="1:4" x14ac:dyDescent="0.25">
      <c r="B4174" t="str">
        <f>HYPERLINK("https://www.chemistwarehouse.com.au/buy/81737/Nude-by-Nature-Contour-Fluid-Trio"," Nude by Nature Contour Fluid Trio")</f>
        <v xml:space="preserve"> Nude by Nature Contour Fluid Trio</v>
      </c>
      <c r="C4174" t="s">
        <v>864</v>
      </c>
      <c r="D4174" t="s">
        <v>821</v>
      </c>
    </row>
    <row r="4175" spans="1:4" x14ac:dyDescent="0.25">
      <c r="B4175" t="str">
        <f>HYPERLINK("https://www.chemistwarehouse.com.au/buy/81738/Nude-by-Nature-Contour-Palette"," Nude by Nature Contour Palette")</f>
        <v xml:space="preserve"> Nude by Nature Contour Palette</v>
      </c>
      <c r="C4175" t="s">
        <v>864</v>
      </c>
      <c r="D4175" t="s">
        <v>821</v>
      </c>
    </row>
    <row r="4176" spans="1:4" x14ac:dyDescent="0.25">
      <c r="B4176" t="str">
        <f>HYPERLINK("https://www.chemistwarehouse.com.au/buy/81743/Nude-by-Nature-Highlight-Palette"," Nude by Nature Highlight Palette")</f>
        <v xml:space="preserve"> Nude by Nature Highlight Palette</v>
      </c>
      <c r="C4176" t="s">
        <v>864</v>
      </c>
      <c r="D4176" t="s">
        <v>821</v>
      </c>
    </row>
    <row r="4177" spans="1:4" x14ac:dyDescent="0.25">
      <c r="B4177" t="str">
        <f>HYPERLINK("https://www.chemistwarehouse.com.au/buy/81788/Nude-by-Nature-Touch-of-Glow-Highlighter-Stick-Bronze"," Nude by Nature Touch of Glow Highlighter Stick Bronze")</f>
        <v xml:space="preserve"> Nude by Nature Touch of Glow Highlighter Stick Bronze</v>
      </c>
      <c r="C4177" t="s">
        <v>1</v>
      </c>
      <c r="D4177" t="s">
        <v>165</v>
      </c>
    </row>
    <row r="4178" spans="1:4" x14ac:dyDescent="0.25">
      <c r="B4178" t="str">
        <f>HYPERLINK("https://www.chemistwarehouse.com.au/buy/81789/Nude-by-Nature-Touch-of-Glow-Highlighter-Stick-Champagne"," Nude by Nature Touch of Glow Highlighter Stick Champagne")</f>
        <v xml:space="preserve"> Nude by Nature Touch of Glow Highlighter Stick Champagne</v>
      </c>
      <c r="C4178" t="s">
        <v>1</v>
      </c>
      <c r="D4178" t="s">
        <v>165</v>
      </c>
    </row>
    <row r="4179" spans="1:4" x14ac:dyDescent="0.25">
      <c r="B4179" t="str">
        <f>HYPERLINK("https://www.chemistwarehouse.com.au/buy/81790/Nude-by-Nature-Touch-of-Glow-Highlighter-Stick-Rose"," Nude by Nature Touch of Glow Highlighter Stick Rose")</f>
        <v xml:space="preserve"> Nude by Nature Touch of Glow Highlighter Stick Rose</v>
      </c>
      <c r="C4179" t="s">
        <v>1</v>
      </c>
      <c r="D4179" t="s">
        <v>165</v>
      </c>
    </row>
    <row r="4180" spans="1:4" x14ac:dyDescent="0.25">
      <c r="A4180" t="s">
        <v>1171</v>
      </c>
    </row>
    <row r="4181" spans="1:4" x14ac:dyDescent="0.25">
      <c r="B4181" t="str">
        <f>HYPERLINK("https://www.chemistwarehouse.com.au/buy/81746/Nude-by-Nature-Liquid-Mineral-Concealer-Dark-10ml"," Nude by Nature Liquid Mineral Concealer Dark 10ml")</f>
        <v xml:space="preserve"> Nude by Nature Liquid Mineral Concealer Dark 10ml</v>
      </c>
      <c r="C4181" t="s">
        <v>407</v>
      </c>
      <c r="D4181" t="s">
        <v>376</v>
      </c>
    </row>
    <row r="4182" spans="1:4" x14ac:dyDescent="0.25">
      <c r="B4182" t="str">
        <f>HYPERLINK("https://www.chemistwarehouse.com.au/buy/81747/Nude-by-Nature-Liquid-Mineral-Concealer-Light-10ml"," Nude by Nature Liquid Mineral Concealer Light 10ml")</f>
        <v xml:space="preserve"> Nude by Nature Liquid Mineral Concealer Light 10ml</v>
      </c>
      <c r="C4182" t="s">
        <v>407</v>
      </c>
      <c r="D4182" t="s">
        <v>376</v>
      </c>
    </row>
    <row r="4183" spans="1:4" x14ac:dyDescent="0.25">
      <c r="B4183" t="str">
        <f>HYPERLINK("https://www.chemistwarehouse.com.au/buy/81748/Nude-by-Nature-Liquid-Mineral-Concealer-Medium-10ml"," Nude by Nature Liquid Mineral Concealer Medium 10ml")</f>
        <v xml:space="preserve"> Nude by Nature Liquid Mineral Concealer Medium 10ml</v>
      </c>
      <c r="C4183" t="s">
        <v>407</v>
      </c>
      <c r="D4183" t="s">
        <v>376</v>
      </c>
    </row>
    <row r="4184" spans="1:4" x14ac:dyDescent="0.25">
      <c r="A4184" t="s">
        <v>1172</v>
      </c>
    </row>
    <row r="4185" spans="1:4" x14ac:dyDescent="0.25">
      <c r="B4185" t="str">
        <f>HYPERLINK("https://www.chemistwarehouse.com.au/buy/81787/Nude-by-Nature-Soft-Focus-Illuminator-50ml"," Nude by Nature Soft Focus Illuminator 50ml")</f>
        <v xml:space="preserve"> Nude by Nature Soft Focus Illuminator 50ml</v>
      </c>
      <c r="C4185" t="s">
        <v>404</v>
      </c>
      <c r="D4185" t="s">
        <v>152</v>
      </c>
    </row>
    <row r="4186" spans="1:4" x14ac:dyDescent="0.25">
      <c r="A4186" t="s">
        <v>1173</v>
      </c>
    </row>
    <row r="4187" spans="1:4" x14ac:dyDescent="0.25">
      <c r="B4187" t="str">
        <f>HYPERLINK("https://www.chemistwarehouse.com.au/buy/81793/Nude-by-Nature-Undercover-Airbrush-Primer-50ml"," Nude by Nature Undercover Airbrush Primer 50ml")</f>
        <v xml:space="preserve"> Nude by Nature Undercover Airbrush Primer 50ml</v>
      </c>
      <c r="C4187" t="s">
        <v>230</v>
      </c>
      <c r="D4187" t="s">
        <v>336</v>
      </c>
    </row>
    <row r="4188" spans="1:4" x14ac:dyDescent="0.25">
      <c r="A4188" t="s">
        <v>1174</v>
      </c>
    </row>
    <row r="4189" spans="1:4" x14ac:dyDescent="0.25">
      <c r="B4189" t="str">
        <f>HYPERLINK("https://www.chemistwarehouse.com.au/buy/81794/Nude-by-Nature-Virgin-Blush-4g"," Nude by Nature Virgin Blush 4g")</f>
        <v xml:space="preserve"> Nude by Nature Virgin Blush 4g</v>
      </c>
      <c r="C4189" t="s">
        <v>407</v>
      </c>
      <c r="D4189" t="s">
        <v>376</v>
      </c>
    </row>
    <row r="4190" spans="1:4" x14ac:dyDescent="0.25">
      <c r="A4190" t="s">
        <v>1175</v>
      </c>
    </row>
    <row r="4191" spans="1:4" x14ac:dyDescent="0.25">
      <c r="B4191" t="str">
        <f>HYPERLINK("https://www.chemistwarehouse.com.au/buy/82116/Nude-by-Nature-Sheer-Glow-BB-Cream-04-Natural-Tan-30ml"," Nude by Nature Sheer Glow BB Cream 04 Natural Tan 30ml")</f>
        <v xml:space="preserve"> Nude by Nature Sheer Glow BB Cream 04 Natural Tan 30ml</v>
      </c>
      <c r="C4191" t="s">
        <v>1</v>
      </c>
      <c r="D4191" t="s">
        <v>160</v>
      </c>
    </row>
    <row r="4192" spans="1:4" x14ac:dyDescent="0.25">
      <c r="B4192" t="str">
        <f>HYPERLINK("https://www.chemistwarehouse.com.au/buy/82117/Nude-by-Nature-Sheer-Glow-BB-Cream-05-Golden-Tan-30ml"," Nude by Nature Sheer Glow BB Cream 05 Golden Tan 30ml")</f>
        <v xml:space="preserve"> Nude by Nature Sheer Glow BB Cream 05 Golden Tan 30ml</v>
      </c>
      <c r="C4192" t="s">
        <v>1</v>
      </c>
      <c r="D4192" t="s">
        <v>160</v>
      </c>
    </row>
    <row r="4193" spans="1:4" x14ac:dyDescent="0.25">
      <c r="B4193" t="str">
        <f>HYPERLINK("https://www.chemistwarehouse.com.au/buy/82113/Nude-by-Nature-Sheer-Glow-BB-Cream-01-Porcelain-30ml"," Nude by Nature Sheer Glow BB Cream 01 Porcelain 30ml")</f>
        <v xml:space="preserve"> Nude by Nature Sheer Glow BB Cream 01 Porcelain 30ml</v>
      </c>
      <c r="C4193" t="s">
        <v>1</v>
      </c>
      <c r="D4193" t="s">
        <v>160</v>
      </c>
    </row>
    <row r="4194" spans="1:4" x14ac:dyDescent="0.25">
      <c r="B4194" t="str">
        <f>HYPERLINK("https://www.chemistwarehouse.com.au/buy/82114/Nude-by-Nature-Sheer-Glow-BB-Cream-02-Soft-Sand-30ml"," Nude by Nature Sheer Glow BB Cream 02 Soft Sand 30ml")</f>
        <v xml:space="preserve"> Nude by Nature Sheer Glow BB Cream 02 Soft Sand 30ml</v>
      </c>
      <c r="C4194" t="s">
        <v>1</v>
      </c>
      <c r="D4194" t="s">
        <v>160</v>
      </c>
    </row>
    <row r="4195" spans="1:4" x14ac:dyDescent="0.25">
      <c r="B4195" t="str">
        <f>HYPERLINK("https://www.chemistwarehouse.com.au/buy/82115/Nude-by-Nature-Sheer-Glow-BB-Cream-03-Nude-Beige-30ml"," Nude by Nature Sheer Glow BB Cream 03 Nude Beige 30ml")</f>
        <v xml:space="preserve"> Nude by Nature Sheer Glow BB Cream 03 Nude Beige 30ml</v>
      </c>
      <c r="C4195" t="s">
        <v>1</v>
      </c>
      <c r="D4195" t="s">
        <v>160</v>
      </c>
    </row>
    <row r="4196" spans="1:4" x14ac:dyDescent="0.25">
      <c r="A4196" t="s">
        <v>1176</v>
      </c>
    </row>
    <row r="4197" spans="1:4" x14ac:dyDescent="0.25">
      <c r="B4197" t="str">
        <f>HYPERLINK("https://www.chemistwarehouse.com.au/buy/81719/Nude-by-Nature-Allure-Defining-Mascara-01-Black"," Nude by Nature Allure Defining Mascara 01 Black")</f>
        <v xml:space="preserve"> Nude by Nature Allure Defining Mascara 01 Black</v>
      </c>
      <c r="C4197" t="s">
        <v>890</v>
      </c>
      <c r="D4197" t="s">
        <v>406</v>
      </c>
    </row>
    <row r="4198" spans="1:4" x14ac:dyDescent="0.25">
      <c r="B4198" t="str">
        <f>HYPERLINK("https://www.chemistwarehouse.com.au/buy/81720/Nude-by-Nature-Allure-Defining-Mascara-02-Brown"," Nude by Nature Allure Defining Mascara 02 Brown")</f>
        <v xml:space="preserve"> Nude by Nature Allure Defining Mascara 02 Brown</v>
      </c>
      <c r="C4198" t="s">
        <v>890</v>
      </c>
      <c r="D4198" t="s">
        <v>406</v>
      </c>
    </row>
    <row r="4199" spans="1:4" x14ac:dyDescent="0.25">
      <c r="A4199" t="s">
        <v>1177</v>
      </c>
    </row>
    <row r="4200" spans="1:4" x14ac:dyDescent="0.25">
      <c r="B4200" t="str">
        <f>HYPERLINK("https://www.chemistwarehouse.com.au/buy/81731/Nude-by-Nature-Contour-Eye-Pencil-01-Black"," Nude by Nature Contour Eye Pencil 01 Black")</f>
        <v xml:space="preserve"> Nude by Nature Contour Eye Pencil 01 Black</v>
      </c>
      <c r="C4200" t="s">
        <v>292</v>
      </c>
      <c r="D4200" t="s">
        <v>329</v>
      </c>
    </row>
    <row r="4201" spans="1:4" x14ac:dyDescent="0.25">
      <c r="B4201" t="str">
        <f>HYPERLINK("https://www.chemistwarehouse.com.au/buy/81732/Nude-by-Nature-Contour-Eye-Pencil-02-Brown"," Nude by Nature Contour Eye Pencil 02 Brown")</f>
        <v xml:space="preserve"> Nude by Nature Contour Eye Pencil 02 Brown</v>
      </c>
      <c r="C4201" t="s">
        <v>292</v>
      </c>
      <c r="D4201" t="s">
        <v>329</v>
      </c>
    </row>
    <row r="4202" spans="1:4" x14ac:dyDescent="0.25">
      <c r="B4202" t="str">
        <f>HYPERLINK("https://www.chemistwarehouse.com.au/buy/81733/Nude-by-Nature-Contour-Eye-Pencil-03-Anthracite"," Nude by Nature Contour Eye Pencil 03 Anthracite")</f>
        <v xml:space="preserve"> Nude by Nature Contour Eye Pencil 03 Anthracite</v>
      </c>
      <c r="C4202" t="s">
        <v>292</v>
      </c>
      <c r="D4202" t="s">
        <v>329</v>
      </c>
    </row>
    <row r="4203" spans="1:4" x14ac:dyDescent="0.25">
      <c r="B4203" t="str">
        <f>HYPERLINK("https://www.chemistwarehouse.com.au/buy/81734/Nude-by-Nature-Contour-Eye-Pencil-04-Sunrise"," Nude by Nature Contour Eye Pencil 04 Sunrise")</f>
        <v xml:space="preserve"> Nude by Nature Contour Eye Pencil 04 Sunrise</v>
      </c>
      <c r="C4203" t="s">
        <v>292</v>
      </c>
      <c r="D4203" t="s">
        <v>329</v>
      </c>
    </row>
    <row r="4204" spans="1:4" x14ac:dyDescent="0.25">
      <c r="B4204" t="str">
        <f>HYPERLINK("https://www.chemistwarehouse.com.au/buy/81735/Nude-by-Nature-Contour-Eye-Pencil-05-Turquoise-Bay"," Nude by Nature Contour Eye Pencil 05 Turquoise Bay")</f>
        <v xml:space="preserve"> Nude by Nature Contour Eye Pencil 05 Turquoise Bay</v>
      </c>
      <c r="C4204" t="s">
        <v>292</v>
      </c>
      <c r="D4204" t="s">
        <v>329</v>
      </c>
    </row>
    <row r="4205" spans="1:4" x14ac:dyDescent="0.25">
      <c r="B4205" t="str">
        <f>HYPERLINK("https://www.chemistwarehouse.com.au/buy/81736/Nude-by-Nature-Contour-Eye-Pencil-06-Rainforest"," Nude by Nature Contour Eye Pencil 06 Rainforest")</f>
        <v xml:space="preserve"> Nude by Nature Contour Eye Pencil 06 Rainforest</v>
      </c>
      <c r="C4205" t="s">
        <v>292</v>
      </c>
      <c r="D4205" t="s">
        <v>329</v>
      </c>
    </row>
    <row r="4206" spans="1:4" x14ac:dyDescent="0.25">
      <c r="B4206" t="str">
        <f>HYPERLINK("https://www.chemistwarehouse.com.au/buy/81739/Nude-by-Nature-Definition-Eyeliner-01-Black"," Nude by Nature Definition Eyeliner 01 Black")</f>
        <v xml:space="preserve"> Nude by Nature Definition Eyeliner 01 Black</v>
      </c>
      <c r="C4206" t="s">
        <v>173</v>
      </c>
      <c r="D4206" t="s">
        <v>145</v>
      </c>
    </row>
    <row r="4207" spans="1:4" x14ac:dyDescent="0.25">
      <c r="B4207" t="str">
        <f>HYPERLINK("https://www.chemistwarehouse.com.au/buy/81740/Nude-by-Nature-Definition-Eyeliner-02-Brown"," Nude by Nature Definition Eyeliner 02 Brown")</f>
        <v xml:space="preserve"> Nude by Nature Definition Eyeliner 02 Brown</v>
      </c>
      <c r="C4207" t="s">
        <v>173</v>
      </c>
      <c r="D4207" t="s">
        <v>145</v>
      </c>
    </row>
    <row r="4208" spans="1:4" x14ac:dyDescent="0.25">
      <c r="A4208" t="s">
        <v>1178</v>
      </c>
    </row>
    <row r="4209" spans="2:4" x14ac:dyDescent="0.25">
      <c r="B4209" t="str">
        <f>HYPERLINK("https://www.chemistwarehouse.com.au/buy/81755/Nude-by-Nature-Natural-Illusion-Eyeshadow-Trio-01-Nude"," Nude by Nature Natural Illusion Eyeshadow Trio 01 Nude")</f>
        <v xml:space="preserve"> Nude by Nature Natural Illusion Eyeshadow Trio 01 Nude</v>
      </c>
      <c r="C4209" t="s">
        <v>230</v>
      </c>
      <c r="D4209" t="s">
        <v>336</v>
      </c>
    </row>
    <row r="4210" spans="2:4" x14ac:dyDescent="0.25">
      <c r="B4210" t="str">
        <f>HYPERLINK("https://www.chemistwarehouse.com.au/buy/81756/Nude-by-Nature-Natural-Illusion-Eyeshadow-Trio-02-Smoky"," Nude by Nature Natural Illusion Eyeshadow Trio 02 Smoky")</f>
        <v xml:space="preserve"> Nude by Nature Natural Illusion Eyeshadow Trio 02 Smoky</v>
      </c>
      <c r="C4210" t="s">
        <v>230</v>
      </c>
      <c r="D4210" t="s">
        <v>336</v>
      </c>
    </row>
    <row r="4211" spans="2:4" x14ac:dyDescent="0.25">
      <c r="B4211" t="str">
        <f>HYPERLINK("https://www.chemistwarehouse.com.au/buy/81757/Nude-by-Nature-Natural-Illusion-Eyeshadow-Trio-03-Rose"," Nude by Nature Natural Illusion Eyeshadow Trio 03 Rose")</f>
        <v xml:space="preserve"> Nude by Nature Natural Illusion Eyeshadow Trio 03 Rose</v>
      </c>
      <c r="C4211" t="s">
        <v>230</v>
      </c>
      <c r="D4211" t="s">
        <v>336</v>
      </c>
    </row>
    <row r="4212" spans="2:4" x14ac:dyDescent="0.25">
      <c r="B4212" t="str">
        <f>HYPERLINK("https://www.chemistwarehouse.com.au/buy/81758/Nude-by-Nature-Natural-Illusion-Pressed-Eyeshadow-01-Storm"," Nude by Nature Natural Illusion Pressed Eyeshadow 01 Storm")</f>
        <v xml:space="preserve"> Nude by Nature Natural Illusion Pressed Eyeshadow 01 Storm</v>
      </c>
      <c r="C4212" t="s">
        <v>187</v>
      </c>
      <c r="D4212" t="s">
        <v>397</v>
      </c>
    </row>
    <row r="4213" spans="2:4" x14ac:dyDescent="0.25">
      <c r="B4213" t="str">
        <f>HYPERLINK("https://www.chemistwarehouse.com.au/buy/81759/Nude-by-Nature-Natural-Illusion-Pressed-Eyeshadow-02-Stone"," Nude by Nature Natural Illusion Pressed Eyeshadow 02 Stone")</f>
        <v xml:space="preserve"> Nude by Nature Natural Illusion Pressed Eyeshadow 02 Stone</v>
      </c>
      <c r="C4213" t="s">
        <v>187</v>
      </c>
      <c r="D4213" t="s">
        <v>397</v>
      </c>
    </row>
    <row r="4214" spans="2:4" x14ac:dyDescent="0.25">
      <c r="B4214" t="str">
        <f>HYPERLINK("https://www.chemistwarehouse.com.au/buy/81760/Nude-by-Nature-Natural-Illusion-Pressed-Eyeshadow-03-Driftwood"," Nude by Nature Natural Illusion Pressed Eyeshadow 03 Driftwood")</f>
        <v xml:space="preserve"> Nude by Nature Natural Illusion Pressed Eyeshadow 03 Driftwood</v>
      </c>
      <c r="C4214" t="s">
        <v>187</v>
      </c>
      <c r="D4214" t="s">
        <v>397</v>
      </c>
    </row>
    <row r="4215" spans="2:4" x14ac:dyDescent="0.25">
      <c r="B4215" t="str">
        <f>HYPERLINK("https://www.chemistwarehouse.com.au/buy/81761/Nude-by-Nature-Natural-Illusion-Pressed-Eyeshadow-04-Sunrise"," Nude by Nature Natural Illusion Pressed Eyeshadow 04 Sunrise")</f>
        <v xml:space="preserve"> Nude by Nature Natural Illusion Pressed Eyeshadow 04 Sunrise</v>
      </c>
      <c r="C4215" t="s">
        <v>187</v>
      </c>
      <c r="D4215" t="s">
        <v>397</v>
      </c>
    </row>
    <row r="4216" spans="2:4" x14ac:dyDescent="0.25">
      <c r="B4216" t="str">
        <f>HYPERLINK("https://www.chemistwarehouse.com.au/buy/81762/Nude-by-Nature-Natural-Illusion-Pressed-Eyeshadow-05-Whitsunday"," Nude by Nature Natural Illusion Pressed Eyeshadow 05 Whitsunday")</f>
        <v xml:space="preserve"> Nude by Nature Natural Illusion Pressed Eyeshadow 05 Whitsunday</v>
      </c>
      <c r="C4216" t="s">
        <v>187</v>
      </c>
      <c r="D4216" t="s">
        <v>397</v>
      </c>
    </row>
    <row r="4217" spans="2:4" x14ac:dyDescent="0.25">
      <c r="B4217" t="str">
        <f>HYPERLINK("https://www.chemistwarehouse.com.au/buy/81763/Nude-by-Nature-Natural-Illusion-Pressed-Eyeshadow-06-Seashell"," Nude by Nature Natural Illusion Pressed Eyeshadow 06 Seashell")</f>
        <v xml:space="preserve"> Nude by Nature Natural Illusion Pressed Eyeshadow 06 Seashell</v>
      </c>
      <c r="C4217" t="s">
        <v>187</v>
      </c>
      <c r="D4217" t="s">
        <v>397</v>
      </c>
    </row>
    <row r="4218" spans="2:4" x14ac:dyDescent="0.25">
      <c r="B4218" t="str">
        <f>HYPERLINK("https://www.chemistwarehouse.com.au/buy/81764/Nude-by-Nature-Natural-Illusion-Pressed-Eyeshadow-07-Sunset"," Nude by Nature Natural Illusion Pressed Eyeshadow 07 Sunset")</f>
        <v xml:space="preserve"> Nude by Nature Natural Illusion Pressed Eyeshadow 07 Sunset</v>
      </c>
      <c r="C4218" t="s">
        <v>187</v>
      </c>
      <c r="D4218" t="s">
        <v>397</v>
      </c>
    </row>
    <row r="4219" spans="2:4" x14ac:dyDescent="0.25">
      <c r="B4219" t="str">
        <f>HYPERLINK("https://www.chemistwarehouse.com.au/buy/81765/Nude-by-Nature-Natural-Illusion-Pressed-Eyeshadow-08-Palm"," Nude by Nature Natural Illusion Pressed Eyeshadow 08 Palm")</f>
        <v xml:space="preserve"> Nude by Nature Natural Illusion Pressed Eyeshadow 08 Palm</v>
      </c>
      <c r="C4219" t="s">
        <v>187</v>
      </c>
      <c r="D4219" t="s">
        <v>397</v>
      </c>
    </row>
    <row r="4220" spans="2:4" x14ac:dyDescent="0.25">
      <c r="B4220" t="str">
        <f>HYPERLINK("https://www.chemistwarehouse.com.au/buy/81766/Nude-by-Nature-Natural-Illusion-Pressed-Eyeshadow-09-Dune"," Nude by Nature Natural Illusion Pressed Eyeshadow 09 Dune")</f>
        <v xml:space="preserve"> Nude by Nature Natural Illusion Pressed Eyeshadow 09 Dune</v>
      </c>
      <c r="C4220" t="s">
        <v>187</v>
      </c>
      <c r="D4220" t="s">
        <v>397</v>
      </c>
    </row>
    <row r="4221" spans="2:4" x14ac:dyDescent="0.25">
      <c r="B4221" t="str">
        <f>HYPERLINK("https://www.chemistwarehouse.com.au/buy/81767/Nude-by-Nature-Natural-Illusion-Pressed-Eyeshadow-10-Coral"," Nude by Nature Natural Illusion Pressed Eyeshadow 10 Coral")</f>
        <v xml:space="preserve"> Nude by Nature Natural Illusion Pressed Eyeshadow 10 Coral</v>
      </c>
      <c r="C4221" t="s">
        <v>187</v>
      </c>
      <c r="D4221" t="s">
        <v>397</v>
      </c>
    </row>
    <row r="4222" spans="2:4" x14ac:dyDescent="0.25">
      <c r="B4222" t="str">
        <f>HYPERLINK("https://www.chemistwarehouse.com.au/buy/81768/Nude-by-Nature-Natural-Illusion-Pressed-Eyeshadow-11-Pearl"," Nude by Nature Natural Illusion Pressed Eyeshadow 11 Pearl")</f>
        <v xml:space="preserve"> Nude by Nature Natural Illusion Pressed Eyeshadow 11 Pearl</v>
      </c>
      <c r="C4222" t="s">
        <v>187</v>
      </c>
      <c r="D4222" t="s">
        <v>397</v>
      </c>
    </row>
    <row r="4223" spans="2:4" x14ac:dyDescent="0.25">
      <c r="B4223" t="str">
        <f>HYPERLINK("https://www.chemistwarehouse.com.au/buy/81769/Nude-by-Nature-Natural-Illusion-Pressed-Eyeshadow-12-Quartz"," Nude by Nature Natural Illusion Pressed Eyeshadow 12 Quartz")</f>
        <v xml:space="preserve"> Nude by Nature Natural Illusion Pressed Eyeshadow 12 Quartz</v>
      </c>
      <c r="C4223" t="s">
        <v>187</v>
      </c>
      <c r="D4223" t="s">
        <v>397</v>
      </c>
    </row>
    <row r="4224" spans="2:4" x14ac:dyDescent="0.25">
      <c r="B4224" t="str">
        <f>HYPERLINK("https://www.chemistwarehouse.com.au/buy/81774/Nude-by-Nature-Natural-Wonders-Eye-Palette"," Nude by Nature Natural Wonders Eye Palette")</f>
        <v xml:space="preserve"> Nude by Nature Natural Wonders Eye Palette</v>
      </c>
      <c r="C4224" t="s">
        <v>491</v>
      </c>
      <c r="D4224" t="s">
        <v>356</v>
      </c>
    </row>
    <row r="4225" spans="1:4" x14ac:dyDescent="0.25">
      <c r="B4225" t="str">
        <f>HYPERLINK("https://www.chemistwarehouse.com.au/buy/81783/Nude-by-Nature-Shimmering-Sands-Loose-Eyeshadow-01-White-Sand"," Nude by Nature Shimmering Sands Loose Eyeshadow 01 White Sand")</f>
        <v xml:space="preserve"> Nude by Nature Shimmering Sands Loose Eyeshadow 01 White Sand</v>
      </c>
      <c r="C4225" t="s">
        <v>404</v>
      </c>
      <c r="D4225" t="s">
        <v>152</v>
      </c>
    </row>
    <row r="4226" spans="1:4" x14ac:dyDescent="0.25">
      <c r="B4226" t="str">
        <f>HYPERLINK("https://www.chemistwarehouse.com.au/buy/81784/Nude-by-Nature-Shimmering-Sands-Loose-Eyeshadow-02-Coral-Sand"," Nude by Nature Shimmering Sands Loose Eyeshadow 02 Coral Sand")</f>
        <v xml:space="preserve"> Nude by Nature Shimmering Sands Loose Eyeshadow 02 Coral Sand</v>
      </c>
      <c r="C4226" t="s">
        <v>404</v>
      </c>
      <c r="D4226" t="s">
        <v>152</v>
      </c>
    </row>
    <row r="4227" spans="1:4" x14ac:dyDescent="0.25">
      <c r="B4227" t="str">
        <f>HYPERLINK("https://www.chemistwarehouse.com.au/buy/81785/Nude-by-Nature-Shimmering-Sands-Loose-Eyeshadow-03-Rose-Sand"," Nude by Nature Shimmering Sands Loose Eyeshadow 03 Rose Sand")</f>
        <v xml:space="preserve"> Nude by Nature Shimmering Sands Loose Eyeshadow 03 Rose Sand</v>
      </c>
      <c r="C4227" t="s">
        <v>404</v>
      </c>
      <c r="D4227" t="s">
        <v>152</v>
      </c>
    </row>
    <row r="4228" spans="1:4" x14ac:dyDescent="0.25">
      <c r="A4228" t="s">
        <v>1179</v>
      </c>
    </row>
    <row r="4229" spans="1:4" x14ac:dyDescent="0.25">
      <c r="B4229" t="str">
        <f>HYPERLINK("https://www.chemistwarehouse.com.au/buy/81721/Nude-by-Nature-Angled-Blush-Brush-06"," Nude by Nature Angled Blush Brush 06")</f>
        <v xml:space="preserve"> Nude by Nature Angled Blush Brush 06</v>
      </c>
      <c r="C4229" t="s">
        <v>173</v>
      </c>
      <c r="D4229" t="s">
        <v>145</v>
      </c>
    </row>
    <row r="4230" spans="1:4" x14ac:dyDescent="0.25">
      <c r="B4230" t="str">
        <f>HYPERLINK("https://www.chemistwarehouse.com.au/buy/81722/Nude-by-Nature-Angled-Eyeliner-Brush-17"," Nude by Nature Angled Eyeliner Brush 17")</f>
        <v xml:space="preserve"> Nude by Nature Angled Eyeliner Brush 17</v>
      </c>
      <c r="C4230" t="s">
        <v>292</v>
      </c>
      <c r="D4230" t="s">
        <v>329</v>
      </c>
    </row>
    <row r="4231" spans="1:4" x14ac:dyDescent="0.25">
      <c r="B4231" t="str">
        <f>HYPERLINK("https://www.chemistwarehouse.com.au/buy/81723/Nude-by-Nature-Base-Shadow-Brush-14"," Nude by Nature Base Shadow Brush 14")</f>
        <v xml:space="preserve"> Nude by Nature Base Shadow Brush 14</v>
      </c>
      <c r="C4231" t="s">
        <v>292</v>
      </c>
      <c r="D4231" t="s">
        <v>329</v>
      </c>
    </row>
    <row r="4232" spans="1:4" x14ac:dyDescent="0.25">
      <c r="B4232" t="str">
        <f>HYPERLINK("https://www.chemistwarehouse.com.au/buy/81724/Nude-by-Nature-Blending-Brush-15"," Nude by Nature Blending Brush 15")</f>
        <v xml:space="preserve"> Nude by Nature Blending Brush 15</v>
      </c>
      <c r="C4232" t="s">
        <v>292</v>
      </c>
      <c r="D4232" t="s">
        <v>329</v>
      </c>
    </row>
    <row r="4233" spans="1:4" x14ac:dyDescent="0.25">
      <c r="B4233" t="str">
        <f>HYPERLINK("https://www.chemistwarehouse.com.au/buy/81725/Nude-by-Nature-Buffing-Brush-08"," Nude by Nature Buffing Brush 08")</f>
        <v xml:space="preserve"> Nude by Nature Buffing Brush 08</v>
      </c>
      <c r="C4233" t="s">
        <v>230</v>
      </c>
      <c r="D4233" t="s">
        <v>336</v>
      </c>
    </row>
    <row r="4234" spans="1:4" x14ac:dyDescent="0.25">
      <c r="B4234" t="str">
        <f>HYPERLINK("https://www.chemistwarehouse.com.au/buy/81729/Nude-by-Nature-Concealer-Brush-01"," Nude by Nature Concealer Brush 01")</f>
        <v xml:space="preserve"> Nude by Nature Concealer Brush 01</v>
      </c>
      <c r="C4234" t="s">
        <v>212</v>
      </c>
      <c r="D4234" t="s">
        <v>799</v>
      </c>
    </row>
    <row r="4235" spans="1:4" x14ac:dyDescent="0.25">
      <c r="B4235" t="str">
        <f>HYPERLINK("https://www.chemistwarehouse.com.au/buy/81730/Nude-by-Nature-Contour-Brush-04"," Nude by Nature Contour Brush 04")</f>
        <v xml:space="preserve"> Nude by Nature Contour Brush 04</v>
      </c>
      <c r="C4235" t="s">
        <v>173</v>
      </c>
      <c r="D4235" t="s">
        <v>145</v>
      </c>
    </row>
    <row r="4236" spans="1:4" x14ac:dyDescent="0.25">
      <c r="B4236" t="str">
        <f>HYPERLINK("https://www.chemistwarehouse.com.au/buy/81741/Nude-by-Nature-Essential-Collection-7-Piece-Brush"," Nude by Nature Essential Collection 7 Piece Brush")</f>
        <v xml:space="preserve"> Nude by Nature Essential Collection 7 Piece Brush</v>
      </c>
      <c r="C4236" t="s">
        <v>864</v>
      </c>
      <c r="D4236" t="s">
        <v>821</v>
      </c>
    </row>
    <row r="4237" spans="1:4" x14ac:dyDescent="0.25">
      <c r="B4237" t="str">
        <f>HYPERLINK("https://www.chemistwarehouse.com.au/buy/81742/Nude-by-Nature-Finishing-Brush-05"," Nude by Nature Finishing Brush 05")</f>
        <v xml:space="preserve"> Nude by Nature Finishing Brush 05</v>
      </c>
      <c r="C4237" t="s">
        <v>230</v>
      </c>
      <c r="D4237" t="s">
        <v>336</v>
      </c>
    </row>
    <row r="4238" spans="1:4" x14ac:dyDescent="0.25">
      <c r="B4238" t="str">
        <f>HYPERLINK("https://www.chemistwarehouse.com.au/buy/81744/Nude-by-Nature-Kabuki-Brush-07"," Nude by Nature Kabuki Brush 07")</f>
        <v xml:space="preserve"> Nude by Nature Kabuki Brush 07</v>
      </c>
      <c r="C4238" t="s">
        <v>173</v>
      </c>
      <c r="D4238" t="s">
        <v>145</v>
      </c>
    </row>
    <row r="4239" spans="1:4" x14ac:dyDescent="0.25">
      <c r="B4239" t="str">
        <f>HYPERLINK("https://www.chemistwarehouse.com.au/buy/81745/Nude-by-Nature-Liquid-Foundation-Brush-02"," Nude by Nature Liquid Foundation Brush 02")</f>
        <v xml:space="preserve"> Nude by Nature Liquid Foundation Brush 02</v>
      </c>
      <c r="C4239" t="s">
        <v>407</v>
      </c>
      <c r="D4239" t="s">
        <v>376</v>
      </c>
    </row>
    <row r="4240" spans="1:4" x14ac:dyDescent="0.25">
      <c r="B4240" t="str">
        <f>HYPERLINK("https://www.chemistwarehouse.com.au/buy/81754/Nude-by-Nature-Mineral-Brush-11"," Nude by Nature Mineral Brush 11")</f>
        <v xml:space="preserve"> Nude by Nature Mineral Brush 11</v>
      </c>
      <c r="C4240" t="s">
        <v>292</v>
      </c>
      <c r="D4240" t="s">
        <v>329</v>
      </c>
    </row>
    <row r="4241" spans="1:4" x14ac:dyDescent="0.25">
      <c r="B4241" t="str">
        <f>HYPERLINK("https://www.chemistwarehouse.com.au/buy/81775/Nude-by-Nature-Pointed-Precision-Brush-12"," Nude by Nature Pointed Precision Brush 12")</f>
        <v xml:space="preserve"> Nude by Nature Pointed Precision Brush 12</v>
      </c>
      <c r="C4241" t="s">
        <v>1</v>
      </c>
      <c r="D4241" t="s">
        <v>165</v>
      </c>
    </row>
    <row r="4242" spans="1:4" x14ac:dyDescent="0.25">
      <c r="B4242" t="str">
        <f>HYPERLINK("https://www.chemistwarehouse.com.au/buy/81786/Nude-by-Nature-Smudge-Brush-16"," Nude by Nature Smudge Brush 16")</f>
        <v xml:space="preserve"> Nude by Nature Smudge Brush 16</v>
      </c>
      <c r="C4242" t="s">
        <v>292</v>
      </c>
      <c r="D4242" t="s">
        <v>329</v>
      </c>
    </row>
    <row r="4243" spans="1:4" x14ac:dyDescent="0.25">
      <c r="B4243" t="str">
        <f>HYPERLINK("https://www.chemistwarehouse.com.au/buy/81791/Nude-by-Nature-Travel-Brush-10"," Nude by Nature Travel Brush 10")</f>
        <v xml:space="preserve"> Nude by Nature Travel Brush 10</v>
      </c>
      <c r="C4243" t="s">
        <v>407</v>
      </c>
      <c r="D4243" t="s">
        <v>376</v>
      </c>
    </row>
    <row r="4244" spans="1:4" x14ac:dyDescent="0.25">
      <c r="B4244" t="str">
        <f>HYPERLINK("https://www.chemistwarehouse.com.au/buy/81792/Nude-by-Nature-Ultimate-Perfecting-Brush-13"," Nude by Nature Ultimate Perfecting Brush 13")</f>
        <v xml:space="preserve"> Nude by Nature Ultimate Perfecting Brush 13</v>
      </c>
      <c r="C4244" t="s">
        <v>230</v>
      </c>
      <c r="D4244" t="s">
        <v>336</v>
      </c>
    </row>
    <row r="4245" spans="1:4" x14ac:dyDescent="0.25">
      <c r="B4245" t="str">
        <f>HYPERLINK("https://www.chemistwarehouse.com.au/buy/82869/Nude-by-Nature-BB-Brush-18"," Nude by Nature BB Brush 18")</f>
        <v xml:space="preserve"> Nude by Nature BB Brush 18</v>
      </c>
      <c r="C4245" t="s">
        <v>1</v>
      </c>
      <c r="D4245" t="s">
        <v>165</v>
      </c>
    </row>
    <row r="4246" spans="1:4" x14ac:dyDescent="0.25">
      <c r="A4246" t="s">
        <v>1180</v>
      </c>
    </row>
    <row r="4247" spans="1:4" x14ac:dyDescent="0.25">
      <c r="B4247" t="str">
        <f>HYPERLINK("https://www.chemistwarehouse.com.au/buy/81726/Nude-by-Nature-Complexion-Essentials-Light"," Nude by Nature Complexion Essentials Light")</f>
        <v xml:space="preserve"> Nude by Nature Complexion Essentials Light</v>
      </c>
      <c r="C4247" t="s">
        <v>1181</v>
      </c>
      <c r="D4247" t="s">
        <v>437</v>
      </c>
    </row>
    <row r="4248" spans="1:4" x14ac:dyDescent="0.25">
      <c r="B4248" t="str">
        <f>HYPERLINK("https://www.chemistwarehouse.com.au/buy/81727/Nude-by-Nature-Complexion-Essentials-Light-Medium"," Nude by Nature Complexion Essentials Light/Medium")</f>
        <v xml:space="preserve"> Nude by Nature Complexion Essentials Light/Medium</v>
      </c>
      <c r="C4248" t="s">
        <v>1181</v>
      </c>
      <c r="D4248" t="s">
        <v>437</v>
      </c>
    </row>
    <row r="4249" spans="1:4" x14ac:dyDescent="0.25">
      <c r="B4249" t="str">
        <f>HYPERLINK("https://www.chemistwarehouse.com.au/buy/81728/Nude-by-Nature-Complexion-Essentials-Medium"," Nude by Nature Complexion Essentials Medium")</f>
        <v xml:space="preserve"> Nude by Nature Complexion Essentials Medium</v>
      </c>
      <c r="C4249" t="s">
        <v>1181</v>
      </c>
      <c r="D4249" t="s">
        <v>437</v>
      </c>
    </row>
    <row r="4250" spans="1:4" x14ac:dyDescent="0.25">
      <c r="B4250" t="str">
        <f>HYPERLINK("https://www.chemistwarehouse.com.au/buy/81795/Nude-by-Nature-Xmas-2016-Pure-Shores-Medium-Deluxe-Contour-Kit"," Nude by Nature Xmas 2016 Pure Shores Medium Deluxe Contour Kit")</f>
        <v xml:space="preserve"> Nude by Nature Xmas 2016 Pure Shores Medium Deluxe Contour Kit</v>
      </c>
      <c r="C4250" t="s">
        <v>491</v>
      </c>
      <c r="D4250" t="s">
        <v>356</v>
      </c>
    </row>
    <row r="4251" spans="1:4" x14ac:dyDescent="0.25">
      <c r="B4251" t="str">
        <f>HYPERLINK("https://www.chemistwarehouse.com.au/buy/81796/Nude-by-Nature-Xmas-2016-Vivid-Mini-Illuminate-Kit"," Nude by Nature Xmas 2016 Vivid Mini Illuminate Kit")</f>
        <v xml:space="preserve"> Nude by Nature Xmas 2016 Vivid Mini Illuminate Kit</v>
      </c>
      <c r="C4251" t="s">
        <v>230</v>
      </c>
      <c r="D4251" t="s">
        <v>336</v>
      </c>
    </row>
    <row r="4252" spans="1:4" x14ac:dyDescent="0.25">
      <c r="A4252" t="s">
        <v>1182</v>
      </c>
    </row>
    <row r="4253" spans="1:4" x14ac:dyDescent="0.25">
      <c r="B4253" t="str">
        <f>HYPERLINK("https://www.chemistwarehouse.com.au/buy/54423/Scholl-Eulactol-Foot-Heel-Balm-Gold-120ml-Rough-Dry-or-Cracked-Skin"," Scholl Eulactol Foot Heel Balm Gold 120ml - Rough Dry or Cracked Skin")</f>
        <v xml:space="preserve"> Scholl Eulactol Foot Heel Balm Gold 120ml - Rough Dry or Cracked Skin</v>
      </c>
      <c r="C4253" t="s">
        <v>202</v>
      </c>
      <c r="D4253" t="s">
        <v>1183</v>
      </c>
    </row>
    <row r="4254" spans="1:4" x14ac:dyDescent="0.25">
      <c r="A4254" t="s">
        <v>1184</v>
      </c>
    </row>
    <row r="4255" spans="1:4" x14ac:dyDescent="0.25">
      <c r="B4255" t="str">
        <f>HYPERLINK("https://www.chemistwarehouse.com.au/buy/73621/Rosken-Skin-Repair-Intensive-Moisture-Hand-Cream-75ml"," Rosken Skin Repair Intensive Moisture Hand Cream 75ml")</f>
        <v xml:space="preserve"> Rosken Skin Repair Intensive Moisture Hand Cream 75ml</v>
      </c>
      <c r="C4255" t="s">
        <v>146</v>
      </c>
      <c r="D4255" t="s">
        <v>147</v>
      </c>
    </row>
    <row r="4256" spans="1:4" x14ac:dyDescent="0.25">
      <c r="B4256" t="str">
        <f>HYPERLINK("https://www.chemistwarehouse.com.au/buy/73618/Rosken-Skin-Repair-Intensive-Moisture-Body-Lotion-400ml"," Rosken Skin Repair Intensive Moisture Body Lotion 400ml")</f>
        <v xml:space="preserve"> Rosken Skin Repair Intensive Moisture Body Lotion 400ml</v>
      </c>
      <c r="C4256" t="s">
        <v>242</v>
      </c>
      <c r="D4256" t="s">
        <v>400</v>
      </c>
    </row>
    <row r="4257" spans="1:4" x14ac:dyDescent="0.25">
      <c r="A4257" t="s">
        <v>1185</v>
      </c>
    </row>
    <row r="4258" spans="1:4" x14ac:dyDescent="0.25">
      <c r="B4258" t="str">
        <f>HYPERLINK("https://www.chemistwarehouse.com.au/buy/62283/Skin-Doctors-Skinactive14-Night-50ml"," Skin Doctors Skinactive14 Night 50ml")</f>
        <v xml:space="preserve"> Skin Doctors Skinactive14 Night 50ml</v>
      </c>
      <c r="C4258" t="s">
        <v>273</v>
      </c>
      <c r="D4258" t="s">
        <v>157</v>
      </c>
    </row>
    <row r="4259" spans="1:4" x14ac:dyDescent="0.25">
      <c r="B4259" t="str">
        <f>HYPERLINK("https://www.chemistwarehouse.com.au/buy/80153/Skin-Doctors-Superfacelift-50ml"," Skin Doctors Superfacelift 50ml")</f>
        <v xml:space="preserve"> Skin Doctors Superfacelift 50ml</v>
      </c>
      <c r="C4259" t="s">
        <v>276</v>
      </c>
      <c r="D4259" t="s">
        <v>160</v>
      </c>
    </row>
    <row r="4260" spans="1:4" x14ac:dyDescent="0.25">
      <c r="B4260" t="str">
        <f>HYPERLINK("https://www.chemistwarehouse.com.au/buy/72754/Skin-Doctors-Beetox-50ml"," Skin Doctors Beetox 50ml")</f>
        <v xml:space="preserve"> Skin Doctors Beetox 50ml</v>
      </c>
      <c r="C4260" t="s">
        <v>1181</v>
      </c>
      <c r="D4260" t="s">
        <v>437</v>
      </c>
    </row>
    <row r="4261" spans="1:4" x14ac:dyDescent="0.25">
      <c r="B4261" t="str">
        <f>HYPERLINK("https://www.chemistwarehouse.com.au/buy/48198/Skin-Doctors-Gamma-Hydroxy-Skin-Resurfacing-Cream-50mL"," Skin Doctors Gamma Hydroxy Skin Resurfacing Cream 50mL")</f>
        <v xml:space="preserve"> Skin Doctors Gamma Hydroxy Skin Resurfacing Cream 50mL</v>
      </c>
      <c r="C4261" t="s">
        <v>321</v>
      </c>
      <c r="D4261" t="s">
        <v>159</v>
      </c>
    </row>
    <row r="4262" spans="1:4" x14ac:dyDescent="0.25">
      <c r="B4262" t="str">
        <f>HYPERLINK("https://www.chemistwarehouse.com.au/buy/49047/Skin-Doctors-Eye-Tuck-15mL"," Skin Doctors Eye Tuck 15mL")</f>
        <v xml:space="preserve"> Skin Doctors Eye Tuck 15mL</v>
      </c>
      <c r="C4262" t="s">
        <v>321</v>
      </c>
      <c r="D4262" t="s">
        <v>159</v>
      </c>
    </row>
    <row r="4263" spans="1:4" x14ac:dyDescent="0.25">
      <c r="B4263" t="str">
        <f>HYPERLINK("https://www.chemistwarehouse.com.au/buy/49318/Skin-Doctors-Gamma-Hydroxy-Forte-Skin-Resurfacing-Cream-50mL"," Skin Doctors Gamma Hydroxy Forte Skin Resurfacing Cream 50mL")</f>
        <v xml:space="preserve"> Skin Doctors Gamma Hydroxy Forte Skin Resurfacing Cream 50mL</v>
      </c>
      <c r="C4263" t="s">
        <v>1181</v>
      </c>
      <c r="D4263" t="s">
        <v>437</v>
      </c>
    </row>
    <row r="4264" spans="1:4" x14ac:dyDescent="0.25">
      <c r="B4264" t="str">
        <f>HYPERLINK("https://www.chemistwarehouse.com.au/buy/51710/Skin-Doctors-Supermoist-Face-50ml"," Skin Doctors Supermoist Face 50ml")</f>
        <v xml:space="preserve"> Skin Doctors Supermoist Face 50ml</v>
      </c>
      <c r="C4264" t="s">
        <v>321</v>
      </c>
      <c r="D4264" t="s">
        <v>157</v>
      </c>
    </row>
    <row r="4265" spans="1:4" x14ac:dyDescent="0.25">
      <c r="B4265" t="str">
        <f>HYPERLINK("https://www.chemistwarehouse.com.au/buy/53967/Instant-Facelift-30mL"," Instant Facelift 30mL")</f>
        <v xml:space="preserve"> Instant Facelift 30mL</v>
      </c>
      <c r="C4265" t="s">
        <v>321</v>
      </c>
      <c r="D4265" t="s">
        <v>157</v>
      </c>
    </row>
    <row r="4266" spans="1:4" x14ac:dyDescent="0.25">
      <c r="B4266" t="str">
        <f>HYPERLINK("https://www.chemistwarehouse.com.au/buy/62345/Skin-Doctors-Skinactive14-Day-50ml"," Skin Doctors Skinactive14 Day 50ml")</f>
        <v xml:space="preserve"> Skin Doctors Skinactive14 Day 50ml</v>
      </c>
      <c r="C4266" t="s">
        <v>273</v>
      </c>
      <c r="D4266" t="s">
        <v>157</v>
      </c>
    </row>
    <row r="4267" spans="1:4" x14ac:dyDescent="0.25">
      <c r="B4267" t="str">
        <f>HYPERLINK("https://www.chemistwarehouse.com.au/buy/70256/Skin-Doctors-Eye-Circle-15ml"," Skin Doctors Eye Circle 15ml ")</f>
        <v xml:space="preserve"> Skin Doctors Eye Circle 15ml </v>
      </c>
      <c r="C4267" t="s">
        <v>321</v>
      </c>
      <c r="D4267" t="s">
        <v>159</v>
      </c>
    </row>
    <row r="4268" spans="1:4" x14ac:dyDescent="0.25">
      <c r="B4268" t="str">
        <f>HYPERLINK("https://www.chemistwarehouse.com.au/buy/39701/In-Grow-Go-Solution-120mL"," In Grow Go Solution 120mL")</f>
        <v xml:space="preserve"> In Grow Go Solution 120mL</v>
      </c>
      <c r="C4268" t="s">
        <v>8</v>
      </c>
      <c r="D4268" t="s">
        <v>165</v>
      </c>
    </row>
    <row r="4269" spans="1:4" x14ac:dyDescent="0.25">
      <c r="B4269" t="str">
        <f>HYPERLINK("https://www.chemistwarehouse.com.au/buy/40903/Skin-Doctors-Instant-Eyelift-10ml"," Skin Doctors Instant Eyelift 10ml")</f>
        <v xml:space="preserve"> Skin Doctors Instant Eyelift 10ml</v>
      </c>
      <c r="C4269" t="s">
        <v>273</v>
      </c>
      <c r="D4269" t="s">
        <v>157</v>
      </c>
    </row>
    <row r="4270" spans="1:4" x14ac:dyDescent="0.25">
      <c r="B4270" t="str">
        <f>HYPERLINK("https://www.chemistwarehouse.com.au/buy/44669/Skin-Doctors-Relaxaderm-Injection-Free-Facial-Relaxer-50ml"," Skin Doctors Relaxaderm Injection Free Facial Relaxer 50ml")</f>
        <v xml:space="preserve"> Skin Doctors Relaxaderm Injection Free Facial Relaxer 50ml</v>
      </c>
      <c r="C4270" t="s">
        <v>321</v>
      </c>
      <c r="D4270" t="s">
        <v>159</v>
      </c>
    </row>
    <row r="4271" spans="1:4" x14ac:dyDescent="0.25">
      <c r="B4271" t="str">
        <f>HYPERLINK("https://www.chemistwarehouse.com.au/buy/79276/Skin-Doctors-pH-Balancing-Cleanser-100ml"," Skin Doctors pH Balancing Cleanser 100ml")</f>
        <v xml:space="preserve"> Skin Doctors pH Balancing Cleanser 100ml</v>
      </c>
      <c r="C4271" t="s">
        <v>173</v>
      </c>
      <c r="D4271" t="s">
        <v>145</v>
      </c>
    </row>
    <row r="4272" spans="1:4" x14ac:dyDescent="0.25">
      <c r="B4272" t="str">
        <f>HYPERLINK("https://www.chemistwarehouse.com.au/buy/80152/Skin-Doctors-White-and-Bright-50ml"," Skin Doctors White and Bright 50ml")</f>
        <v xml:space="preserve"> Skin Doctors White and Bright 50ml</v>
      </c>
      <c r="C4272" t="s">
        <v>511</v>
      </c>
      <c r="D4272" t="s">
        <v>154</v>
      </c>
    </row>
    <row r="4273" spans="1:4" x14ac:dyDescent="0.25">
      <c r="B4273" t="str">
        <f>HYPERLINK("https://www.chemistwarehouse.com.au/buy/82578/Skin-Doctors-Beetox-50ml-plus-pH-Balancing-Cleanser-100ml-Banded-Pack"," Skin Doctors Beetox 50ml plus pH Balancing Cleanser 100ml Banded Pack")</f>
        <v xml:space="preserve"> Skin Doctors Beetox 50ml plus pH Balancing Cleanser 100ml Banded Pack</v>
      </c>
      <c r="C4273" t="s">
        <v>258</v>
      </c>
      <c r="D4273" t="s">
        <v>341</v>
      </c>
    </row>
    <row r="4274" spans="1:4" x14ac:dyDescent="0.25">
      <c r="B4274" t="str">
        <f>HYPERLINK("https://www.chemistwarehouse.com.au/buy/82364/Skin-Doctors-Eye-Tuck-15ml-plus-PH-Balancing-Cleanser-100ml-Banded-Pack"," Skin Doctors Eye Tuck 15ml plus PH Balancing Cleanser 100ml Banded Pack")</f>
        <v xml:space="preserve"> Skin Doctors Eye Tuck 15ml plus PH Balancing Cleanser 100ml Banded Pack</v>
      </c>
      <c r="C4274" t="s">
        <v>469</v>
      </c>
      <c r="D4274" t="s">
        <v>658</v>
      </c>
    </row>
    <row r="4275" spans="1:4" x14ac:dyDescent="0.25">
      <c r="A4275" t="s">
        <v>1186</v>
      </c>
    </row>
    <row r="4276" spans="1:4" x14ac:dyDescent="0.25">
      <c r="B4276" t="str">
        <f>HYPERLINK("https://www.chemistwarehouse.com.au/buy/52714/Avene-Gentle-Milk-Cleanser-200ml"," Avene Gentle Milk Cleanser 200ml")</f>
        <v xml:space="preserve"> Avene Gentle Milk Cleanser 200ml</v>
      </c>
      <c r="C4276" t="s">
        <v>297</v>
      </c>
      <c r="D4276" t="s">
        <v>157</v>
      </c>
    </row>
    <row r="4277" spans="1:4" x14ac:dyDescent="0.25">
      <c r="B4277" t="str">
        <f>HYPERLINK("https://www.chemistwarehouse.com.au/buy/60692/Avene-Trixera-Emollient-Cleansing-Gel-400ml"," Avene Trixera Emollient Cleansing Gel 400ml")</f>
        <v xml:space="preserve"> Avene Trixera Emollient Cleansing Gel 400ml</v>
      </c>
      <c r="C4277" t="s">
        <v>166</v>
      </c>
      <c r="D4277" t="s">
        <v>155</v>
      </c>
    </row>
    <row r="4278" spans="1:4" x14ac:dyDescent="0.25">
      <c r="B4278" t="str">
        <f>HYPERLINK("https://www.chemistwarehouse.com.au/buy/67166/Avene-Antirougeurs-Fort-30ml"," Avene Antirougeurs Fort 30ml")</f>
        <v xml:space="preserve"> Avene Antirougeurs Fort 30ml</v>
      </c>
      <c r="C4278" t="s">
        <v>166</v>
      </c>
      <c r="D4278" t="s">
        <v>155</v>
      </c>
    </row>
    <row r="4279" spans="1:4" x14ac:dyDescent="0.25">
      <c r="B4279" t="str">
        <f>HYPERLINK("https://www.chemistwarehouse.com.au/buy/73572/Avene-Antirougeurs-Calm-Soothing-Repair-Mask-50ml"," Avene Antirougeurs Calm Soothing Repair Mask 50ml")</f>
        <v xml:space="preserve"> Avene Antirougeurs Calm Soothing Repair Mask 50ml</v>
      </c>
      <c r="C4279" t="s">
        <v>216</v>
      </c>
      <c r="D4279" t="s">
        <v>155</v>
      </c>
    </row>
    <row r="4280" spans="1:4" x14ac:dyDescent="0.25">
      <c r="B4280" t="str">
        <f>HYPERLINK("https://www.chemistwarehouse.com.au/buy/78559/Avene-Skin-Recovery-Cream-Rich-50ml"," Avene Skin Recovery Cream Rich 50ml")</f>
        <v xml:space="preserve"> Avene Skin Recovery Cream Rich 50ml</v>
      </c>
      <c r="C4280" t="s">
        <v>111</v>
      </c>
      <c r="D4280" t="s">
        <v>157</v>
      </c>
    </row>
    <row r="4281" spans="1:4" x14ac:dyDescent="0.25">
      <c r="B4281" t="str">
        <f>HYPERLINK("https://www.chemistwarehouse.com.au/buy/60693/Avene-Trixera-Emollient-Creme-200ml"," Avene Trixera Emollient Creme 200ml")</f>
        <v xml:space="preserve"> Avene Trixera Emollient Creme 200ml</v>
      </c>
      <c r="C4281" t="s">
        <v>6</v>
      </c>
      <c r="D4281" t="s">
        <v>157</v>
      </c>
    </row>
    <row r="4282" spans="1:4" x14ac:dyDescent="0.25">
      <c r="B4282" t="str">
        <f>HYPERLINK("https://www.chemistwarehouse.com.au/buy/40526/Avene-Eau-Thermale-Extremely-Gentle-Cleanser-200ml"," Avene Eau Thermale Extremely Gentle Cleanser 200ml")</f>
        <v xml:space="preserve"> Avene Eau Thermale Extremely Gentle Cleanser 200ml</v>
      </c>
      <c r="C4282" t="s">
        <v>123</v>
      </c>
      <c r="D4282" t="s">
        <v>165</v>
      </c>
    </row>
    <row r="4283" spans="1:4" x14ac:dyDescent="0.25">
      <c r="B4283" t="str">
        <f>HYPERLINK("https://www.chemistwarehouse.com.au/buy/40532/Avene-Eau-Thermale-Instant-Soothing-Moisture-Mask-50ml"," Avene Eau Thermale Instant Soothing Moisture Mask 50ml")</f>
        <v xml:space="preserve"> Avene Eau Thermale Instant Soothing Moisture Mask 50ml</v>
      </c>
      <c r="C4283" t="s">
        <v>243</v>
      </c>
      <c r="D4283" t="s">
        <v>155</v>
      </c>
    </row>
    <row r="4284" spans="1:4" x14ac:dyDescent="0.25">
      <c r="B4284" t="str">
        <f>HYPERLINK("https://www.chemistwarehouse.com.au/buy/40533/Avene-Eau-Thermale-Rich-Compensating-Cream-50ml"," Avene Eau Thermale Rich Compensating Cream 50ml")</f>
        <v xml:space="preserve"> Avene Eau Thermale Rich Compensating Cream 50ml</v>
      </c>
      <c r="C4284" t="s">
        <v>333</v>
      </c>
      <c r="D4284" t="s">
        <v>160</v>
      </c>
    </row>
    <row r="4285" spans="1:4" x14ac:dyDescent="0.25">
      <c r="B4285" t="str">
        <f>HYPERLINK("https://www.chemistwarehouse.com.au/buy/51557/Avene-Eau-Thermale-Spring-Water-150ml"," Avene Eau Thermale Spring Water 150ml")</f>
        <v xml:space="preserve"> Avene Eau Thermale Spring Water 150ml</v>
      </c>
      <c r="C4285" t="s">
        <v>407</v>
      </c>
      <c r="D4285" t="s">
        <v>376</v>
      </c>
    </row>
    <row r="4286" spans="1:4" x14ac:dyDescent="0.25">
      <c r="B4286" t="str">
        <f>HYPERLINK("https://www.chemistwarehouse.com.au/buy/40538/Avene-Eau-Thermale-Soothing-Eye-Contour-Cream-10ml"," Avene Eau Thermale Soothing Eye Contour Cream 10ml")</f>
        <v xml:space="preserve"> Avene Eau Thermale Soothing Eye Contour Cream 10ml</v>
      </c>
      <c r="C4286" t="s">
        <v>297</v>
      </c>
      <c r="D4286" t="s">
        <v>157</v>
      </c>
    </row>
    <row r="4287" spans="1:4" x14ac:dyDescent="0.25">
      <c r="B4287" t="str">
        <f>HYPERLINK("https://www.chemistwarehouse.com.au/buy/44317/Avene-Eau-Thermale-Spring-Water-50ml"," Avene Eau Thermale Spring Water 50ml")</f>
        <v xml:space="preserve"> Avene Eau Thermale Spring Water 50ml</v>
      </c>
      <c r="C4287" t="s">
        <v>98</v>
      </c>
      <c r="D4287" t="s">
        <v>150</v>
      </c>
    </row>
    <row r="4288" spans="1:4" x14ac:dyDescent="0.25">
      <c r="B4288" t="str">
        <f>HYPERLINK("https://www.chemistwarehouse.com.au/buy/44319/Avene-Eau-Thermale-Lip-Balm-with-Cold-Cream-4-5g"," Avene Eau Thermale Lip Balm with Cold Cream 4.5g")</f>
        <v xml:space="preserve"> Avene Eau Thermale Lip Balm with Cold Cream 4.5g</v>
      </c>
      <c r="C4288" t="s">
        <v>1</v>
      </c>
      <c r="D4288" t="s">
        <v>145</v>
      </c>
    </row>
    <row r="4289" spans="1:4" x14ac:dyDescent="0.25">
      <c r="B4289" t="str">
        <f>HYPERLINK("https://www.chemistwarehouse.com.au/buy/46965/Avene-Gentle-Protective-Toner-200mL"," Avene Gentle Protective Toner 200mL")</f>
        <v xml:space="preserve"> Avene Gentle Protective Toner 200mL</v>
      </c>
      <c r="C4289" t="s">
        <v>297</v>
      </c>
      <c r="D4289" t="s">
        <v>157</v>
      </c>
    </row>
    <row r="4290" spans="1:4" x14ac:dyDescent="0.25">
      <c r="B4290" t="str">
        <f>HYPERLINK("https://www.chemistwarehouse.com.au/buy/49376/Avene-Micellaire-Lotion-200ml"," Avene Micellaire Lotion 200ml")</f>
        <v xml:space="preserve"> Avene Micellaire Lotion 200ml</v>
      </c>
      <c r="C4290" t="s">
        <v>1</v>
      </c>
      <c r="D4290" t="s">
        <v>159</v>
      </c>
    </row>
    <row r="4291" spans="1:4" x14ac:dyDescent="0.25">
      <c r="B4291" t="str">
        <f>HYPERLINK("https://www.chemistwarehouse.com.au/buy/40527/Avene-Eau-Thermale-Gentle-Purifying-Scrub-50ml"," Avene Eau Thermale Gentle Purifying Scrub 50ml")</f>
        <v xml:space="preserve"> Avene Eau Thermale Gentle Purifying Scrub 50ml</v>
      </c>
      <c r="C4291" t="s">
        <v>243</v>
      </c>
      <c r="D4291" t="s">
        <v>155</v>
      </c>
    </row>
    <row r="4292" spans="1:4" x14ac:dyDescent="0.25">
      <c r="B4292" t="str">
        <f>HYPERLINK("https://www.chemistwarehouse.com.au/buy/40530/Avene-Eau-Thermale-Hydrance-Optimale-Light-Hydrating-Cream-40ml"," Avene Eau Thermale Hydrance Optimale Light Hydrating Cream 40ml")</f>
        <v xml:space="preserve"> Avene Eau Thermale Hydrance Optimale Light Hydrating Cream 40ml</v>
      </c>
      <c r="C4292" t="s">
        <v>1187</v>
      </c>
      <c r="D4292" t="s">
        <v>93</v>
      </c>
    </row>
    <row r="4293" spans="1:4" x14ac:dyDescent="0.25">
      <c r="B4293" t="str">
        <f>HYPERLINK("https://www.chemistwarehouse.com.au/buy/40531/Avene-Eau-Thermale-Hydrance-Optimale-Rich-Hydrating-Cream-40ml"," Avene Eau Thermale Hydrance Optimale Rich Hydrating Cream 40ml")</f>
        <v xml:space="preserve"> Avene Eau Thermale Hydrance Optimale Rich Hydrating Cream 40ml</v>
      </c>
      <c r="C4293" t="s">
        <v>1187</v>
      </c>
      <c r="D4293" t="s">
        <v>93</v>
      </c>
    </row>
    <row r="4294" spans="1:4" x14ac:dyDescent="0.25">
      <c r="B4294" t="str">
        <f>HYPERLINK("https://www.chemistwarehouse.com.au/buy/63837/Avene-Cicalfate-Cream-40ml"," Avene Cicalfate Cream 40ml")</f>
        <v xml:space="preserve"> Avene Cicalfate Cream 40ml</v>
      </c>
      <c r="C4294" t="s">
        <v>237</v>
      </c>
      <c r="D4294" t="s">
        <v>397</v>
      </c>
    </row>
    <row r="4295" spans="1:4" x14ac:dyDescent="0.25">
      <c r="B4295" t="str">
        <f>HYPERLINK("https://www.chemistwarehouse.com.au/buy/52736/Avene-Gentle-Eye-Makeup-Remover-125mL"," Avene Gentle Eye Makeup Remover 125mL")</f>
        <v xml:space="preserve"> Avene Gentle Eye Makeup Remover 125mL</v>
      </c>
      <c r="C4295" t="s">
        <v>153</v>
      </c>
      <c r="D4295" t="s">
        <v>165</v>
      </c>
    </row>
    <row r="4296" spans="1:4" x14ac:dyDescent="0.25">
      <c r="B4296" t="str">
        <f>HYPERLINK("https://www.chemistwarehouse.com.au/buy/68681/Avene-Antirougeurs-Cleansing-Milk-300ml"," Avene Antirougeurs Cleansing Milk 300ml")</f>
        <v xml:space="preserve"> Avene Antirougeurs Cleansing Milk 300ml</v>
      </c>
      <c r="C4296" t="s">
        <v>667</v>
      </c>
      <c r="D4296" t="s">
        <v>157</v>
      </c>
    </row>
    <row r="4297" spans="1:4" x14ac:dyDescent="0.25">
      <c r="B4297" t="str">
        <f>HYPERLINK("https://www.chemistwarehouse.com.au/buy/68826/Avene-Micellaire-Lotion-400ml"," Avene Micellaire Lotion 400ml")</f>
        <v xml:space="preserve"> Avene Micellaire Lotion 400ml</v>
      </c>
      <c r="C4297" t="s">
        <v>6</v>
      </c>
      <c r="D4297" t="s">
        <v>159</v>
      </c>
    </row>
    <row r="4298" spans="1:4" x14ac:dyDescent="0.25">
      <c r="B4298" t="str">
        <f>HYPERLINK("https://www.chemistwarehouse.com.au/buy/71113/Avene-Eau-Thermale-Spring-Water-300ml"," Avene Eau Thermale Spring Water 300ml")</f>
        <v xml:space="preserve"> Avene Eau Thermale Spring Water 300ml</v>
      </c>
      <c r="C4298" t="s">
        <v>153</v>
      </c>
      <c r="D4298" t="s">
        <v>145</v>
      </c>
    </row>
    <row r="4299" spans="1:4" x14ac:dyDescent="0.25">
      <c r="B4299" t="str">
        <f>HYPERLINK("https://www.chemistwarehouse.com.au/buy/71897/Avene-Hand-Cream-With-Cold-Cream-50ml"," Avene Hand Cream With Cold Cream 50ml")</f>
        <v xml:space="preserve"> Avene Hand Cream With Cold Cream 50ml</v>
      </c>
      <c r="C4299" t="s">
        <v>173</v>
      </c>
      <c r="D4299" t="s">
        <v>145</v>
      </c>
    </row>
    <row r="4300" spans="1:4" x14ac:dyDescent="0.25">
      <c r="A4300" t="s">
        <v>1188</v>
      </c>
    </row>
    <row r="4301" spans="1:4" x14ac:dyDescent="0.25">
      <c r="B4301" t="str">
        <f>HYPERLINK("https://www.chemistwarehouse.com.au/buy/79179/Skin-Republic-Two-Step-Hyaluronic-Acid-and-Collagen-Face-Mask"," Skin Republic Two Step Hyaluronic Acid and Collagen Face Mask")</f>
        <v xml:space="preserve"> Skin Republic Two Step Hyaluronic Acid and Collagen Face Mask</v>
      </c>
      <c r="C4301" t="s">
        <v>92</v>
      </c>
      <c r="D4301" t="s">
        <v>115</v>
      </c>
    </row>
    <row r="4302" spans="1:4" x14ac:dyDescent="0.25">
      <c r="B4302" t="str">
        <f>HYPERLINK("https://www.chemistwarehouse.com.au/buy/79180/Skin-Republic-Collagen-Hydrogel-Face-Mask"," Skin Republic Collagen Hydrogel Face Mask")</f>
        <v xml:space="preserve"> Skin Republic Collagen Hydrogel Face Mask</v>
      </c>
      <c r="C4302" t="s">
        <v>32</v>
      </c>
      <c r="D4302" t="s">
        <v>104</v>
      </c>
    </row>
    <row r="4303" spans="1:4" x14ac:dyDescent="0.25">
      <c r="B4303" t="str">
        <f>HYPERLINK("https://www.chemistwarehouse.com.au/buy/74762/Skin-Republic-CoQ10-Caviar-Face-Mask"," Skin Republic CoQ10 + Caviar Face Mask")</f>
        <v xml:space="preserve"> Skin Republic CoQ10 + Caviar Face Mask</v>
      </c>
      <c r="C4303" t="s">
        <v>326</v>
      </c>
      <c r="D4303" t="s">
        <v>121</v>
      </c>
    </row>
    <row r="4304" spans="1:4" x14ac:dyDescent="0.25">
      <c r="B4304" t="str">
        <f>HYPERLINK("https://www.chemistwarehouse.com.au/buy/74763/Skin-Republic-Foot-Peel"," Skin Republic Foot Peel")</f>
        <v xml:space="preserve"> Skin Republic Foot Peel</v>
      </c>
      <c r="C4304" t="s">
        <v>98</v>
      </c>
      <c r="D4304" t="s">
        <v>162</v>
      </c>
    </row>
    <row r="4305" spans="1:4" x14ac:dyDescent="0.25">
      <c r="B4305" t="str">
        <f>HYPERLINK("https://www.chemistwarehouse.com.au/buy/74761/Skin-Republic-Collagen-Under-Eye-Patches"," Skin Republic Collagen Under Eye Patches")</f>
        <v xml:space="preserve"> Skin Republic Collagen Under Eye Patches</v>
      </c>
      <c r="C4305" t="s">
        <v>92</v>
      </c>
      <c r="D4305" t="s">
        <v>115</v>
      </c>
    </row>
    <row r="4306" spans="1:4" x14ac:dyDescent="0.25">
      <c r="B4306" t="str">
        <f>HYPERLINK("https://www.chemistwarehouse.com.au/buy/74769/Skin-Republic-Spots-and-Blemish-Face-Mask"," Skin Republic Spots and Blemish Face Mask")</f>
        <v xml:space="preserve"> Skin Republic Spots and Blemish Face Mask</v>
      </c>
      <c r="C4306" t="s">
        <v>326</v>
      </c>
      <c r="D4306" t="s">
        <v>121</v>
      </c>
    </row>
    <row r="4307" spans="1:4" x14ac:dyDescent="0.25">
      <c r="B4307" t="str">
        <f>HYPERLINK("https://www.chemistwarehouse.com.au/buy/74770/Skin-Republic-Stem-Cell-Plant-Protein-Face-Mask"," Skin Republic Stem Cell Plant Protein Face Mask")</f>
        <v xml:space="preserve"> Skin Republic Stem Cell Plant Protein Face Mask</v>
      </c>
      <c r="C4307" t="s">
        <v>326</v>
      </c>
      <c r="D4307" t="s">
        <v>121</v>
      </c>
    </row>
    <row r="4308" spans="1:4" x14ac:dyDescent="0.25">
      <c r="B4308" t="str">
        <f>HYPERLINK("https://www.chemistwarehouse.com.au/buy/74768/Skin-Republic-Platinum-Lift-Face-Mask"," Skin Republic Platinum Lift Face Mask")</f>
        <v xml:space="preserve"> Skin Republic Platinum Lift Face Mask</v>
      </c>
      <c r="C4308" t="s">
        <v>326</v>
      </c>
      <c r="D4308" t="s">
        <v>121</v>
      </c>
    </row>
    <row r="4309" spans="1:4" x14ac:dyDescent="0.25">
      <c r="B4309" t="str">
        <f>HYPERLINK("https://www.chemistwarehouse.com.au/buy/74760/Skin-Republic-Collagen-Infusion-Face-Mask"," Skin Republic Collagen Infusion Face Mask")</f>
        <v xml:space="preserve"> Skin Republic Collagen Infusion Face Mask</v>
      </c>
      <c r="C4309" t="s">
        <v>326</v>
      </c>
      <c r="D4309" t="s">
        <v>121</v>
      </c>
    </row>
    <row r="4310" spans="1:4" x14ac:dyDescent="0.25">
      <c r="B4310" t="str">
        <f>HYPERLINK("https://www.chemistwarehouse.com.au/buy/74759/Skin-Republic-Brightening-Vitamin-C-Face-Mask"," Skin Republic Brightening Vitamin C Face Mask")</f>
        <v xml:space="preserve"> Skin Republic Brightening Vitamin C Face Mask</v>
      </c>
      <c r="C4310" t="s">
        <v>326</v>
      </c>
      <c r="D4310" t="s">
        <v>121</v>
      </c>
    </row>
    <row r="4311" spans="1:4" x14ac:dyDescent="0.25">
      <c r="B4311" t="str">
        <f>HYPERLINK("https://www.chemistwarehouse.com.au/buy/74764/Skin-Republic-Foot-Repair"," Skin Republic Foot Repair")</f>
        <v xml:space="preserve"> Skin Republic Foot Repair</v>
      </c>
      <c r="C4311" t="s">
        <v>326</v>
      </c>
      <c r="D4311" t="s">
        <v>121</v>
      </c>
    </row>
    <row r="4312" spans="1:4" x14ac:dyDescent="0.25">
      <c r="B4312" t="str">
        <f>HYPERLINK("https://www.chemistwarehouse.com.au/buy/74766/Skin-Republic-Hand-Repair"," Skin Republic Hand Repair")</f>
        <v xml:space="preserve"> Skin Republic Hand Repair</v>
      </c>
      <c r="C4312" t="s">
        <v>326</v>
      </c>
      <c r="D4312" t="s">
        <v>121</v>
      </c>
    </row>
    <row r="4313" spans="1:4" x14ac:dyDescent="0.25">
      <c r="B4313" t="str">
        <f>HYPERLINK("https://www.chemistwarehouse.com.au/buy/81824/Skin-Republic-Brightening-Eye-Mask"," Skin Republic Brightening Eye Mask")</f>
        <v xml:space="preserve"> Skin Republic Brightening Eye Mask</v>
      </c>
      <c r="C4313" t="s">
        <v>92</v>
      </c>
      <c r="D4313" t="s">
        <v>115</v>
      </c>
    </row>
    <row r="4314" spans="1:4" x14ac:dyDescent="0.25">
      <c r="B4314" t="str">
        <f>HYPERLINK("https://www.chemistwarehouse.com.au/buy/82563/Skin-Republic-Bubble-Purifying-Charcoal-Face-Mask"," Skin Republic Bubble Purifying Charcoal Face Mask")</f>
        <v xml:space="preserve"> Skin Republic Bubble Purifying Charcoal Face Mask</v>
      </c>
      <c r="C4314" t="s">
        <v>556</v>
      </c>
      <c r="D4314" t="s">
        <v>115</v>
      </c>
    </row>
    <row r="4315" spans="1:4" x14ac:dyDescent="0.25">
      <c r="A4315" t="s">
        <v>1189</v>
      </c>
    </row>
    <row r="4316" spans="1:4" x14ac:dyDescent="0.25">
      <c r="B4316" t="str">
        <f>HYPERLINK("https://www.chemistwarehouse.com.au/buy/31731/Natio-Skin-Toner-Rosewater-amp-Chamomile-250mL"," Natio Skin Toner Rosewater &amp; Chamomile 250mL")</f>
        <v xml:space="preserve"> Natio Skin Toner Rosewater &amp; Chamomile 250mL</v>
      </c>
      <c r="C4316" t="s">
        <v>290</v>
      </c>
      <c r="D4316" t="s">
        <v>799</v>
      </c>
    </row>
    <row r="4317" spans="1:4" x14ac:dyDescent="0.25">
      <c r="B4317" t="str">
        <f>HYPERLINK("https://www.chemistwarehouse.com.au/buy/54238/Natio-Daily-Protective-Face-Moisturiser-100g"," Natio Daily Protective Face Moisturiser 100g")</f>
        <v xml:space="preserve"> Natio Daily Protective Face Moisturiser 100g</v>
      </c>
      <c r="C4317" t="s">
        <v>292</v>
      </c>
      <c r="D4317" t="s">
        <v>329</v>
      </c>
    </row>
    <row r="4318" spans="1:4" x14ac:dyDescent="0.25">
      <c r="B4318" t="str">
        <f>HYPERLINK("https://www.chemistwarehouse.com.au/buy/78671/Natio-Mens-Face-Moisturiser-SPF-30-100g"," Natio Mens Face Moisturiser SPF 30+ 100g")</f>
        <v xml:space="preserve"> Natio Mens Face Moisturiser SPF 30+ 100g</v>
      </c>
      <c r="C4318" t="s">
        <v>212</v>
      </c>
      <c r="D4318" t="s">
        <v>799</v>
      </c>
    </row>
    <row r="4319" spans="1:4" x14ac:dyDescent="0.25">
      <c r="B4319" t="str">
        <f>HYPERLINK("https://www.chemistwarehouse.com.au/buy/80571/Natio-for-Men-Antiperspirant-Roll-On-Deodorant-100ml"," Natio for Men Antiperspirant Roll On Deodorant 100ml")</f>
        <v xml:space="preserve"> Natio for Men Antiperspirant Roll On Deodorant 100ml</v>
      </c>
      <c r="C4319" t="s">
        <v>240</v>
      </c>
      <c r="D4319" t="s">
        <v>400</v>
      </c>
    </row>
    <row r="4320" spans="1:4" x14ac:dyDescent="0.25">
      <c r="B4320" t="str">
        <f>HYPERLINK("https://www.chemistwarehouse.com.au/buy/80573/Natio-for-Men-Oil-Free-Face-Moisturiser-100g"," Natio for Men Oil Free Face Moisturiser 100g")</f>
        <v xml:space="preserve"> Natio for Men Oil Free Face Moisturiser 100g</v>
      </c>
      <c r="C4320" t="s">
        <v>290</v>
      </c>
      <c r="D4320" t="s">
        <v>799</v>
      </c>
    </row>
    <row r="4321" spans="2:4" x14ac:dyDescent="0.25">
      <c r="B4321" t="str">
        <f>HYPERLINK("https://www.chemistwarehouse.com.au/buy/56467/Natio-Ageless-Brightening-Eye-Cream-20g"," Natio Ageless Brightening Eye Cream 20g")</f>
        <v xml:space="preserve"> Natio Ageless Brightening Eye Cream 20g</v>
      </c>
      <c r="C4321" t="s">
        <v>58</v>
      </c>
      <c r="D4321" t="s">
        <v>397</v>
      </c>
    </row>
    <row r="4322" spans="2:4" x14ac:dyDescent="0.25">
      <c r="B4322" t="str">
        <f>HYPERLINK("https://www.chemistwarehouse.com.au/buy/66110/Natio-Ageless-Daily-Moisture-Protect-SPF30-75g"," Natio Ageless Daily Moisture Protect SPF30 75g")</f>
        <v xml:space="preserve"> Natio Ageless Daily Moisture Protect SPF30 75g</v>
      </c>
      <c r="C4322" t="s">
        <v>58</v>
      </c>
      <c r="D4322" t="s">
        <v>397</v>
      </c>
    </row>
    <row r="4323" spans="2:4" x14ac:dyDescent="0.25">
      <c r="B4323" t="str">
        <f>HYPERLINK("https://www.chemistwarehouse.com.au/buy/36097/Natio-Moisturising-Cream-Vitamin-E-100g"," Natio Moisturising Cream Vitamin E 100g")</f>
        <v xml:space="preserve"> Natio Moisturising Cream Vitamin E 100g</v>
      </c>
      <c r="C4323" t="s">
        <v>228</v>
      </c>
      <c r="D4323" t="s">
        <v>329</v>
      </c>
    </row>
    <row r="4324" spans="2:4" x14ac:dyDescent="0.25">
      <c r="B4324" t="str">
        <f>HYPERLINK("https://www.chemistwarehouse.com.au/buy/50351/Natio-Men-39-s-Smooth-Shave-Gel-150g"," Natio Men's Smooth Shave Gel 150g")</f>
        <v xml:space="preserve"> Natio Men's Smooth Shave Gel 150g</v>
      </c>
      <c r="C4324" t="s">
        <v>240</v>
      </c>
      <c r="D4324" t="s">
        <v>400</v>
      </c>
    </row>
    <row r="4325" spans="2:4" x14ac:dyDescent="0.25">
      <c r="B4325" t="str">
        <f>HYPERLINK("https://www.chemistwarehouse.com.au/buy/54232/Natio-Men-39-s-Daily-Face-Wash-150g"," Natio Men's Daily Face Wash 150g")</f>
        <v xml:space="preserve"> Natio Men's Daily Face Wash 150g</v>
      </c>
      <c r="C4325" t="s">
        <v>45</v>
      </c>
      <c r="D4325" t="s">
        <v>150</v>
      </c>
    </row>
    <row r="4326" spans="2:4" x14ac:dyDescent="0.25">
      <c r="B4326" t="str">
        <f>HYPERLINK("https://www.chemistwarehouse.com.au/buy/80576/Natio-Wellness-Body-Lotion-240ml"," Natio Wellness Body Lotion 240ml")</f>
        <v xml:space="preserve"> Natio Wellness Body Lotion 240ml</v>
      </c>
      <c r="C4326" t="s">
        <v>290</v>
      </c>
      <c r="D4326" t="s">
        <v>799</v>
      </c>
    </row>
    <row r="4327" spans="2:4" x14ac:dyDescent="0.25">
      <c r="B4327" t="str">
        <f>HYPERLINK("https://www.chemistwarehouse.com.au/buy/80577/Natio-Wellness-Body-Scrub"," Natio Wellness Body Scrub")</f>
        <v xml:space="preserve"> Natio Wellness Body Scrub</v>
      </c>
      <c r="C4327" t="s">
        <v>58</v>
      </c>
      <c r="D4327" t="s">
        <v>397</v>
      </c>
    </row>
    <row r="4328" spans="2:4" x14ac:dyDescent="0.25">
      <c r="B4328" t="str">
        <f>HYPERLINK("https://www.chemistwarehouse.com.au/buy/80578/Natio-Wellness-Exfoliating-Body-Bar-130g"," Natio Wellness Exfoliating Body Bar 130g")</f>
        <v xml:space="preserve"> Natio Wellness Exfoliating Body Bar 130g</v>
      </c>
      <c r="C4328" t="s">
        <v>326</v>
      </c>
      <c r="D4328" t="s">
        <v>400</v>
      </c>
    </row>
    <row r="4329" spans="2:4" x14ac:dyDescent="0.25">
      <c r="B4329" t="str">
        <f>HYPERLINK("https://www.chemistwarehouse.com.au/buy/80579/Natio-Wellness-Hand-Cream-SPF-15-100ml"," Natio Wellness Hand Cream SPF 15+ 100ml")</f>
        <v xml:space="preserve"> Natio Wellness Hand Cream SPF 15+ 100ml</v>
      </c>
      <c r="C4329" t="s">
        <v>240</v>
      </c>
      <c r="D4329" t="s">
        <v>400</v>
      </c>
    </row>
    <row r="4330" spans="2:4" x14ac:dyDescent="0.25">
      <c r="B4330" t="str">
        <f>HYPERLINK("https://www.chemistwarehouse.com.au/buy/80580/Natio-Wellness-Hand-Wash-240ml"," Natio Wellness Hand Wash 240ml")</f>
        <v xml:space="preserve"> Natio Wellness Hand Wash 240ml</v>
      </c>
      <c r="C4330" t="s">
        <v>92</v>
      </c>
      <c r="D4330" t="s">
        <v>150</v>
      </c>
    </row>
    <row r="4331" spans="2:4" x14ac:dyDescent="0.25">
      <c r="B4331" t="str">
        <f>HYPERLINK("https://www.chemistwarehouse.com.au/buy/80581/Natio-Wellness-Intensive-Hand-Cream-240ml"," Natio Wellness Intensive Hand Cream 240ml")</f>
        <v xml:space="preserve"> Natio Wellness Intensive Hand Cream 240ml</v>
      </c>
      <c r="C4331" t="s">
        <v>32</v>
      </c>
      <c r="D4331" t="s">
        <v>150</v>
      </c>
    </row>
    <row r="4332" spans="2:4" x14ac:dyDescent="0.25">
      <c r="B4332" t="str">
        <f>HYPERLINK("https://www.chemistwarehouse.com.au/buy/31729/Natio-Eye-Makeup-Remover-75mL"," Natio Eye Makeup Remover 75mL")</f>
        <v xml:space="preserve"> Natio Eye Makeup Remover 75mL</v>
      </c>
      <c r="C4332" t="s">
        <v>32</v>
      </c>
      <c r="D4332" t="s">
        <v>150</v>
      </c>
    </row>
    <row r="4333" spans="2:4" x14ac:dyDescent="0.25">
      <c r="B4333" t="str">
        <f>HYPERLINK("https://www.chemistwarehouse.com.au/buy/54233/Natio-Men-39-s-Purifying-Facial-Scrub-100g"," Natio Men's Purifying Facial Scrub 100g")</f>
        <v xml:space="preserve"> Natio Men's Purifying Facial Scrub 100g</v>
      </c>
      <c r="C4333" t="s">
        <v>98</v>
      </c>
      <c r="D4333" t="s">
        <v>150</v>
      </c>
    </row>
    <row r="4334" spans="2:4" x14ac:dyDescent="0.25">
      <c r="B4334" t="str">
        <f>HYPERLINK("https://www.chemistwarehouse.com.au/buy/54234/Natio-Men-39-s-Firming-Face-Moisturiser-100g"," Natio Men's Firming Face Moisturiser 100g")</f>
        <v xml:space="preserve"> Natio Men's Firming Face Moisturiser 100g</v>
      </c>
      <c r="C4334" t="s">
        <v>212</v>
      </c>
      <c r="D4334" t="s">
        <v>799</v>
      </c>
    </row>
    <row r="4335" spans="2:4" x14ac:dyDescent="0.25">
      <c r="B4335" t="str">
        <f>HYPERLINK("https://www.chemistwarehouse.com.au/buy/54193/Natio-Antioxidant-Hand-and-Nail-Cream-100g-Online-Only"," Natio Antioxidant Hand and Nail Cream 100g Online Only")</f>
        <v xml:space="preserve"> Natio Antioxidant Hand and Nail Cream 100g Online Only</v>
      </c>
      <c r="C4335" t="s">
        <v>240</v>
      </c>
      <c r="D4335" t="s">
        <v>400</v>
      </c>
    </row>
    <row r="4336" spans="2:4" x14ac:dyDescent="0.25">
      <c r="B4336" t="str">
        <f>HYPERLINK("https://www.chemistwarehouse.com.au/buy/48779/Natio-Face-Mask-Purifier-100g"," Natio Face Mask Purifier 100g")</f>
        <v xml:space="preserve"> Natio Face Mask Purifier 100g</v>
      </c>
      <c r="C4336" t="s">
        <v>228</v>
      </c>
      <c r="D4336" t="s">
        <v>329</v>
      </c>
    </row>
    <row r="4337" spans="1:4" x14ac:dyDescent="0.25">
      <c r="B4337" t="str">
        <f>HYPERLINK("https://www.chemistwarehouse.com.au/buy/31735/Natio-Intensive-Moisturising-Night-Cream-100g"," Natio Intensive Moisturising Night Cream 100g")</f>
        <v xml:space="preserve"> Natio Intensive Moisturising Night Cream 100g</v>
      </c>
      <c r="C4337" t="s">
        <v>407</v>
      </c>
      <c r="D4337" t="s">
        <v>376</v>
      </c>
    </row>
    <row r="4338" spans="1:4" x14ac:dyDescent="0.25">
      <c r="B4338" t="str">
        <f>HYPERLINK("https://www.chemistwarehouse.com.au/buy/56466/Natio-Ageless-Firming-Night-Cream-45g"," Natio Ageless Firming Night Cream 45g")</f>
        <v xml:space="preserve"> Natio Ageless Firming Night Cream 45g</v>
      </c>
      <c r="C4338" t="s">
        <v>407</v>
      </c>
      <c r="D4338" t="s">
        <v>376</v>
      </c>
    </row>
    <row r="4339" spans="1:4" x14ac:dyDescent="0.25">
      <c r="B4339" t="str">
        <f>HYPERLINK("https://www.chemistwarehouse.com.au/buy/80574/Natio-Wellness-Bath-and-Shower-Gel-275ml"," Natio Wellness Bath and Shower Gel 275ml")</f>
        <v xml:space="preserve"> Natio Wellness Bath and Shower Gel 275ml</v>
      </c>
      <c r="C4339" t="s">
        <v>98</v>
      </c>
      <c r="D4339" t="s">
        <v>150</v>
      </c>
    </row>
    <row r="4340" spans="1:4" x14ac:dyDescent="0.25">
      <c r="A4340" t="s">
        <v>1190</v>
      </c>
    </row>
    <row r="4341" spans="1:4" x14ac:dyDescent="0.25">
      <c r="B4341" t="str">
        <f>HYPERLINK("https://www.chemistwarehouse.com.au/buy/74771/Goodness-Certified-Organic-Chia-Seed-Oil-20ml"," Goodness Certified Organic Chia Seed Oil 20ml")</f>
        <v xml:space="preserve"> Goodness Certified Organic Chia Seed Oil 20ml</v>
      </c>
      <c r="C4341" t="s">
        <v>407</v>
      </c>
      <c r="D4341" t="s">
        <v>376</v>
      </c>
    </row>
    <row r="4342" spans="1:4" x14ac:dyDescent="0.25">
      <c r="B4342" t="str">
        <f>HYPERLINK("https://www.chemistwarehouse.com.au/buy/74772/Goodness-Every-Evening-Cream-60ml"," Goodness Every Evening Cream 60ml")</f>
        <v xml:space="preserve"> Goodness Every Evening Cream 60ml</v>
      </c>
      <c r="C4342" t="s">
        <v>407</v>
      </c>
      <c r="D4342" t="s">
        <v>376</v>
      </c>
    </row>
    <row r="4343" spans="1:4" x14ac:dyDescent="0.25">
      <c r="B4343" t="str">
        <f>HYPERLINK("https://www.chemistwarehouse.com.au/buy/74773/Goodness-Every-Morning-Moisturiser-75ml"," Goodness Every Morning Moisturiser 75ml")</f>
        <v xml:space="preserve"> Goodness Every Morning Moisturiser 75ml</v>
      </c>
      <c r="C4343" t="s">
        <v>202</v>
      </c>
      <c r="D4343" t="s">
        <v>397</v>
      </c>
    </row>
    <row r="4344" spans="1:4" x14ac:dyDescent="0.25">
      <c r="B4344" t="str">
        <f>HYPERLINK("https://www.chemistwarehouse.com.au/buy/74774/Goodness-Every-Week-Face-Scrub-50ml"," Goodness Every Week Face Scrub 50ml")</f>
        <v xml:space="preserve"> Goodness Every Week Face Scrub 50ml</v>
      </c>
      <c r="C4344" t="s">
        <v>324</v>
      </c>
      <c r="D4344" t="s">
        <v>799</v>
      </c>
    </row>
    <row r="4345" spans="1:4" x14ac:dyDescent="0.25">
      <c r="B4345" t="str">
        <f>HYPERLINK("https://www.chemistwarehouse.com.au/buy/74775/Goodness-Everyday-Cream-Cleanser-150ml"," Goodness Everyday Cream Cleanser 150ml")</f>
        <v xml:space="preserve"> Goodness Everyday Cream Cleanser 150ml</v>
      </c>
      <c r="C4345" t="s">
        <v>202</v>
      </c>
      <c r="D4345" t="s">
        <v>397</v>
      </c>
    </row>
    <row r="4346" spans="1:4" x14ac:dyDescent="0.25">
      <c r="B4346" t="str">
        <f>HYPERLINK("https://www.chemistwarehouse.com.au/buy/81324/Goodness-Be-Cool-Mist-Toner-140ml"," Goodness Be Cool Mist Toner 140ml")</f>
        <v xml:space="preserve"> Goodness Be Cool Mist Toner 140ml</v>
      </c>
      <c r="C4346" t="s">
        <v>98</v>
      </c>
      <c r="D4346" t="s">
        <v>150</v>
      </c>
    </row>
    <row r="4347" spans="1:4" x14ac:dyDescent="0.25">
      <c r="B4347" t="str">
        <f>HYPERLINK("https://www.chemistwarehouse.com.au/buy/81325/Goodness-Break-Up-Make-Up-Balm-80ml"," Goodness Break Up Make Up Balm 80ml")</f>
        <v xml:space="preserve"> Goodness Break Up Make Up Balm 80ml</v>
      </c>
      <c r="C4347" t="s">
        <v>292</v>
      </c>
      <c r="D4347" t="s">
        <v>329</v>
      </c>
    </row>
    <row r="4348" spans="1:4" x14ac:dyDescent="0.25">
      <c r="A4348" t="s">
        <v>1191</v>
      </c>
    </row>
    <row r="4349" spans="1:4" x14ac:dyDescent="0.25">
      <c r="B4349" t="str">
        <f>HYPERLINK("https://www.chemistwarehouse.com.au/buy/44814/John-Plunkett-Superfade-Accelerator-15mL"," John Plunkett Superfade Accelerator 15mL")</f>
        <v xml:space="preserve"> John Plunkett Superfade Accelerator 15mL</v>
      </c>
      <c r="C4349" t="s">
        <v>301</v>
      </c>
      <c r="D4349" t="s">
        <v>376</v>
      </c>
    </row>
    <row r="4350" spans="1:4" x14ac:dyDescent="0.25">
      <c r="B4350" t="str">
        <f>HYPERLINK("https://www.chemistwarehouse.com.au/buy/53247/John-Plunkett-Superfade-Face-Cream-40mL"," John Plunkett Superfade Face Cream 40mL")</f>
        <v xml:space="preserve"> John Plunkett Superfade Face Cream 40mL</v>
      </c>
      <c r="C4350" t="s">
        <v>123</v>
      </c>
      <c r="D4350">
        <v>0</v>
      </c>
    </row>
    <row r="4351" spans="1:4" x14ac:dyDescent="0.25">
      <c r="B4351" t="str">
        <f>HYPERLINK("https://www.chemistwarehouse.com.au/buy/44818/John-Plunkett-Sunspot-Cream-100g"," John Plunkett Sunspot Cream 100g")</f>
        <v xml:space="preserve"> John Plunkett Sunspot Cream 100g</v>
      </c>
      <c r="C4351" t="s">
        <v>153</v>
      </c>
      <c r="D4351" t="s">
        <v>145</v>
      </c>
    </row>
    <row r="4352" spans="1:4" x14ac:dyDescent="0.25">
      <c r="B4352" t="str">
        <f>HYPERLINK("https://www.chemistwarehouse.com.au/buy/70998/Plunkett-Pure-Aloe-Vera-90-Moisturiser-200ml"," Plunkett Pure Aloe Vera 90% Moisturiser 200ml")</f>
        <v xml:space="preserve"> Plunkett Pure Aloe Vera 90% Moisturiser 200ml</v>
      </c>
      <c r="C4352" t="s">
        <v>233</v>
      </c>
      <c r="D4352" t="s">
        <v>1192</v>
      </c>
    </row>
    <row r="4353" spans="1:4" x14ac:dyDescent="0.25">
      <c r="B4353" t="str">
        <f>HYPERLINK("https://www.chemistwarehouse.com.au/buy/71420/Plunkett-Vita-E-Oil-25ml"," Plunkett Vita E Oil 25ml")</f>
        <v xml:space="preserve"> Plunkett Vita E Oil 25ml</v>
      </c>
      <c r="C4353" t="s">
        <v>233</v>
      </c>
      <c r="D4353" t="s">
        <v>1192</v>
      </c>
    </row>
    <row r="4354" spans="1:4" x14ac:dyDescent="0.25">
      <c r="B4354" t="str">
        <f>HYPERLINK("https://www.chemistwarehouse.com.au/buy/40905/John-Plunkett-Superfade-Original-Cream-60mL"," John Plunkett Superfade Original Cream 60mL")</f>
        <v xml:space="preserve"> John Plunkett Superfade Original Cream 60mL</v>
      </c>
      <c r="C4354" t="s">
        <v>123</v>
      </c>
      <c r="D4354">
        <v>0</v>
      </c>
    </row>
    <row r="4355" spans="1:4" x14ac:dyDescent="0.25">
      <c r="B4355" t="str">
        <f>HYPERLINK("https://www.chemistwarehouse.com.au/buy/51613/NS-8-Heel-Balm-Complex-100mL"," NS-8 Heel Balm Complex 100mL")</f>
        <v xml:space="preserve"> NS-8 Heel Balm Complex 100mL</v>
      </c>
      <c r="C4355" t="s">
        <v>45</v>
      </c>
      <c r="D4355" t="s">
        <v>867</v>
      </c>
    </row>
    <row r="4356" spans="1:4" x14ac:dyDescent="0.25">
      <c r="B4356" t="str">
        <f>HYPERLINK("https://www.chemistwarehouse.com.au/buy/56769/Plunkett-Aloe-Vera-Gel-75g"," Plunkett Aloe Vera Gel 75g")</f>
        <v xml:space="preserve"> Plunkett Aloe Vera Gel 75g</v>
      </c>
      <c r="C4356" t="s">
        <v>92</v>
      </c>
      <c r="D4356" t="s">
        <v>1193</v>
      </c>
    </row>
    <row r="4357" spans="1:4" x14ac:dyDescent="0.25">
      <c r="B4357" t="str">
        <f>HYPERLINK("https://www.chemistwarehouse.com.au/buy/50163/NS-8-Heel-Balm-Complex-250mL"," NS-8 Heel Balm Complex 250mL")</f>
        <v xml:space="preserve"> NS-8 Heel Balm Complex 250mL</v>
      </c>
      <c r="C4357" t="s">
        <v>8</v>
      </c>
      <c r="D4357" t="s">
        <v>1194</v>
      </c>
    </row>
    <row r="4358" spans="1:4" x14ac:dyDescent="0.25">
      <c r="B4358" t="str">
        <f>HYPERLINK("https://www.chemistwarehouse.com.au/buy/50304/NS-8-Heel-Balm-Complex-60g"," NS-8 Heel Balm Complex 60g")</f>
        <v xml:space="preserve"> NS-8 Heel Balm Complex 60g</v>
      </c>
      <c r="C4358" t="s">
        <v>103</v>
      </c>
      <c r="D4358" t="s">
        <v>1195</v>
      </c>
    </row>
    <row r="4359" spans="1:4" x14ac:dyDescent="0.25">
      <c r="B4359" t="str">
        <f>HYPERLINK("https://www.chemistwarehouse.com.au/buy/75258/Plunkett-Superfade-Face-Cream-20ml"," Plunkett Superfade Face Cream 20ml")</f>
        <v xml:space="preserve"> Plunkett Superfade Face Cream 20ml</v>
      </c>
      <c r="C4359" t="s">
        <v>173</v>
      </c>
      <c r="D4359">
        <v>0</v>
      </c>
    </row>
    <row r="4360" spans="1:4" x14ac:dyDescent="0.25">
      <c r="B4360" t="str">
        <f>HYPERLINK("https://www.chemistwarehouse.com.au/buy/76195/Plunkett-Intensive-Vitamin-E-Ointment-60ml"," Plunkett Intensive Vitamin E Ointment 60ml")</f>
        <v xml:space="preserve"> Plunkett Intensive Vitamin E Ointment 60ml</v>
      </c>
      <c r="C4360" t="s">
        <v>290</v>
      </c>
      <c r="D4360" t="s">
        <v>799</v>
      </c>
    </row>
    <row r="4361" spans="1:4" x14ac:dyDescent="0.25">
      <c r="B4361" t="str">
        <f>HYPERLINK("https://www.chemistwarehouse.com.au/buy/79337/NS-8-Leg-Care-Cream-125ml"," NS-8 Leg Care Cream 125ml")</f>
        <v xml:space="preserve"> NS-8 Leg Care Cream 125ml</v>
      </c>
      <c r="C4361" t="s">
        <v>317</v>
      </c>
      <c r="D4361" t="s">
        <v>1196</v>
      </c>
    </row>
    <row r="4362" spans="1:4" x14ac:dyDescent="0.25">
      <c r="B4362" t="str">
        <f>HYPERLINK("https://www.chemistwarehouse.com.au/buy/67666/Plunkett-Vita-E-Cream-100g"," Plunkett Vita E Cream 100g")</f>
        <v xml:space="preserve"> Plunkett Vita E Cream 100g</v>
      </c>
      <c r="C4362" t="s">
        <v>237</v>
      </c>
      <c r="D4362" t="s">
        <v>329</v>
      </c>
    </row>
    <row r="4363" spans="1:4" x14ac:dyDescent="0.25">
      <c r="B4363" t="str">
        <f>HYPERLINK("https://www.chemistwarehouse.com.au/buy/70997/Plunkett-Pure-Aloe-Vera-99-Spray-125ml"," Plunkett Pure Aloe Vera 99% Spray 125ml")</f>
        <v xml:space="preserve"> Plunkett Pure Aloe Vera 99% Spray 125ml</v>
      </c>
      <c r="C4363" t="s">
        <v>317</v>
      </c>
      <c r="D4363" t="s">
        <v>1086</v>
      </c>
    </row>
    <row r="4364" spans="1:4" x14ac:dyDescent="0.25">
      <c r="A4364" t="s">
        <v>1197</v>
      </c>
    </row>
    <row r="4365" spans="1:4" x14ac:dyDescent="0.25">
      <c r="B4365" t="str">
        <f>HYPERLINK("https://www.chemistwarehouse.com.au/buy/80158/Garnier-Pure-Active-3-in-1-Charcoal-Mask-150ml"," Garnier Pure Active 3 in 1 Charcoal Mask 150ml")</f>
        <v xml:space="preserve"> Garnier Pure Active 3 in 1 Charcoal Mask 150ml</v>
      </c>
      <c r="C4365" t="s">
        <v>45</v>
      </c>
      <c r="D4365" t="s">
        <v>150</v>
      </c>
    </row>
    <row r="4366" spans="1:4" x14ac:dyDescent="0.25">
      <c r="B4366" t="str">
        <f>HYPERLINK("https://www.chemistwarehouse.com.au/buy/54495/Garnier-Pure-Cleansing-3-in-1-Wash-Scrub-amp-Mask"," Garnier Pure Cleansing 3 in 1 Wash Scrub &amp; Mask ")</f>
        <v xml:space="preserve"> Garnier Pure Cleansing 3 in 1 Wash Scrub &amp; Mask </v>
      </c>
      <c r="C4366" t="s">
        <v>98</v>
      </c>
      <c r="D4366" t="s">
        <v>150</v>
      </c>
    </row>
    <row r="4367" spans="1:4" x14ac:dyDescent="0.25">
      <c r="B4367" t="str">
        <f>HYPERLINK("https://www.chemistwarehouse.com.au/buy/76499/Garnier-Pure-Active-Charcoal-Scrub-150ml"," Garnier Pure Active Charcoal Scrub 150ml")</f>
        <v xml:space="preserve"> Garnier Pure Active Charcoal Scrub 150ml</v>
      </c>
      <c r="C4367" t="s">
        <v>98</v>
      </c>
      <c r="D4367" t="s">
        <v>150</v>
      </c>
    </row>
    <row r="4368" spans="1:4" x14ac:dyDescent="0.25">
      <c r="B4368" t="str">
        <f>HYPERLINK("https://www.chemistwarehouse.com.au/buy/78530/Garnier-Pure-Active-Micellar-Water-400ml"," Garnier Pure Active Micellar Water 400ml")</f>
        <v xml:space="preserve"> Garnier Pure Active Micellar Water 400ml</v>
      </c>
      <c r="C4368" t="s">
        <v>240</v>
      </c>
      <c r="D4368" t="s">
        <v>867</v>
      </c>
    </row>
    <row r="4369" spans="1:4" x14ac:dyDescent="0.25">
      <c r="B4369" t="str">
        <f>HYPERLINK("https://www.chemistwarehouse.com.au/buy/58673/Garnier-Pure-Active-Black-Head-Scrub-150ml"," Garnier Pure Active Black Head Scrub 150ml")</f>
        <v xml:space="preserve"> Garnier Pure Active Black Head Scrub 150ml</v>
      </c>
      <c r="C4369" t="s">
        <v>98</v>
      </c>
      <c r="D4369" t="s">
        <v>158</v>
      </c>
    </row>
    <row r="4370" spans="1:4" x14ac:dyDescent="0.25">
      <c r="B4370" t="str">
        <f>HYPERLINK("https://www.chemistwarehouse.com.au/buy/75256/Garnier-Pure-Active-Fruit-Energy-Scrub-150ml"," Garnier Pure Active Fruit Energy Scrub 150ml")</f>
        <v xml:space="preserve"> Garnier Pure Active Fruit Energy Scrub 150ml</v>
      </c>
      <c r="C4370" t="s">
        <v>98</v>
      </c>
      <c r="D4370" t="s">
        <v>150</v>
      </c>
    </row>
    <row r="4371" spans="1:4" x14ac:dyDescent="0.25">
      <c r="B4371" t="str">
        <f>HYPERLINK("https://www.chemistwarehouse.com.au/buy/50857/Garnier-Skin-Naturals-Pure-Deep-Pore-Wash-150mL"," Garnier Skin Naturals Pure Deep Pore Wash 150mL")</f>
        <v xml:space="preserve"> Garnier Skin Naturals Pure Deep Pore Wash 150mL</v>
      </c>
      <c r="C4371" t="s">
        <v>45</v>
      </c>
      <c r="D4371" t="s">
        <v>150</v>
      </c>
    </row>
    <row r="4372" spans="1:4" x14ac:dyDescent="0.25">
      <c r="A4372" t="s">
        <v>1198</v>
      </c>
    </row>
    <row r="4373" spans="1:4" x14ac:dyDescent="0.25">
      <c r="B4373" t="str">
        <f>HYPERLINK("https://www.chemistwarehouse.com.au/buy/71619/Garnier-Moisture-Match-Goodbye-Dry-Gentle-Cleansing-Milk-200ml"," Garnier Moisture Match Goodbye Dry Gentle Cleansing Milk 200ml")</f>
        <v xml:space="preserve"> Garnier Moisture Match Goodbye Dry Gentle Cleansing Milk 200ml</v>
      </c>
      <c r="C4373" t="s">
        <v>242</v>
      </c>
      <c r="D4373" t="s">
        <v>624</v>
      </c>
    </row>
    <row r="4374" spans="1:4" x14ac:dyDescent="0.25">
      <c r="B4374" t="str">
        <f>HYPERLINK("https://www.chemistwarehouse.com.au/buy/71620/Garnier-Moisture-Match-Goodbye-Dry-Gentle-Make-Up-Remover-Wipes-25"," Garnier Moisture Match Goodbye Dry Gentle Make-Up Remover Wipes 25")</f>
        <v xml:space="preserve"> Garnier Moisture Match Goodbye Dry Gentle Make-Up Remover Wipes 25</v>
      </c>
      <c r="C4374" t="s">
        <v>375</v>
      </c>
      <c r="D4374" t="s">
        <v>325</v>
      </c>
    </row>
    <row r="4375" spans="1:4" x14ac:dyDescent="0.25">
      <c r="B4375" t="str">
        <f>HYPERLINK("https://www.chemistwarehouse.com.au/buy/71623/Garnier-Moisture-Match-Shine-Be-Gone-Anti-Shine-Cleansing-Gel-150ml"," Garnier Moisture Match Shine Be Gone Anti-Shine Cleansing Gel 150ml")</f>
        <v xml:space="preserve"> Garnier Moisture Match Shine Be Gone Anti-Shine Cleansing Gel 150ml</v>
      </c>
      <c r="C4375" t="s">
        <v>32</v>
      </c>
      <c r="D4375" t="s">
        <v>150</v>
      </c>
    </row>
    <row r="4376" spans="1:4" x14ac:dyDescent="0.25">
      <c r="B4376" t="str">
        <f>HYPERLINK("https://www.chemistwarehouse.com.au/buy/71627/Garnier-Moisture-Match-Start-Afresh-Refreshing-Make-Up-Remover-Wipes-25"," Garnier Moisture Match Start Afresh Refreshing Make-Up Remover Wipes 25")</f>
        <v xml:space="preserve"> Garnier Moisture Match Start Afresh Refreshing Make-Up Remover Wipes 25</v>
      </c>
      <c r="C4376" t="s">
        <v>375</v>
      </c>
      <c r="D4376" t="s">
        <v>325</v>
      </c>
    </row>
    <row r="4377" spans="1:4" x14ac:dyDescent="0.25">
      <c r="B4377" t="str">
        <f>HYPERLINK("https://www.chemistwarehouse.com.au/buy/71628/Garnier-Moisture-Match-Wake-Me-Up-Radiance-Boosting-Scrub-150ml"," Garnier Moisture Match Wake Me Up Radiance Boosting Scrub 150ml")</f>
        <v xml:space="preserve"> Garnier Moisture Match Wake Me Up Radiance Boosting Scrub 150ml</v>
      </c>
      <c r="C4377" t="s">
        <v>239</v>
      </c>
      <c r="D4377" t="s">
        <v>1199</v>
      </c>
    </row>
    <row r="4378" spans="1:4" x14ac:dyDescent="0.25">
      <c r="A4378" t="s">
        <v>1200</v>
      </c>
    </row>
    <row r="4379" spans="1:4" x14ac:dyDescent="0.25">
      <c r="B4379" t="str">
        <f>HYPERLINK("https://www.chemistwarehouse.com.au/buy/59503/L-39-Oreal-Men-Expert-Hydra-Energetic-Cool-Eye-Roll-On-10mL"," L'Oreal Men Expert Hydra Energetic Cool Eye Roll On 10mL")</f>
        <v xml:space="preserve"> L'Oreal Men Expert Hydra Energetic Cool Eye Roll On 10mL</v>
      </c>
      <c r="C4379" t="s">
        <v>98</v>
      </c>
      <c r="D4379" t="s">
        <v>165</v>
      </c>
    </row>
    <row r="4380" spans="1:4" x14ac:dyDescent="0.25">
      <c r="B4380" t="str">
        <f>HYPERLINK("https://www.chemistwarehouse.com.au/buy/74414/L-39-Oreal-Men-Expert-Black-Foam-Magnetic-Charcoal-Wash-150ml"," L'Oreal Men Expert Black Foam Magnetic Charcoal Wash 150ml")</f>
        <v xml:space="preserve"> L'Oreal Men Expert Black Foam Magnetic Charcoal Wash 150ml</v>
      </c>
      <c r="C4380" t="s">
        <v>32</v>
      </c>
      <c r="D4380" t="s">
        <v>797</v>
      </c>
    </row>
    <row r="4381" spans="1:4" x14ac:dyDescent="0.25">
      <c r="B4381" t="str">
        <f>HYPERLINK("https://www.chemistwarehouse.com.au/buy/74956/L-39-Oreal-Men-Expert-Hydra-Energetic-3-Day-Beard-Moisturiser-50ml"," L'Oreal Men Expert Hydra Energetic 3 Day Beard Moisturiser 50ml")</f>
        <v xml:space="preserve"> L'Oreal Men Expert Hydra Energetic 3 Day Beard Moisturiser 50ml</v>
      </c>
      <c r="C4381" t="s">
        <v>211</v>
      </c>
      <c r="D4381" t="s">
        <v>336</v>
      </c>
    </row>
    <row r="4382" spans="1:4" x14ac:dyDescent="0.25">
      <c r="B4382" t="str">
        <f>HYPERLINK("https://www.chemistwarehouse.com.au/buy/74991/L-39-Oreal-Men-Expert-Hydra-Energetic-All-In-One-Moisturiser-Normal-Skin-75ml"," L'Oreal Men Expert Hydra Energetic All In One Moisturiser Normal Skin 75ml")</f>
        <v xml:space="preserve"> L'Oreal Men Expert Hydra Energetic All In One Moisturiser Normal Skin 75ml</v>
      </c>
      <c r="C4382" t="s">
        <v>554</v>
      </c>
      <c r="D4382" t="s">
        <v>376</v>
      </c>
    </row>
    <row r="4383" spans="1:4" x14ac:dyDescent="0.25">
      <c r="B4383" t="str">
        <f>HYPERLINK("https://www.chemistwarehouse.com.au/buy/54360/L-39-Oreal-Men-Expert-Hydra-Energetic-SPF15-Lotion-50mL"," L'Oreal Men Expert Hydra Energetic SPF15 Lotion 50mL")</f>
        <v xml:space="preserve"> L'Oreal Men Expert Hydra Energetic SPF15 Lotion 50mL</v>
      </c>
      <c r="C4383" t="s">
        <v>98</v>
      </c>
      <c r="D4383" t="s">
        <v>165</v>
      </c>
    </row>
    <row r="4384" spans="1:4" x14ac:dyDescent="0.25">
      <c r="B4384" t="str">
        <f>HYPERLINK("https://www.chemistwarehouse.com.au/buy/54398/L-39-Oreal-Men-Expert-Hydra-Energetic-Moisturiser-50ml"," L'Oreal Men Expert Hydra Energetic Moisturiser 50ml")</f>
        <v xml:space="preserve"> L'Oreal Men Expert Hydra Energetic Moisturiser 50ml</v>
      </c>
      <c r="C4384" t="s">
        <v>98</v>
      </c>
      <c r="D4384" t="s">
        <v>165</v>
      </c>
    </row>
    <row r="4385" spans="1:4" x14ac:dyDescent="0.25">
      <c r="A4385" t="s">
        <v>1201</v>
      </c>
    </row>
    <row r="4386" spans="1:4" x14ac:dyDescent="0.25">
      <c r="B4386" t="str">
        <f>HYPERLINK("https://www.chemistwarehouse.com.au/buy/58683/L-39-Oreal-Men-Expert-Hydra-Sensitive-Shaving-Gel-200ml"," L'Oreal Men Expert Hydra Sensitive Shaving Gel 200ml")</f>
        <v xml:space="preserve"> L'Oreal Men Expert Hydra Sensitive Shaving Gel 200ml</v>
      </c>
      <c r="C4386" t="s">
        <v>786</v>
      </c>
      <c r="D4386" t="s">
        <v>799</v>
      </c>
    </row>
    <row r="4387" spans="1:4" x14ac:dyDescent="0.25">
      <c r="B4387" t="str">
        <f>HYPERLINK("https://www.chemistwarehouse.com.au/buy/58685/L-39-Oreal-Men-Expert-Hydra-Sensitive-Moisturiser-Cream-50mL"," L'Oreal Men Expert Hydra Sensitive Moisturiser Cream 50mL")</f>
        <v xml:space="preserve"> L'Oreal Men Expert Hydra Sensitive Moisturiser Cream 50mL</v>
      </c>
      <c r="C4387" t="s">
        <v>98</v>
      </c>
      <c r="D4387" t="s">
        <v>165</v>
      </c>
    </row>
    <row r="4388" spans="1:4" x14ac:dyDescent="0.25">
      <c r="B4388" t="str">
        <f>HYPERLINK("https://www.chemistwarehouse.com.au/buy/74990/L-39-Oreal-Men-Expert-Hydra-Sensitive-Skin-All-In-One-Moisturiser-Sensitive-Skin-75ml"," L'Oreal Men Expert Hydra Sensitive Skin All In One Moisturiser Sensitive Skin 75ml")</f>
        <v xml:space="preserve"> L'Oreal Men Expert Hydra Sensitive Skin All In One Moisturiser Sensitive Skin 75ml</v>
      </c>
      <c r="C4388" t="s">
        <v>554</v>
      </c>
      <c r="D4388" t="s">
        <v>376</v>
      </c>
    </row>
    <row r="4389" spans="1:4" x14ac:dyDescent="0.25">
      <c r="A4389" t="s">
        <v>1202</v>
      </c>
    </row>
    <row r="4390" spans="1:4" x14ac:dyDescent="0.25">
      <c r="B4390" t="str">
        <f>HYPERLINK("https://www.chemistwarehouse.com.au/buy/71760/L-39-Oreal-Men-Expert-Pure-Power-Moisturiser-50ml"," L'Oreal Men Expert Pure Power Moisturiser 50ml")</f>
        <v xml:space="preserve"> L'Oreal Men Expert Pure Power Moisturiser 50ml</v>
      </c>
      <c r="C4390" t="s">
        <v>211</v>
      </c>
      <c r="D4390" t="s">
        <v>336</v>
      </c>
    </row>
    <row r="4391" spans="1:4" x14ac:dyDescent="0.25">
      <c r="B4391" t="str">
        <f>HYPERLINK("https://www.chemistwarehouse.com.au/buy/71761/L-39-Oreal-Men-Expert-Pure-Power-Scrub-150ml"," L'Oreal Men Expert Pure Power Scrub 150ml")</f>
        <v xml:space="preserve"> L'Oreal Men Expert Pure Power Scrub 150ml</v>
      </c>
      <c r="C4391" t="s">
        <v>317</v>
      </c>
      <c r="D4391" t="s">
        <v>406</v>
      </c>
    </row>
    <row r="4392" spans="1:4" x14ac:dyDescent="0.25">
      <c r="B4392" t="str">
        <f>HYPERLINK("https://www.chemistwarehouse.com.au/buy/72749/L-39-Oreal-Men-Expert-Pure-Power-Charcoal-Wash-150ml"," L'Oreal Men Expert Pure Power Charcoal Wash 150ml")</f>
        <v xml:space="preserve"> L'Oreal Men Expert Pure Power Charcoal Wash 150ml</v>
      </c>
      <c r="C4392" t="s">
        <v>32</v>
      </c>
      <c r="D4392" t="s">
        <v>797</v>
      </c>
    </row>
    <row r="4393" spans="1:4" x14ac:dyDescent="0.25">
      <c r="A4393" t="s">
        <v>1203</v>
      </c>
    </row>
    <row r="4394" spans="1:4" x14ac:dyDescent="0.25">
      <c r="B4394" t="str">
        <f>HYPERLINK("https://www.chemistwarehouse.com.au/buy/65811/L-39-Oreal-Men-Expert-Vita-Lift-5-Moisturiser-50ml"," L'Oreal Men Expert Vita Lift 5 Moisturiser 50ml")</f>
        <v xml:space="preserve"> L'Oreal Men Expert Vita Lift 5 Moisturiser 50ml</v>
      </c>
      <c r="C4394" t="s">
        <v>443</v>
      </c>
      <c r="D4394" t="s">
        <v>1204</v>
      </c>
    </row>
    <row r="4395" spans="1:4" x14ac:dyDescent="0.25">
      <c r="A4395" t="s">
        <v>1205</v>
      </c>
    </row>
    <row r="4396" spans="1:4" x14ac:dyDescent="0.25">
      <c r="B4396" t="str">
        <f>HYPERLINK("https://www.chemistwarehouse.com.au/buy/68024/L-39-Oreal-Dermo-Revitalift-Laser-Eye-15ml"," L'Oreal Dermo Revitalift Laser Eye 15ml")</f>
        <v xml:space="preserve"> L'Oreal Dermo Revitalift Laser Eye 15ml</v>
      </c>
      <c r="C4396" t="s">
        <v>493</v>
      </c>
      <c r="D4396" t="s">
        <v>522</v>
      </c>
    </row>
    <row r="4397" spans="1:4" x14ac:dyDescent="0.25">
      <c r="B4397" t="str">
        <f>HYPERLINK("https://www.chemistwarehouse.com.au/buy/68025/L-39-Oreal-Dermo-Revitalift-Laser-Serum-30ml"," L'Oreal Dermo Revitalift Laser Serum 30ml")</f>
        <v xml:space="preserve"> L'Oreal Dermo Revitalift Laser Serum 30ml</v>
      </c>
      <c r="C4397" t="s">
        <v>469</v>
      </c>
      <c r="D4397" t="s">
        <v>658</v>
      </c>
    </row>
    <row r="4398" spans="1:4" x14ac:dyDescent="0.25">
      <c r="B4398" t="str">
        <f>HYPERLINK("https://www.chemistwarehouse.com.au/buy/75522/L-39-Oreal-Dermo-Revitalift-Laser-Anti-Dark-Spot-Complete-Care-SPF15-50ml"," L'Oreal Dermo Revitalift Laser Anti Dark Spot Complete Care SPF15 50ml")</f>
        <v xml:space="preserve"> L'Oreal Dermo Revitalift Laser Anti Dark Spot Complete Care SPF15 50ml</v>
      </c>
      <c r="C4398" t="s">
        <v>493</v>
      </c>
      <c r="D4398" t="s">
        <v>522</v>
      </c>
    </row>
    <row r="4399" spans="1:4" x14ac:dyDescent="0.25">
      <c r="B4399" t="str">
        <f>HYPERLINK("https://www.chemistwarehouse.com.au/buy/75523/L-39-Oreal-Dermo-Revitalift-Laser-Anti-Dark-Spot-Peeling-Lotion-Night-125ml"," L'Oreal Dermo Revitalift Laser Anti Dark Spot Peeling Lotion Night 125ml")</f>
        <v xml:space="preserve"> L'Oreal Dermo Revitalift Laser Anti Dark Spot Peeling Lotion Night 125ml</v>
      </c>
      <c r="C4399" t="s">
        <v>493</v>
      </c>
      <c r="D4399" t="s">
        <v>522</v>
      </c>
    </row>
    <row r="4400" spans="1:4" x14ac:dyDescent="0.25">
      <c r="A4400" t="s">
        <v>1206</v>
      </c>
    </row>
    <row r="4401" spans="1:4" x14ac:dyDescent="0.25">
      <c r="B4401" t="str">
        <f>HYPERLINK("https://www.chemistwarehouse.com.au/buy/52347/L-39-Oreal-Dermo-Expertise-Eye-Make-Up-Remover-Waterproof-125mL"," L'Oreal Dermo Expertise Eye Make Up Remover Waterproof 125mL")</f>
        <v xml:space="preserve"> L'Oreal Dermo Expertise Eye Make Up Remover Waterproof 125mL</v>
      </c>
      <c r="C4401" t="s">
        <v>290</v>
      </c>
      <c r="D4401" t="s">
        <v>799</v>
      </c>
    </row>
    <row r="4402" spans="1:4" x14ac:dyDescent="0.25">
      <c r="B4402" t="str">
        <f>HYPERLINK("https://www.chemistwarehouse.com.au/buy/74988/L-39-Oreal-Dermo-Skin-Perfection-3-in-1-Micellar-Cleansing-Water-200ml"," L'Oreal Dermo Skin Perfection 3 in 1 Micellar Cleansing Water 200ml")</f>
        <v xml:space="preserve"> L'Oreal Dermo Skin Perfection 3 in 1 Micellar Cleansing Water 200ml</v>
      </c>
      <c r="C4402" t="s">
        <v>169</v>
      </c>
      <c r="D4402" t="s">
        <v>355</v>
      </c>
    </row>
    <row r="4403" spans="1:4" x14ac:dyDescent="0.25">
      <c r="B4403" t="str">
        <f>HYPERLINK("https://www.chemistwarehouse.com.au/buy/53364/L-39-Oreal-Dermo-Expertise-Eye-Make-Up-Remover-125ml"," L'Oreal Dermo Expertise Eye Make Up Remover 125ml")</f>
        <v xml:space="preserve"> L'Oreal Dermo Expertise Eye Make Up Remover 125ml</v>
      </c>
      <c r="C4403" t="s">
        <v>290</v>
      </c>
      <c r="D4403" t="s">
        <v>799</v>
      </c>
    </row>
    <row r="4404" spans="1:4" x14ac:dyDescent="0.25">
      <c r="B4404" t="str">
        <f>HYPERLINK("https://www.chemistwarehouse.com.au/buy/76202/L-39-Oreal-Dermo-Skin-Perfection-Anti-Fatigue-Wake-Up-Cream-SPF-15-35ml"," L'Oreal Dermo Skin Perfection Anti Fatigue Wake Up Cream SPF 15 35ml")</f>
        <v xml:space="preserve"> L'Oreal Dermo Skin Perfection Anti Fatigue Wake Up Cream SPF 15 35ml</v>
      </c>
      <c r="C4404" t="s">
        <v>299</v>
      </c>
      <c r="D4404" t="s">
        <v>359</v>
      </c>
    </row>
    <row r="4405" spans="1:4" x14ac:dyDescent="0.25">
      <c r="B4405" t="str">
        <f>HYPERLINK("https://www.chemistwarehouse.com.au/buy/74987/L-39-Oreal-Dermo-Skin-Perfection-Cleansing-Foam-150ml"," L'Oreal Dermo Skin Perfection Cleansing Foam 150ml")</f>
        <v xml:space="preserve"> L'Oreal Dermo Skin Perfection Cleansing Foam 150ml</v>
      </c>
      <c r="C4405" t="s">
        <v>261</v>
      </c>
      <c r="D4405" t="s">
        <v>1199</v>
      </c>
    </row>
    <row r="4406" spans="1:4" x14ac:dyDescent="0.25">
      <c r="B4406" t="str">
        <f>HYPERLINK("https://www.chemistwarehouse.com.au/buy/74989/L-39-Oreal-Dermo-Skin-Perfection-Refreshing-Wipes-25"," L'Oreal Dermo Skin Perfection Refreshing Wipes 25")</f>
        <v xml:space="preserve"> L'Oreal Dermo Skin Perfection Refreshing Wipes 25</v>
      </c>
      <c r="C4406" t="s">
        <v>104</v>
      </c>
      <c r="D4406" t="s">
        <v>482</v>
      </c>
    </row>
    <row r="4407" spans="1:4" x14ac:dyDescent="0.25">
      <c r="B4407" t="str">
        <f>HYPERLINK("https://www.chemistwarehouse.com.au/buy/82514/L-39-Oreal-Dermo-Micellar-Water-Normal-Combination-Skin-400ml"," L'Oreal Dermo Micellar Water Normal/Combination Skin 400ml")</f>
        <v xml:space="preserve"> L'Oreal Dermo Micellar Water Normal/Combination Skin 400ml</v>
      </c>
      <c r="C4407" t="s">
        <v>211</v>
      </c>
      <c r="D4407" t="s">
        <v>336</v>
      </c>
    </row>
    <row r="4408" spans="1:4" x14ac:dyDescent="0.25">
      <c r="B4408" t="str">
        <f>HYPERLINK("https://www.chemistwarehouse.com.au/buy/82515/L-39-Oreal-Dermo-Micellar-Water-Normal-Dry-Skin-400ml"," L'Oreal Dermo Micellar Water Normal/Dry Skin 400ml")</f>
        <v xml:space="preserve"> L'Oreal Dermo Micellar Water Normal/Dry Skin 400ml</v>
      </c>
      <c r="C4408" t="s">
        <v>211</v>
      </c>
      <c r="D4408" t="s">
        <v>336</v>
      </c>
    </row>
    <row r="4409" spans="1:4" x14ac:dyDescent="0.25">
      <c r="A4409" t="s">
        <v>1207</v>
      </c>
    </row>
    <row r="4410" spans="1:4" x14ac:dyDescent="0.25">
      <c r="B4410" t="str">
        <f>HYPERLINK("https://www.chemistwarehouse.com.au/buy/69619/L-39-Oreal-Dermo-Age-Perfect-Cell-Renewal-Night-Cream-50ml"," L'Oreal Dermo Age Perfect Cell Renewal Night Cream 50ml")</f>
        <v xml:space="preserve"> L'Oreal Dermo Age Perfect Cell Renewal Night Cream 50ml</v>
      </c>
      <c r="C4410" t="s">
        <v>243</v>
      </c>
      <c r="D4410" t="s">
        <v>155</v>
      </c>
    </row>
    <row r="4411" spans="1:4" x14ac:dyDescent="0.25">
      <c r="B4411" t="str">
        <f>HYPERLINK("https://www.chemistwarehouse.com.au/buy/69620/L-39-Oreal-Dermo-Age-Perfect-Cell-Renewal-Serum-30ml"," L'Oreal Dermo Age Perfect Cell Renewal Serum 30ml")</f>
        <v xml:space="preserve"> L'Oreal Dermo Age Perfect Cell Renewal Serum 30ml</v>
      </c>
      <c r="C4411" t="s">
        <v>491</v>
      </c>
      <c r="D4411" t="s">
        <v>356</v>
      </c>
    </row>
    <row r="4412" spans="1:4" x14ac:dyDescent="0.25">
      <c r="B4412" t="str">
        <f>HYPERLINK("https://www.chemistwarehouse.com.au/buy/69618/L-39-Oreal-Dermo-Age-Perfect-Cell-Renewal-Day-Cream-50ml"," L'Oreal Dermo Age Perfect Cell Renewal Day Cream 50ml")</f>
        <v xml:space="preserve"> L'Oreal Dermo Age Perfect Cell Renewal Day Cream 50ml</v>
      </c>
      <c r="C4412" t="s">
        <v>243</v>
      </c>
      <c r="D4412" t="s">
        <v>155</v>
      </c>
    </row>
    <row r="4413" spans="1:4" x14ac:dyDescent="0.25">
      <c r="A4413" t="s">
        <v>1208</v>
      </c>
    </row>
    <row r="4414" spans="1:4" x14ac:dyDescent="0.25">
      <c r="B4414" t="str">
        <f>HYPERLINK("https://www.chemistwarehouse.com.au/buy/64326/L-39-Oreal-Dermo-Age-Perfect-Intense-Nutrition-Day-50ml"," L'Oreal Dermo Age Perfect Intense Nutrition Day 50ml")</f>
        <v xml:space="preserve"> L'Oreal Dermo Age Perfect Intense Nutrition Day 50ml</v>
      </c>
      <c r="C4414" t="s">
        <v>493</v>
      </c>
      <c r="D4414" t="s">
        <v>867</v>
      </c>
    </row>
    <row r="4415" spans="1:4" x14ac:dyDescent="0.25">
      <c r="B4415" t="str">
        <f>HYPERLINK("https://www.chemistwarehouse.com.au/buy/64328/L-39-Oreal-Dermo-Age-Perfect-Intense-Nutrition-Eye-15ml"," L'Oreal Dermo Age Perfect Intense Nutrition Eye 15ml")</f>
        <v xml:space="preserve"> L'Oreal Dermo Age Perfect Intense Nutrition Eye 15ml</v>
      </c>
      <c r="C4415" t="s">
        <v>493</v>
      </c>
      <c r="D4415" t="s">
        <v>867</v>
      </c>
    </row>
    <row r="4416" spans="1:4" x14ac:dyDescent="0.25">
      <c r="B4416" t="str">
        <f>HYPERLINK("https://www.chemistwarehouse.com.au/buy/64329/L-39-Oreal-Dermo-Age-Perfect-Intense-Nutrition-Night-Cream-50mL"," L'Oreal Dermo Age Perfect Intense Nutrition Night Cream 50mL")</f>
        <v xml:space="preserve"> L'Oreal Dermo Age Perfect Intense Nutrition Night Cream 50mL</v>
      </c>
      <c r="C4416" t="s">
        <v>493</v>
      </c>
      <c r="D4416" t="s">
        <v>867</v>
      </c>
    </row>
    <row r="4417" spans="1:4" x14ac:dyDescent="0.25">
      <c r="B4417" t="str">
        <f>HYPERLINK("https://www.chemistwarehouse.com.au/buy/66038/L-39-Oreal-Dermo-Age-Perfect-Intense-Re-Nourish-Serum-30ml"," L'Oreal Dermo Age Perfect Intense Re Nourish Serum 30ml")</f>
        <v xml:space="preserve"> L'Oreal Dermo Age Perfect Intense Re Nourish Serum 30ml</v>
      </c>
      <c r="C4417" t="s">
        <v>864</v>
      </c>
      <c r="D4417" t="s">
        <v>821</v>
      </c>
    </row>
    <row r="4418" spans="1:4" x14ac:dyDescent="0.25">
      <c r="A4418" t="s">
        <v>1209</v>
      </c>
    </row>
    <row r="4419" spans="1:4" x14ac:dyDescent="0.25">
      <c r="B4419" t="str">
        <f>HYPERLINK("https://www.chemistwarehouse.com.au/buy/81402/L-39-Oreal-Dermo-Pure-Clay-Mask-Detoxifying-50ml"," L'Oreal Dermo Pure Clay Mask Detoxifying 50ml")</f>
        <v xml:space="preserve"> L'Oreal Dermo Pure Clay Mask Detoxifying 50ml</v>
      </c>
      <c r="C4419" t="s">
        <v>407</v>
      </c>
      <c r="D4419" t="s">
        <v>376</v>
      </c>
    </row>
    <row r="4420" spans="1:4" x14ac:dyDescent="0.25">
      <c r="B4420" t="str">
        <f>HYPERLINK("https://www.chemistwarehouse.com.au/buy/81403/L-39-Oreal-Dermo-Pure-Clay-Mask-Exfoliating-50ml"," L'Oreal Dermo Pure Clay Mask Exfoliating 50ml")</f>
        <v xml:space="preserve"> L'Oreal Dermo Pure Clay Mask Exfoliating 50ml</v>
      </c>
      <c r="C4420" t="s">
        <v>407</v>
      </c>
      <c r="D4420" t="s">
        <v>376</v>
      </c>
    </row>
    <row r="4421" spans="1:4" x14ac:dyDescent="0.25">
      <c r="B4421" t="str">
        <f>HYPERLINK("https://www.chemistwarehouse.com.au/buy/81404/L-39-Oreal-Dermo-Pure-Clay-Mask-Purifying-50ml"," L'Oreal Dermo Pure Clay Mask Purifying 50ml")</f>
        <v xml:space="preserve"> L'Oreal Dermo Pure Clay Mask Purifying 50ml</v>
      </c>
      <c r="C4421" t="s">
        <v>407</v>
      </c>
      <c r="D4421" t="s">
        <v>376</v>
      </c>
    </row>
    <row r="4422" spans="1:4" x14ac:dyDescent="0.25">
      <c r="A4422" t="s">
        <v>1210</v>
      </c>
    </row>
    <row r="4423" spans="1:4" x14ac:dyDescent="0.25">
      <c r="B4423" t="str">
        <f>HYPERLINK("https://www.chemistwarehouse.com.au/buy/39370/Nivea-for-Men-Shaving-Sensitive-Gel-200ml"," Nivea for Men Shaving - Sensitive Gel 200ml")</f>
        <v xml:space="preserve"> Nivea for Men Shaving - Sensitive Gel 200ml</v>
      </c>
      <c r="C4423" t="s">
        <v>556</v>
      </c>
      <c r="D4423" t="s">
        <v>1211</v>
      </c>
    </row>
    <row r="4424" spans="1:4" x14ac:dyDescent="0.25">
      <c r="B4424" t="str">
        <f>HYPERLINK("https://www.chemistwarehouse.com.au/buy/44605/Nivea-for-Men-Active-Energy-Skin-Revitaliser-Face-Cream-50ml"," Nivea for Men Active Energy Skin Revitaliser Face Cream 50ml")</f>
        <v xml:space="preserve"> Nivea for Men Active Energy Skin Revitaliser Face Cream 50ml</v>
      </c>
      <c r="C4424" t="s">
        <v>211</v>
      </c>
      <c r="D4424" t="s">
        <v>1212</v>
      </c>
    </row>
    <row r="4425" spans="1:4" x14ac:dyDescent="0.25">
      <c r="B4425" t="str">
        <f>HYPERLINK("https://www.chemistwarehouse.com.au/buy/51279/Nivea-for-Men-Shaving-Gel-Moisturising-200ml"," Nivea for Men Shaving Gel Moisturising 200ml")</f>
        <v xml:space="preserve"> Nivea for Men Shaving Gel Moisturising 200ml</v>
      </c>
      <c r="C4425" t="s">
        <v>556</v>
      </c>
      <c r="D4425" t="s">
        <v>1213</v>
      </c>
    </row>
    <row r="4426" spans="1:4" x14ac:dyDescent="0.25">
      <c r="B4426" t="str">
        <f>HYPERLINK("https://www.chemistwarehouse.com.au/buy/60888/Nivea-for-Men-Sensitive-Shave-Foam-200ml"," Nivea for Men Sensitive Shave Foam 200ml")</f>
        <v xml:space="preserve"> Nivea for Men Sensitive Shave Foam 200ml</v>
      </c>
      <c r="C4426" t="s">
        <v>556</v>
      </c>
      <c r="D4426" t="s">
        <v>727</v>
      </c>
    </row>
    <row r="4427" spans="1:4" x14ac:dyDescent="0.25">
      <c r="B4427" t="str">
        <f>HYPERLINK("https://www.chemistwarehouse.com.au/buy/60889/Nivea-for-Men-Refreshing-Face-Wash-Gel-100ml"," Nivea for Men Refreshing Face Wash Gel 100ml")</f>
        <v xml:space="preserve"> Nivea for Men Refreshing Face Wash Gel 100ml</v>
      </c>
      <c r="C4427" t="s">
        <v>116</v>
      </c>
      <c r="D4427" t="s">
        <v>312</v>
      </c>
    </row>
    <row r="4428" spans="1:4" x14ac:dyDescent="0.25">
      <c r="B4428" t="str">
        <f>HYPERLINK("https://www.chemistwarehouse.com.au/buy/60892/Nivea-for-Men-Shaving-Gel-Extreme-Comfort-200mL"," Nivea for Men Shaving Gel Extreme Comfort 200mL")</f>
        <v xml:space="preserve"> Nivea for Men Shaving Gel Extreme Comfort 200mL</v>
      </c>
      <c r="C4428" t="s">
        <v>116</v>
      </c>
      <c r="D4428" t="s">
        <v>371</v>
      </c>
    </row>
    <row r="4429" spans="1:4" x14ac:dyDescent="0.25">
      <c r="B4429" t="str">
        <f>HYPERLINK("https://www.chemistwarehouse.com.au/buy/56731/Nivea-for-Men-Face-Wash-Sensitive-100mL"," Nivea for Men Face Wash Sensitive 100mL")</f>
        <v xml:space="preserve"> Nivea for Men Face Wash Sensitive 100mL</v>
      </c>
      <c r="C4429" t="s">
        <v>116</v>
      </c>
      <c r="D4429" t="s">
        <v>312</v>
      </c>
    </row>
    <row r="4430" spans="1:4" x14ac:dyDescent="0.25">
      <c r="B4430" t="str">
        <f>HYPERLINK("https://www.chemistwarehouse.com.au/buy/76107/Nivea-for-Men-Creme-150ml"," Nivea for Men Creme 150ml ")</f>
        <v xml:space="preserve"> Nivea for Men Creme 150ml </v>
      </c>
      <c r="C4430" t="s">
        <v>116</v>
      </c>
      <c r="D4430" t="s">
        <v>312</v>
      </c>
    </row>
    <row r="4431" spans="1:4" x14ac:dyDescent="0.25">
      <c r="B4431" t="str">
        <f>HYPERLINK("https://www.chemistwarehouse.com.au/buy/31812/Nivea-for-Men-Post-Shave-Balm-Sensitive-100ml"," Nivea for Men Post Shave Balm Sensitive 100ml")</f>
        <v xml:space="preserve"> Nivea for Men Post Shave Balm Sensitive 100ml</v>
      </c>
      <c r="C4431" t="s">
        <v>240</v>
      </c>
      <c r="D4431" t="s">
        <v>631</v>
      </c>
    </row>
    <row r="4432" spans="1:4" x14ac:dyDescent="0.25">
      <c r="B4432" t="str">
        <f>HYPERLINK("https://www.chemistwarehouse.com.au/buy/31803/Nivea-For-Men-Replenishing-Post-Shave-Balm-100mL"," Nivea For Men Replenishing Post Shave Balm 100mL")</f>
        <v xml:space="preserve"> Nivea For Men Replenishing Post Shave Balm 100mL</v>
      </c>
      <c r="C4432" t="s">
        <v>240</v>
      </c>
      <c r="D4432" t="s">
        <v>631</v>
      </c>
    </row>
    <row r="4433" spans="1:4" x14ac:dyDescent="0.25">
      <c r="B4433" t="str">
        <f>HYPERLINK("https://www.chemistwarehouse.com.au/buy/54305/Nivea-for-Men-Moisturiser-Sensitive-75ml"," Nivea for Men Moisturiser Sensitive 75ml")</f>
        <v xml:space="preserve"> Nivea for Men Moisturiser Sensitive 75ml</v>
      </c>
      <c r="C4433" t="s">
        <v>430</v>
      </c>
      <c r="D4433" t="s">
        <v>1214</v>
      </c>
    </row>
    <row r="4434" spans="1:4" x14ac:dyDescent="0.25">
      <c r="B4434" t="str">
        <f>HYPERLINK("https://www.chemistwarehouse.com.au/buy/54341/Nivea-For-Men-DNage-Anti-Ageing-Moisturiser-50ml"," Nivea For Men DNage Anti-Ageing Moisturiser 50ml")</f>
        <v xml:space="preserve"> Nivea For Men DNage Anti-Ageing Moisturiser 50ml</v>
      </c>
      <c r="C4434" t="s">
        <v>212</v>
      </c>
      <c r="D4434" t="s">
        <v>1215</v>
      </c>
    </row>
    <row r="4435" spans="1:4" x14ac:dyDescent="0.25">
      <c r="B4435" t="str">
        <f>HYPERLINK("https://www.chemistwarehouse.com.au/buy/57446/Nivea-for-Men-Exfoliating-Face-Scrub-75ml"," Nivea for Men Exfoliating Face Scrub 75ml")</f>
        <v xml:space="preserve"> Nivea for Men Exfoliating Face Scrub 75ml</v>
      </c>
      <c r="C4435" t="s">
        <v>610</v>
      </c>
      <c r="D4435" t="s">
        <v>815</v>
      </c>
    </row>
    <row r="4436" spans="1:4" x14ac:dyDescent="0.25">
      <c r="B4436" t="str">
        <f>HYPERLINK("https://www.chemistwarehouse.com.au/buy/58721/Nivea-for-Men-Active-Energy-Face-Gel-50ml"," Nivea for Men Active Energy Face Gel 50ml")</f>
        <v xml:space="preserve"> Nivea for Men Active Energy Face Gel 50ml</v>
      </c>
      <c r="C4436" t="s">
        <v>211</v>
      </c>
      <c r="D4436" t="s">
        <v>1212</v>
      </c>
    </row>
    <row r="4437" spans="1:4" x14ac:dyDescent="0.25">
      <c r="B4437" t="str">
        <f>HYPERLINK("https://www.chemistwarehouse.com.au/buy/59505/Nivea-for-Men-Active-Energy-Face-Wash-Gel-100ml"," Nivea for Men Active Energy Face Wash Gel 100ml")</f>
        <v xml:space="preserve"> Nivea for Men Active Energy Face Wash Gel 100ml</v>
      </c>
      <c r="C4437" t="s">
        <v>554</v>
      </c>
      <c r="D4437" t="s">
        <v>318</v>
      </c>
    </row>
    <row r="4438" spans="1:4" x14ac:dyDescent="0.25">
      <c r="B4438" t="str">
        <f>HYPERLINK("https://www.chemistwarehouse.com.au/buy/59506/Nivea-for-Men-Active-Energy-Skin-Revitaliser-After-Shave-2-in-1-Balm-100ml"," Nivea for Men Active Energy Skin Revitaliser After Shave 2 in 1 Balm 100ml")</f>
        <v xml:space="preserve"> Nivea for Men Active Energy Skin Revitaliser After Shave 2 in 1 Balm 100ml</v>
      </c>
      <c r="C4438" t="s">
        <v>430</v>
      </c>
      <c r="D4438" t="s">
        <v>1216</v>
      </c>
    </row>
    <row r="4439" spans="1:4" x14ac:dyDescent="0.25">
      <c r="B4439" t="str">
        <f>HYPERLINK("https://www.chemistwarehouse.com.au/buy/68490/Nivea-For-Men-Sensitive-Shower-Gel-500ml"," Nivea For Men Sensitive Shower Gel 500ml")</f>
        <v xml:space="preserve"> Nivea For Men Sensitive Shower Gel 500ml</v>
      </c>
      <c r="C4439" t="s">
        <v>326</v>
      </c>
      <c r="D4439" t="s">
        <v>1031</v>
      </c>
    </row>
    <row r="4440" spans="1:4" x14ac:dyDescent="0.25">
      <c r="B4440" t="str">
        <f>HYPERLINK("https://www.chemistwarehouse.com.au/buy/68491/Nivea-For-Men-Sport-Shower-Gel-500ml"," Nivea For Men Sport Shower Gel 500ml")</f>
        <v xml:space="preserve"> Nivea For Men Sport Shower Gel 500ml</v>
      </c>
      <c r="C4440" t="s">
        <v>326</v>
      </c>
      <c r="D4440" t="s">
        <v>1031</v>
      </c>
    </row>
    <row r="4441" spans="1:4" x14ac:dyDescent="0.25">
      <c r="B4441" t="str">
        <f>HYPERLINK("https://www.chemistwarehouse.com.au/buy/60890/Nivea-for-Men-Moisturiser-Protective-75ml"," Nivea for Men Moisturiser Protective 75ml")</f>
        <v xml:space="preserve"> Nivea for Men Moisturiser Protective 75ml</v>
      </c>
      <c r="C4441" t="s">
        <v>430</v>
      </c>
      <c r="D4441" t="s">
        <v>1214</v>
      </c>
    </row>
    <row r="4442" spans="1:4" x14ac:dyDescent="0.25">
      <c r="B4442" t="str">
        <f>HYPERLINK("https://www.chemistwarehouse.com.au/buy/60891/Nivea-For-Men-Q10-Revitalising-Shave-Gel-200ml"," Nivea For Men Q10 Revitalising Shave Gel 200ml")</f>
        <v xml:space="preserve"> Nivea For Men Q10 Revitalising Shave Gel 200ml</v>
      </c>
      <c r="C4442" t="s">
        <v>116</v>
      </c>
      <c r="D4442" t="s">
        <v>371</v>
      </c>
    </row>
    <row r="4443" spans="1:4" x14ac:dyDescent="0.25">
      <c r="B4443" t="str">
        <f>HYPERLINK("https://www.chemistwarehouse.com.au/buy/31806/Nivea-for-Men-Shaving-Foam-Moisturising-200ml"," Nivea for Men Shaving Foam Moisturising 200ml")</f>
        <v xml:space="preserve"> Nivea for Men Shaving Foam Moisturising 200ml</v>
      </c>
      <c r="C4443" t="s">
        <v>786</v>
      </c>
      <c r="D4443" t="s">
        <v>1217</v>
      </c>
    </row>
    <row r="4444" spans="1:4" x14ac:dyDescent="0.25">
      <c r="B4444" t="str">
        <f>HYPERLINK("https://www.chemistwarehouse.com.au/buy/71519/Nivea-for-Men-Clear-Effect-Foam-Face-Wash-100ml"," Nivea for Men Clear Effect Foam Face Wash 100ml")</f>
        <v xml:space="preserve"> Nivea for Men Clear Effect Foam Face Wash 100ml</v>
      </c>
      <c r="C4444" t="s">
        <v>554</v>
      </c>
      <c r="D4444" t="s">
        <v>318</v>
      </c>
    </row>
    <row r="4445" spans="1:4" x14ac:dyDescent="0.25">
      <c r="B4445" t="str">
        <f>HYPERLINK("https://www.chemistwarehouse.com.au/buy/71520/Nivea-for-Men-Clear-Effect-Gel-Moisturiser-50ml"," Nivea for Men Clear Effect Gel Moisturiser 50ml")</f>
        <v xml:space="preserve"> Nivea for Men Clear Effect Gel Moisturiser 50ml</v>
      </c>
      <c r="C4445" t="s">
        <v>430</v>
      </c>
      <c r="D4445" t="s">
        <v>1218</v>
      </c>
    </row>
    <row r="4446" spans="1:4" x14ac:dyDescent="0.25">
      <c r="B4446" t="str">
        <f>HYPERLINK("https://www.chemistwarehouse.com.au/buy/78797/Nivea-for-Men-Clear-Effect-Pore-Minimiser-Facial-Scrub-100ml"," Nivea for Men Clear Effect Pore Minimiser Facial Scrub 100ml")</f>
        <v xml:space="preserve"> Nivea for Men Clear Effect Pore Minimiser Facial Scrub 100ml</v>
      </c>
      <c r="C4446" t="s">
        <v>554</v>
      </c>
      <c r="D4446" t="s">
        <v>318</v>
      </c>
    </row>
    <row r="4447" spans="1:4" x14ac:dyDescent="0.25">
      <c r="A4447" t="s">
        <v>1219</v>
      </c>
    </row>
    <row r="4448" spans="1:4" x14ac:dyDescent="0.25">
      <c r="B4448" t="str">
        <f>HYPERLINK("https://www.chemistwarehouse.com.au/buy/79070/Nivea-Hand-Wash-Honey-amp-Milk-250ml"," Nivea Hand Wash Honey &amp; Milk 250ml")</f>
        <v xml:space="preserve"> Nivea Hand Wash Honey &amp; Milk 250ml</v>
      </c>
      <c r="C4448" t="s">
        <v>146</v>
      </c>
      <c r="D4448">
        <v>0</v>
      </c>
    </row>
    <row r="4449" spans="1:4" x14ac:dyDescent="0.25">
      <c r="B4449" t="str">
        <f>HYPERLINK("https://www.chemistwarehouse.com.au/buy/80125/Nivea-Pure-and-Natural-Hand-Cream-100ml"," Nivea Pure and Natural Hand Cream 100ml")</f>
        <v xml:space="preserve"> Nivea Pure and Natural Hand Cream 100ml</v>
      </c>
      <c r="C4449" t="s">
        <v>375</v>
      </c>
      <c r="D4449" t="s">
        <v>325</v>
      </c>
    </row>
    <row r="4450" spans="1:4" x14ac:dyDescent="0.25">
      <c r="B4450" t="str">
        <f>HYPERLINK("https://www.chemistwarehouse.com.au/buy/80126/Nivea-Q10-Anti-Age-Hand-Cream-100ml"," Nivea Q10 Anti-Age Hand Cream 100ml")</f>
        <v xml:space="preserve"> Nivea Q10 Anti-Age Hand Cream 100ml</v>
      </c>
      <c r="C4450" t="s">
        <v>375</v>
      </c>
      <c r="D4450" t="s">
        <v>325</v>
      </c>
    </row>
    <row r="4451" spans="1:4" x14ac:dyDescent="0.25">
      <c r="B4451" t="str">
        <f>HYPERLINK("https://www.chemistwarehouse.com.au/buy/80127/Nivea-Smooth-Nourishing-Hand-Cream-100ml"," Nivea Smooth Nourishing Hand Cream 100ml")</f>
        <v xml:space="preserve"> Nivea Smooth Nourishing Hand Cream 100ml</v>
      </c>
      <c r="C4451" t="s">
        <v>375</v>
      </c>
      <c r="D4451" t="s">
        <v>325</v>
      </c>
    </row>
    <row r="4452" spans="1:4" x14ac:dyDescent="0.25">
      <c r="B4452" t="str">
        <f>HYPERLINK("https://www.chemistwarehouse.com.au/buy/79782/Nivea-Creme-150ml"," Nivea Creme 150ml")</f>
        <v xml:space="preserve"> Nivea Creme 150ml</v>
      </c>
      <c r="C4452" t="s">
        <v>483</v>
      </c>
      <c r="D4452">
        <v>0</v>
      </c>
    </row>
    <row r="4453" spans="1:4" x14ac:dyDescent="0.25">
      <c r="B4453" t="str">
        <f>HYPERLINK("https://www.chemistwarehouse.com.au/buy/68849/Nivea-Rescue-and-Care-Hand-Cream-50ml"," Nivea Rescue and Care Hand Cream 50ml")</f>
        <v xml:space="preserve"> Nivea Rescue and Care Hand Cream 50ml</v>
      </c>
      <c r="C4453" t="s">
        <v>786</v>
      </c>
      <c r="D4453" t="s">
        <v>558</v>
      </c>
    </row>
    <row r="4454" spans="1:4" x14ac:dyDescent="0.25">
      <c r="A4454" t="s">
        <v>1220</v>
      </c>
    </row>
    <row r="4455" spans="1:4" x14ac:dyDescent="0.25">
      <c r="B4455" t="str">
        <f>HYPERLINK("https://www.chemistwarehouse.com.au/buy/78680/Nivea-Q10-Plus-Anti-Wrinkle-Serum-Pearls-40ml"," Nivea Q10 Plus Anti-Wrinkle Serum Pearls 40ml")</f>
        <v xml:space="preserve"> Nivea Q10 Plus Anti-Wrinkle Serum Pearls 40ml</v>
      </c>
      <c r="C4455" t="s">
        <v>153</v>
      </c>
      <c r="D4455" t="s">
        <v>164</v>
      </c>
    </row>
    <row r="4456" spans="1:4" x14ac:dyDescent="0.25">
      <c r="B4456" t="str">
        <f>HYPERLINK("https://www.chemistwarehouse.com.au/buy/82441/Nivea-Visage-Daily-Essentials-Cream-Care-Cleansing-Lotion-200ml"," Nivea Visage Daily Essentials Cream Care Cleansing Lotion 200ml")</f>
        <v xml:space="preserve"> Nivea Visage Daily Essentials Cream Care Cleansing Lotion 200ml</v>
      </c>
      <c r="C4456" t="s">
        <v>240</v>
      </c>
      <c r="D4456" t="s">
        <v>812</v>
      </c>
    </row>
    <row r="4457" spans="1:4" x14ac:dyDescent="0.25">
      <c r="B4457" t="str">
        <f>HYPERLINK("https://www.chemistwarehouse.com.au/buy/82442/Nivea-Visage-Daily-Essentials-Cream-Care-Cleansing-Wash-150ml"," Nivea Visage Daily Essentials Cream Care Cleansing Wash 150ml")</f>
        <v xml:space="preserve"> Nivea Visage Daily Essentials Cream Care Cleansing Wash 150ml</v>
      </c>
      <c r="C4457" t="s">
        <v>240</v>
      </c>
      <c r="D4457" t="s">
        <v>812</v>
      </c>
    </row>
    <row r="4458" spans="1:4" x14ac:dyDescent="0.25">
      <c r="B4458" t="str">
        <f>HYPERLINK("https://www.chemistwarehouse.com.au/buy/82443/Nivea-Visage-Daily-Essentials-Cream-Care-Facial-Wipes-25"," Nivea Visage Daily Essentials Cream Care Facial Wipes 25")</f>
        <v xml:space="preserve"> Nivea Visage Daily Essentials Cream Care Facial Wipes 25</v>
      </c>
      <c r="C4458" t="s">
        <v>116</v>
      </c>
      <c r="D4458" t="s">
        <v>641</v>
      </c>
    </row>
    <row r="4459" spans="1:4" x14ac:dyDescent="0.25">
      <c r="A4459" t="s">
        <v>1221</v>
      </c>
    </row>
    <row r="4460" spans="1:4" x14ac:dyDescent="0.25">
      <c r="B4460" t="str">
        <f>HYPERLINK("https://www.chemistwarehouse.com.au/buy/80680/Nivea-Body-4-in-1-Q10-Firming-Body-Oil-200ml"," Nivea Body 4 in 1 Q10 Firming Body Oil 200ml")</f>
        <v xml:space="preserve"> Nivea Body 4 in 1 Q10 Firming Body Oil 200ml</v>
      </c>
      <c r="C4460" t="s">
        <v>212</v>
      </c>
      <c r="D4460" t="s">
        <v>799</v>
      </c>
    </row>
    <row r="4461" spans="1:4" x14ac:dyDescent="0.25">
      <c r="B4461" t="str">
        <f>HYPERLINK("https://www.chemistwarehouse.com.au/buy/79281/Nivea-Shower-Cream-Honey-And-Milk-250ml"," Nivea Shower Cream Honey And Milk 250ml")</f>
        <v xml:space="preserve"> Nivea Shower Cream Honey And Milk 250ml</v>
      </c>
      <c r="C4461" t="s">
        <v>146</v>
      </c>
      <c r="D4461">
        <v>0</v>
      </c>
    </row>
    <row r="4462" spans="1:4" x14ac:dyDescent="0.25">
      <c r="A4462" t="s">
        <v>1222</v>
      </c>
    </row>
    <row r="4463" spans="1:4" x14ac:dyDescent="0.25">
      <c r="B4463" t="str">
        <f>HYPERLINK("https://www.chemistwarehouse.com.au/buy/72521/Olay-Regenerist-Luminous-Brightening-Cream-Cleanser-100g"," Olay Regenerist Luminous Brightening Cream Cleanser 100g")</f>
        <v xml:space="preserve"> Olay Regenerist Luminous Brightening Cream Cleanser 100g</v>
      </c>
      <c r="C4463" t="s">
        <v>228</v>
      </c>
      <c r="D4463" t="s">
        <v>121</v>
      </c>
    </row>
    <row r="4464" spans="1:4" x14ac:dyDescent="0.25">
      <c r="B4464" t="str">
        <f>HYPERLINK("https://www.chemistwarehouse.com.au/buy/72522/Olay-Regenerist-Luminous-Tone-Perfecting-Cream-50g"," Olay Regenerist Luminous Tone Perfecting Cream 50g")</f>
        <v xml:space="preserve"> Olay Regenerist Luminous Tone Perfecting Cream 50g</v>
      </c>
      <c r="C4464" t="s">
        <v>321</v>
      </c>
      <c r="D4464" t="s">
        <v>46</v>
      </c>
    </row>
    <row r="4465" spans="1:4" x14ac:dyDescent="0.25">
      <c r="B4465" t="str">
        <f>HYPERLINK("https://www.chemistwarehouse.com.au/buy/72523/Olay-Regenerist-Luminous-Tone-Perfecting-Treatment-40ml"," Olay Regenerist Luminous Tone Perfecting Treatment 40ml")</f>
        <v xml:space="preserve"> Olay Regenerist Luminous Tone Perfecting Treatment 40ml</v>
      </c>
      <c r="C4465" t="s">
        <v>258</v>
      </c>
      <c r="D4465" t="s">
        <v>164</v>
      </c>
    </row>
    <row r="4466" spans="1:4" x14ac:dyDescent="0.25">
      <c r="A4466" t="s">
        <v>1223</v>
      </c>
    </row>
    <row r="4467" spans="1:4" x14ac:dyDescent="0.25">
      <c r="B4467" t="str">
        <f>HYPERLINK("https://www.chemistwarehouse.com.au/buy/41089/Olay-Total-Effects-Moisturiser-Gentle-SPF-15-50g"," Olay Total Effects Moisturiser Gentle - SPF 15+ 50g")</f>
        <v xml:space="preserve"> Olay Total Effects Moisturiser Gentle - SPF 15+ 50g</v>
      </c>
      <c r="C4467" t="s">
        <v>262</v>
      </c>
      <c r="D4467" t="s">
        <v>253</v>
      </c>
    </row>
    <row r="4468" spans="1:4" x14ac:dyDescent="0.25">
      <c r="B4468" t="str">
        <f>HYPERLINK("https://www.chemistwarehouse.com.au/buy/52133/Olay-Total-Effects-Anti-Ageing-Night-Cream-50g"," Olay Total Effects Anti-Ageing Night Cream 50g")</f>
        <v xml:space="preserve"> Olay Total Effects Anti-Ageing Night Cream 50g</v>
      </c>
      <c r="C4468" t="s">
        <v>111</v>
      </c>
      <c r="D4468" t="s">
        <v>312</v>
      </c>
    </row>
    <row r="4469" spans="1:4" x14ac:dyDescent="0.25">
      <c r="B4469" t="str">
        <f>HYPERLINK("https://www.chemistwarehouse.com.au/buy/52138/Olay-Total-Effects-Normal-SPF-15-Cream-UV-50g"," Olay Total Effects Normal SPF 15 Cream UV 50g")</f>
        <v xml:space="preserve"> Olay Total Effects Normal SPF 15 Cream UV 50g</v>
      </c>
      <c r="C4469" t="s">
        <v>262</v>
      </c>
      <c r="D4469" t="s">
        <v>253</v>
      </c>
    </row>
    <row r="4470" spans="1:4" x14ac:dyDescent="0.25">
      <c r="B4470" t="str">
        <f>HYPERLINK("https://www.chemistwarehouse.com.au/buy/56490/Olay-Total-Effects-Touch-of-Foundation-SPF-15-50g"," Olay Total Effects Touch of Foundation SPF 15 50g")</f>
        <v xml:space="preserve"> Olay Total Effects Touch of Foundation SPF 15 50g</v>
      </c>
      <c r="C4470" t="s">
        <v>262</v>
      </c>
      <c r="D4470" t="s">
        <v>253</v>
      </c>
    </row>
    <row r="4471" spans="1:4" x14ac:dyDescent="0.25">
      <c r="B4471" t="str">
        <f>HYPERLINK("https://www.chemistwarehouse.com.au/buy/60490/Olay-Total-Effects-Foaming-Cleanser-100g"," Olay Total Effects Foaming Cleanser 100g")</f>
        <v xml:space="preserve"> Olay Total Effects Foaming Cleanser 100g</v>
      </c>
      <c r="C4471" t="s">
        <v>290</v>
      </c>
      <c r="D4471" t="s">
        <v>318</v>
      </c>
    </row>
    <row r="4472" spans="1:4" x14ac:dyDescent="0.25">
      <c r="B4472" t="str">
        <f>HYPERLINK("https://www.chemistwarehouse.com.au/buy/39936/Olay-Total-Effects-Moisturiser-Gentle-50g"," Olay Total Effects Moisturiser Gentle 50g")</f>
        <v xml:space="preserve"> Olay Total Effects Moisturiser Gentle 50g</v>
      </c>
      <c r="C4472" t="s">
        <v>262</v>
      </c>
      <c r="D4472" t="s">
        <v>253</v>
      </c>
    </row>
    <row r="4473" spans="1:4" x14ac:dyDescent="0.25">
      <c r="B4473" t="str">
        <f>HYPERLINK("https://www.chemistwarehouse.com.au/buy/47384/Olay-Total-Effects-Cream-Cleanser-100g"," Olay Total Effects Cream Cleanser 100g")</f>
        <v xml:space="preserve"> Olay Total Effects Cream Cleanser 100g</v>
      </c>
      <c r="C4473" t="s">
        <v>290</v>
      </c>
      <c r="D4473" t="s">
        <v>318</v>
      </c>
    </row>
    <row r="4474" spans="1:4" x14ac:dyDescent="0.25">
      <c r="B4474" t="str">
        <f>HYPERLINK("https://www.chemistwarehouse.com.au/buy/46615/Olay-Total-Effects-Moisturiser-Normal-50g"," Olay Total Effects Moisturiser Normal 50g")</f>
        <v xml:space="preserve"> Olay Total Effects Moisturiser Normal 50g</v>
      </c>
      <c r="C4474" t="s">
        <v>262</v>
      </c>
      <c r="D4474" t="s">
        <v>253</v>
      </c>
    </row>
    <row r="4475" spans="1:4" x14ac:dyDescent="0.25">
      <c r="B4475" t="str">
        <f>HYPERLINK("https://www.chemistwarehouse.com.au/buy/82651/Olay-Total-Effects-Moisturiser-Gentle-UV-50g-Twin-Pack"," Olay Total Effects Moisturiser Gentle UV 50g Twin Pack")</f>
        <v xml:space="preserve"> Olay Total Effects Moisturiser Gentle UV 50g Twin Pack</v>
      </c>
      <c r="C4475" t="s">
        <v>113</v>
      </c>
      <c r="D4475" t="s">
        <v>1224</v>
      </c>
    </row>
    <row r="4476" spans="1:4" x14ac:dyDescent="0.25">
      <c r="A4476" t="s">
        <v>1225</v>
      </c>
    </row>
    <row r="4477" spans="1:4" x14ac:dyDescent="0.25">
      <c r="B4477" t="str">
        <f>HYPERLINK("https://www.chemistwarehouse.com.au/buy/6782/Olay-Moisturising-Lotion-150ml"," Olay Moisturising Lotion 150ml")</f>
        <v xml:space="preserve"> Olay Moisturising Lotion 150ml</v>
      </c>
      <c r="C4477" t="s">
        <v>212</v>
      </c>
      <c r="D4477" t="s">
        <v>318</v>
      </c>
    </row>
    <row r="4478" spans="1:4" x14ac:dyDescent="0.25">
      <c r="B4478" t="str">
        <f>HYPERLINK("https://www.chemistwarehouse.com.au/buy/6783/Olay-Moisturising-Cream-Sensitive-Skin-100g"," Olay Moisturising Cream Sensitive Skin 100g")</f>
        <v xml:space="preserve"> Olay Moisturising Cream Sensitive Skin 100g</v>
      </c>
      <c r="C4478" t="s">
        <v>212</v>
      </c>
      <c r="D4478" t="s">
        <v>318</v>
      </c>
    </row>
    <row r="4479" spans="1:4" x14ac:dyDescent="0.25">
      <c r="B4479" t="str">
        <f>HYPERLINK("https://www.chemistwarehouse.com.au/buy/6784/Olay-Moisturising-Lotion-Sensitive-Skin-150mL"," Olay Moisturising Lotion Sensitive Skin 150mL")</f>
        <v xml:space="preserve"> Olay Moisturising Lotion Sensitive Skin 150mL</v>
      </c>
      <c r="C4479" t="s">
        <v>212</v>
      </c>
      <c r="D4479" t="s">
        <v>318</v>
      </c>
    </row>
    <row r="4480" spans="1:4" x14ac:dyDescent="0.25">
      <c r="B4480" t="str">
        <f>HYPERLINK("https://www.chemistwarehouse.com.au/buy/6786/Olay-Moisturising-Cream-100g"," Olay Moisturising Cream 100g")</f>
        <v xml:space="preserve"> Olay Moisturising Cream 100g</v>
      </c>
      <c r="C4480" t="s">
        <v>212</v>
      </c>
      <c r="D4480" t="s">
        <v>318</v>
      </c>
    </row>
    <row r="4481" spans="1:4" x14ac:dyDescent="0.25">
      <c r="B4481" t="str">
        <f>HYPERLINK("https://www.chemistwarehouse.com.au/buy/66111/Olay-ProVital-Night-Cream-50g"," Olay ProVital Night Cream 50g")</f>
        <v xml:space="preserve"> Olay ProVital Night Cream 50g</v>
      </c>
      <c r="C4481" t="s">
        <v>58</v>
      </c>
      <c r="D4481" t="s">
        <v>115</v>
      </c>
    </row>
    <row r="4482" spans="1:4" x14ac:dyDescent="0.25">
      <c r="B4482" t="str">
        <f>HYPERLINK("https://www.chemistwarehouse.com.au/buy/51523/Olay-Beauty-Fluid-for-Normal-Dry-Combination-Skin-100mL"," Olay Beauty Fluid for Normal/Dry/Combination Skin 100mL")</f>
        <v xml:space="preserve"> Olay Beauty Fluid for Normal/Dry/Combination Skin 100mL</v>
      </c>
      <c r="C4482" t="s">
        <v>782</v>
      </c>
      <c r="D4482" t="s">
        <v>776</v>
      </c>
    </row>
    <row r="4483" spans="1:4" x14ac:dyDescent="0.25">
      <c r="A4483" t="s">
        <v>1226</v>
      </c>
    </row>
    <row r="4484" spans="1:4" x14ac:dyDescent="0.25">
      <c r="B4484" t="str">
        <f>HYPERLINK("https://www.chemistwarehouse.com.au/buy/61063/Olay-Regenerist-Micro-Sculpting-Serum-50mL"," Olay Regenerist Micro-Sculpting Serum 50mL")</f>
        <v xml:space="preserve"> Olay Regenerist Micro-Sculpting Serum 50mL</v>
      </c>
      <c r="C4484" t="s">
        <v>321</v>
      </c>
      <c r="D4484" t="s">
        <v>295</v>
      </c>
    </row>
    <row r="4485" spans="1:4" x14ac:dyDescent="0.25">
      <c r="B4485" t="str">
        <f>HYPERLINK("https://www.chemistwarehouse.com.au/buy/68940/Olay-Regenerist-Advanced-Cleansing-System"," Olay Regenerist Advanced Cleansing System")</f>
        <v xml:space="preserve"> Olay Regenerist Advanced Cleansing System</v>
      </c>
      <c r="C4485" t="s">
        <v>596</v>
      </c>
      <c r="D4485" t="s">
        <v>253</v>
      </c>
    </row>
    <row r="4486" spans="1:4" x14ac:dyDescent="0.25">
      <c r="A4486" t="s">
        <v>1227</v>
      </c>
    </row>
    <row r="4487" spans="1:4" x14ac:dyDescent="0.25">
      <c r="B4487" t="str">
        <f>HYPERLINK("https://www.chemistwarehouse.com.au/buy/65580/Olay-Complete-Touch-Moisturiser-with-a-Hint-Foundation-Medium-50ml"," Olay Complete Touch Moisturiser with a Hint Foundation Medium 50ml")</f>
        <v xml:space="preserve"> Olay Complete Touch Moisturiser with a Hint Foundation Medium 50ml</v>
      </c>
      <c r="C4487" t="s">
        <v>212</v>
      </c>
      <c r="D4487" t="s">
        <v>318</v>
      </c>
    </row>
    <row r="4488" spans="1:4" x14ac:dyDescent="0.25">
      <c r="B4488" t="str">
        <f>HYPERLINK("https://www.chemistwarehouse.com.au/buy/50844/Olay-Complete-SPF-15-Normal-Dry-Skin-Lotion-150ml"," Olay Complete SPF 15+ Normal/Dry Skin Lotion 150ml")</f>
        <v xml:space="preserve"> Olay Complete SPF 15+ Normal/Dry Skin Lotion 150ml</v>
      </c>
      <c r="C4488" t="s">
        <v>212</v>
      </c>
      <c r="D4488" t="s">
        <v>318</v>
      </c>
    </row>
    <row r="4489" spans="1:4" x14ac:dyDescent="0.25">
      <c r="B4489" t="str">
        <f>HYPERLINK("https://www.chemistwarehouse.com.au/buy/50843/Olay-Complete-SPF-15-Sensitive-Skin-Lotion-150ml"," Olay Complete SPF 15+ Sensitive Skin Lotion 150ml")</f>
        <v xml:space="preserve"> Olay Complete SPF 15+ Sensitive Skin Lotion 150ml</v>
      </c>
      <c r="C4489" t="s">
        <v>212</v>
      </c>
      <c r="D4489" t="s">
        <v>318</v>
      </c>
    </row>
    <row r="4490" spans="1:4" x14ac:dyDescent="0.25">
      <c r="B4490" t="str">
        <f>HYPERLINK("https://www.chemistwarehouse.com.au/buy/59082/Olay-Complete-Defence-SPF-30-Sensitive-75ml"," Olay Complete Defence SPF 30+ Sensitive 75ml")</f>
        <v xml:space="preserve"> Olay Complete Defence SPF 30+ Sensitive 75ml</v>
      </c>
      <c r="C4490" t="s">
        <v>212</v>
      </c>
      <c r="D4490" t="s">
        <v>318</v>
      </c>
    </row>
    <row r="4491" spans="1:4" x14ac:dyDescent="0.25">
      <c r="B4491" t="str">
        <f>HYPERLINK("https://www.chemistwarehouse.com.au/buy/65584/Olay-Complete-Touch-Moisturiser-with-a-Hint-Foundation-Fair-50ml"," Olay Complete Touch Moisturiser with a Hint Foundation Fair 50ml")</f>
        <v xml:space="preserve"> Olay Complete Touch Moisturiser with a Hint Foundation Fair 50ml</v>
      </c>
      <c r="C4491" t="s">
        <v>212</v>
      </c>
      <c r="D4491" t="s">
        <v>318</v>
      </c>
    </row>
    <row r="4492" spans="1:4" x14ac:dyDescent="0.25">
      <c r="B4492" t="str">
        <f>HYPERLINK("https://www.chemistwarehouse.com.au/buy/82652/Olay-Moisturising-Lotion-150ml-Twin-Pack"," Olay Moisturising Lotion 150ml Twin Pack")</f>
        <v xml:space="preserve"> Olay Moisturising Lotion 150ml Twin Pack</v>
      </c>
      <c r="C4492" t="s">
        <v>1</v>
      </c>
      <c r="D4492" t="s">
        <v>104</v>
      </c>
    </row>
    <row r="4493" spans="1:4" x14ac:dyDescent="0.25">
      <c r="B4493" t="str">
        <f>HYPERLINK("https://www.chemistwarehouse.com.au/buy/82653/Olay-Complete-Defence-SPF-30-Sensitive-75ml-Twin-Pack"," Olay Complete Defence SPF 30+ Sensitive 75ml Twin Pack")</f>
        <v xml:space="preserve"> Olay Complete Defence SPF 30+ Sensitive 75ml Twin Pack</v>
      </c>
      <c r="C4493" t="s">
        <v>1</v>
      </c>
      <c r="D4493" t="s">
        <v>104</v>
      </c>
    </row>
    <row r="4494" spans="1:4" x14ac:dyDescent="0.25">
      <c r="B4494" t="str">
        <f>HYPERLINK("https://www.chemistwarehouse.com.au/buy/65582/Olay-Complete-Care-Night-Cream-50ml"," Olay Complete Care Night Cream 50ml")</f>
        <v xml:space="preserve"> Olay Complete Care Night Cream 50ml</v>
      </c>
      <c r="C4494" t="s">
        <v>283</v>
      </c>
      <c r="D4494" t="s">
        <v>116</v>
      </c>
    </row>
    <row r="4495" spans="1:4" x14ac:dyDescent="0.25">
      <c r="B4495" t="str">
        <f>HYPERLINK("https://www.chemistwarehouse.com.au/buy/50845/Olay-Complete-Defence-SPF-30-Lotion-75ml"," Olay Complete Defence SPF 30+ Lotion 75ml")</f>
        <v xml:space="preserve"> Olay Complete Defence SPF 30+ Lotion 75ml</v>
      </c>
      <c r="C4495" t="s">
        <v>212</v>
      </c>
      <c r="D4495" t="s">
        <v>318</v>
      </c>
    </row>
    <row r="4496" spans="1:4" x14ac:dyDescent="0.25">
      <c r="A4496" t="s">
        <v>1228</v>
      </c>
    </row>
    <row r="4497" spans="1:4" x14ac:dyDescent="0.25">
      <c r="B4497" t="str">
        <f>HYPERLINK("https://www.chemistwarehouse.com.au/buy/82439/Olay-Eyes-Pro-Retinol-Eye-Treatment-15ml"," Olay Eyes Pro-Retinol Eye Treatment 15ml")</f>
        <v xml:space="preserve"> Olay Eyes Pro-Retinol Eye Treatment 15ml</v>
      </c>
      <c r="C4497" t="s">
        <v>113</v>
      </c>
      <c r="D4497" t="s">
        <v>283</v>
      </c>
    </row>
    <row r="4498" spans="1:4" x14ac:dyDescent="0.25">
      <c r="B4498" t="str">
        <f>HYPERLINK("https://www.chemistwarehouse.com.au/buy/82440/Olay-Eyes-Ultimate-Eye-Cream-15ml"," Olay Eyes Ultimate Eye Cream 15ml")</f>
        <v xml:space="preserve"> Olay Eyes Ultimate Eye Cream 15ml</v>
      </c>
      <c r="C4498" t="s">
        <v>113</v>
      </c>
      <c r="D4498" t="s">
        <v>283</v>
      </c>
    </row>
    <row r="4499" spans="1:4" x14ac:dyDescent="0.25">
      <c r="B4499" t="str">
        <f>HYPERLINK("https://www.chemistwarehouse.com.au/buy/82438/Olay-Eyes-Illuminating-Eye-Cream-15ml"," Olay Eyes Illuminating Eye Cream 15ml")</f>
        <v xml:space="preserve"> Olay Eyes Illuminating Eye Cream 15ml</v>
      </c>
      <c r="C4499" t="s">
        <v>113</v>
      </c>
      <c r="D4499" t="s">
        <v>283</v>
      </c>
    </row>
    <row r="4500" spans="1:4" x14ac:dyDescent="0.25">
      <c r="A4500" t="s">
        <v>1229</v>
      </c>
    </row>
    <row r="4501" spans="1:4" x14ac:dyDescent="0.25">
      <c r="B4501" t="str">
        <f>HYPERLINK("https://www.chemistwarehouse.com.au/buy/52686/Palmers-Shea-Formula-Lotion-400ml"," Palmers Shea Formula Lotion 400ml")</f>
        <v xml:space="preserve"> Palmers Shea Formula Lotion 400ml</v>
      </c>
      <c r="C4501" t="s">
        <v>92</v>
      </c>
      <c r="D4501" t="s">
        <v>115</v>
      </c>
    </row>
    <row r="4502" spans="1:4" x14ac:dyDescent="0.25">
      <c r="B4502" t="str">
        <f>HYPERLINK("https://www.chemistwarehouse.com.au/buy/63163/Palmers-Shea-Butter-Hand-Cream-60g"," Palmers Shea Butter Hand Cream 60g")</f>
        <v xml:space="preserve"> Palmers Shea Butter Hand Cream 60g</v>
      </c>
      <c r="C4502" t="s">
        <v>146</v>
      </c>
      <c r="D4502" t="s">
        <v>1230</v>
      </c>
    </row>
    <row r="4503" spans="1:4" x14ac:dyDescent="0.25">
      <c r="B4503" t="str">
        <f>HYPERLINK("https://www.chemistwarehouse.com.au/buy/42289/Palmers-Shea-Butter-Formula-with-Vitamin-E-Lotion-250mL"," Palmers Shea Butter Formula with Vitamin E Lotion 250mL")</f>
        <v xml:space="preserve"> Palmers Shea Butter Formula with Vitamin E Lotion 250mL</v>
      </c>
      <c r="C4503" t="s">
        <v>556</v>
      </c>
      <c r="D4503" t="s">
        <v>613</v>
      </c>
    </row>
    <row r="4504" spans="1:4" x14ac:dyDescent="0.25">
      <c r="B4504" t="str">
        <f>HYPERLINK("https://www.chemistwarehouse.com.au/buy/73187/Palmer-39-s-Cocoa-Butter-Creamy-Cleanser-amp-Makeup-Remover-150g"," Palmer's Cocoa Butter Creamy Cleanser &amp; Makeup Remover 150g")</f>
        <v xml:space="preserve"> Palmer's Cocoa Butter Creamy Cleanser &amp; Makeup Remover 150g</v>
      </c>
      <c r="C4504" t="s">
        <v>45</v>
      </c>
      <c r="D4504">
        <v>0</v>
      </c>
    </row>
    <row r="4505" spans="1:4" x14ac:dyDescent="0.25">
      <c r="B4505" t="str">
        <f>HYPERLINK("https://www.chemistwarehouse.com.au/buy/73193/Palmer-39-s-Cocoa-Butter-Multi-Effect-Perfecting-Facial-Oil-30ml"," Palmer's Cocoa Butter Multi-Effect Perfecting Facial Oil 30ml")</f>
        <v xml:space="preserve"> Palmer's Cocoa Butter Multi-Effect Perfecting Facial Oil 30ml</v>
      </c>
      <c r="C4505" t="s">
        <v>61</v>
      </c>
      <c r="D4505" t="s">
        <v>115</v>
      </c>
    </row>
    <row r="4506" spans="1:4" x14ac:dyDescent="0.25">
      <c r="B4506" t="str">
        <f>HYPERLINK("https://www.chemistwarehouse.com.au/buy/51086/Palmers-Cocoa-Butter-Formula-Lotion-400ml"," Palmers Cocoa Butter Formula Lotion 400ml")</f>
        <v xml:space="preserve"> Palmers Cocoa Butter Formula Lotion 400ml</v>
      </c>
      <c r="C4506" t="s">
        <v>92</v>
      </c>
      <c r="D4506" t="s">
        <v>115</v>
      </c>
    </row>
    <row r="4507" spans="1:4" x14ac:dyDescent="0.25">
      <c r="B4507" t="str">
        <f>HYPERLINK("https://www.chemistwarehouse.com.au/buy/78023/Palmers-Coconut-Oil-Formula-Body-Lotion-400ml"," Palmers Coconut Oil Formula Body Lotion 400ml")</f>
        <v xml:space="preserve"> Palmers Coconut Oil Formula Body Lotion 400ml</v>
      </c>
      <c r="C4507" t="s">
        <v>92</v>
      </c>
      <c r="D4507" t="s">
        <v>115</v>
      </c>
    </row>
    <row r="4508" spans="1:4" x14ac:dyDescent="0.25">
      <c r="B4508" t="str">
        <f>HYPERLINK("https://www.chemistwarehouse.com.au/buy/78024/Palmers-Coconut-Oil-Formula-Body-Oil-150ml"," Palmers Coconut Oil Formula Body Oil 150ml")</f>
        <v xml:space="preserve"> Palmers Coconut Oil Formula Body Oil 150ml</v>
      </c>
      <c r="C4508" t="s">
        <v>92</v>
      </c>
      <c r="D4508" t="s">
        <v>115</v>
      </c>
    </row>
    <row r="4509" spans="1:4" x14ac:dyDescent="0.25">
      <c r="B4509" t="str">
        <f>HYPERLINK("https://www.chemistwarehouse.com.au/buy/76878/Palmers-Cocoa-Butter-Gentle-Facial-Cleansing-Oil-192ml"," Palmers Cocoa Butter Gentle Facial Cleansing Oil 192ml")</f>
        <v xml:space="preserve"> Palmers Cocoa Butter Gentle Facial Cleansing Oil 192ml</v>
      </c>
      <c r="C4509" t="s">
        <v>212</v>
      </c>
      <c r="D4509" t="s">
        <v>318</v>
      </c>
    </row>
    <row r="4510" spans="1:4" x14ac:dyDescent="0.25">
      <c r="B4510" t="str">
        <f>HYPERLINK("https://www.chemistwarehouse.com.au/buy/79139/Palmers-Skin-Perfecting-Moisturizing-Day-Cream-SPF15-15g"," Palmers Skin Perfecting Moisturizing Day Cream SPF15 15g")</f>
        <v xml:space="preserve"> Palmers Skin Perfecting Moisturizing Day Cream SPF15 15g</v>
      </c>
      <c r="C4510" t="s">
        <v>146</v>
      </c>
      <c r="D4510" t="s">
        <v>640</v>
      </c>
    </row>
    <row r="4511" spans="1:4" x14ac:dyDescent="0.25">
      <c r="B4511" t="str">
        <f>HYPERLINK("https://www.chemistwarehouse.com.au/buy/79137/Palmers-Creamy-Cleanser-amp-Makeup-Remover-15g"," Palmers Creamy Cleanser &amp; Makeup Remover 15g")</f>
        <v xml:space="preserve"> Palmers Creamy Cleanser &amp; Makeup Remover 15g</v>
      </c>
      <c r="C4511" t="s">
        <v>146</v>
      </c>
      <c r="D4511" t="s">
        <v>640</v>
      </c>
    </row>
    <row r="4512" spans="1:4" x14ac:dyDescent="0.25">
      <c r="B4512" t="str">
        <f>HYPERLINK("https://www.chemistwarehouse.com.au/buy/36533/Palmers-Cocoa-Butter-Formula-with-Vitamin-E-100g-Jar"," Palmers Cocoa Butter Formula with Vitamin E 100g Jar")</f>
        <v xml:space="preserve"> Palmers Cocoa Butter Formula with Vitamin E 100g Jar</v>
      </c>
      <c r="C4512" t="s">
        <v>610</v>
      </c>
      <c r="D4512" t="s">
        <v>241</v>
      </c>
    </row>
    <row r="4513" spans="1:4" x14ac:dyDescent="0.25">
      <c r="B4513" t="str">
        <f>HYPERLINK("https://www.chemistwarehouse.com.au/buy/36526/Palmers-Cocoa-Butter-Formula-Massage-Lotion-For-Stretch-Marks-250mL"," Palmers Cocoa Butter Formula Massage Lotion For Stretch Marks 250mL")</f>
        <v xml:space="preserve"> Palmers Cocoa Butter Formula Massage Lotion For Stretch Marks 250mL</v>
      </c>
      <c r="C4513" t="s">
        <v>237</v>
      </c>
      <c r="D4513" t="s">
        <v>115</v>
      </c>
    </row>
    <row r="4514" spans="1:4" x14ac:dyDescent="0.25">
      <c r="B4514" t="str">
        <f>HYPERLINK("https://www.chemistwarehouse.com.au/buy/63166/Palmers-Cocoa-Butter-Fragrance-Free-Hand-Cream-60g"," Palmers Cocoa Butter Fragrance Free Hand Cream 60g")</f>
        <v xml:space="preserve"> Palmers Cocoa Butter Fragrance Free Hand Cream 60g</v>
      </c>
      <c r="C4514" t="s">
        <v>146</v>
      </c>
      <c r="D4514" t="s">
        <v>1230</v>
      </c>
    </row>
    <row r="4515" spans="1:4" x14ac:dyDescent="0.25">
      <c r="B4515" t="str">
        <f>HYPERLINK("https://www.chemistwarehouse.com.au/buy/64275/Palmers-Cocoa-Butter-Formula-Skin-Therapy-Oil-150ml-with-Bonus-60ml"," Palmers Cocoa Butter Formula Skin Therapy Oil 150ml with Bonus 60ml")</f>
        <v xml:space="preserve"> Palmers Cocoa Butter Formula Skin Therapy Oil 150ml with Bonus 60ml</v>
      </c>
      <c r="C4515" t="s">
        <v>187</v>
      </c>
      <c r="D4515" t="s">
        <v>115</v>
      </c>
    </row>
    <row r="4516" spans="1:4" x14ac:dyDescent="0.25">
      <c r="B4516" t="str">
        <f>HYPERLINK("https://www.chemistwarehouse.com.au/buy/72591/Palmers-Cocoa-Butter-Moisturizing-Body-Wash-400ml"," Palmers Cocoa Butter Moisturizing Body Wash 400ml")</f>
        <v xml:space="preserve"> Palmers Cocoa Butter Moisturizing Body Wash 400ml</v>
      </c>
      <c r="C4516" t="s">
        <v>556</v>
      </c>
      <c r="D4516" t="s">
        <v>371</v>
      </c>
    </row>
    <row r="4517" spans="1:4" x14ac:dyDescent="0.25">
      <c r="B4517" t="str">
        <f>HYPERLINK("https://www.chemistwarehouse.com.au/buy/72592/Palmers-Coconut-Indulgent-Body-Wash-400ml"," Palmers Coconut Indulgent Body Wash 400ml")</f>
        <v xml:space="preserve"> Palmers Coconut Indulgent Body Wash 400ml</v>
      </c>
      <c r="C4517" t="s">
        <v>556</v>
      </c>
      <c r="D4517" t="s">
        <v>371</v>
      </c>
    </row>
    <row r="4518" spans="1:4" x14ac:dyDescent="0.25">
      <c r="B4518" t="str">
        <f>HYPERLINK("https://www.chemistwarehouse.com.au/buy/72595/Palmers-Shea-Butter-Nourishing-Body-Wash-400ml"," Palmers Shea Butter Nourishing Body Wash 400ml")</f>
        <v xml:space="preserve"> Palmers Shea Butter Nourishing Body Wash 400ml</v>
      </c>
      <c r="C4518" t="s">
        <v>556</v>
      </c>
      <c r="D4518" t="s">
        <v>371</v>
      </c>
    </row>
    <row r="4519" spans="1:4" x14ac:dyDescent="0.25">
      <c r="B4519" t="str">
        <f>HYPERLINK("https://www.chemistwarehouse.com.au/buy/72660/Palmers-Cocoa-Butter-50ml-Lotion"," Palmers Cocoa Butter 50ml Lotion")</f>
        <v xml:space="preserve"> Palmers Cocoa Butter 50ml Lotion</v>
      </c>
      <c r="C4519" t="s">
        <v>635</v>
      </c>
      <c r="D4519" t="s">
        <v>640</v>
      </c>
    </row>
    <row r="4520" spans="1:4" x14ac:dyDescent="0.25">
      <c r="B4520" t="str">
        <f>HYPERLINK("https://www.chemistwarehouse.com.au/buy/73194/Palmer-39-s-Cocoa-Butter-Purifying-Enzyme-Mask-120g"," Palmer's Cocoa Butter Purifying Enzyme Mask 120g")</f>
        <v xml:space="preserve"> Palmer's Cocoa Butter Purifying Enzyme Mask 120g</v>
      </c>
      <c r="C4520" t="s">
        <v>45</v>
      </c>
      <c r="D4520">
        <v>0</v>
      </c>
    </row>
    <row r="4521" spans="1:4" x14ac:dyDescent="0.25">
      <c r="B4521" t="str">
        <f>HYPERLINK("https://www.chemistwarehouse.com.au/buy/76876/Palmers-Shea-Formula-Moisturizing-Raw-Shea-Balm-100g"," Palmers Shea Formula Moisturizing Raw Shea Balm 100g")</f>
        <v xml:space="preserve"> Palmers Shea Formula Moisturizing Raw Shea Balm 100g</v>
      </c>
      <c r="C4521" t="s">
        <v>610</v>
      </c>
      <c r="D4521" t="s">
        <v>241</v>
      </c>
    </row>
    <row r="4522" spans="1:4" x14ac:dyDescent="0.25">
      <c r="B4522" t="str">
        <f>HYPERLINK("https://www.chemistwarehouse.com.au/buy/76877/Palmers-Shea-Formula-Moisturizing-Raw-Shea-Soap-100g"," Palmers Shea Formula Moisturizing Raw Shea Soap 100g")</f>
        <v xml:space="preserve"> Palmers Shea Formula Moisturizing Raw Shea Soap 100g</v>
      </c>
      <c r="C4522" t="s">
        <v>728</v>
      </c>
      <c r="D4522" t="s">
        <v>561</v>
      </c>
    </row>
    <row r="4523" spans="1:4" x14ac:dyDescent="0.25">
      <c r="B4523" t="str">
        <f>HYPERLINK("https://www.chemistwarehouse.com.au/buy/73189/Palmer-39-s-Cocoa-Butter-Micro-Fine-Exfoliating-Facial-Scrub-150g"," Palmer's Cocoa Butter Micro Fine Exfoliating Facial Scrub 150g")</f>
        <v xml:space="preserve"> Palmer's Cocoa Butter Micro Fine Exfoliating Facial Scrub 150g</v>
      </c>
      <c r="C4523" t="s">
        <v>45</v>
      </c>
      <c r="D4523">
        <v>0</v>
      </c>
    </row>
    <row r="4524" spans="1:4" x14ac:dyDescent="0.25">
      <c r="B4524" t="str">
        <f>HYPERLINK("https://www.chemistwarehouse.com.au/buy/73190/Palmer-39-s-Cocoa-Butter-Moisture-Rich-Night-Cream-75g"," Palmer's Cocoa Butter Moisture Rich Night Cream 75g")</f>
        <v xml:space="preserve"> Palmer's Cocoa Butter Moisture Rich Night Cream 75g</v>
      </c>
      <c r="C4524" t="s">
        <v>187</v>
      </c>
      <c r="D4524">
        <v>0</v>
      </c>
    </row>
    <row r="4525" spans="1:4" x14ac:dyDescent="0.25">
      <c r="A4525" t="s">
        <v>1231</v>
      </c>
    </row>
    <row r="4526" spans="1:4" x14ac:dyDescent="0.25">
      <c r="B4526" t="str">
        <f>HYPERLINK("https://www.chemistwarehouse.com.au/buy/58874/Innoxa-One-amp-All-Anti-Age-Hand-Cream-SPF15-75ml"," Innoxa One &amp; All Anti Age Hand Cream SPF15 75ml")</f>
        <v xml:space="preserve"> Innoxa One &amp; All Anti Age Hand Cream SPF15 75ml</v>
      </c>
      <c r="C4526" t="s">
        <v>483</v>
      </c>
      <c r="D4526" t="s">
        <v>147</v>
      </c>
    </row>
    <row r="4527" spans="1:4" x14ac:dyDescent="0.25">
      <c r="A4527" t="s">
        <v>1232</v>
      </c>
    </row>
    <row r="4528" spans="1:4" x14ac:dyDescent="0.25">
      <c r="B4528" t="str">
        <f>HYPERLINK("https://www.chemistwarehouse.com.au/buy/39991/Dr-LeWinn-39-s-Private-Formula-Firming-Eye-Cream-30g"," Dr LeWinn's Private Formula Firming Eye Cream 30g")</f>
        <v xml:space="preserve"> Dr LeWinn's Private Formula Firming Eye Cream 30g</v>
      </c>
      <c r="C4528" t="s">
        <v>469</v>
      </c>
      <c r="D4528" t="s">
        <v>658</v>
      </c>
    </row>
    <row r="4529" spans="2:4" x14ac:dyDescent="0.25">
      <c r="B4529" t="str">
        <f>HYPERLINK("https://www.chemistwarehouse.com.au/buy/69342/Dr-LeWinn-39-s-Ultra-R4-Eye-Repair-Cream-15g"," Dr LeWinn's Ultra R4 Eye Repair Cream 15g")</f>
        <v xml:space="preserve"> Dr LeWinn's Ultra R4 Eye Repair Cream 15g</v>
      </c>
      <c r="C4529" t="s">
        <v>1233</v>
      </c>
      <c r="D4529" t="s">
        <v>1234</v>
      </c>
    </row>
    <row r="4530" spans="2:4" x14ac:dyDescent="0.25">
      <c r="B4530" t="str">
        <f>HYPERLINK("https://www.chemistwarehouse.com.au/buy/68771/Dr-LeWinn-39-s-Refining-Toner-200ml"," Dr LeWinn's Refining Toner 200ml")</f>
        <v xml:space="preserve"> Dr LeWinn's Refining Toner 200ml</v>
      </c>
      <c r="C4530" t="s">
        <v>161</v>
      </c>
      <c r="D4530" t="s">
        <v>160</v>
      </c>
    </row>
    <row r="4531" spans="2:4" x14ac:dyDescent="0.25">
      <c r="B4531" t="str">
        <f>HYPERLINK("https://www.chemistwarehouse.com.au/buy/71810/Dr-LeWinns-Eternal-Youth-Day-amp-Night-Cream-50g"," Dr LeWinns Eternal Youth Day &amp; Night Cream 50g")</f>
        <v xml:space="preserve"> Dr LeWinns Eternal Youth Day &amp; Night Cream 50g</v>
      </c>
      <c r="C4531" t="s">
        <v>1235</v>
      </c>
      <c r="D4531" t="s">
        <v>1236</v>
      </c>
    </row>
    <row r="4532" spans="2:4" x14ac:dyDescent="0.25">
      <c r="B4532" t="str">
        <f>HYPERLINK("https://www.chemistwarehouse.com.au/buy/69346/Dr-LeWinn-39-s-Ultra-R4-Regenerative-Night-Cream-50g"," Dr LeWinn's Ultra R4 Regenerative Night Cream 50g")</f>
        <v xml:space="preserve"> Dr LeWinn's Ultra R4 Regenerative Night Cream 50g</v>
      </c>
      <c r="C4532" t="s">
        <v>1233</v>
      </c>
      <c r="D4532" t="s">
        <v>1234</v>
      </c>
    </row>
    <row r="4533" spans="2:4" x14ac:dyDescent="0.25">
      <c r="B4533" t="str">
        <f>HYPERLINK("https://www.chemistwarehouse.com.au/buy/69347/Dr-LeWinn-39-s-Line-Smoothing-Complex-S8-Double-Intensity-Night-Cream-30g"," Dr LeWinn's Line Smoothing Complex S8 Double Intensity Night Cream 30g")</f>
        <v xml:space="preserve"> Dr LeWinn's Line Smoothing Complex S8 Double Intensity Night Cream 30g</v>
      </c>
      <c r="C4533" t="s">
        <v>1233</v>
      </c>
      <c r="D4533" t="s">
        <v>1234</v>
      </c>
    </row>
    <row r="4534" spans="2:4" x14ac:dyDescent="0.25">
      <c r="B4534" t="str">
        <f>HYPERLINK("https://www.chemistwarehouse.com.au/buy/69594/Dr-LeWinn-39-s-Line-Smoothing-Complex-S8-Instant-Line-Eraser-Serum-30ml"," Dr LeWinn's Line Smoothing Complex S8 Instant Line Eraser Serum 30ml")</f>
        <v xml:space="preserve"> Dr LeWinn's Line Smoothing Complex S8 Instant Line Eraser Serum 30ml</v>
      </c>
      <c r="C4534" t="s">
        <v>1233</v>
      </c>
      <c r="D4534" t="s">
        <v>1234</v>
      </c>
    </row>
    <row r="4535" spans="2:4" x14ac:dyDescent="0.25">
      <c r="B4535" t="str">
        <f>HYPERLINK("https://www.chemistwarehouse.com.au/buy/69595/Dr-LeWinn-39-s-Ultra-R4-Ultimate-Lift-Serum-30ml"," Dr LeWinn's Ultra R4 Ultimate Lift Serum 30ml")</f>
        <v xml:space="preserve"> Dr LeWinn's Ultra R4 Ultimate Lift Serum 30ml</v>
      </c>
      <c r="C4535" t="s">
        <v>1233</v>
      </c>
      <c r="D4535" t="s">
        <v>1234</v>
      </c>
    </row>
    <row r="4536" spans="2:4" x14ac:dyDescent="0.25">
      <c r="B4536" t="str">
        <f>HYPERLINK("https://www.chemistwarehouse.com.au/buy/69808/Dr-LeWinn-39-s-Private-Formula-Miracle-Renewal-Serum-30ml"," Dr LeWinn's Private Formula Miracle Renewal Serum 30ml")</f>
        <v xml:space="preserve"> Dr LeWinn's Private Formula Miracle Renewal Serum 30ml</v>
      </c>
      <c r="C4536" t="s">
        <v>469</v>
      </c>
      <c r="D4536" t="s">
        <v>658</v>
      </c>
    </row>
    <row r="4537" spans="2:4" x14ac:dyDescent="0.25">
      <c r="B4537" t="str">
        <f>HYPERLINK("https://www.chemistwarehouse.com.au/buy/69343/Dr-LeWinn-39-s-Line-Smoothing-Complex-S8-Eye-Recovery-Complex-15g"," Dr LeWinn's Line Smoothing Complex S8 Eye Recovery Complex 15g")</f>
        <v xml:space="preserve"> Dr LeWinn's Line Smoothing Complex S8 Eye Recovery Complex 15g</v>
      </c>
      <c r="C4537" t="s">
        <v>1233</v>
      </c>
      <c r="D4537" t="s">
        <v>1234</v>
      </c>
    </row>
    <row r="4538" spans="2:4" x14ac:dyDescent="0.25">
      <c r="B4538" t="str">
        <f>HYPERLINK("https://www.chemistwarehouse.com.au/buy/69344/Dr-LeWinn-39-s-Ultra-R4-Restorative-Cream-50g"," Dr LeWinn's Ultra R4 Restorative Cream 50g")</f>
        <v xml:space="preserve"> Dr LeWinn's Ultra R4 Restorative Cream 50g</v>
      </c>
      <c r="C4538" t="s">
        <v>1233</v>
      </c>
      <c r="D4538" t="s">
        <v>1234</v>
      </c>
    </row>
    <row r="4539" spans="2:4" x14ac:dyDescent="0.25">
      <c r="B4539" t="str">
        <f>HYPERLINK("https://www.chemistwarehouse.com.au/buy/69345/Dr-LeWinn-39-s-Line-Smoothing-Complex-S8-Hydrating-Day-Cream-30g"," Dr LeWinn's Line Smoothing Complex S8 Hydrating Day Cream 30g")</f>
        <v xml:space="preserve"> Dr LeWinn's Line Smoothing Complex S8 Hydrating Day Cream 30g</v>
      </c>
      <c r="C4539" t="s">
        <v>1233</v>
      </c>
      <c r="D4539" t="s">
        <v>1234</v>
      </c>
    </row>
    <row r="4540" spans="2:4" x14ac:dyDescent="0.25">
      <c r="B4540" t="str">
        <f>HYPERLINK("https://www.chemistwarehouse.com.au/buy/39992/Dr-LeWinn-39-s-Facial-Polishing-Gel-150g"," Dr LeWinn's Facial Polishing Gel 150g")</f>
        <v xml:space="preserve"> Dr LeWinn's Facial Polishing Gel 150g</v>
      </c>
      <c r="C4540" t="s">
        <v>338</v>
      </c>
      <c r="D4540" t="s">
        <v>1237</v>
      </c>
    </row>
    <row r="4541" spans="2:4" x14ac:dyDescent="0.25">
      <c r="B4541" t="str">
        <f>HYPERLINK("https://www.chemistwarehouse.com.au/buy/39993/Dr-LeWinn-39-s-Private-Formula-Vitamin-A-Rejuvenation-Cream-56g"," Dr LeWinn's Private Formula Vitamin A Rejuvenation Cream 56g")</f>
        <v xml:space="preserve"> Dr LeWinn's Private Formula Vitamin A Rejuvenation Cream 56g</v>
      </c>
      <c r="C4541" t="s">
        <v>469</v>
      </c>
      <c r="D4541" t="s">
        <v>658</v>
      </c>
    </row>
    <row r="4542" spans="2:4" x14ac:dyDescent="0.25">
      <c r="B4542" t="str">
        <f>HYPERLINK("https://www.chemistwarehouse.com.au/buy/41135/Dr-LeWinn-39-s-Private-Formula-Day-Cream-Moisturiser-113g"," Dr LeWinn's Private Formula Day Cream Moisturiser 113g")</f>
        <v xml:space="preserve"> Dr LeWinn's Private Formula Day Cream Moisturiser 113g</v>
      </c>
      <c r="C4542" t="s">
        <v>168</v>
      </c>
      <c r="D4542" t="s">
        <v>1238</v>
      </c>
    </row>
    <row r="4543" spans="2:4" x14ac:dyDescent="0.25">
      <c r="B4543" t="str">
        <f>HYPERLINK("https://www.chemistwarehouse.com.au/buy/42560/Dr-LeWinn-39-s-Private-Formula-Advanced-Night-Cream-56g"," Dr LeWinn's Private Formula Advanced Night Cream 56g")</f>
        <v xml:space="preserve"> Dr LeWinn's Private Formula Advanced Night Cream 56g</v>
      </c>
      <c r="C4543" t="s">
        <v>469</v>
      </c>
      <c r="D4543" t="s">
        <v>658</v>
      </c>
    </row>
    <row r="4544" spans="2:4" x14ac:dyDescent="0.25">
      <c r="B4544" t="str">
        <f>HYPERLINK("https://www.chemistwarehouse.com.au/buy/49024/Dr-LeWinn-39-s-Private-Formula-Hand-amp-Nail-Cream-100g"," Dr LeWinn's Private Formula Hand &amp; Nail Cream 100g")</f>
        <v xml:space="preserve"> Dr LeWinn's Private Formula Hand &amp; Nail Cream 100g</v>
      </c>
      <c r="C4544" t="s">
        <v>443</v>
      </c>
      <c r="D4544" t="s">
        <v>821</v>
      </c>
    </row>
    <row r="4545" spans="1:4" x14ac:dyDescent="0.25">
      <c r="B4545" t="str">
        <f>HYPERLINK("https://www.chemistwarehouse.com.au/buy/52963/Dr-LeWinn-39-s-Private-Formula-Oil-Free-Day-amp-Night-Cream-56g"," Dr LeWinn's Private Formula Oil Free Day &amp; Night Cream 56g")</f>
        <v xml:space="preserve"> Dr LeWinn's Private Formula Oil Free Day &amp; Night Cream 56g</v>
      </c>
      <c r="C4545" t="s">
        <v>469</v>
      </c>
      <c r="D4545" t="s">
        <v>658</v>
      </c>
    </row>
    <row r="4546" spans="1:4" x14ac:dyDescent="0.25">
      <c r="B4546" t="str">
        <f>HYPERLINK("https://www.chemistwarehouse.com.au/buy/68769/Dr-LeWinn-39-s-Foaming-Cleanser-200ml"," Dr LeWinn's Foaming Cleanser 200ml")</f>
        <v xml:space="preserve"> Dr LeWinn's Foaming Cleanser 200ml</v>
      </c>
      <c r="C4546" t="s">
        <v>161</v>
      </c>
      <c r="D4546" t="s">
        <v>160</v>
      </c>
    </row>
    <row r="4547" spans="1:4" x14ac:dyDescent="0.25">
      <c r="B4547" t="str">
        <f>HYPERLINK("https://www.chemistwarehouse.com.au/buy/68770/Dr-LeWinn-39-s-Gentle-Cream-Cleanser-200ml"," Dr LeWinn's Gentle Cream Cleanser 200ml")</f>
        <v xml:space="preserve"> Dr LeWinn's Gentle Cream Cleanser 200ml</v>
      </c>
      <c r="C4547" t="s">
        <v>161</v>
      </c>
      <c r="D4547" t="s">
        <v>160</v>
      </c>
    </row>
    <row r="4548" spans="1:4" x14ac:dyDescent="0.25">
      <c r="B4548" t="str">
        <f>HYPERLINK("https://www.chemistwarehouse.com.au/buy/73722/Dr-Lewinns-Eternal-Youth-day-and-Night-Serum-30ml"," Dr Lewinns Eternal Youth day and Night Serum 30ml ")</f>
        <v xml:space="preserve"> Dr Lewinns Eternal Youth day and Night Serum 30ml </v>
      </c>
      <c r="C4548" t="s">
        <v>1235</v>
      </c>
      <c r="D4548" t="s">
        <v>1236</v>
      </c>
    </row>
    <row r="4549" spans="1:4" x14ac:dyDescent="0.25">
      <c r="B4549" t="str">
        <f>HYPERLINK("https://www.chemistwarehouse.com.au/buy/75100/Dr-LeWinns-Day-Cream-Light-SPF15-50ml"," Dr LeWinns Day Cream Light SPF15 50ml")</f>
        <v xml:space="preserve"> Dr LeWinns Day Cream Light SPF15 50ml</v>
      </c>
      <c r="C4549" t="s">
        <v>469</v>
      </c>
      <c r="D4549" t="s">
        <v>658</v>
      </c>
    </row>
    <row r="4550" spans="1:4" x14ac:dyDescent="0.25">
      <c r="B4550" t="str">
        <f>HYPERLINK("https://www.chemistwarehouse.com.au/buy/75638/Dr-Lewinns-Eternal-Youth-Day-and-Night-Eye-Cream-15g"," Dr Lewinns Eternal Youth Day and Night Eye Cream 15g")</f>
        <v xml:space="preserve"> Dr Lewinns Eternal Youth Day and Night Eye Cream 15g</v>
      </c>
      <c r="C4550" t="s">
        <v>1235</v>
      </c>
      <c r="D4550" t="s">
        <v>1236</v>
      </c>
    </row>
    <row r="4551" spans="1:4" x14ac:dyDescent="0.25">
      <c r="B4551" t="str">
        <f>HYPERLINK("https://www.chemistwarehouse.com.au/buy/76889/Dr-Lewinns-Eternal-Youth-Luminosity-Day-and-Night-Cream-50g"," Dr Lewinns Eternal Youth Luminosity Day and Night Cream 50g")</f>
        <v xml:space="preserve"> Dr Lewinns Eternal Youth Luminosity Day and Night Cream 50g</v>
      </c>
      <c r="C4551" t="s">
        <v>1235</v>
      </c>
      <c r="D4551" t="s">
        <v>1236</v>
      </c>
    </row>
    <row r="4552" spans="1:4" x14ac:dyDescent="0.25">
      <c r="A4552" t="s">
        <v>1239</v>
      </c>
    </row>
    <row r="4553" spans="1:4" x14ac:dyDescent="0.25">
      <c r="B4553" t="str">
        <f>HYPERLINK("https://www.chemistwarehouse.com.au/buy/53843/Elizabeth-Arden-Good-Nights-Sleep-Restoring-Cream-50ml"," Elizabeth Arden Good Nights Sleep Restoring Cream 50ml")</f>
        <v xml:space="preserve"> Elizabeth Arden Good Nights Sleep Restoring Cream 50ml</v>
      </c>
      <c r="C4553" t="s">
        <v>10</v>
      </c>
      <c r="D4553" t="s">
        <v>1240</v>
      </c>
    </row>
    <row r="4554" spans="1:4" x14ac:dyDescent="0.25">
      <c r="B4554" t="str">
        <f>HYPERLINK("https://www.chemistwarehouse.com.au/buy/53641/Elizabeth-Arden-Visible-Difference-Cream-75mL"," Elizabeth Arden Visible Difference Cream 75mL")</f>
        <v xml:space="preserve"> Elizabeth Arden Visible Difference Cream 75mL</v>
      </c>
      <c r="C4554" t="s">
        <v>10</v>
      </c>
      <c r="D4554" t="s">
        <v>853</v>
      </c>
    </row>
    <row r="4555" spans="1:4" x14ac:dyDescent="0.25">
      <c r="B4555" t="str">
        <f>HYPERLINK("https://www.chemistwarehouse.com.au/buy/53630/Elizabeth-Arden-Millenium-Night-Renewal-Cream-50mL"," Elizabeth Arden Millenium Night Renewal Cream 50mL")</f>
        <v xml:space="preserve"> Elizabeth Arden Millenium Night Renewal Cream 50mL</v>
      </c>
      <c r="C4555" t="s">
        <v>297</v>
      </c>
      <c r="D4555" t="s">
        <v>1241</v>
      </c>
    </row>
    <row r="4556" spans="1:4" x14ac:dyDescent="0.25">
      <c r="B4556" t="str">
        <f>HYPERLINK("https://www.chemistwarehouse.com.au/buy/81674/Elizabeth-Arden-Ceramide-Daily-Youth-Restoring-Face-and-Eye-60-Capsules"," Elizabeth Arden Ceramide Daily Youth Restoring Face and Eye 60 Capsules")</f>
        <v xml:space="preserve"> Elizabeth Arden Ceramide Daily Youth Restoring Face and Eye 60 Capsules</v>
      </c>
      <c r="C4556" t="s">
        <v>276</v>
      </c>
      <c r="D4556">
        <v>0</v>
      </c>
    </row>
    <row r="4557" spans="1:4" x14ac:dyDescent="0.25">
      <c r="B4557" t="str">
        <f>HYPERLINK("https://www.chemistwarehouse.com.au/buy/78543/Elizabeth-Arden-Millenium-Day-Renewal-Emulsion-75ml"," Elizabeth Arden Millenium Day Renewal Emulsion 75ml")</f>
        <v xml:space="preserve"> Elizabeth Arden Millenium Day Renewal Emulsion 75ml</v>
      </c>
      <c r="C4557" t="s">
        <v>123</v>
      </c>
      <c r="D4557" t="s">
        <v>1242</v>
      </c>
    </row>
    <row r="4558" spans="1:4" x14ac:dyDescent="0.25">
      <c r="B4558" t="str">
        <f>HYPERLINK("https://www.chemistwarehouse.com.au/buy/78542/Elizabeth-Arden-Millenium-Eye-Renewal-Cream-15ml"," Elizabeth Arden Millenium Eye Renewal Cream 15ml")</f>
        <v xml:space="preserve"> Elizabeth Arden Millenium Eye Renewal Cream 15ml</v>
      </c>
      <c r="C4558" t="s">
        <v>6</v>
      </c>
      <c r="D4558" t="s">
        <v>510</v>
      </c>
    </row>
    <row r="4559" spans="1:4" x14ac:dyDescent="0.25">
      <c r="B4559" t="str">
        <f>HYPERLINK("https://www.chemistwarehouse.com.au/buy/78541/Elizabeth-Arden-Perpetual-Moisture-Lotion-50ml"," Elizabeth Arden Perpetual Moisture Lotion 50ml")</f>
        <v xml:space="preserve"> Elizabeth Arden Perpetual Moisture Lotion 50ml</v>
      </c>
      <c r="C4559" t="s">
        <v>161</v>
      </c>
      <c r="D4559" t="s">
        <v>1243</v>
      </c>
    </row>
    <row r="4560" spans="1:4" x14ac:dyDescent="0.25">
      <c r="B4560" t="str">
        <f>HYPERLINK("https://www.chemistwarehouse.com.au/buy/81911/Elizabeth-Arden-8-Hour-Cream-30ml-amp-Ceramide-Face-amp-Neck-Capsules-7-Duo-Gift-Set"," Elizabeth Arden 8 Hour Cream 30ml &amp; Ceramide Face &amp; Neck Capsules 7 Duo Gift Set")</f>
        <v xml:space="preserve"> Elizabeth Arden 8 Hour Cream 30ml &amp; Ceramide Face &amp; Neck Capsules 7 Duo Gift Set</v>
      </c>
      <c r="C4560" t="s">
        <v>1</v>
      </c>
      <c r="D4560">
        <v>0</v>
      </c>
    </row>
    <row r="4561" spans="1:4" x14ac:dyDescent="0.25">
      <c r="A4561" t="s">
        <v>1244</v>
      </c>
    </row>
    <row r="4562" spans="1:4" x14ac:dyDescent="0.25">
      <c r="B4562" t="str">
        <f>HYPERLINK("https://www.chemistwarehouse.com.au/buy/71249/Vaseline-Intensive-Care-Spray-amp-Go-Moisturiser-Aloe-190g"," Vaseline Intensive Care Spray &amp; Go Moisturiser Aloe 190g")</f>
        <v xml:space="preserve"> Vaseline Intensive Care Spray &amp; Go Moisturiser Aloe 190g</v>
      </c>
      <c r="C4562" t="s">
        <v>240</v>
      </c>
      <c r="D4562" t="s">
        <v>561</v>
      </c>
    </row>
    <row r="4563" spans="1:4" x14ac:dyDescent="0.25">
      <c r="B4563" t="str">
        <f>HYPERLINK("https://www.chemistwarehouse.com.au/buy/71250/Vaseline-Intensive-Care-Spray-amp-Go-Moisturiser-Cocoa-190g"," Vaseline Intensive Care Spray &amp; Go Moisturiser Cocoa 190g")</f>
        <v xml:space="preserve"> Vaseline Intensive Care Spray &amp; Go Moisturiser Cocoa 190g</v>
      </c>
      <c r="C4563" t="s">
        <v>240</v>
      </c>
      <c r="D4563" t="s">
        <v>561</v>
      </c>
    </row>
    <row r="4564" spans="1:4" x14ac:dyDescent="0.25">
      <c r="B4564" t="str">
        <f>HYPERLINK("https://www.chemistwarehouse.com.au/buy/71251/Vaseline-Intensive-Care-Spray-amp-Go-Moisturiser-Dry-Skin-190g"," Vaseline Intensive Care Spray &amp; Go Moisturiser Dry Skin 190g")</f>
        <v xml:space="preserve"> Vaseline Intensive Care Spray &amp; Go Moisturiser Dry Skin 190g</v>
      </c>
      <c r="C4564" t="s">
        <v>240</v>
      </c>
      <c r="D4564" t="s">
        <v>561</v>
      </c>
    </row>
    <row r="4565" spans="1:4" x14ac:dyDescent="0.25">
      <c r="B4565" t="str">
        <f>HYPERLINK("https://www.chemistwarehouse.com.au/buy/80131/Vaseline-Intensive-Care-Spray-and-Go-Moisturiser-Fragrance-Free-190g"," Vaseline Intensive Care Spray and Go Moisturiser Fragrance Free 190g")</f>
        <v xml:space="preserve"> Vaseline Intensive Care Spray and Go Moisturiser Fragrance Free 190g</v>
      </c>
      <c r="C4565" t="s">
        <v>240</v>
      </c>
      <c r="D4565" t="s">
        <v>561</v>
      </c>
    </row>
    <row r="4566" spans="1:4" x14ac:dyDescent="0.25">
      <c r="A4566" t="s">
        <v>1245</v>
      </c>
    </row>
    <row r="4567" spans="1:4" x14ac:dyDescent="0.25">
      <c r="B4567" t="str">
        <f>HYPERLINK("https://www.chemistwarehouse.com.au/buy/74377/Lancome-Gel-Eclat-125ml"," Lancome Gel Eclat 125ml")</f>
        <v xml:space="preserve"> Lancome Gel Eclat 125ml</v>
      </c>
      <c r="C4567" t="s">
        <v>1246</v>
      </c>
      <c r="D4567">
        <v>0</v>
      </c>
    </row>
    <row r="4568" spans="1:4" x14ac:dyDescent="0.25">
      <c r="B4568" t="str">
        <f>HYPERLINK("https://www.chemistwarehouse.com.au/buy/74378/Lancome-Genifique-Youth-Activating-Concentrate-50ml"," Lancome Genifique Youth Activating Concentrate 50ml")</f>
        <v xml:space="preserve"> Lancome Genifique Youth Activating Concentrate 50ml</v>
      </c>
      <c r="C4568" t="s">
        <v>1247</v>
      </c>
      <c r="D4568">
        <v>0</v>
      </c>
    </row>
    <row r="4569" spans="1:4" x14ac:dyDescent="0.25">
      <c r="B4569" t="str">
        <f>HYPERLINK("https://www.chemistwarehouse.com.au/buy/74379/Lancome-Hydrazen-Cream-50ml"," Lancome Hydrazen Cream 50ml")</f>
        <v xml:space="preserve"> Lancome Hydrazen Cream 50ml</v>
      </c>
      <c r="C4569" t="s">
        <v>1248</v>
      </c>
      <c r="D4569">
        <v>0</v>
      </c>
    </row>
    <row r="4570" spans="1:4" x14ac:dyDescent="0.25">
      <c r="B4570" t="str">
        <f>HYPERLINK("https://www.chemistwarehouse.com.au/buy/74380/Lancome-Visionnaire-Advanced-Skin-Corrector-50ml"," Lancome Visionnaire Advanced Skin Corrector 50ml")</f>
        <v xml:space="preserve"> Lancome Visionnaire Advanced Skin Corrector 50ml</v>
      </c>
      <c r="C4570" t="s">
        <v>1249</v>
      </c>
      <c r="D4570" t="s">
        <v>303</v>
      </c>
    </row>
    <row r="4571" spans="1:4" x14ac:dyDescent="0.25">
      <c r="B4571" t="str">
        <f>HYPERLINK("https://www.chemistwarehouse.com.au/buy/74910/Lancome-Mousse-Confort-125ml"," Lancome Mousse Confort 125ml")</f>
        <v xml:space="preserve"> Lancome Mousse Confort 125ml</v>
      </c>
      <c r="C4571" t="s">
        <v>1246</v>
      </c>
      <c r="D4571">
        <v>0</v>
      </c>
    </row>
    <row r="4572" spans="1:4" x14ac:dyDescent="0.25">
      <c r="B4572" t="str">
        <f>HYPERLINK("https://www.chemistwarehouse.com.au/buy/73266/Lancome-Bi-Facil-Waterproof-Eye-Makeup-Remover125mL"," Lancome Bi-Facil Waterproof Eye Makeup Remover125mL")</f>
        <v xml:space="preserve"> Lancome Bi-Facil Waterproof Eye Makeup Remover125mL</v>
      </c>
      <c r="C4572" t="s">
        <v>1250</v>
      </c>
      <c r="D4572">
        <v>0</v>
      </c>
    </row>
    <row r="4573" spans="1:4" x14ac:dyDescent="0.25">
      <c r="B4573" t="str">
        <f>HYPERLINK("https://www.chemistwarehouse.com.au/buy/79603/Lancome-Hypnose-Mascara-Drama-Waterproof-Noir"," Lancome Hypnose Mascara Drama Waterproof Noir")</f>
        <v xml:space="preserve"> Lancome Hypnose Mascara Drama Waterproof Noir</v>
      </c>
      <c r="C4573" t="s">
        <v>6</v>
      </c>
      <c r="D4573">
        <v>0</v>
      </c>
    </row>
    <row r="4574" spans="1:4" x14ac:dyDescent="0.25">
      <c r="B4574" t="str">
        <f>HYPERLINK("https://www.chemistwarehouse.com.au/buy/79604/Lancome-Hypnose-Precious-Cells-Mascara-01"," Lancome Hypnose Precious Cells Mascara 01")</f>
        <v xml:space="preserve"> Lancome Hypnose Precious Cells Mascara 01</v>
      </c>
      <c r="C4574" t="s">
        <v>1251</v>
      </c>
      <c r="D4574">
        <v>0</v>
      </c>
    </row>
    <row r="4575" spans="1:4" x14ac:dyDescent="0.25">
      <c r="B4575" t="str">
        <f>HYPERLINK("https://www.chemistwarehouse.com.au/buy/73267/Lancome-Galatee-Confort-200ml"," Lancome Galatee Confort 200ml")</f>
        <v xml:space="preserve"> Lancome Galatee Confort 200ml</v>
      </c>
      <c r="C4575" t="s">
        <v>1252</v>
      </c>
      <c r="D4575">
        <v>0</v>
      </c>
    </row>
    <row r="4576" spans="1:4" x14ac:dyDescent="0.25">
      <c r="B4576" t="str">
        <f>HYPERLINK("https://www.chemistwarehouse.com.au/buy/75304/Lancome-Bifacial-125ml-Duo-Pack"," Lancome Bifacial 125ml Duo Pack")</f>
        <v xml:space="preserve"> Lancome Bifacial 125ml Duo Pack</v>
      </c>
      <c r="C4576" t="s">
        <v>614</v>
      </c>
      <c r="D4576">
        <v>0</v>
      </c>
    </row>
    <row r="4577" spans="1:4" x14ac:dyDescent="0.25">
      <c r="B4577" t="str">
        <f>HYPERLINK("https://www.chemistwarehouse.com.au/buy/75305/Lancome-Hydrazen-Neocalm-Day-amp-Night-Cream-50ml-Pack"," Lancome Hydrazen Neocalm Day &amp; Night Cream 50ml Pack")</f>
        <v xml:space="preserve"> Lancome Hydrazen Neocalm Day &amp; Night Cream 50ml Pack</v>
      </c>
      <c r="C4577" t="s">
        <v>750</v>
      </c>
      <c r="D4577">
        <v>0</v>
      </c>
    </row>
    <row r="4578" spans="1:4" x14ac:dyDescent="0.25">
      <c r="B4578" t="str">
        <f>HYPERLINK("https://www.chemistwarehouse.com.au/buy/78362/Lancome-Grandiose-Mascara-Noir"," Lancome Grandiose Mascara Noir")</f>
        <v xml:space="preserve"> Lancome Grandiose Mascara Noir</v>
      </c>
      <c r="C4578" t="s">
        <v>166</v>
      </c>
      <c r="D4578">
        <v>0</v>
      </c>
    </row>
    <row r="4579" spans="1:4" x14ac:dyDescent="0.25">
      <c r="B4579" t="str">
        <f>HYPERLINK("https://www.chemistwarehouse.com.au/buy/79602/Lancome-Gloss-In-Love-Lipglaze-391-Flash-N-Fuchsia"," Lancome Gloss In Love Lipglaze 391 Flash N Fuchsia")</f>
        <v xml:space="preserve"> Lancome Gloss In Love Lipglaze 391 Flash N Fuchsia</v>
      </c>
      <c r="C4579" t="s">
        <v>215</v>
      </c>
      <c r="D4579">
        <v>0</v>
      </c>
    </row>
    <row r="4580" spans="1:4" x14ac:dyDescent="0.25">
      <c r="A4580" t="s">
        <v>1253</v>
      </c>
    </row>
    <row r="4581" spans="1:4" x14ac:dyDescent="0.25">
      <c r="B4581" t="str">
        <f>HYPERLINK("https://www.chemistwarehouse.com.au/buy/64495/Dove-Body-Lotion-Essentials-Intense-400ml"," Dove Body Lotion Essentials Intense 400ml")</f>
        <v xml:space="preserve"> Dove Body Lotion Essentials Intense 400ml</v>
      </c>
      <c r="C4581" t="s">
        <v>554</v>
      </c>
      <c r="D4581" t="s">
        <v>1086</v>
      </c>
    </row>
    <row r="4582" spans="1:4" x14ac:dyDescent="0.25">
      <c r="B4582" t="str">
        <f>HYPERLINK("https://www.chemistwarehouse.com.au/buy/59036/Dove-Body-Silk-Cream-300ml"," Dove Body Silk Cream 300ml")</f>
        <v xml:space="preserve"> Dove Body Silk Cream 300ml</v>
      </c>
      <c r="C4582" t="s">
        <v>556</v>
      </c>
      <c r="D4582" t="s">
        <v>162</v>
      </c>
    </row>
    <row r="4583" spans="1:4" x14ac:dyDescent="0.25">
      <c r="B4583" t="str">
        <f>HYPERLINK("https://www.chemistwarehouse.com.au/buy/54092/Dove-Body-Wash-Gentle-Exfoliating-Body-Wash-375ml"," Dove Body Wash Gentle Exfoliating Body Wash 375ml")</f>
        <v xml:space="preserve"> Dove Body Wash Gentle Exfoliating Body Wash 375ml</v>
      </c>
      <c r="C4583" t="s">
        <v>116</v>
      </c>
      <c r="D4583" t="s">
        <v>1254</v>
      </c>
    </row>
    <row r="4584" spans="1:4" x14ac:dyDescent="0.25">
      <c r="B4584" t="str">
        <f>HYPERLINK("https://www.chemistwarehouse.com.au/buy/78083/Dove-Body-Lotion-Purely-Pampering-250ml"," Dove Body Lotion Purely Pampering 250ml")</f>
        <v xml:space="preserve"> Dove Body Lotion Purely Pampering 250ml</v>
      </c>
      <c r="C4584" t="s">
        <v>146</v>
      </c>
      <c r="D4584">
        <v>0</v>
      </c>
    </row>
    <row r="4585" spans="1:4" x14ac:dyDescent="0.25">
      <c r="B4585" t="str">
        <f>HYPERLINK("https://www.chemistwarehouse.com.au/buy/81366/Dove-Rich-Nourishing-Cream-250ml"," Dove Rich Nourishing Cream 250ml")</f>
        <v xml:space="preserve"> Dove Rich Nourishing Cream 250ml</v>
      </c>
      <c r="C4585" t="s">
        <v>556</v>
      </c>
      <c r="D4585">
        <v>0</v>
      </c>
    </row>
    <row r="4586" spans="1:4" x14ac:dyDescent="0.25">
      <c r="B4586" t="str">
        <f>HYPERLINK("https://www.chemistwarehouse.com.au/buy/64496/Dove-Body-Lotion-Essential-Nourishment-Dry-Skin-400ml"," Dove Body Lotion Essential Nourishment Dry Skin 400ml")</f>
        <v xml:space="preserve"> Dove Body Lotion Essential Nourishment Dry Skin 400ml</v>
      </c>
      <c r="C4586" t="s">
        <v>554</v>
      </c>
      <c r="D4586" t="s">
        <v>1086</v>
      </c>
    </row>
    <row r="4587" spans="1:4" x14ac:dyDescent="0.25">
      <c r="B4587" t="str">
        <f>HYPERLINK("https://www.chemistwarehouse.com.au/buy/64830/Dove-Body-Lotion-Essentials-Shea-Butter-400ml"," Dove Body Lotion Essentials Shea Butter 400ml")</f>
        <v xml:space="preserve"> Dove Body Lotion Essentials Shea Butter 400ml</v>
      </c>
      <c r="C4587" t="s">
        <v>554</v>
      </c>
      <c r="D4587" t="s">
        <v>1086</v>
      </c>
    </row>
    <row r="4588" spans="1:4" x14ac:dyDescent="0.25">
      <c r="B4588" t="str">
        <f>HYPERLINK("https://www.chemistwarehouse.com.au/buy/72168/Dove-Purely-Pampering-Shea-Butter-Body-Cream-300ml"," Dove Purely Pampering Shea Butter Body Cream 300ml")</f>
        <v xml:space="preserve"> Dove Purely Pampering Shea Butter Body Cream 300ml</v>
      </c>
      <c r="C4588" t="s">
        <v>556</v>
      </c>
      <c r="D4588" t="s">
        <v>162</v>
      </c>
    </row>
    <row r="4589" spans="1:4" x14ac:dyDescent="0.25">
      <c r="B4589" t="str">
        <f>HYPERLINK("https://www.chemistwarehouse.com.au/buy/73288/Dove-Triple-Moisturising-Deeply-Nourishing-Body-Wash-1-Litre"," Dove Triple Moisturising Deeply Nourishing Body Wash 1 Litre ")</f>
        <v xml:space="preserve"> Dove Triple Moisturising Deeply Nourishing Body Wash 1 Litre </v>
      </c>
      <c r="C4589" t="s">
        <v>45</v>
      </c>
      <c r="D4589" t="s">
        <v>115</v>
      </c>
    </row>
    <row r="4590" spans="1:4" x14ac:dyDescent="0.25">
      <c r="B4590" t="str">
        <f>HYPERLINK("https://www.chemistwarehouse.com.au/buy/73289/Dove-Go-Fresh-Cucumber-amp-Green-Tea-Nourishing-Body-Wash-1-Litre"," Dove Go Fresh Cucumber &amp; Green Tea Nourishing Body Wash 1 Litre")</f>
        <v xml:space="preserve"> Dove Go Fresh Cucumber &amp; Green Tea Nourishing Body Wash 1 Litre</v>
      </c>
      <c r="C4590" t="s">
        <v>45</v>
      </c>
      <c r="D4590" t="s">
        <v>115</v>
      </c>
    </row>
    <row r="4591" spans="1:4" x14ac:dyDescent="0.25">
      <c r="B4591" t="str">
        <f>HYPERLINK("https://www.chemistwarehouse.com.au/buy/75253/Dove-Deodorant-Go-Fresh-Cucumber-250ml"," Dove Deodorant Go Fresh Cucumber 250ml")</f>
        <v xml:space="preserve"> Dove Deodorant Go Fresh Cucumber 250ml</v>
      </c>
      <c r="C4591" t="s">
        <v>483</v>
      </c>
      <c r="D4591">
        <v>0</v>
      </c>
    </row>
    <row r="4592" spans="1:4" x14ac:dyDescent="0.25">
      <c r="B4592" t="str">
        <f>HYPERLINK("https://www.chemistwarehouse.com.au/buy/77809/Dove-Hand-Cream-Intensive-Nourishing-75ml"," Dove Hand Cream Intensive Nourishing 75ml")</f>
        <v xml:space="preserve"> Dove Hand Cream Intensive Nourishing 75ml</v>
      </c>
      <c r="C4592" t="s">
        <v>146</v>
      </c>
      <c r="D4592">
        <v>0</v>
      </c>
    </row>
    <row r="4593" spans="1:4" x14ac:dyDescent="0.25">
      <c r="B4593" t="str">
        <f>HYPERLINK("https://www.chemistwarehouse.com.au/buy/78065/Dove-Summer-Glow-Dark-700ml"," Dove Summer Glow Dark 700ml")</f>
        <v xml:space="preserve"> Dove Summer Glow Dark 700ml</v>
      </c>
      <c r="C4593" t="s">
        <v>45</v>
      </c>
      <c r="D4593" t="s">
        <v>1255</v>
      </c>
    </row>
    <row r="4594" spans="1:4" x14ac:dyDescent="0.25">
      <c r="B4594" t="str">
        <f>HYPERLINK("https://www.chemistwarehouse.com.au/buy/78082/Dove-Body-Lotion-Nourishing-250ml"," Dove Body Lotion Nourishing 250ml")</f>
        <v xml:space="preserve"> Dove Body Lotion Nourishing 250ml</v>
      </c>
      <c r="C4594" t="s">
        <v>146</v>
      </c>
      <c r="D4594">
        <v>0</v>
      </c>
    </row>
    <row r="4595" spans="1:4" x14ac:dyDescent="0.25">
      <c r="B4595" t="str">
        <f>HYPERLINK("https://www.chemistwarehouse.com.au/buy/68484/Dove-Body-Lotion-Hydro-Nourishment-250ml"," Dove Body Lotion Hydro Nourishment 250ml")</f>
        <v xml:space="preserve"> Dove Body Lotion Hydro Nourishment 250ml</v>
      </c>
      <c r="C4595" t="s">
        <v>146</v>
      </c>
      <c r="D4595">
        <v>0</v>
      </c>
    </row>
    <row r="4596" spans="1:4" x14ac:dyDescent="0.25">
      <c r="B4596" t="str">
        <f>HYPERLINK("https://www.chemistwarehouse.com.au/buy/71562/Dove-Body-Wash-Deeply-Nourishing-200ml"," Dove Body Wash Deeply Nourishing 200ml")</f>
        <v xml:space="preserve"> Dove Body Wash Deeply Nourishing 200ml</v>
      </c>
      <c r="C4596" t="s">
        <v>635</v>
      </c>
      <c r="D4596">
        <v>0</v>
      </c>
    </row>
    <row r="4597" spans="1:4" x14ac:dyDescent="0.25">
      <c r="B4597" t="str">
        <f>HYPERLINK("https://www.chemistwarehouse.com.au/buy/71912/Dove-Beauty-Bar-Shea-Butter-Vanilla-2x100g"," Dove Beauty Bar Shea Butter Vanilla 2x100g")</f>
        <v xml:space="preserve"> Dove Beauty Bar Shea Butter Vanilla 2x100g</v>
      </c>
      <c r="C4597" t="s">
        <v>146</v>
      </c>
      <c r="D4597" t="s">
        <v>593</v>
      </c>
    </row>
    <row r="4598" spans="1:4" x14ac:dyDescent="0.25">
      <c r="B4598" t="str">
        <f>HYPERLINK("https://www.chemistwarehouse.com.au/buy/78353/Dove-Body-Wash-Silk-Glow-250ml"," Dove Body Wash Silk Glow 250ml")</f>
        <v xml:space="preserve"> Dove Body Wash Silk Glow 250ml</v>
      </c>
      <c r="C4598" t="s">
        <v>146</v>
      </c>
      <c r="D4598">
        <v>0</v>
      </c>
    </row>
    <row r="4599" spans="1:4" x14ac:dyDescent="0.25">
      <c r="B4599" t="str">
        <f>HYPERLINK("https://www.chemistwarehouse.com.au/buy/79783/Dove-For-Men-Antiperspirant-Silver-Control-250ml"," Dove For Men Antiperspirant Silver Control 250ml")</f>
        <v xml:space="preserve"> Dove For Men Antiperspirant Silver Control 250ml</v>
      </c>
      <c r="C4599" t="s">
        <v>483</v>
      </c>
      <c r="D4599" t="s">
        <v>291</v>
      </c>
    </row>
    <row r="4600" spans="1:4" x14ac:dyDescent="0.25">
      <c r="A4600" t="s">
        <v>1256</v>
      </c>
    </row>
    <row r="4601" spans="1:4" x14ac:dyDescent="0.25">
      <c r="B4601" t="str">
        <f>HYPERLINK("https://www.chemistwarehouse.com.au/buy/82179/Simple-Cleansing-Facial-Wipes-25-Limited-Edition-Pink"," Simple Cleansing Facial Wipes 25 Limited Edition Pink")</f>
        <v xml:space="preserve"> Simple Cleansing Facial Wipes 25 Limited Edition Pink</v>
      </c>
      <c r="C4601" t="s">
        <v>483</v>
      </c>
      <c r="D4601">
        <v>0</v>
      </c>
    </row>
    <row r="4602" spans="1:4" x14ac:dyDescent="0.25">
      <c r="B4602" t="str">
        <f>HYPERLINK("https://www.chemistwarehouse.com.au/buy/53528/Simple-Anti-Perspirant-Deodorant-for-Sensitive-Skin-50mL"," Simple Anti-Perspirant Deodorant for Sensitive Skin 50mL")</f>
        <v xml:space="preserve"> Simple Anti-Perspirant Deodorant for Sensitive Skin 50mL</v>
      </c>
      <c r="C4602" t="s">
        <v>240</v>
      </c>
      <c r="D4602" t="s">
        <v>561</v>
      </c>
    </row>
    <row r="4603" spans="1:4" x14ac:dyDescent="0.25">
      <c r="B4603" t="str">
        <f>HYPERLINK("https://www.chemistwarehouse.com.au/buy/57159/Simple-Hydrating-Light-Moisturiser-125ml"," Simple Hydrating Light Moisturiser 125ml")</f>
        <v xml:space="preserve"> Simple Hydrating Light Moisturiser 125ml</v>
      </c>
      <c r="C4603" t="s">
        <v>116</v>
      </c>
      <c r="D4603" t="s">
        <v>104</v>
      </c>
    </row>
    <row r="4604" spans="1:4" x14ac:dyDescent="0.25">
      <c r="B4604" t="str">
        <f>HYPERLINK("https://www.chemistwarehouse.com.au/buy/57167/Simple-Eye-Makeup-Remover-Conditioning-125ml"," Simple Eye Makeup Remover Conditioning 125ml")</f>
        <v xml:space="preserve"> Simple Eye Makeup Remover Conditioning 125ml</v>
      </c>
      <c r="C4604" t="s">
        <v>556</v>
      </c>
      <c r="D4604" t="s">
        <v>162</v>
      </c>
    </row>
    <row r="4605" spans="1:4" x14ac:dyDescent="0.25">
      <c r="B4605" t="str">
        <f>HYPERLINK("https://www.chemistwarehouse.com.au/buy/59158/Simple-Replenishing-Rich-Moisturiser-125ml"," Simple Replenishing Rich Moisturiser 125ml")</f>
        <v xml:space="preserve"> Simple Replenishing Rich Moisturiser 125ml</v>
      </c>
      <c r="C4605" t="s">
        <v>116</v>
      </c>
      <c r="D4605" t="s">
        <v>104</v>
      </c>
    </row>
    <row r="4606" spans="1:4" x14ac:dyDescent="0.25">
      <c r="B4606" t="str">
        <f>HYPERLINK("https://www.chemistwarehouse.com.au/buy/59257/Simple-Moisturising-Facial-Wash-150ml"," Simple Moisturising Facial Wash 150ml")</f>
        <v xml:space="preserve"> Simple Moisturising Facial Wash 150ml</v>
      </c>
      <c r="C4606" t="s">
        <v>116</v>
      </c>
      <c r="D4606" t="s">
        <v>104</v>
      </c>
    </row>
    <row r="4607" spans="1:4" x14ac:dyDescent="0.25">
      <c r="B4607" t="str">
        <f>HYPERLINK("https://www.chemistwarehouse.com.au/buy/54185/Simple-Purifying-Cleansing-Lotion-200ml"," Simple Purifying Cleansing Lotion 200ml")</f>
        <v xml:space="preserve"> Simple Purifying Cleansing Lotion 200ml</v>
      </c>
      <c r="C4607" t="s">
        <v>556</v>
      </c>
      <c r="D4607">
        <v>0</v>
      </c>
    </row>
    <row r="4608" spans="1:4" x14ac:dyDescent="0.25">
      <c r="B4608" t="str">
        <f>HYPERLINK("https://www.chemistwarehouse.com.au/buy/42400/Simple-Facial-Cleansing-Wipes-25"," Simple Facial Cleansing Wipes 25")</f>
        <v xml:space="preserve"> Simple Facial Cleansing Wipes 25</v>
      </c>
      <c r="C4608" t="s">
        <v>146</v>
      </c>
      <c r="D4608" t="s">
        <v>272</v>
      </c>
    </row>
    <row r="4609" spans="1:4" x14ac:dyDescent="0.25">
      <c r="B4609" t="str">
        <f>HYPERLINK("https://www.chemistwarehouse.com.au/buy/53258/Simple-Soothing-Facial-Toner-200mL"," Simple Soothing Facial Toner 200mL")</f>
        <v xml:space="preserve"> Simple Soothing Facial Toner 200mL</v>
      </c>
      <c r="C4609" t="s">
        <v>116</v>
      </c>
      <c r="D4609" t="s">
        <v>104</v>
      </c>
    </row>
    <row r="4610" spans="1:4" x14ac:dyDescent="0.25">
      <c r="B4610" t="str">
        <f>HYPERLINK("https://www.chemistwarehouse.com.au/buy/82037/Simple-Cleansing-Facial-Wipes-7-Pack"," Simple Cleansing Facial Wipes 7 Pack")</f>
        <v xml:space="preserve"> Simple Cleansing Facial Wipes 7 Pack</v>
      </c>
      <c r="C4610" t="s">
        <v>399</v>
      </c>
      <c r="D4610" t="s">
        <v>1257</v>
      </c>
    </row>
    <row r="4611" spans="1:4" x14ac:dyDescent="0.25">
      <c r="B4611" t="str">
        <f>HYPERLINK("https://www.chemistwarehouse.com.au/buy/72654/Simple-Daily-Hydrating-Moisturiser-50ml"," Simple Daily Hydrating Moisturiser 50ml")</f>
        <v xml:space="preserve"> Simple Daily Hydrating Moisturiser 50ml</v>
      </c>
      <c r="C4611" t="s">
        <v>399</v>
      </c>
      <c r="D4611" t="s">
        <v>624</v>
      </c>
    </row>
    <row r="4612" spans="1:4" x14ac:dyDescent="0.25">
      <c r="B4612" t="str">
        <f>HYPERLINK("https://www.chemistwarehouse.com.au/buy/72662/Simple-Eye-Make-Up-Remover-50ml"," Simple Eye Make Up Remover 50ml")</f>
        <v xml:space="preserve"> Simple Eye Make Up Remover 50ml</v>
      </c>
      <c r="C4612" t="s">
        <v>399</v>
      </c>
      <c r="D4612" t="s">
        <v>624</v>
      </c>
    </row>
    <row r="4613" spans="1:4" x14ac:dyDescent="0.25">
      <c r="B4613" t="str">
        <f>HYPERLINK("https://www.chemistwarehouse.com.au/buy/76700/Simple-Micellar-Facial-Wipes-25"," Simple Micellar Facial Wipes 25")</f>
        <v xml:space="preserve"> Simple Micellar Facial Wipes 25</v>
      </c>
      <c r="C4613" t="s">
        <v>786</v>
      </c>
      <c r="D4613" t="s">
        <v>291</v>
      </c>
    </row>
    <row r="4614" spans="1:4" x14ac:dyDescent="0.25">
      <c r="B4614" t="str">
        <f>HYPERLINK("https://www.chemistwarehouse.com.au/buy/76701/Simple-Micellar-Water-200ml"," Simple Micellar Water 200ml")</f>
        <v xml:space="preserve"> Simple Micellar Water 200ml</v>
      </c>
      <c r="C4614" t="s">
        <v>162</v>
      </c>
      <c r="D4614" t="s">
        <v>556</v>
      </c>
    </row>
    <row r="4615" spans="1:4" x14ac:dyDescent="0.25">
      <c r="B4615" t="str">
        <f>HYPERLINK("https://www.chemistwarehouse.com.au/buy/80064/Simple-Handwash-Moisturising-250ml"," Simple Handwash Moisturising 250ml")</f>
        <v xml:space="preserve"> Simple Handwash Moisturising 250ml</v>
      </c>
      <c r="C4615" t="s">
        <v>146</v>
      </c>
      <c r="D4615">
        <v>0</v>
      </c>
    </row>
    <row r="4616" spans="1:4" x14ac:dyDescent="0.25">
      <c r="B4616" t="str">
        <f>HYPERLINK("https://www.chemistwarehouse.com.au/buy/62945/Simple-Face-Wipes-Twin-Pack"," Simple Face Wipes Twin Pack ")</f>
        <v xml:space="preserve"> Simple Face Wipes Twin Pack </v>
      </c>
      <c r="C4616" t="s">
        <v>610</v>
      </c>
      <c r="D4616" t="s">
        <v>229</v>
      </c>
    </row>
    <row r="4617" spans="1:4" x14ac:dyDescent="0.25">
      <c r="B4617" t="str">
        <f>HYPERLINK("https://www.chemistwarehouse.com.au/buy/57177/Simple-Regeneration-Age-Resisting-Day-Cream-SPF15-50mL"," Simple Regeneration Age Resisting Day Cream SPF15 50mL")</f>
        <v xml:space="preserve"> Simple Regeneration Age Resisting Day Cream SPF15 50mL</v>
      </c>
      <c r="C4617" t="s">
        <v>46</v>
      </c>
      <c r="D4617" t="s">
        <v>32</v>
      </c>
    </row>
    <row r="4618" spans="1:4" x14ac:dyDescent="0.25">
      <c r="A4618" t="s">
        <v>1258</v>
      </c>
    </row>
    <row r="4619" spans="1:4" x14ac:dyDescent="0.25">
      <c r="B4619" t="str">
        <f>HYPERLINK("https://www.chemistwarehouse.com.au/buy/69841/NeoStrata-Enlighten-Pigment-Controller-30ml"," NeoStrata Enlighten Pigment Controller 30ml")</f>
        <v xml:space="preserve"> NeoStrata Enlighten Pigment Controller 30ml</v>
      </c>
      <c r="C4619" t="s">
        <v>1259</v>
      </c>
      <c r="D4619" t="s">
        <v>388</v>
      </c>
    </row>
    <row r="4620" spans="1:4" x14ac:dyDescent="0.25">
      <c r="B4620" t="str">
        <f>HYPERLINK("https://www.chemistwarehouse.com.au/buy/69844/NeoStrata-Enlighten-Illuminating-Serum-30ml"," NeoStrata Enlighten Illuminating Serum 30ml")</f>
        <v xml:space="preserve"> NeoStrata Enlighten Illuminating Serum 30ml</v>
      </c>
      <c r="C4620" t="s">
        <v>259</v>
      </c>
      <c r="D4620" t="s">
        <v>1236</v>
      </c>
    </row>
    <row r="4621" spans="1:4" x14ac:dyDescent="0.25">
      <c r="A4621" t="s">
        <v>1260</v>
      </c>
    </row>
    <row r="4622" spans="1:4" x14ac:dyDescent="0.25">
      <c r="B4622" t="str">
        <f>HYPERLINK("https://www.chemistwarehouse.com.au/buy/31496/Invite-E-Pure-Oil-30ML"," Invite E Pure Oil 30ML")</f>
        <v xml:space="preserve"> Invite E Pure Oil 30ML</v>
      </c>
      <c r="C4622" t="s">
        <v>187</v>
      </c>
      <c r="D4622" t="s">
        <v>1261</v>
      </c>
    </row>
    <row r="4623" spans="1:4" x14ac:dyDescent="0.25">
      <c r="B4623" t="str">
        <f>HYPERLINK("https://www.chemistwarehouse.com.au/buy/64913/Invite-E-Cream-250g"," Invite E Cream 250g ")</f>
        <v xml:space="preserve"> Invite E Cream 250g </v>
      </c>
      <c r="C4623" t="s">
        <v>58</v>
      </c>
      <c r="D4623" t="s">
        <v>1262</v>
      </c>
    </row>
    <row r="4624" spans="1:4" x14ac:dyDescent="0.25">
      <c r="B4624" t="str">
        <f>HYPERLINK("https://www.chemistwarehouse.com.au/buy/66707/Invite-E-Cream-200G-Pump"," Invite E Cream 200G Pump")</f>
        <v xml:space="preserve"> Invite E Cream 200G Pump</v>
      </c>
      <c r="C4624" t="s">
        <v>269</v>
      </c>
      <c r="D4624" t="s">
        <v>1218</v>
      </c>
    </row>
    <row r="4625" spans="1:4" x14ac:dyDescent="0.25">
      <c r="A4625" t="s">
        <v>1263</v>
      </c>
    </row>
    <row r="4626" spans="1:4" x14ac:dyDescent="0.25">
      <c r="B4626" t="str">
        <f>HYPERLINK("https://www.chemistwarehouse.com.au/buy/71465/Johnson-amp-Johnson-Body-Care-Cream-Wash-Extra-Rich-1-Litre"," Johnson &amp; Johnson Body Care Cream Wash Extra Rich 1 Litre")</f>
        <v xml:space="preserve"> Johnson &amp; Johnson Body Care Cream Wash Extra Rich 1 Litre</v>
      </c>
      <c r="C4626" t="s">
        <v>240</v>
      </c>
      <c r="D4626" t="s">
        <v>561</v>
      </c>
    </row>
    <row r="4627" spans="1:4" x14ac:dyDescent="0.25">
      <c r="B4627" t="str">
        <f>HYPERLINK("https://www.chemistwarehouse.com.au/buy/53652/Johnson-amp-Johnson-Daily-Essentials-Refreshing-Facial-Cleansing-Wipes-for-Normal-Skin-25"," Johnson &amp; Johnson Daily Essentials Refreshing Facial Cleansing Wipes for Normal Skin 25")</f>
        <v xml:space="preserve"> Johnson &amp; Johnson Daily Essentials Refreshing Facial Cleansing Wipes for Normal Skin 25</v>
      </c>
      <c r="C4627" t="s">
        <v>1264</v>
      </c>
      <c r="D4627" t="s">
        <v>238</v>
      </c>
    </row>
    <row r="4628" spans="1:4" x14ac:dyDescent="0.25">
      <c r="B4628" t="str">
        <f>HYPERLINK("https://www.chemistwarehouse.com.au/buy/64318/Johnson-amp-Johnson-3-in-1-Face-Wipes-Dry-25"," Johnson &amp; Johnson 3-in-1 Face Wipes Dry 25")</f>
        <v xml:space="preserve"> Johnson &amp; Johnson 3-in-1 Face Wipes Dry 25</v>
      </c>
      <c r="C4628" t="s">
        <v>1264</v>
      </c>
      <c r="D4628" t="s">
        <v>238</v>
      </c>
    </row>
    <row r="4629" spans="1:4" x14ac:dyDescent="0.25">
      <c r="B4629" t="str">
        <f>HYPERLINK("https://www.chemistwarehouse.com.au/buy/71464/Johnson-amp-Johnson-Body-Care-Cream-Wash-Moisturising-1-Litre"," Johnson &amp; Johnson Body Care Cream Wash Moisturising 1 Litre")</f>
        <v xml:space="preserve"> Johnson &amp; Johnson Body Care Cream Wash Moisturising 1 Litre</v>
      </c>
      <c r="C4629" t="s">
        <v>240</v>
      </c>
      <c r="D4629" t="s">
        <v>561</v>
      </c>
    </row>
    <row r="4630" spans="1:4" x14ac:dyDescent="0.25">
      <c r="B4630" t="str">
        <f>HYPERLINK("https://www.chemistwarehouse.com.au/buy/40470/Johnson-amp-Johnson-Make-Up-Pads-80"," Johnson &amp; Johnson Make-Up Pads 80")</f>
        <v xml:space="preserve"> Johnson &amp; Johnson Make-Up Pads 80</v>
      </c>
      <c r="C4630" t="s">
        <v>728</v>
      </c>
      <c r="D4630" t="s">
        <v>327</v>
      </c>
    </row>
    <row r="4631" spans="1:4" x14ac:dyDescent="0.25">
      <c r="B4631" t="str">
        <f>HYPERLINK("https://www.chemistwarehouse.com.au/buy/73498/Johnson-amp-Johnson-Daily-Essentials-Night-Pampering-Facial-25-Cleansing-Wipes"," Johnson &amp; Johnson Daily Essentials Night Pampering Facial 25 Cleansing Wipes")</f>
        <v xml:space="preserve"> Johnson &amp; Johnson Daily Essentials Night Pampering Facial 25 Cleansing Wipes</v>
      </c>
      <c r="C4631" t="s">
        <v>1264</v>
      </c>
      <c r="D4631" t="s">
        <v>238</v>
      </c>
    </row>
    <row r="4632" spans="1:4" x14ac:dyDescent="0.25">
      <c r="B4632" t="str">
        <f>HYPERLINK("https://www.chemistwarehouse.com.au/buy/71466/Johnson-amp-Johnson-Body-Care-Cream-Wash-Dreamy-Skin-1-Litre"," Johnson &amp; Johnson Body Care Cream Wash Dreamy Skin 1 Litre")</f>
        <v xml:space="preserve"> Johnson &amp; Johnson Body Care Cream Wash Dreamy Skin 1 Litre</v>
      </c>
      <c r="C4632" t="s">
        <v>240</v>
      </c>
      <c r="D4632" t="s">
        <v>561</v>
      </c>
    </row>
    <row r="4633" spans="1:4" x14ac:dyDescent="0.25">
      <c r="B4633" t="str">
        <f>HYPERLINK("https://www.chemistwarehouse.com.au/buy/64896/Johnson-amp-Johnson-All-Purpose-Pad-50"," Johnson &amp; Johnson All Purpose Pad 50")</f>
        <v xml:space="preserve"> Johnson &amp; Johnson All Purpose Pad 50</v>
      </c>
      <c r="C4633" t="s">
        <v>691</v>
      </c>
      <c r="D4633" t="s">
        <v>1265</v>
      </c>
    </row>
    <row r="4634" spans="1:4" x14ac:dyDescent="0.25">
      <c r="B4634" t="str">
        <f>HYPERLINK("https://www.chemistwarehouse.com.au/buy/66361/Johnson-amp-Johnson-3-in-1-Facial-Wipes-Dry-3-x-25-Pack"," Johnson &amp; Johnson 3 in 1 Facial Wipes Dry 3 x 25 Pack")</f>
        <v xml:space="preserve"> Johnson &amp; Johnson 3 in 1 Facial Wipes Dry 3 x 25 Pack</v>
      </c>
      <c r="C4634" t="s">
        <v>292</v>
      </c>
      <c r="D4634" t="s">
        <v>121</v>
      </c>
    </row>
    <row r="4635" spans="1:4" x14ac:dyDescent="0.25">
      <c r="B4635" t="str">
        <f>HYPERLINK("https://www.chemistwarehouse.com.au/buy/60272/Johnson-amp-Johnson-Face-Care-Oil-Balancing-Facial-Cleansing-Wipes-For-Combination-Skin"," Johnson &amp; Johnson Face Care Oil Balancing Facial Cleansing Wipes For Combination Skin")</f>
        <v xml:space="preserve"> Johnson &amp; Johnson Face Care Oil Balancing Facial Cleansing Wipes For Combination Skin</v>
      </c>
      <c r="C4635" t="s">
        <v>1264</v>
      </c>
      <c r="D4635" t="s">
        <v>238</v>
      </c>
    </row>
    <row r="4636" spans="1:4" x14ac:dyDescent="0.25">
      <c r="B4636" t="str">
        <f>HYPERLINK("https://www.chemistwarehouse.com.au/buy/63904/Johnson-amp-Johnson-Daily-Essentials-Facial-Cleansin-Wipes-for-Normal-Skin-3-Pack"," Johnson &amp; Johnson Daily Essentials Facial Cleansin Wipes for Normal Skin 3 Pack")</f>
        <v xml:space="preserve"> Johnson &amp; Johnson Daily Essentials Facial Cleansin Wipes for Normal Skin 3 Pack</v>
      </c>
      <c r="C4636" t="s">
        <v>292</v>
      </c>
      <c r="D4636" t="s">
        <v>121</v>
      </c>
    </row>
    <row r="4637" spans="1:4" x14ac:dyDescent="0.25">
      <c r="A4637" t="s">
        <v>1266</v>
      </c>
    </row>
    <row r="4638" spans="1:4" x14ac:dyDescent="0.25">
      <c r="B4638" t="str">
        <f>HYPERLINK("https://www.chemistwarehouse.com.au/buy/64602/Witch-Hazel-240ML"," Witch Hazel 240ML")</f>
        <v xml:space="preserve"> Witch Hazel 240ML</v>
      </c>
      <c r="C4638" t="s">
        <v>116</v>
      </c>
      <c r="D4638" t="s">
        <v>371</v>
      </c>
    </row>
    <row r="4639" spans="1:4" x14ac:dyDescent="0.25">
      <c r="B4639" t="str">
        <f>HYPERLINK("https://www.chemistwarehouse.com.au/buy/64603/Witch-Hazel-Face-Wipes-60"," Witch Hazel Face Wipes 60")</f>
        <v xml:space="preserve"> Witch Hazel Face Wipes 60</v>
      </c>
      <c r="C4639" t="s">
        <v>92</v>
      </c>
      <c r="D4639" t="s">
        <v>371</v>
      </c>
    </row>
    <row r="4640" spans="1:4" x14ac:dyDescent="0.25">
      <c r="B4640" t="str">
        <f>HYPERLINK("https://www.chemistwarehouse.com.au/buy/60170/Tea-Tree-amp-Witch-Hazel-Cleansing-Tonic-150mL"," Tea Tree &amp; Witch Hazel Cleansing Tonic 150mL")</f>
        <v xml:space="preserve"> Tea Tree &amp; Witch Hazel Cleansing Tonic 150mL</v>
      </c>
      <c r="C4640" t="s">
        <v>103</v>
      </c>
      <c r="D4640">
        <v>0</v>
      </c>
    </row>
    <row r="4641" spans="1:4" x14ac:dyDescent="0.25">
      <c r="B4641" t="str">
        <f>HYPERLINK("https://www.chemistwarehouse.com.au/buy/60171/Tea-Tree-amp-Witch-Hazel-Smoothing-Facial-Scrub-150mL"," Tea Tree &amp; Witch Hazel Smoothing Facial Scrub 150mL")</f>
        <v xml:space="preserve"> Tea Tree &amp; Witch Hazel Smoothing Facial Scrub 150mL</v>
      </c>
      <c r="C4641" t="s">
        <v>103</v>
      </c>
      <c r="D4641">
        <v>0</v>
      </c>
    </row>
    <row r="4642" spans="1:4" x14ac:dyDescent="0.25">
      <c r="B4642" t="str">
        <f>HYPERLINK("https://www.chemistwarehouse.com.au/buy/60172/Tea-Tree-amp-Witch-Hazel-Complexion-Perfection-Moisturiser-50mL"," Tea Tree &amp; Witch Hazel Complexion Perfection Moisturiser 50mL")</f>
        <v xml:space="preserve"> Tea Tree &amp; Witch Hazel Complexion Perfection Moisturiser 50mL</v>
      </c>
      <c r="C4642" t="s">
        <v>103</v>
      </c>
      <c r="D4642">
        <v>0</v>
      </c>
    </row>
    <row r="4643" spans="1:4" x14ac:dyDescent="0.25">
      <c r="B4643" t="str">
        <f>HYPERLINK("https://www.chemistwarehouse.com.au/buy/60173/Tea-Tree-amp-Witch-Hazel-Conditioner-250mL"," Tea Tree &amp; Witch Hazel Conditioner 250mL")</f>
        <v xml:space="preserve"> Tea Tree &amp; Witch Hazel Conditioner 250mL</v>
      </c>
      <c r="C4643" t="s">
        <v>103</v>
      </c>
      <c r="D4643">
        <v>0</v>
      </c>
    </row>
    <row r="4644" spans="1:4" x14ac:dyDescent="0.25">
      <c r="A4644" t="s">
        <v>1267</v>
      </c>
    </row>
    <row r="4645" spans="1:4" x14ac:dyDescent="0.25">
      <c r="B4645" t="str">
        <f>HYPERLINK("https://www.chemistwarehouse.com.au/buy/64435/Sukin-Purifying-Shampoo-500ml"," Sukin Purifying Shampoo 500ml")</f>
        <v xml:space="preserve"> Sukin Purifying Shampoo 500ml</v>
      </c>
      <c r="C4645" t="s">
        <v>240</v>
      </c>
      <c r="D4645" t="s">
        <v>152</v>
      </c>
    </row>
    <row r="4646" spans="1:4" x14ac:dyDescent="0.25">
      <c r="B4646" t="str">
        <f>HYPERLINK("https://www.chemistwarehouse.com.au/buy/64442/Sukin-Nourishing-Conditoner-1-Litre"," Sukin Nourishing Conditoner 1 Litre")</f>
        <v xml:space="preserve"> Sukin Nourishing Conditoner 1 Litre</v>
      </c>
      <c r="C4646" t="s">
        <v>443</v>
      </c>
      <c r="D4646" t="s">
        <v>821</v>
      </c>
    </row>
    <row r="4647" spans="1:4" x14ac:dyDescent="0.25">
      <c r="B4647" t="str">
        <f>HYPERLINK("https://www.chemistwarehouse.com.au/buy/64441/Sukin-Purifying-Shampoo-1Litre"," Sukin Purifying Shampoo 1Litre")</f>
        <v xml:space="preserve"> Sukin Purifying Shampoo 1Litre</v>
      </c>
      <c r="C4647" t="s">
        <v>443</v>
      </c>
      <c r="D4647" t="s">
        <v>821</v>
      </c>
    </row>
    <row r="4648" spans="1:4" x14ac:dyDescent="0.25">
      <c r="B4648" t="str">
        <f>HYPERLINK("https://www.chemistwarehouse.com.au/buy/65298/Sukin-Moisture-Restoring-Shampoo-250ml"," Sukin Moisture Restoring Shampoo 250ml")</f>
        <v xml:space="preserve"> Sukin Moisture Restoring Shampoo 250ml</v>
      </c>
      <c r="C4648" t="s">
        <v>554</v>
      </c>
      <c r="D4648" t="s">
        <v>325</v>
      </c>
    </row>
    <row r="4649" spans="1:4" x14ac:dyDescent="0.25">
      <c r="B4649" t="str">
        <f>HYPERLINK("https://www.chemistwarehouse.com.au/buy/64438/Sukin-Moisture-Restoring-Conditioner-500ml"," Sukin Moisture Restoring Conditioner 500ml")</f>
        <v xml:space="preserve"> Sukin Moisture Restoring Conditioner 500ml</v>
      </c>
      <c r="C4649" t="s">
        <v>240</v>
      </c>
      <c r="D4649" t="s">
        <v>152</v>
      </c>
    </row>
    <row r="4650" spans="1:4" x14ac:dyDescent="0.25">
      <c r="B4650" t="str">
        <f>HYPERLINK("https://www.chemistwarehouse.com.au/buy/64439/Sukin-Protein-Shampoo-500mL"," Sukin Protein Shampoo 500mL")</f>
        <v xml:space="preserve"> Sukin Protein Shampoo 500mL</v>
      </c>
      <c r="C4650" t="s">
        <v>240</v>
      </c>
      <c r="D4650" t="s">
        <v>152</v>
      </c>
    </row>
    <row r="4651" spans="1:4" x14ac:dyDescent="0.25">
      <c r="B4651" t="str">
        <f>HYPERLINK("https://www.chemistwarehouse.com.au/buy/64440/Sukin-Protein-Conditioner-500mL"," Sukin Protein Conditioner 500mL")</f>
        <v xml:space="preserve"> Sukin Protein Conditioner 500mL</v>
      </c>
      <c r="C4651" t="s">
        <v>240</v>
      </c>
      <c r="D4651" t="s">
        <v>152</v>
      </c>
    </row>
    <row r="4652" spans="1:4" x14ac:dyDescent="0.25">
      <c r="B4652" t="str">
        <f>HYPERLINK("https://www.chemistwarehouse.com.au/buy/64436/Sukin-Nourishing-Conditioner-500ml"," Sukin Nourishing Conditioner 500ml")</f>
        <v xml:space="preserve"> Sukin Nourishing Conditioner 500ml</v>
      </c>
      <c r="C4652" t="s">
        <v>240</v>
      </c>
      <c r="D4652" t="s">
        <v>152</v>
      </c>
    </row>
    <row r="4653" spans="1:4" x14ac:dyDescent="0.25">
      <c r="B4653" t="str">
        <f>HYPERLINK("https://www.chemistwarehouse.com.au/buy/64437/Sukin-Moisture-Restoring-Shampoo-500ml"," Sukin Moisture Restoring Shampoo 500ml")</f>
        <v xml:space="preserve"> Sukin Moisture Restoring Shampoo 500ml</v>
      </c>
      <c r="C4653" t="s">
        <v>240</v>
      </c>
      <c r="D4653" t="s">
        <v>152</v>
      </c>
    </row>
    <row r="4654" spans="1:4" x14ac:dyDescent="0.25">
      <c r="B4654" t="str">
        <f>HYPERLINK("https://www.chemistwarehouse.com.au/buy/65285/Sukin-Purifying-Shampoo-250ml"," Sukin Purifying Shampoo 250ml")</f>
        <v xml:space="preserve"> Sukin Purifying Shampoo 250ml</v>
      </c>
      <c r="C4654" t="s">
        <v>554</v>
      </c>
      <c r="D4654" t="s">
        <v>325</v>
      </c>
    </row>
    <row r="4655" spans="1:4" x14ac:dyDescent="0.25">
      <c r="B4655" t="str">
        <f>HYPERLINK("https://www.chemistwarehouse.com.au/buy/65288/Sukin-Protein-Conditioner-250ml"," Sukin Protein Conditioner 250ml")</f>
        <v xml:space="preserve"> Sukin Protein Conditioner 250ml</v>
      </c>
      <c r="C4655" t="s">
        <v>554</v>
      </c>
      <c r="D4655" t="s">
        <v>325</v>
      </c>
    </row>
    <row r="4656" spans="1:4" x14ac:dyDescent="0.25">
      <c r="B4656" t="str">
        <f>HYPERLINK("https://www.chemistwarehouse.com.au/buy/65293/Sukin-Moisture-Restoring-Conditioner-250ml"," Sukin Moisture Restoring Conditioner 250ml")</f>
        <v xml:space="preserve"> Sukin Moisture Restoring Conditioner 250ml</v>
      </c>
      <c r="C4656" t="s">
        <v>554</v>
      </c>
      <c r="D4656" t="s">
        <v>325</v>
      </c>
    </row>
    <row r="4657" spans="1:4" x14ac:dyDescent="0.25">
      <c r="B4657" t="str">
        <f>HYPERLINK("https://www.chemistwarehouse.com.au/buy/65297/Sukin-Nourishing-Conditioner-250ml"," Sukin Nourishing Conditioner 250ml")</f>
        <v xml:space="preserve"> Sukin Nourishing Conditioner 250ml</v>
      </c>
      <c r="C4657" t="s">
        <v>554</v>
      </c>
      <c r="D4657" t="s">
        <v>325</v>
      </c>
    </row>
    <row r="4658" spans="1:4" x14ac:dyDescent="0.25">
      <c r="B4658" t="str">
        <f>HYPERLINK("https://www.chemistwarehouse.com.au/buy/65300/Sukin-Kids-Gentle-Conditioner-500ml"," Sukin Kids Gentle Conditioner 500ml")</f>
        <v xml:space="preserve"> Sukin Kids Gentle Conditioner 500ml</v>
      </c>
      <c r="C4658" t="s">
        <v>164</v>
      </c>
      <c r="D4658" t="s">
        <v>897</v>
      </c>
    </row>
    <row r="4659" spans="1:4" x14ac:dyDescent="0.25">
      <c r="B4659" t="str">
        <f>HYPERLINK("https://www.chemistwarehouse.com.au/buy/65301/Sukin-Protein-Shampoo-250ml"," Sukin Protein Shampoo 250ml")</f>
        <v xml:space="preserve"> Sukin Protein Shampoo 250ml</v>
      </c>
      <c r="C4659" t="s">
        <v>554</v>
      </c>
      <c r="D4659" t="s">
        <v>325</v>
      </c>
    </row>
    <row r="4660" spans="1:4" x14ac:dyDescent="0.25">
      <c r="A4660" t="s">
        <v>1268</v>
      </c>
    </row>
    <row r="4661" spans="1:4" x14ac:dyDescent="0.25">
      <c r="B4661" t="str">
        <f>HYPERLINK("https://www.chemistwarehouse.com.au/buy/82177/Sukin-Certified-Organic-Rosehip-Oil-50ml"," Sukin Certified Organic Rosehip Oil 50ml")</f>
        <v xml:space="preserve"> Sukin Certified Organic Rosehip Oil 50ml</v>
      </c>
      <c r="C4661" t="s">
        <v>8</v>
      </c>
      <c r="D4661" t="s">
        <v>154</v>
      </c>
    </row>
    <row r="4662" spans="1:4" x14ac:dyDescent="0.25">
      <c r="B4662" t="str">
        <f>HYPERLINK("https://www.chemistwarehouse.com.au/buy/64416/Sukin-Rose-Hip-Oil-25ml"," Sukin Rose Hip Oil 25ml")</f>
        <v xml:space="preserve"> Sukin Rose Hip Oil 25ml</v>
      </c>
      <c r="C4662" t="s">
        <v>551</v>
      </c>
      <c r="D4662" t="s">
        <v>867</v>
      </c>
    </row>
    <row r="4663" spans="1:4" x14ac:dyDescent="0.25">
      <c r="A4663" t="s">
        <v>1269</v>
      </c>
    </row>
    <row r="4664" spans="1:4" x14ac:dyDescent="0.25">
      <c r="B4664" t="str">
        <f>HYPERLINK("https://www.chemistwarehouse.com.au/buy/65286/Sukin-Kids-Bath-and-Body-Wash-500ml"," Sukin Kids Bath and Body Wash 500ml")</f>
        <v xml:space="preserve"> Sukin Kids Bath and Body Wash 500ml</v>
      </c>
      <c r="C4664" t="s">
        <v>164</v>
      </c>
      <c r="D4664" t="s">
        <v>897</v>
      </c>
    </row>
    <row r="4665" spans="1:4" x14ac:dyDescent="0.25">
      <c r="B4665" t="str">
        <f>HYPERLINK("https://www.chemistwarehouse.com.au/buy/64434/Sukin-Cleansing-Hand-Wash-250-ml"," Sukin Cleansing Hand Wash 250 ml")</f>
        <v xml:space="preserve"> Sukin Cleansing Hand Wash 250 ml</v>
      </c>
      <c r="C4665" t="s">
        <v>326</v>
      </c>
      <c r="D4665" t="s">
        <v>329</v>
      </c>
    </row>
    <row r="4666" spans="1:4" x14ac:dyDescent="0.25">
      <c r="B4666" t="str">
        <f>HYPERLINK("https://www.chemistwarehouse.com.au/buy/64424/Sukin-Hydrating-Body-Lotion-500ml"," Sukin Hydrating Body Lotion 500ml")</f>
        <v xml:space="preserve"> Sukin Hydrating Body Lotion 500ml</v>
      </c>
      <c r="C4666" t="s">
        <v>443</v>
      </c>
      <c r="D4666" t="s">
        <v>821</v>
      </c>
    </row>
    <row r="4667" spans="1:4" x14ac:dyDescent="0.25">
      <c r="B4667" t="str">
        <f>HYPERLINK("https://www.chemistwarehouse.com.au/buy/64444/Sukin-Botanical-Body-Wash-Pump-1-Litre"," Sukin Botanical Body Wash Pump 1 Litre")</f>
        <v xml:space="preserve"> Sukin Botanical Body Wash Pump 1 Litre</v>
      </c>
      <c r="C4667" t="s">
        <v>443</v>
      </c>
      <c r="D4667" t="s">
        <v>821</v>
      </c>
    </row>
    <row r="4668" spans="1:4" x14ac:dyDescent="0.25">
      <c r="B4668" t="str">
        <f>HYPERLINK("https://www.chemistwarehouse.com.au/buy/65292/Sukin-Hydrating-Body-Lotion-250ml"," Sukin Hydrating Body Lotion 250ml")</f>
        <v xml:space="preserve"> Sukin Hydrating Body Lotion 250ml</v>
      </c>
      <c r="C4668" t="s">
        <v>98</v>
      </c>
      <c r="D4668" t="s">
        <v>150</v>
      </c>
    </row>
    <row r="4669" spans="1:4" x14ac:dyDescent="0.25">
      <c r="B4669" t="str">
        <f>HYPERLINK("https://www.chemistwarehouse.com.au/buy/75564/Sukin-Micellar-Cleansing-Water-250ml"," Sukin Micellar Cleansing Water 250ml")</f>
        <v xml:space="preserve"> Sukin Micellar Cleansing Water 250ml</v>
      </c>
      <c r="C4669" t="s">
        <v>554</v>
      </c>
      <c r="D4669" t="s">
        <v>376</v>
      </c>
    </row>
    <row r="4670" spans="1:4" x14ac:dyDescent="0.25">
      <c r="B4670" t="str">
        <f>HYPERLINK("https://www.chemistwarehouse.com.au/buy/78713/Sukin-Energising-Body-Scrub-With-Coffee-amp-Coconut-200ml"," Sukin Energising Body Scrub With Coffee &amp; Coconut 200ml")</f>
        <v xml:space="preserve"> Sukin Energising Body Scrub With Coffee &amp; Coconut 200ml</v>
      </c>
      <c r="C4670" t="s">
        <v>211</v>
      </c>
      <c r="D4670" t="s">
        <v>336</v>
      </c>
    </row>
    <row r="4671" spans="1:4" x14ac:dyDescent="0.25">
      <c r="B4671" t="str">
        <f>HYPERLINK("https://www.chemistwarehouse.com.au/buy/78714/Sukin-Renewing-Body-Scrub-with-Green-Tea-amp-Jojoba-200ml"," Sukin Renewing Body Scrub with Green Tea &amp; Jojoba 200ml")</f>
        <v xml:space="preserve"> Sukin Renewing Body Scrub with Green Tea &amp; Jojoba 200ml</v>
      </c>
      <c r="C4671" t="s">
        <v>211</v>
      </c>
      <c r="D4671" t="s">
        <v>336</v>
      </c>
    </row>
    <row r="4672" spans="1:4" x14ac:dyDescent="0.25">
      <c r="B4672" t="str">
        <f>HYPERLINK("https://www.chemistwarehouse.com.au/buy/65287/Sukin-Purely-Ageless-Replenishing-Night-Cream-60ml"," Sukin Purely Ageless Replenishing Night Cream 60ml")</f>
        <v xml:space="preserve"> Sukin Purely Ageless Replenishing Night Cream 60ml</v>
      </c>
      <c r="C4672" t="s">
        <v>269</v>
      </c>
      <c r="D4672" t="s">
        <v>496</v>
      </c>
    </row>
    <row r="4673" spans="1:4" x14ac:dyDescent="0.25">
      <c r="B4673" t="str">
        <f>HYPERLINK("https://www.chemistwarehouse.com.au/buy/65290/Sukin-Cleansing-Handwash-1-Litre-Cap"," Sukin Cleansing Handwash 1 Litre Cap")</f>
        <v xml:space="preserve"> Sukin Cleansing Handwash 1 Litre Cap</v>
      </c>
      <c r="C4673" t="s">
        <v>407</v>
      </c>
      <c r="D4673" t="s">
        <v>376</v>
      </c>
    </row>
    <row r="4674" spans="1:4" x14ac:dyDescent="0.25">
      <c r="B4674" t="str">
        <f>HYPERLINK("https://www.chemistwarehouse.com.au/buy/64418/Sukin-Cream-Cleanser-Pump-125ml"," Sukin Cream Cleanser Pump 125ml")</f>
        <v xml:space="preserve"> Sukin Cream Cleanser Pump 125ml</v>
      </c>
      <c r="C4674" t="s">
        <v>554</v>
      </c>
      <c r="D4674" t="s">
        <v>376</v>
      </c>
    </row>
    <row r="4675" spans="1:4" x14ac:dyDescent="0.25">
      <c r="B4675" t="str">
        <f>HYPERLINK("https://www.chemistwarehouse.com.au/buy/65296/Sukin-Hand-and-Nail-Cream-Cap-125ml"," Sukin Hand and Nail Cream Cap 125ml")</f>
        <v xml:space="preserve"> Sukin Hand and Nail Cream Cap 125ml</v>
      </c>
      <c r="C4675" t="s">
        <v>240</v>
      </c>
      <c r="D4675" t="s">
        <v>400</v>
      </c>
    </row>
    <row r="4676" spans="1:4" x14ac:dyDescent="0.25">
      <c r="B4676" t="str">
        <f>HYPERLINK("https://www.chemistwarehouse.com.au/buy/65299/Sukin-Body-Scrub-200ml"," Sukin Body Scrub 200ml")</f>
        <v xml:space="preserve"> Sukin Body Scrub 200ml</v>
      </c>
      <c r="C4676" t="s">
        <v>32</v>
      </c>
      <c r="D4676" t="s">
        <v>145</v>
      </c>
    </row>
    <row r="4677" spans="1:4" x14ac:dyDescent="0.25">
      <c r="B4677" t="str">
        <f>HYPERLINK("https://www.chemistwarehouse.com.au/buy/65303/Sukin-Botanical-Body-Wash-250ml"," Sukin Botanical Body Wash 250ml")</f>
        <v xml:space="preserve"> Sukin Botanical Body Wash 250ml</v>
      </c>
      <c r="C4677" t="s">
        <v>554</v>
      </c>
      <c r="D4677" t="s">
        <v>325</v>
      </c>
    </row>
    <row r="4678" spans="1:4" x14ac:dyDescent="0.25">
      <c r="B4678" t="str">
        <f>HYPERLINK("https://www.chemistwarehouse.com.au/buy/65304/Sukin-Botanical-Protein-Treatment-100ml"," Sukin Botanical Protein Treatment 100ml")</f>
        <v xml:space="preserve"> Sukin Botanical Protein Treatment 100ml</v>
      </c>
      <c r="C4678" t="s">
        <v>98</v>
      </c>
      <c r="D4678" t="s">
        <v>150</v>
      </c>
    </row>
    <row r="4679" spans="1:4" x14ac:dyDescent="0.25">
      <c r="B4679" t="str">
        <f>HYPERLINK("https://www.chemistwarehouse.com.au/buy/66808/Sukin-Sunless-Bronzing-Gel-200ml"," Sukin Sunless Bronzing Gel 200ml")</f>
        <v xml:space="preserve"> Sukin Sunless Bronzing Gel 200ml</v>
      </c>
      <c r="C4679" t="s">
        <v>551</v>
      </c>
      <c r="D4679" t="s">
        <v>867</v>
      </c>
    </row>
    <row r="4680" spans="1:4" x14ac:dyDescent="0.25">
      <c r="B4680" t="str">
        <f>HYPERLINK("https://www.chemistwarehouse.com.au/buy/72377/Sukin-BioNatural-Skin-Oil-60ml"," Sukin BioNatural Skin Oil 60ml")</f>
        <v xml:space="preserve"> Sukin BioNatural Skin Oil 60ml</v>
      </c>
      <c r="C4680" t="s">
        <v>211</v>
      </c>
      <c r="D4680" t="s">
        <v>336</v>
      </c>
    </row>
    <row r="4681" spans="1:4" x14ac:dyDescent="0.25">
      <c r="B4681" t="str">
        <f>HYPERLINK("https://www.chemistwarehouse.com.au/buy/74646/Sukin-Moisture-Rich-Body-Creme-250ml"," Sukin Moisture Rich Body Creme 250ml ")</f>
        <v xml:space="preserve"> Sukin Moisture Rich Body Creme 250ml </v>
      </c>
      <c r="C4681" t="s">
        <v>211</v>
      </c>
      <c r="D4681" t="s">
        <v>336</v>
      </c>
    </row>
    <row r="4682" spans="1:4" x14ac:dyDescent="0.25">
      <c r="B4682" t="str">
        <f>HYPERLINK("https://www.chemistwarehouse.com.au/buy/75562/Sukin-Botanical-Body-Wash-Lime-amp-Coconut-500ml"," Sukin Botanical Body Wash Lime &amp; Coconut 500ml")</f>
        <v xml:space="preserve"> Sukin Botanical Body Wash Lime &amp; Coconut 500ml</v>
      </c>
      <c r="C4682" t="s">
        <v>240</v>
      </c>
      <c r="D4682" t="s">
        <v>152</v>
      </c>
    </row>
    <row r="4683" spans="1:4" x14ac:dyDescent="0.25">
      <c r="B4683" t="str">
        <f>HYPERLINK("https://www.chemistwarehouse.com.au/buy/75563/Sukin-Hydrating-Body-Lotion-Lime-and-Coconut-500ml"," Sukin Hydrating Body Lotion Lime and Coconut 500ml")</f>
        <v xml:space="preserve"> Sukin Hydrating Body Lotion Lime and Coconut 500ml</v>
      </c>
      <c r="C4683" t="s">
        <v>443</v>
      </c>
      <c r="D4683" t="s">
        <v>821</v>
      </c>
    </row>
    <row r="4684" spans="1:4" x14ac:dyDescent="0.25">
      <c r="B4684" t="str">
        <f>HYPERLINK("https://www.chemistwarehouse.com.au/buy/64869/Sukin-Cleansing-Hand-Wash-Pump-1-Litre"," Sukin Cleansing Hand Wash Pump 1 Litre")</f>
        <v xml:space="preserve"> Sukin Cleansing Hand Wash Pump 1 Litre</v>
      </c>
      <c r="C4684" t="s">
        <v>443</v>
      </c>
      <c r="D4684" t="s">
        <v>821</v>
      </c>
    </row>
    <row r="4685" spans="1:4" x14ac:dyDescent="0.25">
      <c r="B4685" t="str">
        <f>HYPERLINK("https://www.chemistwarehouse.com.au/buy/64895/Sukin-Aloe-Vera-Gel-125ml-Pump"," Sukin Aloe Vera Gel 125ml Pump")</f>
        <v xml:space="preserve"> Sukin Aloe Vera Gel 125ml Pump</v>
      </c>
      <c r="C4685" t="s">
        <v>240</v>
      </c>
      <c r="D4685" t="s">
        <v>400</v>
      </c>
    </row>
    <row r="4686" spans="1:4" x14ac:dyDescent="0.25">
      <c r="B4686" t="str">
        <f>HYPERLINK("https://www.chemistwarehouse.com.au/buy/64443/Sukin-Botanical-Body-Wash-Cap-1-Litre"," Sukin Botanical Body Wash Cap 1 Litre")</f>
        <v xml:space="preserve"> Sukin Botanical Body Wash Cap 1 Litre</v>
      </c>
      <c r="C4686" t="s">
        <v>407</v>
      </c>
      <c r="D4686" t="s">
        <v>376</v>
      </c>
    </row>
    <row r="4687" spans="1:4" x14ac:dyDescent="0.25">
      <c r="B4687" t="str">
        <f>HYPERLINK("https://www.chemistwarehouse.com.au/buy/64425/Sukin-Botanical-Body-Wash-500ml"," Sukin Botanical Body Wash 500ml")</f>
        <v xml:space="preserve"> Sukin Botanical Body Wash 500ml</v>
      </c>
      <c r="C4687" t="s">
        <v>240</v>
      </c>
      <c r="D4687" t="s">
        <v>152</v>
      </c>
    </row>
    <row r="4688" spans="1:4" x14ac:dyDescent="0.25">
      <c r="A4688" t="s">
        <v>1270</v>
      </c>
    </row>
    <row r="4689" spans="2:4" x14ac:dyDescent="0.25">
      <c r="B4689" t="str">
        <f>HYPERLINK("https://www.chemistwarehouse.com.au/buy/64422/Sukin-Hydrating-Mist-Toner-125ml"," Sukin Hydrating Mist Toner 125ml")</f>
        <v xml:space="preserve"> Sukin Hydrating Mist Toner 125ml</v>
      </c>
      <c r="C4689" t="s">
        <v>554</v>
      </c>
      <c r="D4689" t="s">
        <v>376</v>
      </c>
    </row>
    <row r="4690" spans="2:4" x14ac:dyDescent="0.25">
      <c r="B4690" t="str">
        <f>HYPERLINK("https://www.chemistwarehouse.com.au/buy/64430/Sukin-Antioxidant-Eye-Serum-30ml"," Sukin Antioxidant Eye Serum 30ml")</f>
        <v xml:space="preserve"> Sukin Antioxidant Eye Serum 30ml</v>
      </c>
      <c r="C4690" t="s">
        <v>443</v>
      </c>
      <c r="D4690" t="s">
        <v>821</v>
      </c>
    </row>
    <row r="4691" spans="2:4" x14ac:dyDescent="0.25">
      <c r="B4691" t="str">
        <f>HYPERLINK("https://www.chemistwarehouse.com.au/buy/64423/Sukin-Facial-Scrub-125mL"," Sukin Facial Scrub 125mL")</f>
        <v xml:space="preserve"> Sukin Facial Scrub 125mL</v>
      </c>
      <c r="C4691" t="s">
        <v>554</v>
      </c>
      <c r="D4691" t="s">
        <v>376</v>
      </c>
    </row>
    <row r="4692" spans="2:4" x14ac:dyDescent="0.25">
      <c r="B4692" t="str">
        <f>HYPERLINK("https://www.chemistwarehouse.com.au/buy/67852/Sukin-Rose-Hip-Hydrating-Day-Cream-120ml"," Sukin Rose Hip Hydrating Day Cream 120ml")</f>
        <v xml:space="preserve"> Sukin Rose Hip Hydrating Day Cream 120ml</v>
      </c>
      <c r="C4692" t="s">
        <v>407</v>
      </c>
      <c r="D4692" t="s">
        <v>149</v>
      </c>
    </row>
    <row r="4693" spans="2:4" x14ac:dyDescent="0.25">
      <c r="B4693" t="str">
        <f>HYPERLINK("https://www.chemistwarehouse.com.au/buy/73679/Sukin-Sensitive-Calming-Night-Cream-120ml"," Sukin Sensitive Calming Night Cream 120ml")</f>
        <v xml:space="preserve"> Sukin Sensitive Calming Night Cream 120ml</v>
      </c>
      <c r="C4693" t="s">
        <v>443</v>
      </c>
      <c r="D4693" t="s">
        <v>821</v>
      </c>
    </row>
    <row r="4694" spans="2:4" x14ac:dyDescent="0.25">
      <c r="B4694" t="str">
        <f>HYPERLINK("https://www.chemistwarehouse.com.au/buy/64417/Sukin-Moisture-Restoring-Night-Cream-120ml"," Sukin Moisture Restoring Night Cream 120ml")</f>
        <v xml:space="preserve"> Sukin Moisture Restoring Night Cream 120ml</v>
      </c>
      <c r="C4694" t="s">
        <v>443</v>
      </c>
      <c r="D4694" t="s">
        <v>821</v>
      </c>
    </row>
    <row r="4695" spans="2:4" x14ac:dyDescent="0.25">
      <c r="B4695" t="str">
        <f>HYPERLINK("https://www.chemistwarehouse.com.au/buy/65294/Sukin-Cream-Cleanser-125ml-Cap"," Sukin Cream Cleanser 125ml Cap")</f>
        <v xml:space="preserve"> Sukin Cream Cleanser 125ml Cap</v>
      </c>
      <c r="C4695" t="s">
        <v>240</v>
      </c>
      <c r="D4695" t="s">
        <v>400</v>
      </c>
    </row>
    <row r="4696" spans="2:4" x14ac:dyDescent="0.25">
      <c r="B4696" t="str">
        <f>HYPERLINK("https://www.chemistwarehouse.com.au/buy/78546/Sukin-Oil-Balancing-Mattifying-Facial-Moisturiser-125ml"," Sukin Oil Balancing Mattifying Facial Moisturiser 125ml ")</f>
        <v xml:space="preserve"> Sukin Oil Balancing Mattifying Facial Moisturiser 125ml </v>
      </c>
      <c r="C4696" t="s">
        <v>32</v>
      </c>
      <c r="D4696" t="s">
        <v>145</v>
      </c>
    </row>
    <row r="4697" spans="2:4" x14ac:dyDescent="0.25">
      <c r="B4697" t="str">
        <f>HYPERLINK("https://www.chemistwarehouse.com.au/buy/64419/Sukin-Facial-Moisturiser-Pump-125ml"," Sukin Facial Moisturiser Pump 125ml")</f>
        <v xml:space="preserve"> Sukin Facial Moisturiser Pump 125ml</v>
      </c>
      <c r="C4697" t="s">
        <v>554</v>
      </c>
      <c r="D4697" t="s">
        <v>376</v>
      </c>
    </row>
    <row r="4698" spans="2:4" x14ac:dyDescent="0.25">
      <c r="B4698" t="str">
        <f>HYPERLINK("https://www.chemistwarehouse.com.au/buy/66385/Sukin-Sensitive-Facial-Moisturiser-125ml-Pump"," Sukin Sensitive Facial Moisturiser 125ml Pump")</f>
        <v xml:space="preserve"> Sukin Sensitive Facial Moisturiser 125ml Pump</v>
      </c>
      <c r="C4698" t="s">
        <v>554</v>
      </c>
      <c r="D4698" t="s">
        <v>376</v>
      </c>
    </row>
    <row r="4699" spans="2:4" x14ac:dyDescent="0.25">
      <c r="B4699" t="str">
        <f>HYPERLINK("https://www.chemistwarehouse.com.au/buy/78548/Sukin-Oil-Balancing-Plus-Charcoal-Anti-Pollution-Facial-Masque-100ml"," Sukin Oil Balancing Plus Charcoal Anti-Pollution Facial Masque 100ml")</f>
        <v xml:space="preserve"> Sukin Oil Balancing Plus Charcoal Anti-Pollution Facial Masque 100ml</v>
      </c>
      <c r="C4699" t="s">
        <v>98</v>
      </c>
      <c r="D4699" t="s">
        <v>165</v>
      </c>
    </row>
    <row r="4700" spans="2:4" x14ac:dyDescent="0.25">
      <c r="B4700" t="str">
        <f>HYPERLINK("https://www.chemistwarehouse.com.au/buy/64421/Sukin-Foaming-Facial-Cleanser-Pump-125ml"," Sukin Foaming Facial Cleanser Pump 125ml")</f>
        <v xml:space="preserve"> Sukin Foaming Facial Cleanser Pump 125ml</v>
      </c>
      <c r="C4700" t="s">
        <v>554</v>
      </c>
      <c r="D4700" t="s">
        <v>376</v>
      </c>
    </row>
    <row r="4701" spans="2:4" x14ac:dyDescent="0.25">
      <c r="B4701" t="str">
        <f>HYPERLINK("https://www.chemistwarehouse.com.au/buy/75275/Sukin-Super-Greens-Detoxifying-Clay-Masque-100ml"," Sukin Super Greens Detoxifying Clay Masque 100ml")</f>
        <v xml:space="preserve"> Sukin Super Greens Detoxifying Clay Masque 100ml</v>
      </c>
      <c r="C4701" t="s">
        <v>98</v>
      </c>
      <c r="D4701" t="s">
        <v>165</v>
      </c>
    </row>
    <row r="4702" spans="2:4" x14ac:dyDescent="0.25">
      <c r="B4702" t="str">
        <f>HYPERLINK("https://www.chemistwarehouse.com.au/buy/75276/Sukin-Super-Greens-Nutrient-Rich-Facial-Moisturiser-125ml"," Sukin Super Greens Nutrient Rich Facial Moisturiser 125ml")</f>
        <v xml:space="preserve"> Sukin Super Greens Nutrient Rich Facial Moisturiser 125ml</v>
      </c>
      <c r="C4702" t="s">
        <v>32</v>
      </c>
      <c r="D4702" t="s">
        <v>145</v>
      </c>
    </row>
    <row r="4703" spans="2:4" x14ac:dyDescent="0.25">
      <c r="B4703" t="str">
        <f>HYPERLINK("https://www.chemistwarehouse.com.au/buy/78200/Sukin-Foaming-Facial-Cleanser-50ml"," Sukin Foaming Facial Cleanser 50ml")</f>
        <v xml:space="preserve"> Sukin Foaming Facial Cleanser 50ml</v>
      </c>
      <c r="C4703" t="s">
        <v>728</v>
      </c>
      <c r="D4703" t="s">
        <v>400</v>
      </c>
    </row>
    <row r="4704" spans="2:4" x14ac:dyDescent="0.25">
      <c r="B4704" t="str">
        <f>HYPERLINK("https://www.chemistwarehouse.com.au/buy/66386/Sukin-Sensitive-Cleansing-Lotion-125ml-Pump"," Sukin Sensitive Cleansing Lotion 125ml Pump")</f>
        <v xml:space="preserve"> Sukin Sensitive Cleansing Lotion 125ml Pump</v>
      </c>
      <c r="C4704" t="s">
        <v>554</v>
      </c>
      <c r="D4704" t="s">
        <v>376</v>
      </c>
    </row>
    <row r="4705" spans="1:4" x14ac:dyDescent="0.25">
      <c r="B4705" t="str">
        <f>HYPERLINK("https://www.chemistwarehouse.com.au/buy/66387/Sukin-Sensitive-Cleansing-Gel-125ml-Pump"," Sukin Sensitive Cleansing Gel 125ml Pump")</f>
        <v xml:space="preserve"> Sukin Sensitive Cleansing Gel 125ml Pump</v>
      </c>
      <c r="C4705" t="s">
        <v>554</v>
      </c>
      <c r="D4705" t="s">
        <v>376</v>
      </c>
    </row>
    <row r="4706" spans="1:4" x14ac:dyDescent="0.25">
      <c r="B4706" t="str">
        <f>HYPERLINK("https://www.chemistwarehouse.com.au/buy/74647/Sukin-Purifying-Facial-Mask-100ml"," Sukin Purifying Facial Mask 100ml")</f>
        <v xml:space="preserve"> Sukin Purifying Facial Mask 100ml</v>
      </c>
      <c r="C4706" t="s">
        <v>98</v>
      </c>
      <c r="D4706" t="s">
        <v>165</v>
      </c>
    </row>
    <row r="4707" spans="1:4" x14ac:dyDescent="0.25">
      <c r="B4707" t="str">
        <f>HYPERLINK("https://www.chemistwarehouse.com.au/buy/72376/Sukin-Facial-Treatment-Oil-25ml"," Sukin Facial Treatment Oil 25ml")</f>
        <v xml:space="preserve"> Sukin Facial Treatment Oil 25ml</v>
      </c>
      <c r="C4707" t="s">
        <v>443</v>
      </c>
      <c r="D4707" t="s">
        <v>821</v>
      </c>
    </row>
    <row r="4708" spans="1:4" x14ac:dyDescent="0.25">
      <c r="B4708" t="str">
        <f>HYPERLINK("https://www.chemistwarehouse.com.au/buy/64420/Sukin-Facial-Moisturiser-Cap-125ml"," Sukin Facial Moisturiser Cap 125ml")</f>
        <v xml:space="preserve"> Sukin Facial Moisturiser Cap 125ml</v>
      </c>
      <c r="C4708" t="s">
        <v>554</v>
      </c>
      <c r="D4708" t="s">
        <v>376</v>
      </c>
    </row>
    <row r="4709" spans="1:4" x14ac:dyDescent="0.25">
      <c r="B4709" t="str">
        <f>HYPERLINK("https://www.chemistwarehouse.com.au/buy/64446/Sukin-Foaming-Facial-Cleanser-125ml-Cap"," Sukin Foaming Facial Cleanser 125ml Cap")</f>
        <v xml:space="preserve"> Sukin Foaming Facial Cleanser 125ml Cap</v>
      </c>
      <c r="C4709" t="s">
        <v>240</v>
      </c>
      <c r="D4709" t="s">
        <v>400</v>
      </c>
    </row>
    <row r="4710" spans="1:4" x14ac:dyDescent="0.25">
      <c r="B4710" t="str">
        <f>HYPERLINK("https://www.chemistwarehouse.com.au/buy/64427/Sukin-Purely-Ageless-Intensive-Firming-Serum-30ml"," Sukin Purely Ageless Intensive Firming Serum 30ml")</f>
        <v xml:space="preserve"> Sukin Purely Ageless Intensive Firming Serum 30ml</v>
      </c>
      <c r="C4710" t="s">
        <v>407</v>
      </c>
      <c r="D4710" t="s">
        <v>149</v>
      </c>
    </row>
    <row r="4711" spans="1:4" x14ac:dyDescent="0.25">
      <c r="B4711" t="str">
        <f>HYPERLINK("https://www.chemistwarehouse.com.au/buy/64428/Sukin-Purely-Ageless-Hydration-Booster-25ml"," Sukin Purely Ageless Hydration Booster 25ml")</f>
        <v xml:space="preserve"> Sukin Purely Ageless Hydration Booster 25ml</v>
      </c>
      <c r="C4711" t="s">
        <v>407</v>
      </c>
      <c r="D4711" t="s">
        <v>149</v>
      </c>
    </row>
    <row r="4712" spans="1:4" x14ac:dyDescent="0.25">
      <c r="B4712" t="str">
        <f>HYPERLINK("https://www.chemistwarehouse.com.au/buy/78201/Sukin-Revitalising-Facial-Scrub-50ml"," Sukin Revitalising Facial Scrub 50ml")</f>
        <v xml:space="preserve"> Sukin Revitalising Facial Scrub 50ml</v>
      </c>
      <c r="C4712" t="s">
        <v>728</v>
      </c>
      <c r="D4712" t="s">
        <v>400</v>
      </c>
    </row>
    <row r="4713" spans="1:4" x14ac:dyDescent="0.25">
      <c r="A4713" t="s">
        <v>1271</v>
      </c>
    </row>
    <row r="4714" spans="1:4" x14ac:dyDescent="0.25">
      <c r="B4714" t="str">
        <f>HYPERLINK("https://www.chemistwarehouse.com.au/buy/71038/Derma-Sukin-Daily-Gentle-Wash-1-Litre"," Derma Sukin Daily Gentle Wash 1 Litre")</f>
        <v xml:space="preserve"> Derma Sukin Daily Gentle Wash 1 Litre</v>
      </c>
      <c r="C4714" t="s">
        <v>244</v>
      </c>
      <c r="D4714" t="s">
        <v>356</v>
      </c>
    </row>
    <row r="4715" spans="1:4" x14ac:dyDescent="0.25">
      <c r="B4715" t="str">
        <f>HYPERLINK("https://www.chemistwarehouse.com.au/buy/71039/Derma-Sukin-Daily-Gentle-Wash-250ml"," Derma Sukin Daily Gentle Wash 250ml")</f>
        <v xml:space="preserve"> Derma Sukin Daily Gentle Wash 250ml</v>
      </c>
      <c r="C4715" t="s">
        <v>326</v>
      </c>
      <c r="D4715" t="s">
        <v>152</v>
      </c>
    </row>
    <row r="4716" spans="1:4" x14ac:dyDescent="0.25">
      <c r="B4716" t="str">
        <f>HYPERLINK("https://www.chemistwarehouse.com.au/buy/71040/Derma-Sukin-Daily-Gentle-Wash-500ml"," Derma Sukin Daily Gentle Wash 500ml")</f>
        <v xml:space="preserve"> Derma Sukin Daily Gentle Wash 500ml</v>
      </c>
      <c r="C4716" t="s">
        <v>782</v>
      </c>
      <c r="D4716" t="s">
        <v>332</v>
      </c>
    </row>
    <row r="4717" spans="1:4" x14ac:dyDescent="0.25">
      <c r="B4717" t="str">
        <f>HYPERLINK("https://www.chemistwarehouse.com.au/buy/71041/Derma-Sukin-Daily-Hydrating-Wash-250ml"," Derma Sukin Daily Hydrating Wash 250ml")</f>
        <v xml:space="preserve"> Derma Sukin Daily Hydrating Wash 250ml</v>
      </c>
      <c r="C4717" t="s">
        <v>326</v>
      </c>
      <c r="D4717" t="s">
        <v>152</v>
      </c>
    </row>
    <row r="4718" spans="1:4" x14ac:dyDescent="0.25">
      <c r="B4718" t="str">
        <f>HYPERLINK("https://www.chemistwarehouse.com.au/buy/71042/Derma-Sukin-Daily-Hydrating-Wash-500ml"," Derma Sukin Daily Hydrating Wash 500ml")</f>
        <v xml:space="preserve"> Derma Sukin Daily Hydrating Wash 500ml</v>
      </c>
      <c r="C4718" t="s">
        <v>782</v>
      </c>
      <c r="D4718" t="s">
        <v>332</v>
      </c>
    </row>
    <row r="4719" spans="1:4" x14ac:dyDescent="0.25">
      <c r="B4719" t="str">
        <f>HYPERLINK("https://www.chemistwarehouse.com.au/buy/71043/Derma-Sukin-Gentle-Daily-Lotion-500ml"," Derma Sukin Gentle Daily Lotion 500ml")</f>
        <v xml:space="preserve"> Derma Sukin Gentle Daily Lotion 500ml</v>
      </c>
      <c r="C4719" t="s">
        <v>430</v>
      </c>
      <c r="D4719" t="s">
        <v>821</v>
      </c>
    </row>
    <row r="4720" spans="1:4" x14ac:dyDescent="0.25">
      <c r="B4720" t="str">
        <f>HYPERLINK("https://www.chemistwarehouse.com.au/buy/71044/Derma-Sukin-Intensive-Hydration-Cream-500ml"," Derma Sukin Intensive Hydration Cream 500ml")</f>
        <v xml:space="preserve"> Derma Sukin Intensive Hydration Cream 500ml</v>
      </c>
      <c r="C4720" t="s">
        <v>107</v>
      </c>
      <c r="D4720" t="s">
        <v>496</v>
      </c>
    </row>
    <row r="4721" spans="1:4" x14ac:dyDescent="0.25">
      <c r="B4721" t="str">
        <f>HYPERLINK("https://www.chemistwarehouse.com.au/buy/71045/Derma-Sukin-Oil-Balancing-Wash-250ml"," Derma Sukin Oil Balancing Wash 250ml")</f>
        <v xml:space="preserve"> Derma Sukin Oil Balancing Wash 250ml</v>
      </c>
      <c r="C4721" t="s">
        <v>326</v>
      </c>
      <c r="D4721" t="s">
        <v>152</v>
      </c>
    </row>
    <row r="4722" spans="1:4" x14ac:dyDescent="0.25">
      <c r="B4722" t="str">
        <f>HYPERLINK("https://www.chemistwarehouse.com.au/buy/71046/Derma-Sukin-Oil-Balancing-Wash-500ml"," Derma Sukin Oil Balancing Wash 500ml")</f>
        <v xml:space="preserve"> Derma Sukin Oil Balancing Wash 500ml</v>
      </c>
      <c r="C4722" t="s">
        <v>782</v>
      </c>
      <c r="D4722" t="s">
        <v>332</v>
      </c>
    </row>
    <row r="4723" spans="1:4" x14ac:dyDescent="0.25">
      <c r="A4723" t="s">
        <v>1272</v>
      </c>
    </row>
    <row r="4724" spans="1:4" x14ac:dyDescent="0.25">
      <c r="B4724" t="str">
        <f>HYPERLINK("https://www.chemistwarehouse.com.au/buy/80480/Sukin-Baby-Gentle-Body-Wash-Fragrance-Free-250ml"," Sukin Baby Gentle Body Wash Fragrance Free 250ml")</f>
        <v xml:space="preserve"> Sukin Baby Gentle Body Wash Fragrance Free 250ml</v>
      </c>
      <c r="C4724" t="s">
        <v>92</v>
      </c>
      <c r="D4724" t="s">
        <v>397</v>
      </c>
    </row>
    <row r="4725" spans="1:4" x14ac:dyDescent="0.25">
      <c r="B4725" t="str">
        <f>HYPERLINK("https://www.chemistwarehouse.com.au/buy/80481/Sukin-Baby-Gentle-Body-Wash-Soft-Fragrance-250ml"," Sukin Baby Gentle Body Wash Soft Fragrance 250ml")</f>
        <v xml:space="preserve"> Sukin Baby Gentle Body Wash Soft Fragrance 250ml</v>
      </c>
      <c r="C4725" t="s">
        <v>92</v>
      </c>
      <c r="D4725" t="s">
        <v>397</v>
      </c>
    </row>
    <row r="4726" spans="1:4" x14ac:dyDescent="0.25">
      <c r="B4726" t="str">
        <f>HYPERLINK("https://www.chemistwarehouse.com.au/buy/80482/Sukin-Baby-Shampoo-250ml"," Sukin Baby Shampoo 250ml")</f>
        <v xml:space="preserve"> Sukin Baby Shampoo 250ml</v>
      </c>
      <c r="C4726" t="s">
        <v>92</v>
      </c>
      <c r="D4726" t="s">
        <v>397</v>
      </c>
    </row>
    <row r="4727" spans="1:4" x14ac:dyDescent="0.25">
      <c r="B4727" t="str">
        <f>HYPERLINK("https://www.chemistwarehouse.com.au/buy/80483/Sukin-Baby-Silky-Soft-Baby-Body-Lotion-Fragrance-Free-250ml"," Sukin Baby Silky Soft Baby Body Lotion Fragrance Free 250ml")</f>
        <v xml:space="preserve"> Sukin Baby Silky Soft Baby Body Lotion Fragrance Free 250ml</v>
      </c>
      <c r="C4727" t="s">
        <v>32</v>
      </c>
      <c r="D4727" t="s">
        <v>145</v>
      </c>
    </row>
    <row r="4728" spans="1:4" x14ac:dyDescent="0.25">
      <c r="B4728" t="str">
        <f>HYPERLINK("https://www.chemistwarehouse.com.au/buy/80484/Sukin-Baby-Silky-Soft-Body-Lotion-Soft-Fragrance-250ml"," Sukin Baby Silky Soft Body Lotion Soft Fragrance 250ml")</f>
        <v xml:space="preserve"> Sukin Baby Silky Soft Body Lotion Soft Fragrance 250ml</v>
      </c>
      <c r="C4728" t="s">
        <v>32</v>
      </c>
      <c r="D4728" t="s">
        <v>145</v>
      </c>
    </row>
    <row r="4729" spans="1:4" x14ac:dyDescent="0.25">
      <c r="B4729" t="str">
        <f>HYPERLINK("https://www.chemistwarehouse.com.au/buy/82539/Sukin-Baby-3x50ml-Trial-Pack"," Sukin Baby 3x50ml Trial Pack")</f>
        <v xml:space="preserve"> Sukin Baby 3x50ml Trial Pack</v>
      </c>
      <c r="C4729" t="s">
        <v>45</v>
      </c>
      <c r="D4729" t="s">
        <v>165</v>
      </c>
    </row>
    <row r="4730" spans="1:4" x14ac:dyDescent="0.25">
      <c r="A4730" t="s">
        <v>1273</v>
      </c>
    </row>
    <row r="4731" spans="1:4" x14ac:dyDescent="0.25">
      <c r="B4731" t="str">
        <f>HYPERLINK("https://www.chemistwarehouse.com.au/buy/67251/Fruitworks-Watermelon-and-Grapefruit-Shower-Gel-238ml"," Fruitworks Watermelon and Grapefruit Shower Gel 238ml ")</f>
        <v xml:space="preserve"> Fruitworks Watermelon and Grapefruit Shower Gel 238ml </v>
      </c>
      <c r="C4731" t="s">
        <v>556</v>
      </c>
      <c r="D4731">
        <v>0</v>
      </c>
    </row>
    <row r="4732" spans="1:4" x14ac:dyDescent="0.25">
      <c r="B4732" t="str">
        <f>HYPERLINK("https://www.chemistwarehouse.com.au/buy/67254/Fruitworks-Watermelon-and-Grapefruit-Hand-Lotion-500ml"," Fruitworks Watermelon and Grapefruit Hand Lotion 500ml")</f>
        <v xml:space="preserve"> Fruitworks Watermelon and Grapefruit Hand Lotion 500ml</v>
      </c>
      <c r="C4732" t="s">
        <v>556</v>
      </c>
      <c r="D4732">
        <v>0</v>
      </c>
    </row>
    <row r="4733" spans="1:4" x14ac:dyDescent="0.25">
      <c r="B4733" t="str">
        <f>HYPERLINK("https://www.chemistwarehouse.com.au/buy/67255/Fruitworks-Coconut-and-Lime-Shower-Gel-238ml"," Fruitworks Coconut and Lime Shower Gel 238ml")</f>
        <v xml:space="preserve"> Fruitworks Coconut and Lime Shower Gel 238ml</v>
      </c>
      <c r="C4733" t="s">
        <v>556</v>
      </c>
      <c r="D4733">
        <v>0</v>
      </c>
    </row>
    <row r="4734" spans="1:4" x14ac:dyDescent="0.25">
      <c r="B4734" t="str">
        <f>HYPERLINK("https://www.chemistwarehouse.com.au/buy/67259/Fruitworks-Coconut-and-Lime-Hand-Wash-500ml"," Fruitworks Coconut and Lime Hand Wash 500ml")</f>
        <v xml:space="preserve"> Fruitworks Coconut and Lime Hand Wash 500ml</v>
      </c>
      <c r="C4734" t="s">
        <v>556</v>
      </c>
      <c r="D4734">
        <v>0</v>
      </c>
    </row>
    <row r="4735" spans="1:4" x14ac:dyDescent="0.25">
      <c r="B4735" t="str">
        <f>HYPERLINK("https://www.chemistwarehouse.com.au/buy/67248/Fruitworks-Watermelon-and-Grapefruit-Hand-Wash-500ml"," Fruitworks Watermelon and Grapefruit Hand Wash 500ml")</f>
        <v xml:space="preserve"> Fruitworks Watermelon and Grapefruit Hand Wash 500ml</v>
      </c>
      <c r="C4735" t="s">
        <v>556</v>
      </c>
      <c r="D4735">
        <v>0</v>
      </c>
    </row>
    <row r="4736" spans="1:4" x14ac:dyDescent="0.25">
      <c r="B4736" t="str">
        <f>HYPERLINK("https://www.chemistwarehouse.com.au/buy/67250/Fruitworks-Coconut-and-Lime-Hand-Lotion-500ml"," Fruitworks Coconut and Lime Hand Lotion 500ml")</f>
        <v xml:space="preserve"> Fruitworks Coconut and Lime Hand Lotion 500ml</v>
      </c>
      <c r="C4736" t="s">
        <v>556</v>
      </c>
      <c r="D4736">
        <v>0</v>
      </c>
    </row>
    <row r="4737" spans="1:4" x14ac:dyDescent="0.25">
      <c r="A4737" t="s">
        <v>1274</v>
      </c>
    </row>
    <row r="4738" spans="1:4" x14ac:dyDescent="0.25">
      <c r="B4738" t="str">
        <f>HYPERLINK("https://www.chemistwarehouse.com.au/buy/62297/Clarins-Beauty-Flash-Balm-50ml"," Clarins Beauty Flash Balm 50ml")</f>
        <v xml:space="preserve"> Clarins Beauty Flash Balm 50ml</v>
      </c>
      <c r="C4738" t="s">
        <v>258</v>
      </c>
      <c r="D4738" t="s">
        <v>836</v>
      </c>
    </row>
    <row r="4739" spans="1:4" x14ac:dyDescent="0.25">
      <c r="B4739" t="str">
        <f>HYPERLINK("https://www.chemistwarehouse.com.au/buy/64276/Clarins-Hand-amp-Nail-Cream-100ml"," Clarins Hand &amp; Nail Cream 100ml")</f>
        <v xml:space="preserve"> Clarins Hand &amp; Nail Cream 100ml</v>
      </c>
      <c r="C4739" t="s">
        <v>6</v>
      </c>
      <c r="D4739" t="s">
        <v>490</v>
      </c>
    </row>
    <row r="4740" spans="1:4" x14ac:dyDescent="0.25">
      <c r="B4740" t="str">
        <f>HYPERLINK("https://www.chemistwarehouse.com.au/buy/79222/Clarins-Eye-Contour-Gel-20ml"," Clarins Eye Contour Gel 20ml")</f>
        <v xml:space="preserve"> Clarins Eye Contour Gel 20ml</v>
      </c>
      <c r="C4740" t="s">
        <v>472</v>
      </c>
      <c r="D4740" t="s">
        <v>512</v>
      </c>
    </row>
    <row r="4741" spans="1:4" x14ac:dyDescent="0.25">
      <c r="B4741" t="str">
        <f>HYPERLINK("https://www.chemistwarehouse.com.au/buy/79227/Clarins-Extra-Firming-Night-Cream-Special-For-Dry-Skin-50ml"," Clarins Extra Firming Night Cream Special For Dry Skin 50ml")</f>
        <v xml:space="preserve"> Clarins Extra Firming Night Cream Special For Dry Skin 50ml</v>
      </c>
      <c r="C4741" t="s">
        <v>608</v>
      </c>
      <c r="D4741">
        <v>0</v>
      </c>
    </row>
    <row r="4742" spans="1:4" x14ac:dyDescent="0.25">
      <c r="B4742" t="str">
        <f>HYPERLINK("https://www.chemistwarehouse.com.au/buy/79228/Clarins-Super-Restorative-Day-Cream-50ml"," Clarins Super Restorative Day Cream 50ml")</f>
        <v xml:space="preserve"> Clarins Super Restorative Day Cream 50ml</v>
      </c>
      <c r="C4742" t="s">
        <v>1275</v>
      </c>
      <c r="D4742">
        <v>0</v>
      </c>
    </row>
    <row r="4743" spans="1:4" x14ac:dyDescent="0.25">
      <c r="B4743" t="str">
        <f>HYPERLINK("https://www.chemistwarehouse.com.au/buy/79230/Clarins-Gentle-Foaming-Cleanser-Normal-Combination-Skin-125ml"," Clarins Gentle Foaming Cleanser Normal/Combination Skin 125ml")</f>
        <v xml:space="preserve"> Clarins Gentle Foaming Cleanser Normal/Combination Skin 125ml</v>
      </c>
      <c r="C4743" t="s">
        <v>266</v>
      </c>
      <c r="D4743" t="s">
        <v>500</v>
      </c>
    </row>
    <row r="4744" spans="1:4" x14ac:dyDescent="0.25">
      <c r="B4744" t="str">
        <f>HYPERLINK("https://www.chemistwarehouse.com.au/buy/79225/Clarins-Extra-Firming-Day-Cream-Special-For-Dry-Skin-50ml"," Clarins Extra Firming Day Cream Special For Dry Skin 50ml")</f>
        <v xml:space="preserve"> Clarins Extra Firming Day Cream Special For Dry Skin 50ml</v>
      </c>
      <c r="C4744" t="s">
        <v>1276</v>
      </c>
      <c r="D4744">
        <v>0</v>
      </c>
    </row>
    <row r="4745" spans="1:4" x14ac:dyDescent="0.25">
      <c r="B4745" t="str">
        <f>HYPERLINK("https://www.chemistwarehouse.com.au/buy/79226/Clarins-HydraQuench-Intensive-Serum-Bi-Phase-Glass-Bottle-With-Pump-30ml"," Clarins HydraQuench Intensive Serum Bi-Phase Glass Bottle With Pump 30ml")</f>
        <v xml:space="preserve"> Clarins HydraQuench Intensive Serum Bi-Phase Glass Bottle With Pump 30ml</v>
      </c>
      <c r="C4745" t="s">
        <v>1277</v>
      </c>
      <c r="D4745" t="s">
        <v>671</v>
      </c>
    </row>
    <row r="4746" spans="1:4" x14ac:dyDescent="0.25">
      <c r="B4746" t="str">
        <f>HYPERLINK("https://www.chemistwarehouse.com.au/buy/73261/Clarins-Gentle-Eye-Make-Up-Remover-Lotion-125ml"," Clarins Gentle Eye Make-Up Remover Lotion 125ml")</f>
        <v xml:space="preserve"> Clarins Gentle Eye Make-Up Remover Lotion 125ml</v>
      </c>
      <c r="C4746" t="s">
        <v>1278</v>
      </c>
      <c r="D4746">
        <v>0</v>
      </c>
    </row>
    <row r="4747" spans="1:4" x14ac:dyDescent="0.25">
      <c r="B4747" t="str">
        <f>HYPERLINK("https://www.chemistwarehouse.com.au/buy/73262/Clarins-Cleansing-Milk-With-Alpine-Herbs-Normal-Dry-Skin-200ml"," Clarins Cleansing Milk With Alpine Herbs Normal/Dry Skin 200ml")</f>
        <v xml:space="preserve"> Clarins Cleansing Milk With Alpine Herbs Normal/Dry Skin 200ml</v>
      </c>
      <c r="C4747" t="s">
        <v>243</v>
      </c>
      <c r="D4747" t="s">
        <v>487</v>
      </c>
    </row>
    <row r="4748" spans="1:4" x14ac:dyDescent="0.25">
      <c r="B4748" t="str">
        <f>HYPERLINK("https://www.chemistwarehouse.com.au/buy/73263/Clarins-Cleansing-Milk-With-Gentian-Combination-Oily-Skin-200ml"," Clarins Cleansing Milk With Gentian Combination/Oily Skin 200ml")</f>
        <v xml:space="preserve"> Clarins Cleansing Milk With Gentian Combination/Oily Skin 200ml</v>
      </c>
      <c r="C4748" t="s">
        <v>243</v>
      </c>
      <c r="D4748" t="s">
        <v>487</v>
      </c>
    </row>
    <row r="4749" spans="1:4" x14ac:dyDescent="0.25">
      <c r="B4749" t="str">
        <f>HYPERLINK("https://www.chemistwarehouse.com.au/buy/73265/Clarins-Toning-Lotion-With-Iris-Alcohol-Free-Combination-Oily-Skin-200ml"," Clarins Toning Lotion With Iris Alcohol Free Combination/Oily Skin 200ml")</f>
        <v xml:space="preserve"> Clarins Toning Lotion With Iris Alcohol Free Combination/Oily Skin 200ml</v>
      </c>
      <c r="C4749" t="s">
        <v>245</v>
      </c>
      <c r="D4749" t="s">
        <v>923</v>
      </c>
    </row>
    <row r="4750" spans="1:4" x14ac:dyDescent="0.25">
      <c r="B4750" t="str">
        <f>HYPERLINK("https://www.chemistwarehouse.com.au/buy/75964/Clarins-Multi-Active-Day-Cream-Dry-Skin-50ml"," Clarins Multi-Active Day Cream Dry Skin 50ml")</f>
        <v xml:space="preserve"> Clarins Multi-Active Day Cream Dry Skin 50ml</v>
      </c>
      <c r="C4750" t="s">
        <v>1279</v>
      </c>
      <c r="D4750" t="s">
        <v>1280</v>
      </c>
    </row>
    <row r="4751" spans="1:4" x14ac:dyDescent="0.25">
      <c r="B4751" t="str">
        <f>HYPERLINK("https://www.chemistwarehouse.com.au/buy/79220/Clarins-One-Step-Exfoliating-Cleanser-With-Orange-Extract-All-Skin-Types-125ml"," Clarins One Step Exfoliating Cleanser With Orange Extract All Skin Types 125ml")</f>
        <v xml:space="preserve"> Clarins One Step Exfoliating Cleanser With Orange Extract All Skin Types 125ml</v>
      </c>
      <c r="C4751" t="s">
        <v>243</v>
      </c>
      <c r="D4751" t="s">
        <v>487</v>
      </c>
    </row>
    <row r="4752" spans="1:4" x14ac:dyDescent="0.25">
      <c r="B4752" t="str">
        <f>HYPERLINK("https://www.chemistwarehouse.com.au/buy/82657/Clarins-Anti-Pollution-Cleansing-Milk-200ml"," Clarins Anti Pollution Cleansing Milk 200ml")</f>
        <v xml:space="preserve"> Clarins Anti Pollution Cleansing Milk 200ml</v>
      </c>
      <c r="C4752" t="s">
        <v>1281</v>
      </c>
      <c r="D4752">
        <v>0</v>
      </c>
    </row>
    <row r="4753" spans="1:4" x14ac:dyDescent="0.25">
      <c r="B4753" t="str">
        <f>HYPERLINK("https://www.chemistwarehouse.com.au/buy/79224/Clarins-Multi-Active-Night-Comfort-Cream-Normal-Dry-Skin-50ml"," Clarins Multi-Active Night Comfort Cream Normal/Dry Skin 50ml")</f>
        <v xml:space="preserve"> Clarins Multi-Active Night Comfort Cream Normal/Dry Skin 50ml</v>
      </c>
      <c r="C4753" t="s">
        <v>472</v>
      </c>
      <c r="D4753" t="s">
        <v>512</v>
      </c>
    </row>
    <row r="4754" spans="1:4" x14ac:dyDescent="0.25">
      <c r="B4754" t="str">
        <f>HYPERLINK("https://www.chemistwarehouse.com.au/buy/73264/Clarins-Toning-Lotion-With-Chamomile-Alcohol-Free-Normal-Dry-Skin-200ml"," Clarins Toning Lotion With Chamomile Alcohol Free Normal/Dry Skin 200ml")</f>
        <v xml:space="preserve"> Clarins Toning Lotion With Chamomile Alcohol Free Normal/Dry Skin 200ml</v>
      </c>
      <c r="C4754" t="s">
        <v>245</v>
      </c>
      <c r="D4754" t="s">
        <v>923</v>
      </c>
    </row>
    <row r="4755" spans="1:4" x14ac:dyDescent="0.25">
      <c r="B4755" t="str">
        <f>HYPERLINK("https://www.chemistwarehouse.com.au/buy/79221/Clarins-Gentle-Foaming-Cleanser-Dry-Sensitive-Skin-125ml"," Clarins Gentle Foaming Cleanser Dry/Sensitive Skin 125ml")</f>
        <v xml:space="preserve"> Clarins Gentle Foaming Cleanser Dry/Sensitive Skin 125ml</v>
      </c>
      <c r="C4755" t="s">
        <v>266</v>
      </c>
      <c r="D4755" t="s">
        <v>500</v>
      </c>
    </row>
    <row r="4756" spans="1:4" x14ac:dyDescent="0.25">
      <c r="B4756" t="str">
        <f>HYPERLINK("https://www.chemistwarehouse.com.au/buy/73898/Clarins-Take-Off-Travel-Skin-Care-Essentials"," Clarins Take Off Travel Skin Care Essentials")</f>
        <v xml:space="preserve"> Clarins Take Off Travel Skin Care Essentials</v>
      </c>
      <c r="C4756" t="s">
        <v>514</v>
      </c>
      <c r="D4756" t="s">
        <v>856</v>
      </c>
    </row>
    <row r="4757" spans="1:4" x14ac:dyDescent="0.25">
      <c r="B4757" t="str">
        <f>HYPERLINK("https://www.chemistwarehouse.com.au/buy/79223/Clarins-HydraQuench-Cream-Mask-75ml"," Clarins HydraQuench Cream Mask 75ml")</f>
        <v xml:space="preserve"> Clarins HydraQuench Cream Mask 75ml</v>
      </c>
      <c r="C4757" t="s">
        <v>288</v>
      </c>
      <c r="D4757" t="s">
        <v>490</v>
      </c>
    </row>
    <row r="4758" spans="1:4" x14ac:dyDescent="0.25">
      <c r="B4758" t="str">
        <f>HYPERLINK("https://www.chemistwarehouse.com.au/buy/81909/Clarins-Body-Soothing-amp-Comfort-3-Piece-Set"," Clarins Body Soothing &amp; Comfort 3 Piece Set")</f>
        <v xml:space="preserve"> Clarins Body Soothing &amp; Comfort 3 Piece Set</v>
      </c>
      <c r="C4758" t="s">
        <v>258</v>
      </c>
      <c r="D4758" t="s">
        <v>46</v>
      </c>
    </row>
    <row r="4759" spans="1:4" x14ac:dyDescent="0.25">
      <c r="B4759" t="str">
        <f>HYPERLINK("https://www.chemistwarehouse.com.au/buy/81910/Clarins-Expert-Eye-Care-3-Piece-Gift-Set"," Clarins Expert Eye Care 3 Piece Gift Set")</f>
        <v xml:space="preserve"> Clarins Expert Eye Care 3 Piece Gift Set</v>
      </c>
      <c r="C4759" t="s">
        <v>168</v>
      </c>
      <c r="D4759" t="s">
        <v>169</v>
      </c>
    </row>
    <row r="4760" spans="1:4" x14ac:dyDescent="0.25">
      <c r="B4760" t="str">
        <f>HYPERLINK("https://www.chemistwarehouse.com.au/buy/79229/Clarins-Instant-Eye-Makeup-Remover-125ml"," Clarins Instant Eye Makeup Remover 125ml")</f>
        <v xml:space="preserve"> Clarins Instant Eye Makeup Remover 125ml</v>
      </c>
      <c r="C4760" t="s">
        <v>1278</v>
      </c>
      <c r="D4760">
        <v>0</v>
      </c>
    </row>
    <row r="4761" spans="1:4" x14ac:dyDescent="0.25">
      <c r="A4761" t="s">
        <v>1282</v>
      </c>
    </row>
    <row r="4762" spans="1:4" x14ac:dyDescent="0.25">
      <c r="B4762" t="str">
        <f>HYPERLINK("https://www.chemistwarehouse.com.au/buy/59407/Healthy-Care-Natural-Lanolin-amp-Vitamin-E-Cream-100g"," Healthy Care Natural Lanolin &amp; Vitamin E Cream 100g")</f>
        <v xml:space="preserve"> Healthy Care Natural Lanolin &amp; Vitamin E Cream 100g</v>
      </c>
      <c r="C4762" t="s">
        <v>483</v>
      </c>
      <c r="D4762">
        <v>0</v>
      </c>
    </row>
    <row r="4763" spans="1:4" x14ac:dyDescent="0.25">
      <c r="B4763" t="str">
        <f>HYPERLINK("https://www.chemistwarehouse.com.au/buy/78366/Pure-Flushable-Toilet-Tissue-60-Wipes"," Pure Flushable Toilet Tissue 60 Wipes")</f>
        <v xml:space="preserve"> Pure Flushable Toilet Tissue 60 Wipes</v>
      </c>
      <c r="C4763" t="s">
        <v>146</v>
      </c>
      <c r="D4763">
        <v>0</v>
      </c>
    </row>
    <row r="4764" spans="1:4" x14ac:dyDescent="0.25">
      <c r="B4764" t="str">
        <f>HYPERLINK("https://www.chemistwarehouse.com.au/buy/56262/Hopes-Relief-60g-Tube"," Hopes Relief 60g Tube")</f>
        <v xml:space="preserve"> Hopes Relief 60g Tube</v>
      </c>
      <c r="C4764" t="s">
        <v>8</v>
      </c>
      <c r="D4764" t="s">
        <v>312</v>
      </c>
    </row>
    <row r="4765" spans="1:4" x14ac:dyDescent="0.25">
      <c r="B4765" t="str">
        <f>HYPERLINK("https://www.chemistwarehouse.com.au/buy/60015/Palmolive-Cashmere-Soap-Bouquet-Lavender-4-Pack"," Palmolive Cashmere Soap Bouquet Lavender 4 Pack")</f>
        <v xml:space="preserve"> Palmolive Cashmere Soap Bouquet Lavender 4 Pack</v>
      </c>
      <c r="C4765" t="s">
        <v>146</v>
      </c>
      <c r="D4765" t="s">
        <v>1283</v>
      </c>
    </row>
    <row r="4766" spans="1:4" x14ac:dyDescent="0.25">
      <c r="B4766" t="str">
        <f>HYPERLINK("https://www.chemistwarehouse.com.au/buy/4750/Ferro-Liquid-250ml-30mg-ml"," Ferro Liquid 250ml 30mg/ml")</f>
        <v xml:space="preserve"> Ferro Liquid 250ml 30mg/ml</v>
      </c>
      <c r="C4766" t="s">
        <v>202</v>
      </c>
      <c r="D4766">
        <v>0</v>
      </c>
    </row>
    <row r="4767" spans="1:4" x14ac:dyDescent="0.25">
      <c r="B4767" t="str">
        <f>HYPERLINK("https://www.chemistwarehouse.com.au/buy/79657/Dermal-Therapy-Eczema-amp-Psoriasis-Cream-50g"," Dermal Therapy Eczema &amp; Psoriasis Cream 50g")</f>
        <v xml:space="preserve"> Dermal Therapy Eczema &amp; Psoriasis Cream 50g</v>
      </c>
      <c r="C4767" t="s">
        <v>187</v>
      </c>
      <c r="D4767" t="s">
        <v>397</v>
      </c>
    </row>
    <row r="4768" spans="1:4" x14ac:dyDescent="0.25">
      <c r="B4768" t="str">
        <f>HYPERLINK("https://www.chemistwarehouse.com.au/buy/76352/MediHoney-Natural-Eczema-Cream-50g"," MediHoney Natural Eczema Cream 50g")</f>
        <v xml:space="preserve"> MediHoney Natural Eczema Cream 50g</v>
      </c>
      <c r="C4768" t="s">
        <v>407</v>
      </c>
      <c r="D4768" t="s">
        <v>376</v>
      </c>
    </row>
    <row r="4769" spans="2:4" x14ac:dyDescent="0.25">
      <c r="B4769" t="str">
        <f>HYPERLINK("https://www.chemistwarehouse.com.au/buy/66853/Seven-Wonders-Moroccan-Argan-Oil-Skin-Serum-45ml"," Seven Wonders Moroccan Argan Oil Skin Serum 45ml")</f>
        <v xml:space="preserve"> Seven Wonders Moroccan Argan Oil Skin Serum 45ml</v>
      </c>
      <c r="C4769" t="s">
        <v>230</v>
      </c>
      <c r="D4769" t="s">
        <v>336</v>
      </c>
    </row>
    <row r="4770" spans="2:4" x14ac:dyDescent="0.25">
      <c r="B4770" t="str">
        <f>HYPERLINK("https://www.chemistwarehouse.com.au/buy/64599/Aapri-Face-Scrub-Original-100ml"," Aapri Face Scrub Original 100ml")</f>
        <v xml:space="preserve"> Aapri Face Scrub Original 100ml</v>
      </c>
      <c r="C4770" t="s">
        <v>103</v>
      </c>
      <c r="D4770" t="s">
        <v>643</v>
      </c>
    </row>
    <row r="4771" spans="2:4" x14ac:dyDescent="0.25">
      <c r="B4771" t="str">
        <f>HYPERLINK("https://www.chemistwarehouse.com.au/buy/65536/Lanate-Body-Topical-Cream-150G"," Lanate Body Topical Cream 150G")</f>
        <v xml:space="preserve"> Lanate Body Topical Cream 150G</v>
      </c>
      <c r="C4771" t="s">
        <v>1</v>
      </c>
      <c r="D4771" t="s">
        <v>1284</v>
      </c>
    </row>
    <row r="4772" spans="2:4" x14ac:dyDescent="0.25">
      <c r="B4772" t="str">
        <f>HYPERLINK("https://www.chemistwarehouse.com.au/buy/81715/Bioderma-Sensibio-H20-Solution-Micellaire-250ml"," Bioderma Sensibio H20 Solution Micellaire 250ml")</f>
        <v xml:space="preserve"> Bioderma Sensibio H20 Solution Micellaire 250ml</v>
      </c>
      <c r="C4772" t="s">
        <v>63</v>
      </c>
      <c r="D4772" t="s">
        <v>299</v>
      </c>
    </row>
    <row r="4773" spans="2:4" x14ac:dyDescent="0.25">
      <c r="B4773" t="str">
        <f>HYPERLINK("https://www.chemistwarehouse.com.au/buy/81456/Nuxe-Huile-Prodigieuse-Multi-Purpose-Dry-Oil-50ml"," Nuxe Huile Prodigieuse Multi Purpose Dry Oil 50ml")</f>
        <v xml:space="preserve"> Nuxe Huile Prodigieuse Multi Purpose Dry Oil 50ml</v>
      </c>
      <c r="C4773" t="s">
        <v>1</v>
      </c>
      <c r="D4773">
        <v>0</v>
      </c>
    </row>
    <row r="4774" spans="2:4" x14ac:dyDescent="0.25">
      <c r="B4774" t="str">
        <f>HYPERLINK("https://www.chemistwarehouse.com.au/buy/81526/Milk-amp-Co-Beauty-Wipes-25"," Milk &amp; Co Beauty Wipes 25")</f>
        <v xml:space="preserve"> Milk &amp; Co Beauty Wipes 25</v>
      </c>
      <c r="C4774" t="s">
        <v>1285</v>
      </c>
      <c r="D4774" t="s">
        <v>1286</v>
      </c>
    </row>
    <row r="4775" spans="2:4" x14ac:dyDescent="0.25">
      <c r="B4775" t="str">
        <f>HYPERLINK("https://www.chemistwarehouse.com.au/buy/81527/Klim-Swim-Wash-Tough-on-Chlorine-375ml"," Klim Swim Wash Tough on Chlorine 375ml")</f>
        <v xml:space="preserve"> Klim Swim Wash Tough on Chlorine 375ml</v>
      </c>
      <c r="C4775" t="s">
        <v>45</v>
      </c>
      <c r="D4775" t="s">
        <v>165</v>
      </c>
    </row>
    <row r="4776" spans="2:4" x14ac:dyDescent="0.25">
      <c r="B4776" t="str">
        <f>HYPERLINK("https://www.chemistwarehouse.com.au/buy/65841/Cortic-DS-Ointment-1-30g"," Cortic DS Ointment 1% 30g")</f>
        <v xml:space="preserve"> Cortic DS Ointment 1% 30g</v>
      </c>
      <c r="C4776" t="s">
        <v>32</v>
      </c>
      <c r="D4776">
        <v>0</v>
      </c>
    </row>
    <row r="4777" spans="2:4" x14ac:dyDescent="0.25">
      <c r="B4777" t="str">
        <f>HYPERLINK("https://www.chemistwarehouse.com.au/buy/65975/Zo-Rub-Anti-Chafing-Cream-75g"," Zo Rub Anti Chafing Cream 75g")</f>
        <v xml:space="preserve"> Zo Rub Anti Chafing Cream 75g</v>
      </c>
      <c r="C4777" t="s">
        <v>45</v>
      </c>
      <c r="D4777" t="s">
        <v>147</v>
      </c>
    </row>
    <row r="4778" spans="2:4" x14ac:dyDescent="0.25">
      <c r="B4778" t="str">
        <f>HYPERLINK("https://www.chemistwarehouse.com.au/buy/65264/Oil-of-Aloe-Cleansing-Milk-400ml"," Oil of Aloe Cleansing Milk 400ml")</f>
        <v xml:space="preserve"> Oil of Aloe Cleansing Milk 400ml</v>
      </c>
      <c r="C4778" t="s">
        <v>635</v>
      </c>
      <c r="D4778">
        <v>0</v>
      </c>
    </row>
    <row r="4779" spans="2:4" x14ac:dyDescent="0.25">
      <c r="B4779" t="str">
        <f>HYPERLINK("https://www.chemistwarehouse.com.au/buy/61841/Emulsfying-Ointment-500g"," Emulsfying Ointment 500g")</f>
        <v xml:space="preserve"> Emulsfying Ointment 500g</v>
      </c>
      <c r="C4779" t="s">
        <v>98</v>
      </c>
      <c r="D4779" t="s">
        <v>1230</v>
      </c>
    </row>
    <row r="4780" spans="2:4" x14ac:dyDescent="0.25">
      <c r="B4780" t="str">
        <f>HYPERLINK("https://www.chemistwarehouse.com.au/buy/62588/Cortic-DS-Cream-1-30g"," Cortic DS Cream 1% 30g")</f>
        <v xml:space="preserve"> Cortic DS Cream 1% 30g</v>
      </c>
      <c r="C4780" t="s">
        <v>116</v>
      </c>
      <c r="D4780">
        <v>0</v>
      </c>
    </row>
    <row r="4781" spans="2:4" x14ac:dyDescent="0.25">
      <c r="B4781" t="str">
        <f>HYPERLINK("https://www.chemistwarehouse.com.au/buy/63041/Tiger-Balm-Oil-57ml"," Tiger Balm Oil 57ml")</f>
        <v xml:space="preserve"> Tiger Balm Oil 57ml</v>
      </c>
      <c r="C4781" t="s">
        <v>228</v>
      </c>
      <c r="D4781" t="s">
        <v>400</v>
      </c>
    </row>
    <row r="4782" spans="2:4" x14ac:dyDescent="0.25">
      <c r="B4782" t="str">
        <f>HYPERLINK("https://www.chemistwarehouse.com.au/buy/64513/Medi-Rub-Analgesic-Rub-100g"," Medi-Rub Analgesic Rub 100g")</f>
        <v xml:space="preserve"> Medi-Rub Analgesic Rub 100g</v>
      </c>
      <c r="C4782" t="s">
        <v>32</v>
      </c>
      <c r="D4782" t="s">
        <v>808</v>
      </c>
    </row>
    <row r="4783" spans="2:4" x14ac:dyDescent="0.25">
      <c r="B4783" t="str">
        <f>HYPERLINK("https://www.chemistwarehouse.com.au/buy/38567/Urederm-Cream-10-100g"," Urederm Cream 10% 100g")</f>
        <v xml:space="preserve"> Urederm Cream 10% 100g</v>
      </c>
      <c r="C4783" t="s">
        <v>240</v>
      </c>
      <c r="D4783" t="s">
        <v>400</v>
      </c>
    </row>
    <row r="4784" spans="2:4" x14ac:dyDescent="0.25">
      <c r="B4784" t="str">
        <f>HYPERLINK("https://www.chemistwarehouse.com.au/buy/51828/Essentials-Vitamin-E-Cream-75g"," Essentials Vitamin E Cream 75g")</f>
        <v xml:space="preserve"> Essentials Vitamin E Cream 75g</v>
      </c>
      <c r="C4784" t="s">
        <v>483</v>
      </c>
      <c r="D4784" t="s">
        <v>557</v>
      </c>
    </row>
    <row r="4785" spans="1:4" x14ac:dyDescent="0.25">
      <c r="B4785" t="str">
        <f>HYPERLINK("https://www.chemistwarehouse.com.au/buy/60014/Palmolive-Cashmere-Soap-Bouquet-Classic-4-Pack"," Palmolive Cashmere Soap Bouquet Classic 4 Pack")</f>
        <v xml:space="preserve"> Palmolive Cashmere Soap Bouquet Classic 4 Pack</v>
      </c>
      <c r="C4785" t="s">
        <v>146</v>
      </c>
      <c r="D4785" t="s">
        <v>1283</v>
      </c>
    </row>
    <row r="4786" spans="1:4" x14ac:dyDescent="0.25">
      <c r="A4786" t="s">
        <v>1287</v>
      </c>
    </row>
    <row r="4787" spans="1:4" x14ac:dyDescent="0.25">
      <c r="B4787" t="str">
        <f>HYPERLINK("https://www.chemistwarehouse.com.au/buy/72914/Enya-Emu-Oil-Lotion-1-Litre"," Enya Emu Oil Lotion 1 Litre")</f>
        <v xml:space="preserve"> Enya Emu Oil Lotion 1 Litre</v>
      </c>
      <c r="C4787" t="s">
        <v>483</v>
      </c>
      <c r="D4787" t="s">
        <v>371</v>
      </c>
    </row>
    <row r="4788" spans="1:4" x14ac:dyDescent="0.25">
      <c r="B4788" t="str">
        <f>HYPERLINK("https://www.chemistwarehouse.com.au/buy/74583/Enya-Body-Wash-Coconut-and-Lime-1-Litre"," Enya Body Wash Coconut and Lime 1 Litre")</f>
        <v xml:space="preserve"> Enya Body Wash Coconut and Lime 1 Litre</v>
      </c>
      <c r="C4788" t="s">
        <v>483</v>
      </c>
      <c r="D4788" t="s">
        <v>371</v>
      </c>
    </row>
    <row r="4789" spans="1:4" x14ac:dyDescent="0.25">
      <c r="B4789" t="str">
        <f>HYPERLINK("https://www.chemistwarehouse.com.au/buy/74584/Enya-Body-Wash-Sorbolene-1-Litre"," Enya Body Wash Sorbolene 1 Litre")</f>
        <v xml:space="preserve"> Enya Body Wash Sorbolene 1 Litre</v>
      </c>
      <c r="C4789" t="s">
        <v>483</v>
      </c>
      <c r="D4789" t="s">
        <v>371</v>
      </c>
    </row>
    <row r="4790" spans="1:4" x14ac:dyDescent="0.25">
      <c r="B4790" t="str">
        <f>HYPERLINK("https://www.chemistwarehouse.com.au/buy/64365/Enya-Aloe-Vera-Lotion-1L"," Enya Aloe Vera Lotion 1L")</f>
        <v xml:space="preserve"> Enya Aloe Vera Lotion 1L</v>
      </c>
      <c r="C4790" t="s">
        <v>483</v>
      </c>
      <c r="D4790" t="s">
        <v>371</v>
      </c>
    </row>
    <row r="4791" spans="1:4" x14ac:dyDescent="0.25">
      <c r="B4791" t="str">
        <f>HYPERLINK("https://www.chemistwarehouse.com.au/buy/66972/Enya-Vitamin-E-Lotion-500ml"," Enya Vitamin E Lotion 500ml")</f>
        <v xml:space="preserve"> Enya Vitamin E Lotion 500ml</v>
      </c>
      <c r="C4791" t="s">
        <v>146</v>
      </c>
      <c r="D4791">
        <v>0</v>
      </c>
    </row>
    <row r="4792" spans="1:4" x14ac:dyDescent="0.25">
      <c r="B4792" t="str">
        <f>HYPERLINK("https://www.chemistwarehouse.com.au/buy/67190/Enya-Olive-Oil-Lotion-500ml"," Enya Olive Oil Lotion 500ml")</f>
        <v xml:space="preserve"> Enya Olive Oil Lotion 500ml</v>
      </c>
      <c r="C4792" t="s">
        <v>146</v>
      </c>
      <c r="D4792">
        <v>0</v>
      </c>
    </row>
    <row r="4793" spans="1:4" x14ac:dyDescent="0.25">
      <c r="B4793" t="str">
        <f>HYPERLINK("https://www.chemistwarehouse.com.au/buy/65081/Enya-Emu-Oil-Lotion-500ml"," Enya Emu Oil Lotion 500ml")</f>
        <v xml:space="preserve"> Enya Emu Oil Lotion 500ml</v>
      </c>
      <c r="C4793" t="s">
        <v>146</v>
      </c>
      <c r="D4793">
        <v>0</v>
      </c>
    </row>
    <row r="4794" spans="1:4" x14ac:dyDescent="0.25">
      <c r="B4794" t="str">
        <f>HYPERLINK("https://www.chemistwarehouse.com.au/buy/73201/Enya-Hand-and-Nail-Aloe-Vera-Cream-100ml"," Enya Hand and Nail Aloe Vera Cream 100ml")</f>
        <v xml:space="preserve"> Enya Hand and Nail Aloe Vera Cream 100ml</v>
      </c>
      <c r="C4794" t="s">
        <v>146</v>
      </c>
      <c r="D4794">
        <v>0</v>
      </c>
    </row>
    <row r="4795" spans="1:4" x14ac:dyDescent="0.25">
      <c r="B4795" t="str">
        <f>HYPERLINK("https://www.chemistwarehouse.com.au/buy/73942/Enya-Body-Wash-Coconut-amp-Lime-2-Litre"," Enya Body Wash Coconut &amp; Lime 2 Litre")</f>
        <v xml:space="preserve"> Enya Body Wash Coconut &amp; Lime 2 Litre</v>
      </c>
      <c r="C4795" t="s">
        <v>116</v>
      </c>
      <c r="D4795" t="s">
        <v>115</v>
      </c>
    </row>
    <row r="4796" spans="1:4" x14ac:dyDescent="0.25">
      <c r="B4796" t="str">
        <f>HYPERLINK("https://www.chemistwarehouse.com.au/buy/73943/Enya-Body-Wash-Vanilla-Bean-amp-Almond-2-Litre"," Enya Body Wash Vanilla Bean &amp; Almond 2 Litre")</f>
        <v xml:space="preserve"> Enya Body Wash Vanilla Bean &amp; Almond 2 Litre</v>
      </c>
      <c r="C4796" t="s">
        <v>116</v>
      </c>
      <c r="D4796" t="s">
        <v>115</v>
      </c>
    </row>
    <row r="4797" spans="1:4" x14ac:dyDescent="0.25">
      <c r="B4797" t="str">
        <f>HYPERLINK("https://www.chemistwarehouse.com.au/buy/72916/Enya-Body-Wash-Mango-and-Coconut-2-Litre"," Enya Body Wash Mango and Coconut 2 Litre")</f>
        <v xml:space="preserve"> Enya Body Wash Mango and Coconut 2 Litre</v>
      </c>
      <c r="C4797" t="s">
        <v>116</v>
      </c>
      <c r="D4797" t="s">
        <v>115</v>
      </c>
    </row>
    <row r="4798" spans="1:4" x14ac:dyDescent="0.25">
      <c r="B4798" t="str">
        <f>HYPERLINK("https://www.chemistwarehouse.com.au/buy/72917/Enya-Body-Wash-Milk-and-Honey-2-Litre"," Enya Body Wash Milk and Honey 2 Litre")</f>
        <v xml:space="preserve"> Enya Body Wash Milk and Honey 2 Litre</v>
      </c>
      <c r="C4798" t="s">
        <v>116</v>
      </c>
      <c r="D4798" t="s">
        <v>115</v>
      </c>
    </row>
    <row r="4799" spans="1:4" x14ac:dyDescent="0.25">
      <c r="B4799" t="str">
        <f>HYPERLINK("https://www.chemistwarehouse.com.au/buy/82234/Enya-Vitamin-E-Lotion-1-Litre-plus-Hand-and-Nail-Vitamin-E-Cream-100ml"," Enya Vitamin E Lotion 1 Litre plus Hand and Nail Vitamin E Cream 100ml")</f>
        <v xml:space="preserve"> Enya Vitamin E Lotion 1 Litre plus Hand and Nail Vitamin E Cream 100ml</v>
      </c>
      <c r="C4799" t="s">
        <v>483</v>
      </c>
      <c r="D4799">
        <v>0</v>
      </c>
    </row>
    <row r="4800" spans="1:4" x14ac:dyDescent="0.25">
      <c r="B4800" t="str">
        <f>HYPERLINK("https://www.chemistwarehouse.com.au/buy/82235/Enya-Aloe-Vera-Lotion-1-Litre-plus-Hand-and-Nail-Aloe-Vera-Cream-100ml"," Enya Aloe Vera Lotion 1 Litre plus Hand and Nail Aloe Vera Cream 100ml")</f>
        <v xml:space="preserve"> Enya Aloe Vera Lotion 1 Litre plus Hand and Nail Aloe Vera Cream 100ml</v>
      </c>
      <c r="C4800" t="s">
        <v>483</v>
      </c>
      <c r="D4800">
        <v>0</v>
      </c>
    </row>
    <row r="4801" spans="1:4" x14ac:dyDescent="0.25">
      <c r="B4801" t="str">
        <f>HYPERLINK("https://www.chemistwarehouse.com.au/buy/82236/Enya-Emu-Oil-Lotion-1-Litre-plus-Hand-and-Nail-Vitamin-E-Cream-100ml"," Enya Emu Oil Lotion 1 Litre plus Hand and Nail Vitamin E Cream 100ml")</f>
        <v xml:space="preserve"> Enya Emu Oil Lotion 1 Litre plus Hand and Nail Vitamin E Cream 100ml</v>
      </c>
      <c r="C4801" t="s">
        <v>483</v>
      </c>
      <c r="D4801">
        <v>0</v>
      </c>
    </row>
    <row r="4802" spans="1:4" x14ac:dyDescent="0.25">
      <c r="B4802" t="str">
        <f>HYPERLINK("https://www.chemistwarehouse.com.au/buy/82237/Enya-Sorbolene-Lotion-1-Litre-plus-Hand-and-Nail-Aloe-Vera-Cream-100ml"," Enya Sorbolene Lotion 1 Litre plus Hand and Nail Aloe Vera Cream 100ml")</f>
        <v xml:space="preserve"> Enya Sorbolene Lotion 1 Litre plus Hand and Nail Aloe Vera Cream 100ml</v>
      </c>
      <c r="C4802" t="s">
        <v>483</v>
      </c>
      <c r="D4802">
        <v>0</v>
      </c>
    </row>
    <row r="4803" spans="1:4" x14ac:dyDescent="0.25">
      <c r="A4803" t="s">
        <v>1288</v>
      </c>
    </row>
    <row r="4804" spans="1:4" x14ac:dyDescent="0.25">
      <c r="B4804" t="str">
        <f>HYPERLINK("https://www.chemistwarehouse.com.au/buy/75839/freezeframe-LASH-PRESCRIPTION"," freezeframe LASH PRESCRIPTION")</f>
        <v xml:space="preserve"> freezeframe LASH PRESCRIPTION</v>
      </c>
      <c r="C4804" t="s">
        <v>1289</v>
      </c>
      <c r="D4804" t="s">
        <v>673</v>
      </c>
    </row>
    <row r="4805" spans="1:4" x14ac:dyDescent="0.25">
      <c r="B4805" t="str">
        <f>HYPERLINK("https://www.chemistwarehouse.com.au/buy/75841/freezeframe-non-surgical-BREAST-ENHANCER"," freezeframe non-surgical BREAST ENHANCER")</f>
        <v xml:space="preserve"> freezeframe non-surgical BREAST ENHANCER</v>
      </c>
      <c r="C4805" t="s">
        <v>1289</v>
      </c>
      <c r="D4805" t="s">
        <v>673</v>
      </c>
    </row>
    <row r="4806" spans="1:4" x14ac:dyDescent="0.25">
      <c r="B4806" t="str">
        <f>HYPERLINK("https://www.chemistwarehouse.com.au/buy/65749/freezeframe-REVITALEYES"," freezeframe REVITALEYES")</f>
        <v xml:space="preserve"> freezeframe REVITALEYES</v>
      </c>
      <c r="C4806" t="s">
        <v>1289</v>
      </c>
      <c r="D4806" t="s">
        <v>673</v>
      </c>
    </row>
    <row r="4807" spans="1:4" x14ac:dyDescent="0.25">
      <c r="B4807" t="str">
        <f>HYPERLINK("https://www.chemistwarehouse.com.au/buy/63754/freezeframe-LIP-INJECTION"," freezeframe LIP INJECTION")</f>
        <v xml:space="preserve"> freezeframe LIP INJECTION</v>
      </c>
      <c r="C4807" t="s">
        <v>276</v>
      </c>
      <c r="D4807" t="s">
        <v>1105</v>
      </c>
    </row>
    <row r="4808" spans="1:4" x14ac:dyDescent="0.25">
      <c r="B4808" t="str">
        <f>HYPERLINK("https://www.chemistwarehouse.com.au/buy/81846/freezeframe-Revitaleyes-Mask"," freezeframe Revitaleyes Mask")</f>
        <v xml:space="preserve"> freezeframe Revitaleyes Mask</v>
      </c>
      <c r="C4808" t="s">
        <v>1290</v>
      </c>
      <c r="D4808" t="s">
        <v>626</v>
      </c>
    </row>
    <row r="4809" spans="1:4" x14ac:dyDescent="0.25">
      <c r="B4809" t="str">
        <f>HYPERLINK("https://www.chemistwarehouse.com.au/buy/75838/freezeframe-HYPER-WHITE"," freezeframe HYPER WHITE")</f>
        <v xml:space="preserve"> freezeframe HYPER WHITE</v>
      </c>
      <c r="C4809" t="s">
        <v>1289</v>
      </c>
      <c r="D4809" t="s">
        <v>673</v>
      </c>
    </row>
    <row r="4810" spans="1:4" x14ac:dyDescent="0.25">
      <c r="B4810" t="str">
        <f>HYPERLINK("https://www.chemistwarehouse.com.au/buy/75835/freezeframe-BB-BLUR"," freezeframe BB BLUR")</f>
        <v xml:space="preserve"> freezeframe BB BLUR</v>
      </c>
      <c r="C4810" t="s">
        <v>736</v>
      </c>
      <c r="D4810" t="s">
        <v>1291</v>
      </c>
    </row>
    <row r="4811" spans="1:4" x14ac:dyDescent="0.25">
      <c r="B4811" t="str">
        <f>HYPERLINK("https://www.chemistwarehouse.com.au/buy/75842/freezeframe-TUMMY-TUCK"," freezeframe TUMMY TUCK")</f>
        <v xml:space="preserve"> freezeframe TUMMY TUCK</v>
      </c>
      <c r="C4811" t="s">
        <v>1289</v>
      </c>
      <c r="D4811" t="s">
        <v>673</v>
      </c>
    </row>
    <row r="4812" spans="1:4" x14ac:dyDescent="0.25">
      <c r="B4812" t="str">
        <f>HYPERLINK("https://www.chemistwarehouse.com.au/buy/75840/freezeframe-LIPOSLIM"," freezeframe LIPOSLIM")</f>
        <v xml:space="preserve"> freezeframe LIPOSLIM</v>
      </c>
      <c r="C4812" t="s">
        <v>1290</v>
      </c>
      <c r="D4812" t="s">
        <v>626</v>
      </c>
    </row>
    <row r="4813" spans="1:4" x14ac:dyDescent="0.25">
      <c r="B4813" t="str">
        <f>HYPERLINK("https://www.chemistwarehouse.com.au/buy/79176/freezeframe-Collagenesis-Day-and-Night-Cream"," freezeframe Collagenesis Day and Night Cream")</f>
        <v xml:space="preserve"> freezeframe Collagenesis Day and Night Cream</v>
      </c>
      <c r="C4813" t="s">
        <v>1289</v>
      </c>
      <c r="D4813" t="s">
        <v>673</v>
      </c>
    </row>
    <row r="4814" spans="1:4" x14ac:dyDescent="0.25">
      <c r="B4814" t="str">
        <f>HYPERLINK("https://www.chemistwarehouse.com.au/buy/79177/freezeframe-Collagenesis-Inside-Out-Marine-Collagen-Peptide-Blend"," freezeframe Collagenesis Inside Out Marine Collagen Peptide Blend")</f>
        <v xml:space="preserve"> freezeframe Collagenesis Inside Out Marine Collagen Peptide Blend</v>
      </c>
      <c r="C4814" t="s">
        <v>1289</v>
      </c>
      <c r="D4814" t="s">
        <v>673</v>
      </c>
    </row>
    <row r="4815" spans="1:4" x14ac:dyDescent="0.25">
      <c r="B4815" t="str">
        <f>HYPERLINK("https://www.chemistwarehouse.com.au/buy/79178/freezeframe-Collagenesis-O2-Mask"," freezeframe Collagenesis O2 Mask")</f>
        <v xml:space="preserve"> freezeframe Collagenesis O2 Mask</v>
      </c>
      <c r="C4815" t="s">
        <v>1290</v>
      </c>
      <c r="D4815" t="s">
        <v>626</v>
      </c>
    </row>
    <row r="4816" spans="1:4" x14ac:dyDescent="0.25">
      <c r="B4816" t="str">
        <f>HYPERLINK("https://www.chemistwarehouse.com.au/buy/80166/freezeframe-Rosehip-Pro-25ml-Online-Only"," freezeframe Rosehip Pro 25ml Online Only")</f>
        <v xml:space="preserve"> freezeframe Rosehip Pro 25ml Online Only</v>
      </c>
      <c r="C4816" t="s">
        <v>276</v>
      </c>
      <c r="D4816" t="s">
        <v>1105</v>
      </c>
    </row>
    <row r="4817" spans="1:4" x14ac:dyDescent="0.25">
      <c r="B4817" t="str">
        <f>HYPERLINK("https://www.chemistwarehouse.com.au/buy/77878/freezeframe-Instant-Lash"," freezeframe Instant Lash ")</f>
        <v xml:space="preserve"> freezeframe Instant Lash </v>
      </c>
      <c r="C4817" t="s">
        <v>276</v>
      </c>
      <c r="D4817" t="s">
        <v>1105</v>
      </c>
    </row>
    <row r="4818" spans="1:4" x14ac:dyDescent="0.25">
      <c r="B4818" t="str">
        <f>HYPERLINK("https://www.chemistwarehouse.com.au/buy/77881/freezeframe-Stretch-Mark-Eraser-80ml"," freezeframe Stretch Mark Eraser 80ml")</f>
        <v xml:space="preserve"> freezeframe Stretch Mark Eraser 80ml</v>
      </c>
      <c r="C4818" t="s">
        <v>1289</v>
      </c>
      <c r="D4818" t="s">
        <v>673</v>
      </c>
    </row>
    <row r="4819" spans="1:4" x14ac:dyDescent="0.25">
      <c r="B4819" t="str">
        <f>HYPERLINK("https://www.chemistwarehouse.com.au/buy/77882/Freezeframe-Wrinkle-Filler-10ml"," Freezeframe Wrinkle Filler 10ml")</f>
        <v xml:space="preserve"> Freezeframe Wrinkle Filler 10ml</v>
      </c>
      <c r="C4819" t="s">
        <v>746</v>
      </c>
      <c r="D4819" t="s">
        <v>837</v>
      </c>
    </row>
    <row r="4820" spans="1:4" x14ac:dyDescent="0.25">
      <c r="B4820" t="str">
        <f>HYPERLINK("https://www.chemistwarehouse.com.au/buy/77877/freezeframe-Fat-Burner-100ml"," freezeframe Fat Burner 100ml")</f>
        <v xml:space="preserve"> freezeframe Fat Burner 100ml</v>
      </c>
      <c r="C4820" t="s">
        <v>1289</v>
      </c>
      <c r="D4820" t="s">
        <v>673</v>
      </c>
    </row>
    <row r="4821" spans="1:4" x14ac:dyDescent="0.25">
      <c r="B4821" t="str">
        <f>HYPERLINK("https://www.chemistwarehouse.com.au/buy/75836/freezeframe-brazilian-BUTT-LIFT"," freezeframe brazilian BUTT LIFT")</f>
        <v xml:space="preserve"> freezeframe brazilian BUTT LIFT</v>
      </c>
      <c r="C4821" t="s">
        <v>1290</v>
      </c>
      <c r="D4821" t="s">
        <v>626</v>
      </c>
    </row>
    <row r="4822" spans="1:4" x14ac:dyDescent="0.25">
      <c r="B4822" t="str">
        <f>HYPERLINK("https://www.chemistwarehouse.com.au/buy/75837/freezeframe-FLASH-WHITE"," freezeframe FLASH WHITE")</f>
        <v xml:space="preserve"> freezeframe FLASH WHITE</v>
      </c>
      <c r="C4822" t="s">
        <v>736</v>
      </c>
      <c r="D4822" t="s">
        <v>1291</v>
      </c>
    </row>
    <row r="4823" spans="1:4" x14ac:dyDescent="0.25">
      <c r="B4823" t="str">
        <f>HYPERLINK("https://www.chemistwarehouse.com.au/buy/65172/FreezeFrame-With-Inhibox-10ml"," FreezeFrame With Inhibox 10ml")</f>
        <v xml:space="preserve"> FreezeFrame With Inhibox 10ml</v>
      </c>
      <c r="C4823" t="s">
        <v>1292</v>
      </c>
      <c r="D4823" t="s">
        <v>1293</v>
      </c>
    </row>
    <row r="4824" spans="1:4" x14ac:dyDescent="0.25">
      <c r="B4824" t="str">
        <f>HYPERLINK("https://www.chemistwarehouse.com.au/buy/68593/freezeframe-TINT-amp-GROW"," freezeframe TINT &amp; GROW")</f>
        <v xml:space="preserve"> freezeframe TINT &amp; GROW</v>
      </c>
      <c r="C4824" t="s">
        <v>276</v>
      </c>
      <c r="D4824" t="s">
        <v>1105</v>
      </c>
    </row>
    <row r="4825" spans="1:4" x14ac:dyDescent="0.25">
      <c r="B4825" t="str">
        <f>HYPERLINK("https://www.chemistwarehouse.com.au/buy/71673/freezeframe-IONOTOX"," freezeframe IONOTOX")</f>
        <v xml:space="preserve"> freezeframe IONOTOX</v>
      </c>
      <c r="C4825" t="s">
        <v>601</v>
      </c>
      <c r="D4825" t="s">
        <v>1294</v>
      </c>
    </row>
    <row r="4826" spans="1:4" x14ac:dyDescent="0.25">
      <c r="B4826" t="str">
        <f>HYPERLINK("https://www.chemistwarehouse.com.au/buy/73325/freezeframe-PROTOX"," freezeframe PROTOX")</f>
        <v xml:space="preserve"> freezeframe PROTOX</v>
      </c>
      <c r="C4826" t="s">
        <v>1289</v>
      </c>
      <c r="D4826" t="s">
        <v>673</v>
      </c>
    </row>
    <row r="4827" spans="1:4" x14ac:dyDescent="0.25">
      <c r="A4827" t="s">
        <v>1295</v>
      </c>
    </row>
    <row r="4828" spans="1:4" x14ac:dyDescent="0.25">
      <c r="B4828" t="str">
        <f>HYPERLINK("https://www.chemistwarehouse.com.au/buy/75139/Grace-Cole-Lily-amp-Verbena-Talcum-Powder-200g"," Grace Cole Lily &amp; Verbena Talcum Powder 200g")</f>
        <v xml:space="preserve"> Grace Cole Lily &amp; Verbena Talcum Powder 200g</v>
      </c>
      <c r="C4828" t="s">
        <v>556</v>
      </c>
      <c r="D4828">
        <v>0</v>
      </c>
    </row>
    <row r="4829" spans="1:4" x14ac:dyDescent="0.25">
      <c r="B4829" t="str">
        <f>HYPERLINK("https://www.chemistwarehouse.com.au/buy/69388/Grace-Cole-Fruitworks-Strawberry-amp-Kiwi-Body-Butter-250ml"," Grace Cole Fruitworks Strawberry &amp; Kiwi Body Butter 250ml")</f>
        <v xml:space="preserve"> Grace Cole Fruitworks Strawberry &amp; Kiwi Body Butter 250ml</v>
      </c>
      <c r="C4829" t="s">
        <v>556</v>
      </c>
      <c r="D4829">
        <v>0</v>
      </c>
    </row>
    <row r="4830" spans="1:4" x14ac:dyDescent="0.25">
      <c r="B4830" t="str">
        <f>HYPERLINK("https://www.chemistwarehouse.com.au/buy/63152/Grace-Cole-Boutique-Wild-Fig-and-Pink-Cedar-Hand-Wash-500ml"," Grace Cole Boutique Wild Fig and Pink Cedar Hand Wash 500ml")</f>
        <v xml:space="preserve"> Grace Cole Boutique Wild Fig and Pink Cedar Hand Wash 500ml</v>
      </c>
      <c r="C4830" t="s">
        <v>556</v>
      </c>
      <c r="D4830">
        <v>0</v>
      </c>
    </row>
    <row r="4831" spans="1:4" x14ac:dyDescent="0.25">
      <c r="B4831" t="str">
        <f>HYPERLINK("https://www.chemistwarehouse.com.au/buy/64902/Grace-Cole-Fruitworks-Coconut-amp-Lime-Body-Butter-250mL"," Grace Cole Fruitworks Coconut &amp; Lime Body Butter 250mL")</f>
        <v xml:space="preserve"> Grace Cole Fruitworks Coconut &amp; Lime Body Butter 250mL</v>
      </c>
      <c r="C4831" t="s">
        <v>556</v>
      </c>
      <c r="D4831">
        <v>0</v>
      </c>
    </row>
    <row r="4832" spans="1:4" x14ac:dyDescent="0.25">
      <c r="B4832" t="str">
        <f>HYPERLINK("https://www.chemistwarehouse.com.au/buy/75656/Grace-Cole-Boutique-Vanilla-Blush-and-Peony-Hand-Wash-500ml"," Grace Cole Boutique Vanilla Blush and Peony Hand Wash 500ml")</f>
        <v xml:space="preserve"> Grace Cole Boutique Vanilla Blush and Peony Hand Wash 500ml</v>
      </c>
      <c r="C4832" t="s">
        <v>556</v>
      </c>
      <c r="D4832">
        <v>0</v>
      </c>
    </row>
    <row r="4833" spans="2:4" x14ac:dyDescent="0.25">
      <c r="B4833" t="str">
        <f>HYPERLINK("https://www.chemistwarehouse.com.au/buy/75657/Grace-Cole-Boutique-Nectarine-Blossom-and-Grapefruit-Hand-and-Nail-Lotion-500ml"," Grace Cole Boutique Nectarine Blossom and Grapefruit Hand and Nail Lotion 500ml")</f>
        <v xml:space="preserve"> Grace Cole Boutique Nectarine Blossom and Grapefruit Hand and Nail Lotion 500ml</v>
      </c>
      <c r="C4833" t="s">
        <v>556</v>
      </c>
      <c r="D4833">
        <v>0</v>
      </c>
    </row>
    <row r="4834" spans="2:4" x14ac:dyDescent="0.25">
      <c r="B4834" t="str">
        <f>HYPERLINK("https://www.chemistwarehouse.com.au/buy/77557/Grace-Cole-Boutique-English-Rose-and-Champagne-Body-Lotion-500ml"," Grace Cole Boutique English Rose and Champagne Body Lotion 500ml")</f>
        <v xml:space="preserve"> Grace Cole Boutique English Rose and Champagne Body Lotion 500ml</v>
      </c>
      <c r="C4834" t="s">
        <v>556</v>
      </c>
      <c r="D4834">
        <v>0</v>
      </c>
    </row>
    <row r="4835" spans="2:4" x14ac:dyDescent="0.25">
      <c r="B4835" t="str">
        <f>HYPERLINK("https://www.chemistwarehouse.com.au/buy/77558/Grace-Cole-Boutique-English-Rose-and-Champagne-Hand-and-Nail-Lotion-500ml"," Grace Cole Boutique English Rose and Champagne Hand and Nail Lotion 500ml")</f>
        <v xml:space="preserve"> Grace Cole Boutique English Rose and Champagne Hand and Nail Lotion 500ml</v>
      </c>
      <c r="C4835" t="s">
        <v>556</v>
      </c>
      <c r="D4835">
        <v>0</v>
      </c>
    </row>
    <row r="4836" spans="2:4" x14ac:dyDescent="0.25">
      <c r="B4836" t="str">
        <f>HYPERLINK("https://www.chemistwarehouse.com.au/buy/77561/Grace-Cole-Boutique-Lavender-and-Bergamot-Body-Lotion-500ml"," Grace Cole Boutique Lavender and Bergamot Body Lotion 500ml")</f>
        <v xml:space="preserve"> Grace Cole Boutique Lavender and Bergamot Body Lotion 500ml</v>
      </c>
      <c r="C4836" t="s">
        <v>556</v>
      </c>
      <c r="D4836">
        <v>0</v>
      </c>
    </row>
    <row r="4837" spans="2:4" x14ac:dyDescent="0.25">
      <c r="B4837" t="str">
        <f>HYPERLINK("https://www.chemistwarehouse.com.au/buy/77562/Grace-Cole-Boutique-Lavender-and-Bergamot-Hand-and-Nail-Lotion-500ml"," Grace Cole Boutique Lavender and Bergamot Hand and Nail Lotion 500ml")</f>
        <v xml:space="preserve"> Grace Cole Boutique Lavender and Bergamot Hand and Nail Lotion 500ml</v>
      </c>
      <c r="C4837" t="s">
        <v>556</v>
      </c>
      <c r="D4837">
        <v>0</v>
      </c>
    </row>
    <row r="4838" spans="2:4" x14ac:dyDescent="0.25">
      <c r="B4838" t="str">
        <f>HYPERLINK("https://www.chemistwarehouse.com.au/buy/77564/Grace-Cole-Boutique-Lavender-and-Bergamot-Shower-Gel-500ml"," Grace Cole Boutique Lavender and Bergamot Shower Gel 500ml")</f>
        <v xml:space="preserve"> Grace Cole Boutique Lavender and Bergamot Shower Gel 500ml</v>
      </c>
      <c r="C4838" t="s">
        <v>556</v>
      </c>
      <c r="D4838">
        <v>0</v>
      </c>
    </row>
    <row r="4839" spans="2:4" x14ac:dyDescent="0.25">
      <c r="B4839" t="str">
        <f>HYPERLINK("https://www.chemistwarehouse.com.au/buy/81501/Grace-Cole-Blissful-Trio-Lavender-and-Honeysuckle-Gift-Set"," Grace Cole Blissful Trio Lavender and Honeysuckle Gift Set")</f>
        <v xml:space="preserve"> Grace Cole Blissful Trio Lavender and Honeysuckle Gift Set</v>
      </c>
      <c r="C4839" t="s">
        <v>169</v>
      </c>
      <c r="D4839">
        <v>0</v>
      </c>
    </row>
    <row r="4840" spans="2:4" x14ac:dyDescent="0.25">
      <c r="B4840" t="str">
        <f>HYPERLINK("https://www.chemistwarehouse.com.au/buy/81505/Grace-Cole-Glitter-Fairies-Ballet-Bar-6-Piece-Gift-Set"," Grace Cole Glitter Fairies Ballet Bar 6 Piece Gift Set")</f>
        <v xml:space="preserve"> Grace Cole Glitter Fairies Ballet Bar 6 Piece Gift Set</v>
      </c>
      <c r="C4840" t="s">
        <v>164</v>
      </c>
      <c r="D4840">
        <v>0</v>
      </c>
    </row>
    <row r="4841" spans="2:4" x14ac:dyDescent="0.25">
      <c r="B4841" t="str">
        <f>HYPERLINK("https://www.chemistwarehouse.com.au/buy/81506/Grace-Cole-Glitter-Fairies-Ballet-School-4-Piece-Gift-Set"," Grace Cole Glitter Fairies Ballet School 4 Piece Gift Set")</f>
        <v xml:space="preserve"> Grace Cole Glitter Fairies Ballet School 4 Piece Gift Set</v>
      </c>
      <c r="C4841" t="s">
        <v>64</v>
      </c>
      <c r="D4841">
        <v>0</v>
      </c>
    </row>
    <row r="4842" spans="2:4" x14ac:dyDescent="0.25">
      <c r="B4842" t="str">
        <f>HYPERLINK("https://www.chemistwarehouse.com.au/buy/81507/Grace-Cole-Glitter-Fairies-Centre-Stage-8-Piece-Gift-Set"," Grace Cole Glitter Fairies Centre Stage 8 Piece Gift Set")</f>
        <v xml:space="preserve"> Grace Cole Glitter Fairies Centre Stage 8 Piece Gift Set</v>
      </c>
      <c r="C4842" t="s">
        <v>295</v>
      </c>
      <c r="D4842">
        <v>0</v>
      </c>
    </row>
    <row r="4843" spans="2:4" x14ac:dyDescent="0.25">
      <c r="B4843" t="str">
        <f>HYPERLINK("https://www.chemistwarehouse.com.au/buy/81508/Grace-Cole-Pretty-Pair-Lavender-and-Honeysuckle-2-Piece-Gift-Set"," Grace Cole Pretty Pair Lavender and Honeysuckle 2 Piece Gift Set")</f>
        <v xml:space="preserve"> Grace Cole Pretty Pair Lavender and Honeysuckle 2 Piece Gift Set</v>
      </c>
      <c r="C4843" t="s">
        <v>274</v>
      </c>
      <c r="D4843">
        <v>0</v>
      </c>
    </row>
    <row r="4844" spans="2:4" x14ac:dyDescent="0.25">
      <c r="B4844" t="str">
        <f>HYPERLINK("https://www.chemistwarehouse.com.au/buy/81509/Grace-Cole-Pretty-Pair-Rose-and-Lily-2-Piece-Gift-Set"," Grace Cole Pretty Pair Rose and Lily 2 Piece Gift Set")</f>
        <v xml:space="preserve"> Grace Cole Pretty Pair Rose and Lily 2 Piece Gift Set</v>
      </c>
      <c r="C4844" t="s">
        <v>274</v>
      </c>
      <c r="D4844">
        <v>0</v>
      </c>
    </row>
    <row r="4845" spans="2:4" x14ac:dyDescent="0.25">
      <c r="B4845" t="str">
        <f>HYPERLINK("https://www.chemistwarehouse.com.au/buy/81510/Grace-Cole-Pretty-Pair-Warm-Vanilla-and-Fig-2-Piece-Set"," Grace Cole Pretty Pair Warm Vanilla and Fig 2 Piece Set")</f>
        <v xml:space="preserve"> Grace Cole Pretty Pair Warm Vanilla and Fig 2 Piece Set</v>
      </c>
      <c r="C4845" t="s">
        <v>274</v>
      </c>
      <c r="D4845">
        <v>0</v>
      </c>
    </row>
    <row r="4846" spans="2:4" x14ac:dyDescent="0.25">
      <c r="B4846" t="str">
        <f>HYPERLINK("https://www.chemistwarehouse.com.au/buy/81512/Grace-Cole-Relaxing-Retreat-Warm-Vanilla-and-Fig-3-Piece-Set"," Grace Cole Relaxing Retreat Warm Vanilla and Fig 3 Piece Set")</f>
        <v xml:space="preserve"> Grace Cole Relaxing Retreat Warm Vanilla and Fig 3 Piece Set</v>
      </c>
      <c r="C4846" t="s">
        <v>169</v>
      </c>
      <c r="D4846">
        <v>0</v>
      </c>
    </row>
    <row r="4847" spans="2:4" x14ac:dyDescent="0.25">
      <c r="B4847" t="str">
        <f>HYPERLINK("https://www.chemistwarehouse.com.au/buy/82239/Grace-Cole-Boutique-White-Nectarine-and-Pear-Body-Butter-225g"," Grace Cole Boutique White Nectarine and Pear Body Butter 225g")</f>
        <v xml:space="preserve"> Grace Cole Boutique White Nectarine and Pear Body Butter 225g</v>
      </c>
      <c r="C4847" t="s">
        <v>556</v>
      </c>
      <c r="D4847" t="s">
        <v>371</v>
      </c>
    </row>
    <row r="4848" spans="2:4" x14ac:dyDescent="0.25">
      <c r="B4848" t="str">
        <f>HYPERLINK("https://www.chemistwarehouse.com.au/buy/64903/Grace-Cole-Fruitworks-Watermelon-amp-Grapefruit-Body-Butter"," Grace Cole Fruitworks Watermelon &amp; Grapefruit Body Butter")</f>
        <v xml:space="preserve"> Grace Cole Fruitworks Watermelon &amp; Grapefruit Body Butter</v>
      </c>
      <c r="C4848" t="s">
        <v>556</v>
      </c>
      <c r="D4848">
        <v>0</v>
      </c>
    </row>
    <row r="4849" spans="1:4" x14ac:dyDescent="0.25">
      <c r="B4849" t="str">
        <f>HYPERLINK("https://www.chemistwarehouse.com.au/buy/68247/Grace-Cole-Fruitworks-Watermelon-and-Grapefruit-Body-Scrub-238ml"," Grace Cole Fruitworks Watermelon and Grapefruit Body Scrub 238ml")</f>
        <v xml:space="preserve"> Grace Cole Fruitworks Watermelon and Grapefruit Body Scrub 238ml</v>
      </c>
      <c r="C4849" t="s">
        <v>556</v>
      </c>
      <c r="D4849">
        <v>0</v>
      </c>
    </row>
    <row r="4850" spans="1:4" x14ac:dyDescent="0.25">
      <c r="B4850" t="str">
        <f>HYPERLINK("https://www.chemistwarehouse.com.au/buy/68250/Grace-Cole-Fruitworks-Coconut-amp-Lime-Body-Scrub-238ml"," Grace Cole Fruitworks Coconut &amp; Lime Body Scrub 238ml")</f>
        <v xml:space="preserve"> Grace Cole Fruitworks Coconut &amp; Lime Body Scrub 238ml</v>
      </c>
      <c r="C4850" t="s">
        <v>556</v>
      </c>
      <c r="D4850">
        <v>0</v>
      </c>
    </row>
    <row r="4851" spans="1:4" x14ac:dyDescent="0.25">
      <c r="B4851" t="str">
        <f>HYPERLINK("https://www.chemistwarehouse.com.au/buy/69379/Grace-Cole-Fruitworks-Strawberry-amp-Kiwi-Body-Scrub-238ml"," Grace Cole Fruitworks Strawberry &amp; Kiwi Body Scrub 238ml")</f>
        <v xml:space="preserve"> Grace Cole Fruitworks Strawberry &amp; Kiwi Body Scrub 238ml</v>
      </c>
      <c r="C4851" t="s">
        <v>556</v>
      </c>
      <c r="D4851">
        <v>0</v>
      </c>
    </row>
    <row r="4852" spans="1:4" x14ac:dyDescent="0.25">
      <c r="A4852" t="s">
        <v>1296</v>
      </c>
    </row>
    <row r="4853" spans="1:4" x14ac:dyDescent="0.25">
      <c r="B4853" t="str">
        <f>HYPERLINK("https://www.chemistwarehouse.com.au/buy/63753/Goat-Soap-100g"," Goat Soap 100g")</f>
        <v xml:space="preserve"> Goat Soap 100g</v>
      </c>
      <c r="C4853" t="s">
        <v>146</v>
      </c>
      <c r="D4853">
        <v>0</v>
      </c>
    </row>
    <row r="4854" spans="1:4" x14ac:dyDescent="0.25">
      <c r="B4854" t="str">
        <f>HYPERLINK("https://www.chemistwarehouse.com.au/buy/74079/Goat-Soap-With-Coconut-Oil-100g"," Goat Soap With Coconut Oil 100g ")</f>
        <v xml:space="preserve"> Goat Soap With Coconut Oil 100g </v>
      </c>
      <c r="C4854" t="s">
        <v>146</v>
      </c>
      <c r="D4854">
        <v>0</v>
      </c>
    </row>
    <row r="4855" spans="1:4" x14ac:dyDescent="0.25">
      <c r="B4855" t="str">
        <f>HYPERLINK("https://www.chemistwarehouse.com.au/buy/66074/Goat-Soap-with-Lemon-Myrtle-100g"," Goat Soap with Lemon Myrtle 100g")</f>
        <v xml:space="preserve"> Goat Soap with Lemon Myrtle 100g</v>
      </c>
      <c r="C4855" t="s">
        <v>146</v>
      </c>
      <c r="D4855">
        <v>0</v>
      </c>
    </row>
    <row r="4856" spans="1:4" x14ac:dyDescent="0.25">
      <c r="B4856" t="str">
        <f>HYPERLINK("https://www.chemistwarehouse.com.au/buy/70020/Goat-Soap-With-Manuka-Honey-100g"," Goat Soap With Manuka Honey 100g")</f>
        <v xml:space="preserve"> Goat Soap With Manuka Honey 100g</v>
      </c>
      <c r="C4856" t="s">
        <v>146</v>
      </c>
      <c r="D4856">
        <v>0</v>
      </c>
    </row>
    <row r="4857" spans="1:4" x14ac:dyDescent="0.25">
      <c r="B4857" t="str">
        <f>HYPERLINK("https://www.chemistwarehouse.com.au/buy/76473/Goat-Soap-With-Manuka-Honey-Value-Pack-24"," Goat Soap With Manuka Honey Value Pack 24")</f>
        <v xml:space="preserve"> Goat Soap With Manuka Honey Value Pack 24</v>
      </c>
      <c r="C4857" t="s">
        <v>255</v>
      </c>
      <c r="D4857">
        <v>0</v>
      </c>
    </row>
    <row r="4858" spans="1:4" x14ac:dyDescent="0.25">
      <c r="B4858" t="str">
        <f>HYPERLINK("https://www.chemistwarehouse.com.au/buy/76647/Goat-Soap-Kids-100g"," Goat Soap Kids 100g")</f>
        <v xml:space="preserve"> Goat Soap Kids 100g</v>
      </c>
      <c r="C4858" t="s">
        <v>146</v>
      </c>
      <c r="D4858">
        <v>0</v>
      </c>
    </row>
    <row r="4859" spans="1:4" x14ac:dyDescent="0.25">
      <c r="B4859" t="str">
        <f>HYPERLINK("https://www.chemistwarehouse.com.au/buy/76852/Goat-Soap-Kids-Value-Pack-24"," Goat Soap Kids Value Pack 24")</f>
        <v xml:space="preserve"> Goat Soap Kids Value Pack 24</v>
      </c>
      <c r="C4859" t="s">
        <v>255</v>
      </c>
      <c r="D4859">
        <v>0</v>
      </c>
    </row>
    <row r="4860" spans="1:4" x14ac:dyDescent="0.25">
      <c r="B4860" t="str">
        <f>HYPERLINK("https://www.chemistwarehouse.com.au/buy/79822/Goat-Kids-Organic-Body-Wash-500ml"," Goat Kids Organic Body Wash 500ml")</f>
        <v xml:space="preserve"> Goat Kids Organic Body Wash 500ml</v>
      </c>
      <c r="C4860" t="s">
        <v>80</v>
      </c>
      <c r="D4860" t="s">
        <v>371</v>
      </c>
    </row>
    <row r="4861" spans="1:4" x14ac:dyDescent="0.25">
      <c r="B4861" t="str">
        <f>HYPERLINK("https://www.chemistwarehouse.com.au/buy/79823/Goat-Kids-Organic-Moisturising-Lotion-500ml"," Goat Kids Organic Moisturising Lotion 500ml")</f>
        <v xml:space="preserve"> Goat Kids Organic Moisturising Lotion 500ml</v>
      </c>
      <c r="C4861" t="s">
        <v>202</v>
      </c>
      <c r="D4861" t="s">
        <v>371</v>
      </c>
    </row>
    <row r="4862" spans="1:4" x14ac:dyDescent="0.25">
      <c r="B4862" t="str">
        <f>HYPERLINK("https://www.chemistwarehouse.com.au/buy/64313/Goat-Moisturising-Body-Wash-500ml"," Goat Moisturising Body Wash 500ml")</f>
        <v xml:space="preserve"> Goat Moisturising Body Wash 500ml</v>
      </c>
      <c r="C4862" t="s">
        <v>103</v>
      </c>
      <c r="D4862">
        <v>0</v>
      </c>
    </row>
    <row r="4863" spans="1:4" x14ac:dyDescent="0.25">
      <c r="B4863" t="str">
        <f>HYPERLINK("https://www.chemistwarehouse.com.au/buy/65445/Goat-Lotion-Moisturising-500ml"," Goat Lotion Moisturising 500ml")</f>
        <v xml:space="preserve"> Goat Lotion Moisturising 500ml</v>
      </c>
      <c r="C4863" t="s">
        <v>45</v>
      </c>
      <c r="D4863">
        <v>0</v>
      </c>
    </row>
    <row r="4864" spans="1:4" x14ac:dyDescent="0.25">
      <c r="B4864" t="str">
        <f>HYPERLINK("https://www.chemistwarehouse.com.au/buy/76468/Goat-Soap-Value-Pack-24"," Goat Soap Value Pack 24")</f>
        <v xml:space="preserve"> Goat Soap Value Pack 24</v>
      </c>
      <c r="C4864" t="s">
        <v>255</v>
      </c>
      <c r="D4864">
        <v>0</v>
      </c>
    </row>
    <row r="4865" spans="1:4" x14ac:dyDescent="0.25">
      <c r="B4865" t="str">
        <f>HYPERLINK("https://www.chemistwarehouse.com.au/buy/76470/Goat-Soap-With-Argan-Oil-Value-Pack-24"," Goat Soap With Argan Oil Value Pack 24")</f>
        <v xml:space="preserve"> Goat Soap With Argan Oil Value Pack 24</v>
      </c>
      <c r="C4865" t="s">
        <v>255</v>
      </c>
      <c r="D4865">
        <v>0</v>
      </c>
    </row>
    <row r="4866" spans="1:4" x14ac:dyDescent="0.25">
      <c r="B4866" t="str">
        <f>HYPERLINK("https://www.chemistwarehouse.com.au/buy/76471/Goat-Soap-With-Coconut-Oil-Value-Pack-24"," Goat Soap With Coconut Oil Value Pack 24")</f>
        <v xml:space="preserve"> Goat Soap With Coconut Oil Value Pack 24</v>
      </c>
      <c r="C4866" t="s">
        <v>255</v>
      </c>
      <c r="D4866">
        <v>0</v>
      </c>
    </row>
    <row r="4867" spans="1:4" x14ac:dyDescent="0.25">
      <c r="B4867" t="str">
        <f>HYPERLINK("https://www.chemistwarehouse.com.au/buy/76472/Goat-Soap-With-Lemon-Myrtle-Value-Pack-24"," Goat Soap With Lemon Myrtle Value Pack 24")</f>
        <v xml:space="preserve"> Goat Soap With Lemon Myrtle Value Pack 24</v>
      </c>
      <c r="C4867" t="s">
        <v>255</v>
      </c>
      <c r="D4867">
        <v>0</v>
      </c>
    </row>
    <row r="4868" spans="1:4" x14ac:dyDescent="0.25">
      <c r="B4868" t="str">
        <f>HYPERLINK("https://www.chemistwarehouse.com.au/buy/76469/Goat-Soap-Oatmeal-Value-Pack-24"," Goat Soap Oatmeal Value Pack 24")</f>
        <v xml:space="preserve"> Goat Soap Oatmeal Value Pack 24</v>
      </c>
      <c r="C4868" t="s">
        <v>255</v>
      </c>
      <c r="D4868">
        <v>0</v>
      </c>
    </row>
    <row r="4869" spans="1:4" x14ac:dyDescent="0.25">
      <c r="B4869" t="str">
        <f>HYPERLINK("https://www.chemistwarehouse.com.au/buy/71456/Goat-Body-Wash-with-Manuka-Honey-500ml"," Goat Body Wash with Manuka Honey 500ml")</f>
        <v xml:space="preserve"> Goat Body Wash with Manuka Honey 500ml</v>
      </c>
      <c r="C4869" t="s">
        <v>103</v>
      </c>
      <c r="D4869">
        <v>0</v>
      </c>
    </row>
    <row r="4870" spans="1:4" x14ac:dyDescent="0.25">
      <c r="B4870" t="str">
        <f>HYPERLINK("https://www.chemistwarehouse.com.au/buy/74078/Goat-Soap-With-Argan-Oil-100g"," Goat Soap With Argan Oil 100g ")</f>
        <v xml:space="preserve"> Goat Soap With Argan Oil 100g </v>
      </c>
      <c r="C4870" t="s">
        <v>146</v>
      </c>
      <c r="D4870">
        <v>0</v>
      </c>
    </row>
    <row r="4871" spans="1:4" x14ac:dyDescent="0.25">
      <c r="B4871" t="str">
        <f>HYPERLINK("https://www.chemistwarehouse.com.au/buy/79821/Goat-Kids-Organic-Bath-Oil-500ml"," Goat Kids Organic Bath Oil 500ml")</f>
        <v xml:space="preserve"> Goat Kids Organic Bath Oil 500ml</v>
      </c>
      <c r="C4871" t="s">
        <v>80</v>
      </c>
      <c r="D4871" t="s">
        <v>371</v>
      </c>
    </row>
    <row r="4872" spans="1:4" x14ac:dyDescent="0.25">
      <c r="B4872" t="str">
        <f>HYPERLINK("https://www.chemistwarehouse.com.au/buy/67628/Goat-Body-Wash-with-Lemon-Myrtle-500ml"," Goat Body Wash with Lemon Myrtle 500ml")</f>
        <v xml:space="preserve"> Goat Body Wash with Lemon Myrtle 500ml</v>
      </c>
      <c r="C4872" t="s">
        <v>103</v>
      </c>
      <c r="D4872">
        <v>0</v>
      </c>
    </row>
    <row r="4873" spans="1:4" x14ac:dyDescent="0.25">
      <c r="B4873" t="str">
        <f>HYPERLINK("https://www.chemistwarehouse.com.au/buy/69348/Goat-Soap-Oatmeal-100g"," Goat Soap Oatmeal 100g")</f>
        <v xml:space="preserve"> Goat Soap Oatmeal 100g</v>
      </c>
      <c r="C4873" t="s">
        <v>146</v>
      </c>
      <c r="D4873">
        <v>0</v>
      </c>
    </row>
    <row r="4874" spans="1:4" x14ac:dyDescent="0.25">
      <c r="B4874" t="str">
        <f>HYPERLINK("https://www.chemistwarehouse.com.au/buy/74262/Goat-Body-Wash-With-Coconut-Oil-500ml"," Goat Body Wash With Coconut Oil 500ml")</f>
        <v xml:space="preserve"> Goat Body Wash With Coconut Oil 500ml</v>
      </c>
      <c r="C4874" t="s">
        <v>103</v>
      </c>
      <c r="D4874">
        <v>0</v>
      </c>
    </row>
    <row r="4875" spans="1:4" x14ac:dyDescent="0.25">
      <c r="B4875" t="str">
        <f>HYPERLINK("https://www.chemistwarehouse.com.au/buy/74351/Goat-Body-Wash-With-Argan-Oil-500ml"," Goat Body Wash With Argan Oil 500ml")</f>
        <v xml:space="preserve"> Goat Body Wash With Argan Oil 500ml</v>
      </c>
      <c r="C4875" t="s">
        <v>103</v>
      </c>
      <c r="D4875">
        <v>0</v>
      </c>
    </row>
    <row r="4876" spans="1:4" x14ac:dyDescent="0.25">
      <c r="B4876" t="str">
        <f>HYPERLINK("https://www.chemistwarehouse.com.au/buy/74352/Goat-Body-Wash-With-Oatmeal-500ml"," Goat Body Wash With Oatmeal 500ml")</f>
        <v xml:space="preserve"> Goat Body Wash With Oatmeal 500ml</v>
      </c>
      <c r="C4876" t="s">
        <v>103</v>
      </c>
      <c r="D4876">
        <v>0</v>
      </c>
    </row>
    <row r="4877" spans="1:4" x14ac:dyDescent="0.25">
      <c r="A4877" t="s">
        <v>1297</v>
      </c>
    </row>
    <row r="4878" spans="1:4" x14ac:dyDescent="0.25">
      <c r="B4878" t="str">
        <f>HYPERLINK("https://www.chemistwarehouse.com.au/buy/79780/Ponds-Facial-Cleansing-Towelettes-5-Pack"," Ponds Facial Cleansing Towelettes 5 Pack")</f>
        <v xml:space="preserve"> Ponds Facial Cleansing Towelettes 5 Pack</v>
      </c>
      <c r="C4878" t="s">
        <v>635</v>
      </c>
      <c r="D4878">
        <v>0</v>
      </c>
    </row>
    <row r="4879" spans="1:4" x14ac:dyDescent="0.25">
      <c r="A4879" t="s">
        <v>1298</v>
      </c>
    </row>
    <row r="4880" spans="1:4" x14ac:dyDescent="0.25">
      <c r="B4880" t="str">
        <f>HYPERLINK("https://www.chemistwarehouse.com.au/buy/73566/Redwin-Tea-Tree-Shampoo-250ml"," Redwin Tea Tree Shampoo 250ml")</f>
        <v xml:space="preserve"> Redwin Tea Tree Shampoo 250ml</v>
      </c>
      <c r="C4880" t="s">
        <v>775</v>
      </c>
      <c r="D4880" t="s">
        <v>1299</v>
      </c>
    </row>
    <row r="4881" spans="1:4" x14ac:dyDescent="0.25">
      <c r="B4881" t="str">
        <f>HYPERLINK("https://www.chemistwarehouse.com.au/buy/73567/Redwin-Coal-Tar-Shampoo-250ml"," Redwin Coal Tar Shampoo 250ml")</f>
        <v xml:space="preserve"> Redwin Coal Tar Shampoo 250ml</v>
      </c>
      <c r="C4881" t="s">
        <v>775</v>
      </c>
      <c r="D4881" t="s">
        <v>1299</v>
      </c>
    </row>
    <row r="4882" spans="1:4" x14ac:dyDescent="0.25">
      <c r="B4882" t="str">
        <f>HYPERLINK("https://www.chemistwarehouse.com.au/buy/66724/Redwin-Sorbolene-Cream-With-Vitamin-E-100g"," Redwin Sorbolene Cream With Vitamin E 100g")</f>
        <v xml:space="preserve"> Redwin Sorbolene Cream With Vitamin E 100g</v>
      </c>
      <c r="C4882" t="s">
        <v>399</v>
      </c>
      <c r="D4882" t="s">
        <v>727</v>
      </c>
    </row>
    <row r="4883" spans="1:4" x14ac:dyDescent="0.25">
      <c r="B4883" t="str">
        <f>HYPERLINK("https://www.chemistwarehouse.com.au/buy/66721/Redwin-Cream-with-Vitamin-E-300g"," Redwin Cream with Vitamin E 300g")</f>
        <v xml:space="preserve"> Redwin Cream with Vitamin E 300g</v>
      </c>
      <c r="C4883" t="s">
        <v>728</v>
      </c>
      <c r="D4883" t="s">
        <v>731</v>
      </c>
    </row>
    <row r="4884" spans="1:4" x14ac:dyDescent="0.25">
      <c r="B4884" t="str">
        <f>HYPERLINK("https://www.chemistwarehouse.com.au/buy/75037/Redwin-Coconut-Balm-25ml"," Redwin Coconut Balm 25ml")</f>
        <v xml:space="preserve"> Redwin Coconut Balm 25ml</v>
      </c>
      <c r="C4884" t="s">
        <v>556</v>
      </c>
      <c r="D4884" t="s">
        <v>371</v>
      </c>
    </row>
    <row r="4885" spans="1:4" x14ac:dyDescent="0.25">
      <c r="B4885" t="str">
        <f>HYPERLINK("https://www.chemistwarehouse.com.au/buy/66720/Redwin-Body-Lotion-with-Vitamin-E-and-EPO-400ml"," Redwin Body Lotion with Vitamin E and EPO 400ml")</f>
        <v xml:space="preserve"> Redwin Body Lotion with Vitamin E and EPO 400ml</v>
      </c>
      <c r="C4885" t="s">
        <v>556</v>
      </c>
      <c r="D4885" t="s">
        <v>371</v>
      </c>
    </row>
    <row r="4886" spans="1:4" x14ac:dyDescent="0.25">
      <c r="B4886" t="str">
        <f>HYPERLINK("https://www.chemistwarehouse.com.au/buy/75039/Redwin-Coconut-Body-Oil-125ml"," Redwin Coconut Body Oil 125ml")</f>
        <v xml:space="preserve"> Redwin Coconut Body Oil 125ml</v>
      </c>
      <c r="C4886" t="s">
        <v>98</v>
      </c>
      <c r="D4886" t="s">
        <v>312</v>
      </c>
    </row>
    <row r="4887" spans="1:4" x14ac:dyDescent="0.25">
      <c r="B4887" t="str">
        <f>HYPERLINK("https://www.chemistwarehouse.com.au/buy/75041/Redwin-Coconut-Body-Butter-250ml"," Redwin Coconut Body Butter 250ml")</f>
        <v xml:space="preserve"> Redwin Coconut Body Butter 250ml</v>
      </c>
      <c r="C4887" t="s">
        <v>290</v>
      </c>
      <c r="D4887" t="s">
        <v>318</v>
      </c>
    </row>
    <row r="4888" spans="1:4" x14ac:dyDescent="0.25">
      <c r="B4888" t="str">
        <f>HYPERLINK("https://www.chemistwarehouse.com.au/buy/75042/Redwin-Nutricare-Body-Lotion-500ml"," Redwin Nutricare Body Lotion 500ml")</f>
        <v xml:space="preserve"> Redwin Nutricare Body Lotion 500ml</v>
      </c>
      <c r="C4888" t="s">
        <v>240</v>
      </c>
      <c r="D4888" t="s">
        <v>561</v>
      </c>
    </row>
    <row r="4889" spans="1:4" x14ac:dyDescent="0.25">
      <c r="B4889" t="str">
        <f>HYPERLINK("https://www.chemistwarehouse.com.au/buy/75038/Redwin-Nutriglow-Body-Lotion-500ml"," Redwin Nutriglow Body Lotion 500ml")</f>
        <v xml:space="preserve"> Redwin Nutriglow Body Lotion 500ml</v>
      </c>
      <c r="C4889" t="s">
        <v>240</v>
      </c>
      <c r="D4889" t="s">
        <v>561</v>
      </c>
    </row>
    <row r="4890" spans="1:4" x14ac:dyDescent="0.25">
      <c r="A4890" t="s">
        <v>1300</v>
      </c>
    </row>
    <row r="4891" spans="1:4" x14ac:dyDescent="0.25">
      <c r="B4891" t="str">
        <f>HYPERLINK("https://www.chemistwarehouse.com.au/buy/63199/Trilogy-Rosehip-Oil-45ml"," Trilogy Rosehip Oil 45ml")</f>
        <v xml:space="preserve"> Trilogy Rosehip Oil 45ml</v>
      </c>
      <c r="C4891" t="s">
        <v>266</v>
      </c>
      <c r="D4891" t="s">
        <v>159</v>
      </c>
    </row>
    <row r="4892" spans="1:4" x14ac:dyDescent="0.25">
      <c r="B4892" t="str">
        <f>HYPERLINK("https://www.chemistwarehouse.com.au/buy/66097/Trilogy-Rosehip-Oil-Antioxidant-30ml"," Trilogy Rosehip Oil Antioxidant + 30ml")</f>
        <v xml:space="preserve"> Trilogy Rosehip Oil Antioxidant + 30ml</v>
      </c>
      <c r="C4892" t="s">
        <v>313</v>
      </c>
      <c r="D4892" t="s">
        <v>437</v>
      </c>
    </row>
    <row r="4893" spans="1:4" x14ac:dyDescent="0.25">
      <c r="B4893" t="str">
        <f>HYPERLINK("https://www.chemistwarehouse.com.au/buy/74318/Trilogy-Ultra-Hydrating-Face-Cream-75ml"," Trilogy Ultra Hydrating Face Cream 75ml")</f>
        <v xml:space="preserve"> Trilogy Ultra Hydrating Face Cream 75ml</v>
      </c>
      <c r="C4893" t="s">
        <v>596</v>
      </c>
      <c r="D4893" t="s">
        <v>425</v>
      </c>
    </row>
    <row r="4894" spans="1:4" x14ac:dyDescent="0.25">
      <c r="B4894" t="str">
        <f>HYPERLINK("https://www.chemistwarehouse.com.au/buy/63200/Trilogy-Rosehip-Oil-20ml"," Trilogy Rosehip Oil 20ml")</f>
        <v xml:space="preserve"> Trilogy Rosehip Oil 20ml</v>
      </c>
      <c r="C4894" t="s">
        <v>404</v>
      </c>
      <c r="D4894" t="s">
        <v>496</v>
      </c>
    </row>
    <row r="4895" spans="1:4" x14ac:dyDescent="0.25">
      <c r="B4895" t="str">
        <f>HYPERLINK("https://www.chemistwarehouse.com.au/buy/80682/Trilogy-Pure-Plant-Body-Oil-100ml"," Trilogy Pure Plant Body Oil 100ml")</f>
        <v xml:space="preserve"> Trilogy Pure Plant Body Oil 100ml</v>
      </c>
      <c r="C4895" t="s">
        <v>148</v>
      </c>
      <c r="D4895" t="s">
        <v>149</v>
      </c>
    </row>
    <row r="4896" spans="1:4" x14ac:dyDescent="0.25">
      <c r="B4896" t="str">
        <f>HYPERLINK("https://www.chemistwarehouse.com.au/buy/80684/Trilogy-Botanical-Body-Wash-500ml"," Trilogy Botanical Body Wash 500ml")</f>
        <v xml:space="preserve"> Trilogy Botanical Body Wash 500ml</v>
      </c>
      <c r="C4896" t="s">
        <v>148</v>
      </c>
      <c r="D4896" t="s">
        <v>149</v>
      </c>
    </row>
    <row r="4897" spans="1:4" x14ac:dyDescent="0.25">
      <c r="B4897" t="str">
        <f>HYPERLINK("https://www.chemistwarehouse.com.au/buy/80685/Trilogy-Firming-Body-Lotion-200ml"," Trilogy Firming Body Lotion 200ml")</f>
        <v xml:space="preserve"> Trilogy Firming Body Lotion 200ml</v>
      </c>
      <c r="C4897" t="s">
        <v>404</v>
      </c>
      <c r="D4897" t="s">
        <v>496</v>
      </c>
    </row>
    <row r="4898" spans="1:4" x14ac:dyDescent="0.25">
      <c r="B4898" t="str">
        <f>HYPERLINK("https://www.chemistwarehouse.com.au/buy/80683/Trilogy-Exfoliating-Body-Balm-185ml"," Trilogy Exfoliating Body Balm 185ml")</f>
        <v xml:space="preserve"> Trilogy Exfoliating Body Balm 185ml</v>
      </c>
      <c r="C4898" t="s">
        <v>316</v>
      </c>
      <c r="D4898" t="s">
        <v>408</v>
      </c>
    </row>
    <row r="4899" spans="1:4" x14ac:dyDescent="0.25">
      <c r="B4899" t="str">
        <f>HYPERLINK("https://www.chemistwarehouse.com.au/buy/74316/Trilogy-Hydrating-Mist-Toner-100ml"," Trilogy Hydrating Mist Toner 100ml")</f>
        <v xml:space="preserve"> Trilogy Hydrating Mist Toner 100ml</v>
      </c>
      <c r="C4899" t="s">
        <v>148</v>
      </c>
      <c r="D4899" t="s">
        <v>149</v>
      </c>
    </row>
    <row r="4900" spans="1:4" x14ac:dyDescent="0.25">
      <c r="B4900" t="str">
        <f>HYPERLINK("https://www.chemistwarehouse.com.au/buy/74317/Trilogy-Vital-Moisturising-Cream-60ml"," Trilogy Vital Moisturising Cream 60ml")</f>
        <v xml:space="preserve"> Trilogy Vital Moisturising Cream 60ml</v>
      </c>
      <c r="C4900" t="s">
        <v>493</v>
      </c>
      <c r="D4900" t="s">
        <v>458</v>
      </c>
    </row>
    <row r="4901" spans="1:4" x14ac:dyDescent="0.25">
      <c r="B4901" t="str">
        <f>HYPERLINK("https://www.chemistwarehouse.com.au/buy/74321/Trilogy-Cream-Cleanser-100ml"," Trilogy Cream Cleanser 100ml")</f>
        <v xml:space="preserve"> Trilogy Cream Cleanser 100ml</v>
      </c>
      <c r="C4901" t="s">
        <v>61</v>
      </c>
      <c r="D4901" t="s">
        <v>157</v>
      </c>
    </row>
    <row r="4902" spans="1:4" x14ac:dyDescent="0.25">
      <c r="B4902" t="str">
        <f>HYPERLINK("https://www.chemistwarehouse.com.au/buy/74322/Trilogy-Rosapene-Night-Cream-60ml"," Trilogy Rosapene Night Cream 60ml")</f>
        <v xml:space="preserve"> Trilogy Rosapene Night Cream 60ml</v>
      </c>
      <c r="C4902" t="s">
        <v>166</v>
      </c>
      <c r="D4902" t="s">
        <v>343</v>
      </c>
    </row>
    <row r="4903" spans="1:4" x14ac:dyDescent="0.25">
      <c r="B4903" t="str">
        <f>HYPERLINK("https://www.chemistwarehouse.com.au/buy/78329/Trilogy-Make-Up-Be-Gone-Cleansing-Balm-80ml"," Trilogy Make Up Be Gone Cleansing Balm 80ml")</f>
        <v xml:space="preserve"> Trilogy Make Up Be Gone Cleansing Balm 80ml</v>
      </c>
      <c r="C4903" t="s">
        <v>262</v>
      </c>
      <c r="D4903" t="s">
        <v>1301</v>
      </c>
    </row>
    <row r="4904" spans="1:4" x14ac:dyDescent="0.25">
      <c r="B4904" t="str">
        <f>HYPERLINK("https://www.chemistwarehouse.com.au/buy/78379/Trilogy-Eye-Contour-Cream-20ml"," Trilogy Eye Contour Cream 20ml")</f>
        <v xml:space="preserve"> Trilogy Eye Contour Cream 20ml</v>
      </c>
      <c r="C4904" t="s">
        <v>864</v>
      </c>
      <c r="D4904" t="s">
        <v>526</v>
      </c>
    </row>
    <row r="4905" spans="1:4" x14ac:dyDescent="0.25">
      <c r="B4905" t="str">
        <f>HYPERLINK("https://www.chemistwarehouse.com.au/buy/79278/Trilogy-Balancing-Face-Lotion-100ml"," Trilogy Balancing Face Lotion 100ml")</f>
        <v xml:space="preserve"> Trilogy Balancing Face Lotion 100ml</v>
      </c>
      <c r="C4905" t="s">
        <v>864</v>
      </c>
      <c r="D4905" t="s">
        <v>526</v>
      </c>
    </row>
    <row r="4906" spans="1:4" x14ac:dyDescent="0.25">
      <c r="B4906" t="str">
        <f>HYPERLINK("https://www.chemistwarehouse.com.au/buy/79279/Trilogy-Gentle-Facial-Exfoliant-75ml"," Trilogy Gentle Facial Exfoliant 75ml")</f>
        <v xml:space="preserve"> Trilogy Gentle Facial Exfoliant 75ml</v>
      </c>
      <c r="C4906" t="s">
        <v>262</v>
      </c>
      <c r="D4906" t="s">
        <v>1301</v>
      </c>
    </row>
    <row r="4907" spans="1:4" x14ac:dyDescent="0.25">
      <c r="B4907" t="str">
        <f>HYPERLINK("https://www.chemistwarehouse.com.au/buy/79433/Trilogy-Balancing-Gel-Cleanser-150ml"," Trilogy Balancing Gel Cleanser 150ml")</f>
        <v xml:space="preserve"> Trilogy Balancing Gel Cleanser 150ml</v>
      </c>
      <c r="C4907" t="s">
        <v>262</v>
      </c>
      <c r="D4907" t="s">
        <v>1301</v>
      </c>
    </row>
    <row r="4908" spans="1:4" x14ac:dyDescent="0.25">
      <c r="B4908" t="str">
        <f>HYPERLINK("https://www.chemistwarehouse.com.au/buy/81686/Trilogy-Rosehip-Oil-Light-Blend-30ml"," Trilogy Rosehip Oil Light Blend 30ml")</f>
        <v xml:space="preserve"> Trilogy Rosehip Oil Light Blend 30ml</v>
      </c>
      <c r="C4908" t="s">
        <v>313</v>
      </c>
      <c r="D4908" t="s">
        <v>437</v>
      </c>
    </row>
    <row r="4909" spans="1:4" x14ac:dyDescent="0.25">
      <c r="B4909" t="str">
        <f>HYPERLINK("https://www.chemistwarehouse.com.au/buy/82451/Trilogy-Rosapene-Serum-30ml"," Trilogy Rosapene Serum 30ml")</f>
        <v xml:space="preserve"> Trilogy Rosapene Serum 30ml</v>
      </c>
      <c r="C4909" t="s">
        <v>266</v>
      </c>
      <c r="D4909" t="s">
        <v>159</v>
      </c>
    </row>
    <row r="4910" spans="1:4" x14ac:dyDescent="0.25">
      <c r="B4910" t="str">
        <f>HYPERLINK("https://www.chemistwarehouse.com.au/buy/81414/Trilogy-Rosapene-Regime-Gift-Set"," Trilogy Rosapene Regime Gift Set")</f>
        <v xml:space="preserve"> Trilogy Rosapene Regime Gift Set</v>
      </c>
      <c r="C4910" t="s">
        <v>110</v>
      </c>
      <c r="D4910" t="s">
        <v>340</v>
      </c>
    </row>
    <row r="4911" spans="1:4" x14ac:dyDescent="0.25">
      <c r="A4911" t="s">
        <v>1302</v>
      </c>
    </row>
    <row r="4912" spans="1:4" x14ac:dyDescent="0.25">
      <c r="B4912" t="str">
        <f>HYPERLINK("https://www.chemistwarehouse.com.au/buy/47500/Alpha-Keri-Supple-Skin-Shower-amp-Body-Oil-1-Litre"," Alpha Keri Supple Skin Shower &amp; Body Oil 1 Litre")</f>
        <v xml:space="preserve"> Alpha Keri Supple Skin Shower &amp; Body Oil 1 Litre</v>
      </c>
      <c r="C4912" t="s">
        <v>407</v>
      </c>
      <c r="D4912" t="s">
        <v>376</v>
      </c>
    </row>
    <row r="4913" spans="1:4" x14ac:dyDescent="0.25">
      <c r="B4913" t="str">
        <f>HYPERLINK("https://www.chemistwarehouse.com.au/buy/47501/Alpha-Keri-Skin-Moisture-Boost-Lotion-1-Litre"," Alpha Keri Skin Moisture Boost Lotion 1 Litre")</f>
        <v xml:space="preserve"> Alpha Keri Skin Moisture Boost Lotion 1 Litre</v>
      </c>
      <c r="C4913" t="s">
        <v>407</v>
      </c>
      <c r="D4913" t="s">
        <v>376</v>
      </c>
    </row>
    <row r="4914" spans="1:4" x14ac:dyDescent="0.25">
      <c r="B4914" t="str">
        <f>HYPERLINK("https://www.chemistwarehouse.com.au/buy/47918/Alpha-Keri-Skin-Hydrating-Body-Wash-1-Litre"," Alpha Keri Skin Hydrating Body Wash 1 Litre")</f>
        <v xml:space="preserve"> Alpha Keri Skin Hydrating Body Wash 1 Litre</v>
      </c>
      <c r="C4914" t="s">
        <v>407</v>
      </c>
      <c r="D4914" t="s">
        <v>376</v>
      </c>
    </row>
    <row r="4915" spans="1:4" x14ac:dyDescent="0.25">
      <c r="B4915" t="str">
        <f>HYPERLINK("https://www.chemistwarehouse.com.au/buy/79144/Alpha-Keri-Body-Slimfit-Cellulite-Reductor-and-Slimming-Serum-200ml"," Alpha Keri Body Slimfit Cellulite Reductor and Slimming Serum 200ml")</f>
        <v xml:space="preserve"> Alpha Keri Body Slimfit Cellulite Reductor and Slimming Serum 200ml</v>
      </c>
      <c r="C4915" t="s">
        <v>316</v>
      </c>
      <c r="D4915" t="s">
        <v>1303</v>
      </c>
    </row>
    <row r="4916" spans="1:4" x14ac:dyDescent="0.25">
      <c r="B4916" t="str">
        <f>HYPERLINK("https://www.chemistwarehouse.com.au/buy/79145/Alpha-Keri-Body-Slimfit-Bust-Lift-and-Firm-Cream-200ml"," Alpha Keri Body Slimfit Bust Lift and Firm Cream 200ml")</f>
        <v xml:space="preserve"> Alpha Keri Body Slimfit Bust Lift and Firm Cream 200ml</v>
      </c>
      <c r="C4916" t="s">
        <v>316</v>
      </c>
      <c r="D4916" t="s">
        <v>1303</v>
      </c>
    </row>
    <row r="4917" spans="1:4" x14ac:dyDescent="0.25">
      <c r="B4917" t="str">
        <f>HYPERLINK("https://www.chemistwarehouse.com.au/buy/79143/Alpha-Keri-Body-Stretch-Mark-Reductor-and-Slimming-Serum-200ml"," Alpha Keri Body Stretch Mark Reductor and Slimming Serum 200ml")</f>
        <v xml:space="preserve"> Alpha Keri Body Stretch Mark Reductor and Slimming Serum 200ml</v>
      </c>
      <c r="C4917" t="s">
        <v>316</v>
      </c>
      <c r="D4917" t="s">
        <v>1303</v>
      </c>
    </row>
    <row r="4918" spans="1:4" x14ac:dyDescent="0.25">
      <c r="B4918" t="str">
        <f>HYPERLINK("https://www.chemistwarehouse.com.au/buy/60265/Alpha-Keri-Replenishing-Shower-Cream-1-Litre"," Alpha Keri Replenishing Shower Cream 1 Litre")</f>
        <v xml:space="preserve"> Alpha Keri Replenishing Shower Cream 1 Litre</v>
      </c>
      <c r="C4918" t="s">
        <v>407</v>
      </c>
      <c r="D4918" t="s">
        <v>376</v>
      </c>
    </row>
    <row r="4919" spans="1:4" x14ac:dyDescent="0.25">
      <c r="B4919" t="str">
        <f>HYPERLINK("https://www.chemistwarehouse.com.au/buy/79142/Alpha-Keri-Body-Slimfit-Heat-Activated-and-Firming-Serum-200ml"," Alpha Keri Body Slimfit Heat Activated and Firming Serum 200ml")</f>
        <v xml:space="preserve"> Alpha Keri Body Slimfit Heat Activated and Firming Serum 200ml</v>
      </c>
      <c r="C4919" t="s">
        <v>316</v>
      </c>
      <c r="D4919" t="s">
        <v>1303</v>
      </c>
    </row>
    <row r="4920" spans="1:4" x14ac:dyDescent="0.25">
      <c r="A4920" t="s">
        <v>1304</v>
      </c>
    </row>
    <row r="4921" spans="1:4" x14ac:dyDescent="0.25">
      <c r="B4921" t="str">
        <f>HYPERLINK("https://www.chemistwarehouse.com.au/buy/78730/Aveeno-Daily-Moisturising-Body-Wash-1-Litre"," Aveeno Daily Moisturising Body Wash 1 Litre")</f>
        <v xml:space="preserve"> Aveeno Daily Moisturising Body Wash 1 Litre</v>
      </c>
      <c r="C4921" t="s">
        <v>365</v>
      </c>
      <c r="D4921" t="s">
        <v>108</v>
      </c>
    </row>
    <row r="4922" spans="1:4" x14ac:dyDescent="0.25">
      <c r="B4922" t="str">
        <f>HYPERLINK("https://www.chemistwarehouse.com.au/buy/78731/Aveeno-Daily-Moisturising-Body-Lotion-1-Litre"," Aveeno Daily Moisturising Body Lotion 1 Litre")</f>
        <v xml:space="preserve"> Aveeno Daily Moisturising Body Lotion 1 Litre</v>
      </c>
      <c r="C4922" t="s">
        <v>153</v>
      </c>
      <c r="D4922" t="s">
        <v>104</v>
      </c>
    </row>
    <row r="4923" spans="1:4" x14ac:dyDescent="0.25">
      <c r="B4923" t="str">
        <f>HYPERLINK("https://www.chemistwarehouse.com.au/buy/67563/Aveeno-Skin-Relief-Moisturising-Lotion-Fragrance-Free-354ml"," Aveeno Skin Relief Moisturising Lotion Fragrance Free 354ml")</f>
        <v xml:space="preserve"> Aveeno Skin Relief Moisturising Lotion Fragrance Free 354ml</v>
      </c>
      <c r="C4923" t="s">
        <v>42</v>
      </c>
      <c r="D4923" t="s">
        <v>41</v>
      </c>
    </row>
    <row r="4924" spans="1:4" x14ac:dyDescent="0.25">
      <c r="B4924" t="str">
        <f>HYPERLINK("https://www.chemistwarehouse.com.au/buy/50365/Aveeno-Daily-Moisturising-Lotion-354ml"," Aveeno Daily Moisturising Lotion 354ml")</f>
        <v xml:space="preserve"> Aveeno Daily Moisturising Lotion 354ml</v>
      </c>
      <c r="C4924" t="s">
        <v>42</v>
      </c>
      <c r="D4924" t="s">
        <v>41</v>
      </c>
    </row>
    <row r="4925" spans="1:4" x14ac:dyDescent="0.25">
      <c r="B4925" t="str">
        <f>HYPERLINK("https://www.chemistwarehouse.com.au/buy/49843/Aveeno-Intense-Relief-Hand-Cream-100g"," Aveeno Intense Relief Hand Cream 100g")</f>
        <v xml:space="preserve"> Aveeno Intense Relief Hand Cream 100g</v>
      </c>
      <c r="C4925" t="s">
        <v>240</v>
      </c>
      <c r="D4925" t="s">
        <v>400</v>
      </c>
    </row>
    <row r="4926" spans="1:4" x14ac:dyDescent="0.25">
      <c r="B4926" t="str">
        <f>HYPERLINK("https://www.chemistwarehouse.com.au/buy/51266/Aveeno-Skin-Relief-Moisturising-Cream-312g"," Aveeno Skin Relief Moisturising Cream 312g")</f>
        <v xml:space="preserve"> Aveeno Skin Relief Moisturising Cream 312g</v>
      </c>
      <c r="C4926" t="s">
        <v>212</v>
      </c>
      <c r="D4926" t="s">
        <v>799</v>
      </c>
    </row>
    <row r="4927" spans="1:4" x14ac:dyDescent="0.25">
      <c r="B4927" t="str">
        <f>HYPERLINK("https://www.chemistwarehouse.com.au/buy/50349/Aveeno-Daily-Moisturising-Lotion-225mL"," Aveeno Daily Moisturising Lotion 225mL")</f>
        <v xml:space="preserve"> Aveeno Daily Moisturising Lotion 225mL</v>
      </c>
      <c r="C4927" t="s">
        <v>240</v>
      </c>
      <c r="D4927" t="s">
        <v>400</v>
      </c>
    </row>
    <row r="4928" spans="1:4" x14ac:dyDescent="0.25">
      <c r="B4928" t="str">
        <f>HYPERLINK("https://www.chemistwarehouse.com.au/buy/69586/Aveeno-Daily-Moisturizing-Wash-532ml"," Aveeno Daily Moisturizing Wash 532ml")</f>
        <v xml:space="preserve"> Aveeno Daily Moisturizing Wash 532ml</v>
      </c>
      <c r="C4928" t="s">
        <v>212</v>
      </c>
      <c r="D4928" t="s">
        <v>318</v>
      </c>
    </row>
    <row r="4929" spans="1:4" x14ac:dyDescent="0.25">
      <c r="B4929" t="str">
        <f>HYPERLINK("https://www.chemistwarehouse.com.au/buy/69587/Aveeno-Daily-Moisturizing-Lotion-532ml"," Aveeno Daily Moisturizing Lotion 532ml")</f>
        <v xml:space="preserve"> Aveeno Daily Moisturizing Lotion 532ml</v>
      </c>
      <c r="C4929" t="s">
        <v>292</v>
      </c>
      <c r="D4929" t="s">
        <v>121</v>
      </c>
    </row>
    <row r="4930" spans="1:4" x14ac:dyDescent="0.25">
      <c r="B4930" t="str">
        <f>HYPERLINK("https://www.chemistwarehouse.com.au/buy/69695/Aveeno-Skin-Relief-Moisturising-Lotion-225ml"," Aveeno Skin Relief Moisturising Lotion 225ml")</f>
        <v xml:space="preserve"> Aveeno Skin Relief Moisturising Lotion 225ml</v>
      </c>
      <c r="C4930" t="s">
        <v>240</v>
      </c>
      <c r="D4930" t="s">
        <v>400</v>
      </c>
    </row>
    <row r="4931" spans="1:4" x14ac:dyDescent="0.25">
      <c r="B4931" t="str">
        <f>HYPERLINK("https://www.chemistwarehouse.com.au/buy/49844/Aveeno-Daily-Moisturising-Body-Wash-354mL"," Aveeno Daily Moisturising Body Wash 354mL")</f>
        <v xml:space="preserve"> Aveeno Daily Moisturising Body Wash 354mL</v>
      </c>
      <c r="C4931" t="s">
        <v>185</v>
      </c>
      <c r="D4931" t="s">
        <v>184</v>
      </c>
    </row>
    <row r="4932" spans="1:4" x14ac:dyDescent="0.25">
      <c r="B4932" t="str">
        <f>HYPERLINK("https://www.chemistwarehouse.com.au/buy/59490/Aveeno-Stress-Relief-Moisturising-Lotion-354ml"," Aveeno Stress Relief Moisturising Lotion 354ml")</f>
        <v xml:space="preserve"> Aveeno Stress Relief Moisturising Lotion 354ml</v>
      </c>
      <c r="C4932" t="s">
        <v>42</v>
      </c>
      <c r="D4932" t="s">
        <v>41</v>
      </c>
    </row>
    <row r="4933" spans="1:4" x14ac:dyDescent="0.25">
      <c r="B4933" t="str">
        <f>HYPERLINK("https://www.chemistwarehouse.com.au/buy/59491/Aveeno-Stress-Relief-Body-Wash-354ml"," Aveeno Stress Relief Body Wash 354ml")</f>
        <v xml:space="preserve"> Aveeno Stress Relief Body Wash 354ml</v>
      </c>
      <c r="C4933" t="s">
        <v>185</v>
      </c>
      <c r="D4933" t="s">
        <v>184</v>
      </c>
    </row>
    <row r="4934" spans="1:4" x14ac:dyDescent="0.25">
      <c r="B4934" t="str">
        <f>HYPERLINK("https://www.chemistwarehouse.com.au/buy/50425/Aveeno-Skin-Relief-Body-Wash-Fragrance-Free-354ml"," Aveeno Skin Relief Body Wash Fragrance Free 354ml")</f>
        <v xml:space="preserve"> Aveeno Skin Relief Body Wash Fragrance Free 354ml</v>
      </c>
      <c r="C4934" t="s">
        <v>185</v>
      </c>
      <c r="D4934" t="s">
        <v>184</v>
      </c>
    </row>
    <row r="4935" spans="1:4" x14ac:dyDescent="0.25">
      <c r="B4935" t="str">
        <f>HYPERLINK("https://www.chemistwarehouse.com.au/buy/78512/Aveeno-Daily-Moisturising-Lotion-Sheer-Hydration-350ml"," Aveeno Daily Moisturising Lotion Sheer Hydration 350ml")</f>
        <v xml:space="preserve"> Aveeno Daily Moisturising Lotion Sheer Hydration 350ml</v>
      </c>
      <c r="C4935" t="s">
        <v>1305</v>
      </c>
      <c r="D4935" t="s">
        <v>261</v>
      </c>
    </row>
    <row r="4936" spans="1:4" x14ac:dyDescent="0.25">
      <c r="A4936" t="s">
        <v>1306</v>
      </c>
    </row>
    <row r="4937" spans="1:4" x14ac:dyDescent="0.25">
      <c r="B4937" t="str">
        <f>HYPERLINK("https://www.chemistwarehouse.com.au/buy/2152/Cetaphil-Gentle-Cleansing-Bar-127g"," Cetaphil Gentle Cleansing Bar 127g")</f>
        <v xml:space="preserve"> Cetaphil Gentle Cleansing Bar 127g</v>
      </c>
      <c r="C4937" t="s">
        <v>782</v>
      </c>
      <c r="D4937" t="s">
        <v>814</v>
      </c>
    </row>
    <row r="4938" spans="1:4" x14ac:dyDescent="0.25">
      <c r="B4938" t="str">
        <f>HYPERLINK("https://www.chemistwarehouse.com.au/buy/39876/Cetaphil-Gentle-Skin-Cleanser-1-Litre-Pump-Pack"," Cetaphil Gentle Skin Cleanser 1 Litre Pump Pack")</f>
        <v xml:space="preserve"> Cetaphil Gentle Skin Cleanser 1 Litre Pump Pack</v>
      </c>
      <c r="C4938" t="s">
        <v>1</v>
      </c>
      <c r="D4938" t="s">
        <v>1307</v>
      </c>
    </row>
    <row r="4939" spans="1:4" x14ac:dyDescent="0.25">
      <c r="B4939" t="str">
        <f>HYPERLINK("https://www.chemistwarehouse.com.au/buy/67266/Cetaphil-Antibacterial-Bar-127g"," Cetaphil Antibacterial Bar 127g")</f>
        <v xml:space="preserve"> Cetaphil Antibacterial Bar 127g</v>
      </c>
      <c r="C4939" t="s">
        <v>782</v>
      </c>
      <c r="D4939" t="s">
        <v>814</v>
      </c>
    </row>
    <row r="4940" spans="1:4" x14ac:dyDescent="0.25">
      <c r="B4940" t="str">
        <f>HYPERLINK("https://www.chemistwarehouse.com.au/buy/39924/Cetaphil-Moisturising-Cream-550g"," Cetaphil Moisturising Cream 550g")</f>
        <v xml:space="preserve"> Cetaphil Moisturising Cream 550g</v>
      </c>
      <c r="C4940" t="s">
        <v>61</v>
      </c>
      <c r="D4940" t="s">
        <v>397</v>
      </c>
    </row>
    <row r="4941" spans="1:4" x14ac:dyDescent="0.25">
      <c r="B4941" t="str">
        <f>HYPERLINK("https://www.chemistwarehouse.com.au/buy/52318/Cetaphil-Intensive-Moisturising-Cream-85g"," Cetaphil Intensive Moisturising Cream 85g")</f>
        <v xml:space="preserve"> Cetaphil Intensive Moisturising Cream 85g</v>
      </c>
      <c r="C4941" t="s">
        <v>103</v>
      </c>
      <c r="D4941" t="s">
        <v>813</v>
      </c>
    </row>
    <row r="4942" spans="1:4" x14ac:dyDescent="0.25">
      <c r="B4942" t="str">
        <f>HYPERLINK("https://www.chemistwarehouse.com.au/buy/54100/Cetaphil-Oily-Skin-Cleanser-500ml"," Cetaphil Oily Skin Cleanser 500ml")</f>
        <v xml:space="preserve"> Cetaphil Oily Skin Cleanser 500ml</v>
      </c>
      <c r="C4942" t="s">
        <v>202</v>
      </c>
      <c r="D4942" t="s">
        <v>604</v>
      </c>
    </row>
    <row r="4943" spans="1:4" x14ac:dyDescent="0.25">
      <c r="B4943" t="str">
        <f>HYPERLINK("https://www.chemistwarehouse.com.au/buy/62890/Cetaphil-Daily-Advance-Ultra-Hydrating-Lotion-473ml"," Cetaphil Daily Advance Ultra Hydrating Lotion 473ml")</f>
        <v xml:space="preserve"> Cetaphil Daily Advance Ultra Hydrating Lotion 473ml</v>
      </c>
      <c r="C4943" t="s">
        <v>448</v>
      </c>
      <c r="D4943" t="s">
        <v>1308</v>
      </c>
    </row>
    <row r="4944" spans="1:4" x14ac:dyDescent="0.25">
      <c r="B4944" t="str">
        <f>HYPERLINK("https://www.chemistwarehouse.com.au/buy/65082/Cetaphil-Moisturising-Lotion-1-Litre"," Cetaphil Moisturising Lotion 1 Litre")</f>
        <v xml:space="preserve"> Cetaphil Moisturising Lotion 1 Litre</v>
      </c>
      <c r="C4944" t="s">
        <v>1</v>
      </c>
      <c r="D4944" t="s">
        <v>1307</v>
      </c>
    </row>
    <row r="4945" spans="2:4" x14ac:dyDescent="0.25">
      <c r="B4945" t="str">
        <f>HYPERLINK("https://www.chemistwarehouse.com.au/buy/2153/Cetaphil-Gentle-Skin-Cleanser-500ml"," Cetaphil Gentle Skin Cleanser 500ml")</f>
        <v xml:space="preserve"> Cetaphil Gentle Skin Cleanser 500ml</v>
      </c>
      <c r="C4945" t="s">
        <v>202</v>
      </c>
      <c r="D4945" t="s">
        <v>604</v>
      </c>
    </row>
    <row r="4946" spans="2:4" x14ac:dyDescent="0.25">
      <c r="B4946" t="str">
        <f>HYPERLINK("https://www.chemistwarehouse.com.au/buy/2154/Cetaphil-Gentle-Skin-Cleanser-125mL"," Cetaphil Gentle Skin Cleanser 125mL")</f>
        <v xml:space="preserve"> Cetaphil Gentle Skin Cleanser 125mL</v>
      </c>
      <c r="C4946" t="s">
        <v>92</v>
      </c>
      <c r="D4946" t="s">
        <v>624</v>
      </c>
    </row>
    <row r="4947" spans="2:4" x14ac:dyDescent="0.25">
      <c r="B4947" t="str">
        <f>HYPERLINK("https://www.chemistwarehouse.com.au/buy/2155/Cetaphil-Gentle-Skin-Cleanser-250mL"," Cetaphil Gentle Skin Cleanser 250mL")</f>
        <v xml:space="preserve"> Cetaphil Gentle Skin Cleanser 250mL</v>
      </c>
      <c r="C4947" t="s">
        <v>430</v>
      </c>
      <c r="D4947" t="s">
        <v>588</v>
      </c>
    </row>
    <row r="4948" spans="2:4" x14ac:dyDescent="0.25">
      <c r="B4948" t="str">
        <f>HYPERLINK("https://www.chemistwarehouse.com.au/buy/2156/Cetaphil-Moisture-Cream-100g"," Cetaphil Moisture Cream 100g")</f>
        <v xml:space="preserve"> Cetaphil Moisture Cream 100g</v>
      </c>
      <c r="C4948" t="s">
        <v>782</v>
      </c>
      <c r="D4948" t="s">
        <v>400</v>
      </c>
    </row>
    <row r="4949" spans="2:4" x14ac:dyDescent="0.25">
      <c r="B4949" t="str">
        <f>HYPERLINK("https://www.chemistwarehouse.com.au/buy/2157/Cetaphil-Moisture-Cream-250g"," Cetaphil Moisture Cream 250g")</f>
        <v xml:space="preserve"> Cetaphil Moisture Cream 250g</v>
      </c>
      <c r="C4949" t="s">
        <v>80</v>
      </c>
      <c r="D4949" t="s">
        <v>1309</v>
      </c>
    </row>
    <row r="4950" spans="2:4" x14ac:dyDescent="0.25">
      <c r="B4950" t="str">
        <f>HYPERLINK("https://www.chemistwarehouse.com.au/buy/40600/Cetaphil-Moisturising-Lotion-250mL"," Cetaphil Moisturising Lotion 250mL")</f>
        <v xml:space="preserve"> Cetaphil Moisturising Lotion 250mL</v>
      </c>
      <c r="C4950" t="s">
        <v>430</v>
      </c>
      <c r="D4950" t="s">
        <v>588</v>
      </c>
    </row>
    <row r="4951" spans="2:4" x14ac:dyDescent="0.25">
      <c r="B4951" t="str">
        <f>HYPERLINK("https://www.chemistwarehouse.com.au/buy/40601/Cetaphil-Moisturising-Lotion-500mL-Pump-Pack"," Cetaphil Moisturising Lotion 500mL Pump Pack")</f>
        <v xml:space="preserve"> Cetaphil Moisturising Lotion 500mL Pump Pack</v>
      </c>
      <c r="C4951" t="s">
        <v>202</v>
      </c>
      <c r="D4951" t="s">
        <v>604</v>
      </c>
    </row>
    <row r="4952" spans="2:4" x14ac:dyDescent="0.25">
      <c r="B4952" t="str">
        <f>HYPERLINK("https://www.chemistwarehouse.com.au/buy/67756/Cetaphil-DermaControl-Moisturising-Lotion-SPF30-118ml"," Cetaphil DermaControl Moisturising Lotion SPF30+ 118ml")</f>
        <v xml:space="preserve"> Cetaphil DermaControl Moisturising Lotion SPF30+ 118ml</v>
      </c>
      <c r="C4952" t="s">
        <v>61</v>
      </c>
      <c r="D4952" t="s">
        <v>1310</v>
      </c>
    </row>
    <row r="4953" spans="2:4" x14ac:dyDescent="0.25">
      <c r="B4953" t="str">
        <f>HYPERLINK("https://www.chemistwarehouse.com.au/buy/58962/Cetaphil-Daily-Advance-Ultra-Hydrating-Lotion-226g"," Cetaphil Daily Advance Ultra Hydrating Lotion 226g")</f>
        <v xml:space="preserve"> Cetaphil Daily Advance Ultra Hydrating Lotion 226g</v>
      </c>
      <c r="C4953" t="s">
        <v>237</v>
      </c>
      <c r="D4953" t="s">
        <v>1311</v>
      </c>
    </row>
    <row r="4954" spans="2:4" x14ac:dyDescent="0.25">
      <c r="B4954" t="str">
        <f>HYPERLINK("https://www.chemistwarehouse.com.au/buy/59430/Cetaphil-Oily-Skin-Cleanser-235ml"," Cetaphil Oily Skin Cleanser 235ml")</f>
        <v xml:space="preserve"> Cetaphil Oily Skin Cleanser 235ml</v>
      </c>
      <c r="C4954" t="s">
        <v>32</v>
      </c>
      <c r="D4954" t="s">
        <v>158</v>
      </c>
    </row>
    <row r="4955" spans="2:4" x14ac:dyDescent="0.25">
      <c r="B4955" t="str">
        <f>HYPERLINK("https://www.chemistwarehouse.com.au/buy/59431/Cetaphil-Daily-Advance-85g"," Cetaphil Daily Advance 85g")</f>
        <v xml:space="preserve"> Cetaphil Daily Advance 85g</v>
      </c>
      <c r="C4955" t="s">
        <v>240</v>
      </c>
      <c r="D4955" t="s">
        <v>400</v>
      </c>
    </row>
    <row r="4956" spans="2:4" x14ac:dyDescent="0.25">
      <c r="B4956" t="str">
        <f>HYPERLINK("https://www.chemistwarehouse.com.au/buy/60057/Cetaphil-UVA-UVB-Defence-SPF-50-50mL"," Cetaphil UVA/UVB Defence SPF 50+ 50mL")</f>
        <v xml:space="preserve"> Cetaphil UVA/UVB Defence SPF 50+ 50mL</v>
      </c>
      <c r="C4956" t="s">
        <v>61</v>
      </c>
      <c r="D4956" t="s">
        <v>1310</v>
      </c>
    </row>
    <row r="4957" spans="2:4" x14ac:dyDescent="0.25">
      <c r="B4957" t="str">
        <f>HYPERLINK("https://www.chemistwarehouse.com.au/buy/68778/Cetaphil-Daily-Facial-Moisturiser-118ml"," Cetaphil Daily Facial Moisturiser 118ml")</f>
        <v xml:space="preserve"> Cetaphil Daily Facial Moisturiser 118ml</v>
      </c>
      <c r="C4957" t="s">
        <v>61</v>
      </c>
      <c r="D4957" t="s">
        <v>115</v>
      </c>
    </row>
    <row r="4958" spans="2:4" x14ac:dyDescent="0.25">
      <c r="B4958" t="str">
        <f>HYPERLINK("https://www.chemistwarehouse.com.au/buy/76347/Cetaphil-Shower-amp-Bath-Oil-1-Litre"," Cetaphil Shower &amp; Bath Oil 1 Litre")</f>
        <v xml:space="preserve"> Cetaphil Shower &amp; Bath Oil 1 Litre</v>
      </c>
      <c r="C4958" t="s">
        <v>1</v>
      </c>
      <c r="D4958" t="s">
        <v>1307</v>
      </c>
    </row>
    <row r="4959" spans="2:4" x14ac:dyDescent="0.25">
      <c r="B4959" t="str">
        <f>HYPERLINK("https://www.chemistwarehouse.com.au/buy/76486/Cetaphil-Gentle-Skin-25-Cleansing-Cloths"," Cetaphil Gentle Skin 25 Cleansing Cloths")</f>
        <v xml:space="preserve"> Cetaphil Gentle Skin 25 Cleansing Cloths</v>
      </c>
      <c r="C4959" t="s">
        <v>610</v>
      </c>
      <c r="D4959" t="s">
        <v>1312</v>
      </c>
    </row>
    <row r="4960" spans="2:4" x14ac:dyDescent="0.25">
      <c r="B4960" t="str">
        <f>HYPERLINK("https://www.chemistwarehouse.com.au/buy/67757/Cetaphil-DermaControl-Foaming-Wash-236ml"," Cetaphil DermaControl Foaming Wash 236ml")</f>
        <v xml:space="preserve"> Cetaphil DermaControl Foaming Wash 236ml</v>
      </c>
      <c r="C4960" t="s">
        <v>228</v>
      </c>
      <c r="D4960" t="s">
        <v>121</v>
      </c>
    </row>
    <row r="4961" spans="1:4" x14ac:dyDescent="0.25">
      <c r="A4961" t="s">
        <v>1313</v>
      </c>
    </row>
    <row r="4962" spans="1:4" x14ac:dyDescent="0.25">
      <c r="B4962" t="str">
        <f>HYPERLINK("https://www.chemistwarehouse.com.au/buy/65040/DermaVeen-Everyday-Moisturising-Lotion-1-Litre"," DermaVeen Everyday Moisturising Lotion 1 Litre")</f>
        <v xml:space="preserve"> DermaVeen Everyday Moisturising Lotion 1 Litre</v>
      </c>
      <c r="C4962" t="s">
        <v>61</v>
      </c>
      <c r="D4962" t="s">
        <v>164</v>
      </c>
    </row>
    <row r="4963" spans="1:4" x14ac:dyDescent="0.25">
      <c r="B4963" t="str">
        <f>HYPERLINK("https://www.chemistwarehouse.com.au/buy/63657/DermaVeen-Revive-Body-Moisturiser-250ml"," DermaVeen Revive Body Moisturiser 250ml")</f>
        <v xml:space="preserve"> DermaVeen Revive Body Moisturiser 250ml</v>
      </c>
      <c r="C4963" t="s">
        <v>228</v>
      </c>
      <c r="D4963" t="s">
        <v>121</v>
      </c>
    </row>
    <row r="4964" spans="1:4" x14ac:dyDescent="0.25">
      <c r="B4964" t="str">
        <f>HYPERLINK("https://www.chemistwarehouse.com.au/buy/65038/DermaVeen-Extra-Gentle-Revive-Hand-Cream-100g"," DermaVeen Extra Gentle Revive Hand Cream 100g")</f>
        <v xml:space="preserve"> DermaVeen Extra Gentle Revive Hand Cream 100g</v>
      </c>
      <c r="C4964" t="s">
        <v>240</v>
      </c>
      <c r="D4964" t="s">
        <v>561</v>
      </c>
    </row>
    <row r="4965" spans="1:4" x14ac:dyDescent="0.25">
      <c r="A4965" t="s">
        <v>1314</v>
      </c>
    </row>
    <row r="4966" spans="1:4" x14ac:dyDescent="0.25">
      <c r="B4966" t="str">
        <f>HYPERLINK("https://www.chemistwarehouse.com.au/buy/68421/DermaVeen-Extra-Gentle-Soap-Free-Wash-1-Litre"," DermaVeen Extra Gentle Soap Free Wash 1 Litre")</f>
        <v xml:space="preserve"> DermaVeen Extra Gentle Soap Free Wash 1 Litre</v>
      </c>
      <c r="C4966" t="s">
        <v>61</v>
      </c>
      <c r="D4966" t="s">
        <v>169</v>
      </c>
    </row>
    <row r="4967" spans="1:4" x14ac:dyDescent="0.25">
      <c r="B4967" t="str">
        <f>HYPERLINK("https://www.chemistwarehouse.com.au/buy/57230/DermaVeen-Shower-amp-Bath-Oil-1-Litre"," DermaVeen Shower &amp; Bath Oil 1 Litre")</f>
        <v xml:space="preserve"> DermaVeen Shower &amp; Bath Oil 1 Litre</v>
      </c>
      <c r="C4967" t="s">
        <v>61</v>
      </c>
      <c r="D4967" t="s">
        <v>169</v>
      </c>
    </row>
    <row r="4968" spans="1:4" x14ac:dyDescent="0.25">
      <c r="B4968" t="str">
        <f>HYPERLINK("https://www.chemistwarehouse.com.au/buy/68420/Dermaveen-Extra-Gentle-Soap-Free-Wash-250ml"," Dermaveen Extra Gentle Soap Free Wash 250ml")</f>
        <v xml:space="preserve"> Dermaveen Extra Gentle Soap Free Wash 250ml</v>
      </c>
      <c r="C4968" t="s">
        <v>45</v>
      </c>
      <c r="D4968" t="s">
        <v>312</v>
      </c>
    </row>
    <row r="4969" spans="1:4" x14ac:dyDescent="0.25">
      <c r="B4969" t="str">
        <f>HYPERLINK("https://www.chemistwarehouse.com.au/buy/65042/DermaVeen-Everyday-Soap-Free-Wash-1-Litre"," DermaVeen Everyday Soap Free Wash 1 Litre")</f>
        <v xml:space="preserve"> DermaVeen Everyday Soap Free Wash 1 Litre</v>
      </c>
      <c r="C4969" t="s">
        <v>61</v>
      </c>
      <c r="D4969" t="s">
        <v>169</v>
      </c>
    </row>
    <row r="4970" spans="1:4" x14ac:dyDescent="0.25">
      <c r="A4970" t="s">
        <v>1315</v>
      </c>
    </row>
    <row r="4971" spans="1:4" x14ac:dyDescent="0.25">
      <c r="B4971" t="str">
        <f>HYPERLINK("https://www.chemistwarehouse.com.au/buy/75821/DermaVeen-Daily-Nourish-Intense-Moisturising-Facial-Serum-30ml"," DermaVeen Daily Nourish Intense Moisturising Facial Serum 30ml")</f>
        <v xml:space="preserve"> DermaVeen Daily Nourish Intense Moisturising Facial Serum 30ml</v>
      </c>
      <c r="C4971" t="s">
        <v>237</v>
      </c>
      <c r="D4971" t="s">
        <v>169</v>
      </c>
    </row>
    <row r="4972" spans="1:4" x14ac:dyDescent="0.25">
      <c r="B4972" t="str">
        <f>HYPERLINK("https://www.chemistwarehouse.com.au/buy/78374/DermaVeen-Revive-amp-Protect-Body-Moisturiser-SPF50-200g"," DermaVeen Revive &amp; Protect Body Moisturiser SPF50+ 200g")</f>
        <v xml:space="preserve"> DermaVeen Revive &amp; Protect Body Moisturiser SPF50+ 200g</v>
      </c>
      <c r="C4972" t="s">
        <v>61</v>
      </c>
      <c r="D4972" t="s">
        <v>115</v>
      </c>
    </row>
    <row r="4973" spans="1:4" x14ac:dyDescent="0.25">
      <c r="B4973" t="str">
        <f>HYPERLINK("https://www.chemistwarehouse.com.au/buy/71672/DermaVeen-Daily-Nourish-Rich-Facial-Moisturiser-75ml"," DermaVeen Daily Nourish Rich Facial Moisturiser 75ml")</f>
        <v xml:space="preserve"> DermaVeen Daily Nourish Rich Facial Moisturiser 75ml</v>
      </c>
      <c r="C4973" t="s">
        <v>45</v>
      </c>
      <c r="D4973" t="s">
        <v>162</v>
      </c>
    </row>
    <row r="4974" spans="1:4" x14ac:dyDescent="0.25">
      <c r="B4974" t="str">
        <f>HYPERLINK("https://www.chemistwarehouse.com.au/buy/71669/DermaVeen-Daily-Nourish-Facial-Exfoliator-150ml"," DermaVeen Daily Nourish Facial Exfoliator 150ml")</f>
        <v xml:space="preserve"> DermaVeen Daily Nourish Facial Exfoliator 150ml</v>
      </c>
      <c r="C4974" t="s">
        <v>32</v>
      </c>
      <c r="D4974" t="s">
        <v>104</v>
      </c>
    </row>
    <row r="4975" spans="1:4" x14ac:dyDescent="0.25">
      <c r="B4975" t="str">
        <f>HYPERLINK("https://www.chemistwarehouse.com.au/buy/71670/DermaVeen-Daily-Nourish-Facial-Foaming-Cleanser-150ml"," DermaVeen Daily Nourish Facial Foaming Cleanser 150ml")</f>
        <v xml:space="preserve"> DermaVeen Daily Nourish Facial Foaming Cleanser 150ml</v>
      </c>
      <c r="C4975" t="s">
        <v>32</v>
      </c>
      <c r="D4975" t="s">
        <v>104</v>
      </c>
    </row>
    <row r="4976" spans="1:4" x14ac:dyDescent="0.25">
      <c r="B4976" t="str">
        <f>HYPERLINK("https://www.chemistwarehouse.com.au/buy/71671/DermaVeen-Daily-Nourish-Lightly-Tinted-Facial-Moisturiser-SPF15-75ml"," DermaVeen Daily Nourish Lightly Tinted Facial Moisturiser SPF15 75ml")</f>
        <v xml:space="preserve"> DermaVeen Daily Nourish Lightly Tinted Facial Moisturiser SPF15 75ml</v>
      </c>
      <c r="C4976" t="s">
        <v>45</v>
      </c>
      <c r="D4976" t="s">
        <v>162</v>
      </c>
    </row>
    <row r="4977" spans="1:4" x14ac:dyDescent="0.25">
      <c r="A4977" t="s">
        <v>1316</v>
      </c>
    </row>
    <row r="4978" spans="1:4" x14ac:dyDescent="0.25">
      <c r="B4978" t="str">
        <f>HYPERLINK("https://www.chemistwarehouse.com.au/buy/57168/DermaVeen-Eczema-Cream-100ml"," DermaVeen Eczema Cream 100ml")</f>
        <v xml:space="preserve"> DermaVeen Eczema Cream 100ml</v>
      </c>
      <c r="C4978" t="s">
        <v>240</v>
      </c>
      <c r="D4978" t="s">
        <v>561</v>
      </c>
    </row>
    <row r="4979" spans="1:4" x14ac:dyDescent="0.25">
      <c r="B4979" t="str">
        <f>HYPERLINK("https://www.chemistwarehouse.com.au/buy/57235/DermaVeen-Eczema-Lotion-250mL"," DermaVeen Eczema Lotion 250mL")</f>
        <v xml:space="preserve"> DermaVeen Eczema Lotion 250mL</v>
      </c>
      <c r="C4979" t="s">
        <v>212</v>
      </c>
      <c r="D4979" t="s">
        <v>318</v>
      </c>
    </row>
    <row r="4980" spans="1:4" x14ac:dyDescent="0.25">
      <c r="A4980" t="s">
        <v>1317</v>
      </c>
    </row>
    <row r="4981" spans="1:4" x14ac:dyDescent="0.25">
      <c r="B4981" t="str">
        <f>HYPERLINK("https://www.chemistwarehouse.com.au/buy/73717/Ego-QV-Cream-500g-Pump"," Ego QV Cream 500g Pump")</f>
        <v xml:space="preserve"> Ego QV Cream 500g Pump</v>
      </c>
      <c r="C4981" t="s">
        <v>187</v>
      </c>
      <c r="D4981" t="s">
        <v>575</v>
      </c>
    </row>
    <row r="4982" spans="1:4" x14ac:dyDescent="0.25">
      <c r="B4982" t="str">
        <f>HYPERLINK("https://www.chemistwarehouse.com.au/buy/71499/Ego-QV-Cream-1kg"," Ego QV Cream 1kg")</f>
        <v xml:space="preserve"> Ego QV Cream 1kg</v>
      </c>
      <c r="C4982" t="s">
        <v>297</v>
      </c>
      <c r="D4982" t="s">
        <v>274</v>
      </c>
    </row>
    <row r="4983" spans="1:4" x14ac:dyDescent="0.25">
      <c r="B4983" t="str">
        <f>HYPERLINK("https://www.chemistwarehouse.com.au/buy/64065/Ego-QV-Gentle-Wash-1-25-Kg"," Ego QV Gentle Wash 1.25 Kg")</f>
        <v xml:space="preserve"> Ego QV Gentle Wash 1.25 Kg</v>
      </c>
      <c r="C4983" t="s">
        <v>61</v>
      </c>
      <c r="D4983" t="s">
        <v>312</v>
      </c>
    </row>
    <row r="4984" spans="1:4" x14ac:dyDescent="0.25">
      <c r="B4984" t="str">
        <f>HYPERLINK("https://www.chemistwarehouse.com.au/buy/66971/Ego-QV-Intensive-Moisturising-Cleanser-1kg"," Ego QV Intensive Moisturising Cleanser 1kg")</f>
        <v xml:space="preserve"> Ego QV Intensive Moisturising Cleanser 1kg</v>
      </c>
      <c r="C4984" t="s">
        <v>10</v>
      </c>
      <c r="D4984" t="s">
        <v>160</v>
      </c>
    </row>
    <row r="4985" spans="1:4" x14ac:dyDescent="0.25">
      <c r="B4985" t="str">
        <f>HYPERLINK("https://www.chemistwarehouse.com.au/buy/70290/Ego-QV-Wash-1-25-Litre"," Ego QV Wash 1.25 Litre")</f>
        <v xml:space="preserve"> Ego QV Wash 1.25 Litre</v>
      </c>
      <c r="C4985" t="s">
        <v>61</v>
      </c>
      <c r="D4985" t="s">
        <v>312</v>
      </c>
    </row>
    <row r="4986" spans="1:4" x14ac:dyDescent="0.25">
      <c r="B4986" t="str">
        <f>HYPERLINK("https://www.chemistwarehouse.com.au/buy/4029/Ego-QV-Wash-500ml-Pump"," Ego QV Wash 500ml Pump")</f>
        <v xml:space="preserve"> Ego QV Wash 500ml Pump</v>
      </c>
      <c r="C4986" t="s">
        <v>187</v>
      </c>
      <c r="D4986" t="s">
        <v>1318</v>
      </c>
    </row>
    <row r="4987" spans="1:4" x14ac:dyDescent="0.25">
      <c r="B4987" t="str">
        <f>HYPERLINK("https://www.chemistwarehouse.com.au/buy/79792/Ego-QV-Cream-500g-Tub"," Ego QV Cream 500g Tub")</f>
        <v xml:space="preserve"> Ego QV Cream 500g Tub</v>
      </c>
      <c r="C4987" t="s">
        <v>58</v>
      </c>
      <c r="D4987" t="s">
        <v>1319</v>
      </c>
    </row>
    <row r="4988" spans="1:4" x14ac:dyDescent="0.25">
      <c r="B4988" t="str">
        <f>HYPERLINK("https://www.chemistwarehouse.com.au/buy/74926/Ego-QV-Face-Gentle-Foaming-Cleanser-150ml"," Ego QV Face Gentle Foaming Cleanser 150ml")</f>
        <v xml:space="preserve"> Ego QV Face Gentle Foaming Cleanser 150ml</v>
      </c>
      <c r="C4988" t="s">
        <v>324</v>
      </c>
      <c r="D4988" t="s">
        <v>1029</v>
      </c>
    </row>
    <row r="4989" spans="1:4" x14ac:dyDescent="0.25">
      <c r="B4989" t="str">
        <f>HYPERLINK("https://www.chemistwarehouse.com.au/buy/4023/Ego-QV-Cream-250g-Jar"," Ego QV Cream 250g Jar")</f>
        <v xml:space="preserve"> Ego QV Cream 250g Jar</v>
      </c>
      <c r="C4989" t="s">
        <v>98</v>
      </c>
      <c r="D4989" t="s">
        <v>815</v>
      </c>
    </row>
    <row r="4990" spans="1:4" x14ac:dyDescent="0.25">
      <c r="B4990" t="str">
        <f>HYPERLINK("https://www.chemistwarehouse.com.au/buy/56226/Ego-QV-Face-Gentle-Cleanser-250ml"," Ego QV Face Gentle Cleanser 250ml")</f>
        <v xml:space="preserve"> Ego QV Face Gentle Cleanser 250ml</v>
      </c>
      <c r="C4990" t="s">
        <v>45</v>
      </c>
      <c r="D4990" t="s">
        <v>397</v>
      </c>
    </row>
    <row r="4991" spans="1:4" x14ac:dyDescent="0.25">
      <c r="B4991" t="str">
        <f>HYPERLINK("https://www.chemistwarehouse.com.au/buy/70289/Ego-QV-Bath-Oil-1-25-Litre"," Ego QV Bath Oil 1.25 Litre")</f>
        <v xml:space="preserve"> Ego QV Bath Oil 1.25 Litre</v>
      </c>
      <c r="C4991" t="s">
        <v>61</v>
      </c>
      <c r="D4991" t="s">
        <v>312</v>
      </c>
    </row>
    <row r="4992" spans="1:4" x14ac:dyDescent="0.25">
      <c r="B4992" t="str">
        <f>HYPERLINK("https://www.chemistwarehouse.com.au/buy/63104/Ego-QV-Flare-Up-Cream-100g"," Ego QV Flare Up Cream 100g")</f>
        <v xml:space="preserve"> Ego QV Flare Up Cream 100g</v>
      </c>
      <c r="C4992" t="s">
        <v>98</v>
      </c>
      <c r="D4992" t="s">
        <v>397</v>
      </c>
    </row>
    <row r="4993" spans="1:4" x14ac:dyDescent="0.25">
      <c r="B4993" t="str">
        <f>HYPERLINK("https://www.chemistwarehouse.com.au/buy/4022/Ego-QV-Cream-100g-Tube"," Ego QV Cream 100g Tube")</f>
        <v xml:space="preserve"> Ego QV Cream 100g Tube</v>
      </c>
      <c r="C4993" t="s">
        <v>92</v>
      </c>
      <c r="D4993" t="s">
        <v>1320</v>
      </c>
    </row>
    <row r="4994" spans="1:4" x14ac:dyDescent="0.25">
      <c r="B4994" t="str">
        <f>HYPERLINK("https://www.chemistwarehouse.com.au/buy/57226/Ego-QV-Intensive-Body-Moisturiser-100g"," Ego QV Intensive Body Moisturiser 100g")</f>
        <v xml:space="preserve"> Ego QV Intensive Body Moisturiser 100g</v>
      </c>
      <c r="C4994" t="s">
        <v>92</v>
      </c>
      <c r="D4994" t="s">
        <v>1320</v>
      </c>
    </row>
    <row r="4995" spans="1:4" x14ac:dyDescent="0.25">
      <c r="B4995" t="str">
        <f>HYPERLINK("https://www.chemistwarehouse.com.au/buy/49407/Ego-QV-Face-Revitalising-Eye-Cream-15g"," Ego QV Face Revitalising Eye Cream 15g")</f>
        <v xml:space="preserve"> Ego QV Face Revitalising Eye Cream 15g</v>
      </c>
      <c r="C4995" t="s">
        <v>237</v>
      </c>
      <c r="D4995" t="s">
        <v>1321</v>
      </c>
    </row>
    <row r="4996" spans="1:4" x14ac:dyDescent="0.25">
      <c r="B4996" t="str">
        <f>HYPERLINK("https://www.chemistwarehouse.com.au/buy/49408/Ego-QV-Face-Nuturing-Night-Cream-50g"," Ego QV Face Nuturing Night Cream 50g")</f>
        <v xml:space="preserve"> Ego QV Face Nuturing Night Cream 50g</v>
      </c>
      <c r="C4996" t="s">
        <v>105</v>
      </c>
      <c r="D4996" t="s">
        <v>797</v>
      </c>
    </row>
    <row r="4997" spans="1:4" x14ac:dyDescent="0.25">
      <c r="B4997" t="str">
        <f>HYPERLINK("https://www.chemistwarehouse.com.au/buy/4027/Ego-QV-Skin-Lotion-250mL"," Ego QV Skin Lotion 250mL")</f>
        <v xml:space="preserve"> Ego QV Skin Lotion 250mL</v>
      </c>
      <c r="C4997" t="s">
        <v>103</v>
      </c>
      <c r="D4997" t="s">
        <v>1262</v>
      </c>
    </row>
    <row r="4998" spans="1:4" x14ac:dyDescent="0.25">
      <c r="B4998" t="str">
        <f>HYPERLINK("https://www.chemistwarehouse.com.au/buy/78992/Ego-QV-Face-Day-Cream-SPF-30-150g"," Ego QV Face Day Cream SPF 30 150g")</f>
        <v xml:space="preserve"> Ego QV Face Day Cream SPF 30 150g</v>
      </c>
      <c r="C4998" t="s">
        <v>224</v>
      </c>
      <c r="D4998" t="s">
        <v>332</v>
      </c>
    </row>
    <row r="4999" spans="1:4" x14ac:dyDescent="0.25">
      <c r="B4999" t="str">
        <f>HYPERLINK("https://www.chemistwarehouse.com.au/buy/78993/Ego-QV-Face-Oil-Free-Moisturiser-75g"," Ego QV Face Oil Free Moisturiser 75g")</f>
        <v xml:space="preserve"> Ego QV Face Oil Free Moisturiser 75g</v>
      </c>
      <c r="C4999" t="s">
        <v>237</v>
      </c>
      <c r="D4999" t="s">
        <v>1322</v>
      </c>
    </row>
    <row r="5000" spans="1:4" x14ac:dyDescent="0.25">
      <c r="B5000" t="str">
        <f>HYPERLINK("https://www.chemistwarehouse.com.au/buy/64918/Ego-QV-Face-Rescue-Gel-25ml"," Ego QV Face Rescue Gel 25ml")</f>
        <v xml:space="preserve"> Ego QV Face Rescue Gel 25ml</v>
      </c>
      <c r="C5000" t="s">
        <v>151</v>
      </c>
      <c r="D5000" t="s">
        <v>575</v>
      </c>
    </row>
    <row r="5001" spans="1:4" x14ac:dyDescent="0.25">
      <c r="B5001" t="str">
        <f>HYPERLINK("https://www.chemistwarehouse.com.au/buy/64066/Ego-QV-Skin-Lotion-1-25L"," Ego QV Skin Lotion 1.25L")</f>
        <v xml:space="preserve"> Ego QV Skin Lotion 1.25L</v>
      </c>
      <c r="C5001" t="s">
        <v>61</v>
      </c>
      <c r="D5001" t="s">
        <v>312</v>
      </c>
    </row>
    <row r="5002" spans="1:4" x14ac:dyDescent="0.25">
      <c r="B5002" t="str">
        <f>HYPERLINK("https://www.chemistwarehouse.com.au/buy/60616/Ego-QV-Face-Purifying-Mask-75g"," Ego QV Face Purifying Mask 75g")</f>
        <v xml:space="preserve"> Ego QV Face Purifying Mask 75g</v>
      </c>
      <c r="C5002" t="s">
        <v>98</v>
      </c>
      <c r="D5002" t="s">
        <v>397</v>
      </c>
    </row>
    <row r="5003" spans="1:4" x14ac:dyDescent="0.25">
      <c r="B5003" t="str">
        <f>HYPERLINK("https://www.chemistwarehouse.com.au/buy/41586/Ego-QV-Intensive-Body-Moisturiser-450g"," Ego QV Intensive Body Moisturiser 450g")</f>
        <v xml:space="preserve"> Ego QV Intensive Body Moisturiser 450g</v>
      </c>
      <c r="C5003" t="s">
        <v>63</v>
      </c>
      <c r="D5003" t="s">
        <v>350</v>
      </c>
    </row>
    <row r="5004" spans="1:4" x14ac:dyDescent="0.25">
      <c r="B5004" t="str">
        <f>HYPERLINK("https://www.chemistwarehouse.com.au/buy/43216/Ego-QV-Face-Gentle-Cleanser-500mL"," Ego QV Face Gentle Cleanser 500mL")</f>
        <v xml:space="preserve"> Ego QV Face Gentle Cleanser 500mL</v>
      </c>
      <c r="C5004" t="s">
        <v>224</v>
      </c>
      <c r="D5004" t="s">
        <v>332</v>
      </c>
    </row>
    <row r="5005" spans="1:4" x14ac:dyDescent="0.25">
      <c r="A5005" t="s">
        <v>1323</v>
      </c>
    </row>
    <row r="5006" spans="1:4" x14ac:dyDescent="0.25">
      <c r="B5006" t="str">
        <f>HYPERLINK("https://www.chemistwarehouse.com.au/buy/69095/Swisse-Argan-Anti-Ageing-Eye-Cream-15ml"," Swisse Argan Anti Ageing Eye Cream 15ml")</f>
        <v xml:space="preserve"> Swisse Argan Anti Ageing Eye Cream 15ml</v>
      </c>
      <c r="C5006" t="s">
        <v>430</v>
      </c>
      <c r="D5006" t="s">
        <v>821</v>
      </c>
    </row>
    <row r="5007" spans="1:4" x14ac:dyDescent="0.25">
      <c r="B5007" t="str">
        <f>HYPERLINK("https://www.chemistwarehouse.com.au/buy/72948/Swisse-Face-Micellar-Makeup-Remover-300ml"," Swisse Face Micellar Makeup Remover 300ml")</f>
        <v xml:space="preserve"> Swisse Face Micellar Makeup Remover 300ml</v>
      </c>
      <c r="C5007" t="s">
        <v>326</v>
      </c>
      <c r="D5007" t="s">
        <v>867</v>
      </c>
    </row>
    <row r="5008" spans="1:4" x14ac:dyDescent="0.25">
      <c r="B5008" t="str">
        <f>HYPERLINK("https://www.chemistwarehouse.com.au/buy/69097/Swisse-CoQ10-Anti-Ageing-Face-Moisturiser-50ml"," Swisse CoQ10 Anti-Ageing Face Moisturiser 50ml")</f>
        <v xml:space="preserve"> Swisse CoQ10 Anti-Ageing Face Moisturiser 50ml</v>
      </c>
      <c r="C5008" t="s">
        <v>233</v>
      </c>
      <c r="D5008" t="s">
        <v>425</v>
      </c>
    </row>
    <row r="5009" spans="2:4" x14ac:dyDescent="0.25">
      <c r="B5009" t="str">
        <f>HYPERLINK("https://www.chemistwarehouse.com.au/buy/66158/Swisse-Argan-Oil-Body-Cream-500ml"," Swisse Argan Oil Body Cream 500ml ")</f>
        <v xml:space="preserve"> Swisse Argan Oil Body Cream 500ml </v>
      </c>
      <c r="C5009" t="s">
        <v>45</v>
      </c>
      <c r="D5009" t="s">
        <v>155</v>
      </c>
    </row>
    <row r="5010" spans="2:4" x14ac:dyDescent="0.25">
      <c r="B5010" t="str">
        <f>HYPERLINK("https://www.chemistwarehouse.com.au/buy/76967/Swisse-Deep-Sea-Hydrating-Mist-Toner-125mL"," Swisse Deep Sea Hydrating Mist Toner 125mL")</f>
        <v xml:space="preserve"> Swisse Deep Sea Hydrating Mist Toner 125mL</v>
      </c>
      <c r="C5010" t="s">
        <v>116</v>
      </c>
      <c r="D5010" t="s">
        <v>104</v>
      </c>
    </row>
    <row r="5011" spans="2:4" x14ac:dyDescent="0.25">
      <c r="B5011" t="str">
        <f>HYPERLINK("https://www.chemistwarehouse.com.au/buy/76969/Swisse-Manuka-Honey-Detoxifying-Facial-Mask-70g"," Swisse Manuka Honey Detoxifying Facial Mask 70g")</f>
        <v xml:space="preserve"> Swisse Manuka Honey Detoxifying Facial Mask 70g</v>
      </c>
      <c r="C5011" t="s">
        <v>324</v>
      </c>
      <c r="D5011" t="s">
        <v>225</v>
      </c>
    </row>
    <row r="5012" spans="2:4" x14ac:dyDescent="0.25">
      <c r="B5012" t="str">
        <f>HYPERLINK("https://www.chemistwarehouse.com.au/buy/69100/Swisse-Face-Recovery-Anti-Ageing-Night-Cream-50ml"," Swisse Face Recovery Anti Ageing Night Cream 50ml")</f>
        <v xml:space="preserve"> Swisse Face Recovery Anti Ageing Night Cream 50ml</v>
      </c>
      <c r="C5012" t="s">
        <v>233</v>
      </c>
      <c r="D5012" t="s">
        <v>425</v>
      </c>
    </row>
    <row r="5013" spans="2:4" x14ac:dyDescent="0.25">
      <c r="B5013" t="str">
        <f>HYPERLINK("https://www.chemistwarehouse.com.au/buy/79171/Swisse-Natural-Defence-BB-Cream-SPF-30-Light-Beige-60ml"," Swisse Natural Defence BB Cream SPF 30 Light Beige 60ml")</f>
        <v xml:space="preserve"> Swisse Natural Defence BB Cream SPF 30 Light Beige 60ml</v>
      </c>
      <c r="C5013" t="s">
        <v>187</v>
      </c>
      <c r="D5013" t="s">
        <v>46</v>
      </c>
    </row>
    <row r="5014" spans="2:4" x14ac:dyDescent="0.25">
      <c r="B5014" t="str">
        <f>HYPERLINK("https://www.chemistwarehouse.com.au/buy/79173/Swisse-Natural-Defence-Moisturiser-SPF-15-60ml"," Swisse Natural Defence Moisturiser SPF 15 60ml")</f>
        <v xml:space="preserve"> Swisse Natural Defence Moisturiser SPF 15 60ml</v>
      </c>
      <c r="C5014" t="s">
        <v>187</v>
      </c>
      <c r="D5014" t="s">
        <v>46</v>
      </c>
    </row>
    <row r="5015" spans="2:4" x14ac:dyDescent="0.25">
      <c r="B5015" t="str">
        <f>HYPERLINK("https://www.chemistwarehouse.com.au/buy/79174/Swisse-Vitamin-E-Facial-Moisturiser-125ml"," Swisse Vitamin E Facial Moisturiser 125ml")</f>
        <v xml:space="preserve"> Swisse Vitamin E Facial Moisturiser 125ml</v>
      </c>
      <c r="C5015" t="s">
        <v>32</v>
      </c>
      <c r="D5015" t="s">
        <v>64</v>
      </c>
    </row>
    <row r="5016" spans="2:4" x14ac:dyDescent="0.25">
      <c r="B5016" t="str">
        <f>HYPERLINK("https://www.chemistwarehouse.com.au/buy/79175/Swisse-Argan-Oil-Enriching-Facial-Moisturiser-125ml"," Swisse Argan Oil Enriching Facial Moisturiser 125ml")</f>
        <v xml:space="preserve"> Swisse Argan Oil Enriching Facial Moisturiser 125ml</v>
      </c>
      <c r="C5016" t="s">
        <v>375</v>
      </c>
      <c r="D5016" t="s">
        <v>406</v>
      </c>
    </row>
    <row r="5017" spans="2:4" x14ac:dyDescent="0.25">
      <c r="B5017" t="str">
        <f>HYPERLINK("https://www.chemistwarehouse.com.au/buy/69099/Swisse-Bamboo-Facial-Exfoliant-125ml"," Swisse Bamboo Facial Exfoliant 125ml")</f>
        <v xml:space="preserve"> Swisse Bamboo Facial Exfoliant 125ml</v>
      </c>
      <c r="C5017" t="s">
        <v>375</v>
      </c>
      <c r="D5017" t="s">
        <v>406</v>
      </c>
    </row>
    <row r="5018" spans="2:4" x14ac:dyDescent="0.25">
      <c r="B5018" t="str">
        <f>HYPERLINK("https://www.chemistwarehouse.com.au/buy/67944/Swisse-Argan-Skin-Oil-20ml"," Swisse Argan Skin Oil 20ml")</f>
        <v xml:space="preserve"> Swisse Argan Skin Oil 20ml</v>
      </c>
      <c r="C5018" t="s">
        <v>290</v>
      </c>
      <c r="D5018" t="s">
        <v>408</v>
      </c>
    </row>
    <row r="5019" spans="2:4" x14ac:dyDescent="0.25">
      <c r="B5019" t="str">
        <f>HYPERLINK("https://www.chemistwarehouse.com.au/buy/67946/Swisse-Skincare-Rose-Hip-Oil-20ml"," Swisse Skincare Rose Hip Oil 20ml")</f>
        <v xml:space="preserve"> Swisse Skincare Rose Hip Oil 20ml</v>
      </c>
      <c r="C5019" t="s">
        <v>290</v>
      </c>
      <c r="D5019" t="s">
        <v>408</v>
      </c>
    </row>
    <row r="5020" spans="2:4" x14ac:dyDescent="0.25">
      <c r="B5020" t="str">
        <f>HYPERLINK("https://www.chemistwarehouse.com.au/buy/69094/Swisse-Sweet-Almond-Cream-Cleanser-125ml"," Swisse Sweet Almond Cream Cleanser 125ml")</f>
        <v xml:space="preserve"> Swisse Sweet Almond Cream Cleanser 125ml</v>
      </c>
      <c r="C5020" t="s">
        <v>375</v>
      </c>
      <c r="D5020" t="s">
        <v>406</v>
      </c>
    </row>
    <row r="5021" spans="2:4" x14ac:dyDescent="0.25">
      <c r="B5021" t="str">
        <f>HYPERLINK("https://www.chemistwarehouse.com.au/buy/66163/Swisse-Rose-Hip-Hand-Cream-500ml"," Swisse Rose Hip Hand Cream 500ml")</f>
        <v xml:space="preserve"> Swisse Rose Hip Hand Cream 500ml</v>
      </c>
      <c r="C5021" t="s">
        <v>45</v>
      </c>
      <c r="D5021" t="s">
        <v>155</v>
      </c>
    </row>
    <row r="5022" spans="2:4" x14ac:dyDescent="0.25">
      <c r="B5022" t="str">
        <f>HYPERLINK("https://www.chemistwarehouse.com.au/buy/65870/Swisse-Rose-Hip-Hand-Cream-100ml"," Swisse Rose Hip Hand Cream 100ml")</f>
        <v xml:space="preserve"> Swisse Rose Hip Hand Cream 100ml</v>
      </c>
      <c r="C5022" t="s">
        <v>375</v>
      </c>
      <c r="D5022" t="s">
        <v>406</v>
      </c>
    </row>
    <row r="5023" spans="2:4" x14ac:dyDescent="0.25">
      <c r="B5023" t="str">
        <f>HYPERLINK("https://www.chemistwarehouse.com.au/buy/66154/Swisse-Lemongrass-Body-Wash-500ml"," Swisse Lemongrass Body Wash 500ml")</f>
        <v xml:space="preserve"> Swisse Lemongrass Body Wash 500ml</v>
      </c>
      <c r="C5023" t="s">
        <v>782</v>
      </c>
      <c r="D5023" t="s">
        <v>332</v>
      </c>
    </row>
    <row r="5024" spans="2:4" x14ac:dyDescent="0.25">
      <c r="B5024" t="str">
        <f>HYPERLINK("https://www.chemistwarehouse.com.au/buy/70136/Swisse-Skincare-Rose-Hip-Oil-50ml"," Swisse Skincare Rose Hip Oil 50ml")</f>
        <v xml:space="preserve"> Swisse Skincare Rose Hip Oil 50ml</v>
      </c>
      <c r="C5024" t="s">
        <v>407</v>
      </c>
      <c r="D5024" t="s">
        <v>1301</v>
      </c>
    </row>
    <row r="5025" spans="1:4" x14ac:dyDescent="0.25">
      <c r="B5025" t="str">
        <f>HYPERLINK("https://www.chemistwarehouse.com.au/buy/70138/Swisse-Skincare-Argan-Face-Oil-50ml"," Swisse Skincare Argan Face Oil 50ml")</f>
        <v xml:space="preserve"> Swisse Skincare Argan Face Oil 50ml</v>
      </c>
      <c r="C5025" t="s">
        <v>407</v>
      </c>
      <c r="D5025" t="s">
        <v>1301</v>
      </c>
    </row>
    <row r="5026" spans="1:4" x14ac:dyDescent="0.25">
      <c r="B5026" t="str">
        <f>HYPERLINK("https://www.chemistwarehouse.com.au/buy/72949/Swisse-Face-Olive-Leaf-Gel-Cleanser-125ml"," Swisse Face Olive Leaf Gel Cleanser 125ml")</f>
        <v xml:space="preserve"> Swisse Face Olive Leaf Gel Cleanser 125ml</v>
      </c>
      <c r="C5026" t="s">
        <v>375</v>
      </c>
      <c r="D5026" t="s">
        <v>406</v>
      </c>
    </row>
    <row r="5027" spans="1:4" x14ac:dyDescent="0.25">
      <c r="B5027" t="str">
        <f>HYPERLINK("https://www.chemistwarehouse.com.au/buy/72950/Swisse-Face-Rose-Hip-Conditioning-Moisturiser-125ml"," Swisse Face Rose Hip Conditioning Moisturiser 125ml")</f>
        <v xml:space="preserve"> Swisse Face Rose Hip Conditioning Moisturiser 125ml</v>
      </c>
      <c r="C5027" t="s">
        <v>375</v>
      </c>
      <c r="D5027" t="s">
        <v>406</v>
      </c>
    </row>
    <row r="5028" spans="1:4" x14ac:dyDescent="0.25">
      <c r="B5028" t="str">
        <f>HYPERLINK("https://www.chemistwarehouse.com.au/buy/76971/Swisse-Cranberry-Antioxidant-Facial-Oil-30ml"," Swisse Cranberry Antioxidant Facial Oil 30ml")</f>
        <v xml:space="preserve"> Swisse Cranberry Antioxidant Facial Oil 30ml</v>
      </c>
      <c r="C5028" t="s">
        <v>8</v>
      </c>
      <c r="D5028" t="s">
        <v>280</v>
      </c>
    </row>
    <row r="5029" spans="1:4" x14ac:dyDescent="0.25">
      <c r="B5029" t="str">
        <f>HYPERLINK("https://www.chemistwarehouse.com.au/buy/76968/Swisse-Moringa-Cleansing-Oil-125ml"," Swisse Moringa Cleansing Oil 125ml")</f>
        <v xml:space="preserve"> Swisse Moringa Cleansing Oil 125ml</v>
      </c>
      <c r="C5029" t="s">
        <v>32</v>
      </c>
      <c r="D5029" t="s">
        <v>64</v>
      </c>
    </row>
    <row r="5030" spans="1:4" x14ac:dyDescent="0.25">
      <c r="A5030" t="s">
        <v>1324</v>
      </c>
    </row>
    <row r="5031" spans="1:4" x14ac:dyDescent="0.25">
      <c r="B5031" t="str">
        <f>HYPERLINK("https://www.chemistwarehouse.com.au/buy/68185/Montagne-Jeunesse-Cucumber-Peel-Off-Masque-10ml"," Montagne Jeunesse Cucumber Peel Off Masque 10ml")</f>
        <v xml:space="preserve"> Montagne Jeunesse Cucumber Peel Off Masque 10ml</v>
      </c>
      <c r="C5031" t="s">
        <v>483</v>
      </c>
      <c r="D5031" t="s">
        <v>371</v>
      </c>
    </row>
    <row r="5032" spans="1:4" x14ac:dyDescent="0.25">
      <c r="B5032" t="str">
        <f>HYPERLINK("https://www.chemistwarehouse.com.au/buy/68186/Montagne-Jeunesse-Dead-Sea-Mud-Masque-20g"," Montagne Jeunesse Dead Sea Mud Masque 20g")</f>
        <v xml:space="preserve"> Montagne Jeunesse Dead Sea Mud Masque 20g</v>
      </c>
      <c r="C5032" t="s">
        <v>483</v>
      </c>
      <c r="D5032" t="s">
        <v>371</v>
      </c>
    </row>
    <row r="5033" spans="1:4" x14ac:dyDescent="0.25">
      <c r="B5033" t="str">
        <f>HYPERLINK("https://www.chemistwarehouse.com.au/buy/68189/Montagne-Jeunesse-Passion-Peel-Off-Masque-10ml"," Montagne Jeunesse Passion Peel Off Masque 10ml")</f>
        <v xml:space="preserve"> Montagne Jeunesse Passion Peel Off Masque 10ml</v>
      </c>
      <c r="C5033" t="s">
        <v>483</v>
      </c>
      <c r="D5033" t="s">
        <v>371</v>
      </c>
    </row>
    <row r="5034" spans="1:4" x14ac:dyDescent="0.25">
      <c r="B5034" t="str">
        <f>HYPERLINK("https://www.chemistwarehouse.com.au/buy/68190/Montagne-Jeunesse-Blemish-Aloe-Vera-Mud-Masque-20g"," Montagne Jeunesse Blemish Aloe Vera Mud Masque 20g")</f>
        <v xml:space="preserve"> Montagne Jeunesse Blemish Aloe Vera Mud Masque 20g</v>
      </c>
      <c r="C5034" t="s">
        <v>483</v>
      </c>
      <c r="D5034" t="s">
        <v>371</v>
      </c>
    </row>
    <row r="5035" spans="1:4" x14ac:dyDescent="0.25">
      <c r="B5035" t="str">
        <f>HYPERLINK("https://www.chemistwarehouse.com.au/buy/72912/Montagne-Jeunesse-Break-Out-Masque-15g"," Montagne Jeunesse Break Out Masque 15g")</f>
        <v xml:space="preserve"> Montagne Jeunesse Break Out Masque 15g</v>
      </c>
      <c r="C5035" t="s">
        <v>483</v>
      </c>
      <c r="D5035" t="s">
        <v>371</v>
      </c>
    </row>
    <row r="5036" spans="1:4" x14ac:dyDescent="0.25">
      <c r="A5036" t="s">
        <v>1325</v>
      </c>
    </row>
    <row r="5037" spans="1:4" x14ac:dyDescent="0.25">
      <c r="B5037" t="str">
        <f>HYPERLINK("https://www.chemistwarehouse.com.au/buy/68954/Elucent-Anti-Ageing-Eye-Cream-15g"," Elucent Anti Ageing Eye Cream 15g")</f>
        <v xml:space="preserve"> Elucent Anti Ageing Eye Cream 15g</v>
      </c>
      <c r="C5037" t="s">
        <v>166</v>
      </c>
      <c r="D5037">
        <v>0</v>
      </c>
    </row>
    <row r="5038" spans="1:4" x14ac:dyDescent="0.25">
      <c r="B5038" t="str">
        <f>HYPERLINK("https://www.chemistwarehouse.com.au/buy/78954/Elucent-Anti-Ageing-Day-Moisturiser-SPF50-95ml"," Elucent Anti Ageing Day Moisturiser SPF50 + 95ml")</f>
        <v xml:space="preserve"> Elucent Anti Ageing Day Moisturiser SPF50 + 95ml</v>
      </c>
      <c r="C5038" t="s">
        <v>166</v>
      </c>
      <c r="D5038" t="s">
        <v>167</v>
      </c>
    </row>
    <row r="5039" spans="1:4" x14ac:dyDescent="0.25">
      <c r="B5039" t="str">
        <f>HYPERLINK("https://www.chemistwarehouse.com.au/buy/68946/Elucent-Anti-Ageing-Body-Moisturiser-200ml"," Elucent Anti Ageing Body Moisturiser 200ml")</f>
        <v xml:space="preserve"> Elucent Anti Ageing Body Moisturiser 200ml</v>
      </c>
      <c r="C5039" t="s">
        <v>10</v>
      </c>
      <c r="D5039">
        <v>0</v>
      </c>
    </row>
    <row r="5040" spans="1:4" x14ac:dyDescent="0.25">
      <c r="B5040" t="str">
        <f>HYPERLINK("https://www.chemistwarehouse.com.au/buy/68955/Elucent-Anti-Ageing-Gentle-Cleanser-145ml"," Elucent Anti Ageing Gentle Cleanser 145ml")</f>
        <v xml:space="preserve"> Elucent Anti Ageing Gentle Cleanser 145ml</v>
      </c>
      <c r="C5040" t="s">
        <v>173</v>
      </c>
      <c r="D5040">
        <v>0</v>
      </c>
    </row>
    <row r="5041" spans="1:4" x14ac:dyDescent="0.25">
      <c r="B5041" t="str">
        <f>HYPERLINK("https://www.chemistwarehouse.com.au/buy/68956/Elucent-Anti-Ageing-Night-Moisturiser-50g"," Elucent Anti Ageing Night Moisturiser 50g")</f>
        <v xml:space="preserve"> Elucent Anti Ageing Night Moisturiser 50g</v>
      </c>
      <c r="C5041" t="s">
        <v>166</v>
      </c>
      <c r="D5041">
        <v>0</v>
      </c>
    </row>
    <row r="5042" spans="1:4" x14ac:dyDescent="0.25">
      <c r="B5042" t="str">
        <f>HYPERLINK("https://www.chemistwarehouse.com.au/buy/68957/Elucent-Anti-Ageing-Serum-30ml"," Elucent Anti Ageing Serum 30ml")</f>
        <v xml:space="preserve"> Elucent Anti Ageing Serum 30ml</v>
      </c>
      <c r="C5042" t="s">
        <v>166</v>
      </c>
      <c r="D5042">
        <v>0</v>
      </c>
    </row>
    <row r="5043" spans="1:4" x14ac:dyDescent="0.25">
      <c r="A5043" t="s">
        <v>1326</v>
      </c>
    </row>
    <row r="5044" spans="1:4" x14ac:dyDescent="0.25">
      <c r="B5044" t="str">
        <f>HYPERLINK("https://www.chemistwarehouse.com.au/buy/68958/Elucent-Whitening-Day-Moisturiser-SPF-30-95ml"," Elucent Whitening Day Moisturiser SPF 30+ 95ml")</f>
        <v xml:space="preserve"> Elucent Whitening Day Moisturiser SPF 30+ 95ml</v>
      </c>
      <c r="C5044" t="s">
        <v>166</v>
      </c>
      <c r="D5044">
        <v>0</v>
      </c>
    </row>
    <row r="5045" spans="1:4" x14ac:dyDescent="0.25">
      <c r="B5045" t="str">
        <f>HYPERLINK("https://www.chemistwarehouse.com.au/buy/68959/Elucent-Whitening-Exfoliating-Cleanser-150g"," Elucent Whitening Exfoliating Cleanser 150g")</f>
        <v xml:space="preserve"> Elucent Whitening Exfoliating Cleanser 150g</v>
      </c>
      <c r="C5045" t="s">
        <v>161</v>
      </c>
      <c r="D5045">
        <v>0</v>
      </c>
    </row>
    <row r="5046" spans="1:4" x14ac:dyDescent="0.25">
      <c r="B5046" t="str">
        <f>HYPERLINK("https://www.chemistwarehouse.com.au/buy/68960/Elucent-Whitening-Eye-Cream-15g"," Elucent Whitening Eye Cream 15g")</f>
        <v xml:space="preserve"> Elucent Whitening Eye Cream 15g</v>
      </c>
      <c r="C5046" t="s">
        <v>166</v>
      </c>
      <c r="D5046">
        <v>0</v>
      </c>
    </row>
    <row r="5047" spans="1:4" x14ac:dyDescent="0.25">
      <c r="B5047" t="str">
        <f>HYPERLINK("https://www.chemistwarehouse.com.au/buy/68961/Elucent-Whitening-Hand-Cream-50g"," Elucent Whitening Hand Cream 50g")</f>
        <v xml:space="preserve"> Elucent Whitening Hand Cream 50g</v>
      </c>
      <c r="C5047" t="s">
        <v>187</v>
      </c>
      <c r="D5047">
        <v>0</v>
      </c>
    </row>
    <row r="5048" spans="1:4" x14ac:dyDescent="0.25">
      <c r="B5048" t="str">
        <f>HYPERLINK("https://www.chemistwarehouse.com.au/buy/68962/Elucent-Whitening-Night-Moisturiser-50g"," Elucent Whitening Night Moisturiser 50g")</f>
        <v xml:space="preserve"> Elucent Whitening Night Moisturiser 50g</v>
      </c>
      <c r="C5048" t="s">
        <v>166</v>
      </c>
      <c r="D5048">
        <v>0</v>
      </c>
    </row>
    <row r="5049" spans="1:4" x14ac:dyDescent="0.25">
      <c r="B5049" t="str">
        <f>HYPERLINK("https://www.chemistwarehouse.com.au/buy/68963/Elucent-Whitening-Spot-Corrector-30g"," Elucent Whitening Spot Corrector 30g")</f>
        <v xml:space="preserve"> Elucent Whitening Spot Corrector 30g</v>
      </c>
      <c r="C5049" t="s">
        <v>166</v>
      </c>
      <c r="D5049">
        <v>0</v>
      </c>
    </row>
    <row r="5050" spans="1:4" x14ac:dyDescent="0.25">
      <c r="A5050" t="s">
        <v>1327</v>
      </c>
    </row>
    <row r="5051" spans="1:4" x14ac:dyDescent="0.25">
      <c r="B5051" t="str">
        <f>HYPERLINK("https://www.chemistwarehouse.com.au/buy/67764/Beauty-amp-Me-Pomegranate-Face-Scrub-50ml"," Beauty &amp; Me Pomegranate Face Scrub 50ml")</f>
        <v xml:space="preserve"> Beauty &amp; Me Pomegranate Face Scrub 50ml</v>
      </c>
      <c r="C5051" t="s">
        <v>635</v>
      </c>
      <c r="D5051" t="s">
        <v>1328</v>
      </c>
    </row>
    <row r="5052" spans="1:4" x14ac:dyDescent="0.25">
      <c r="B5052" t="str">
        <f>HYPERLINK("https://www.chemistwarehouse.com.au/buy/67766/Beauty-amp-Me-Sea-Clay-Face-Mask-50ml"," Beauty &amp; Me Sea Clay Face Mask 50ml")</f>
        <v xml:space="preserve"> Beauty &amp; Me Sea Clay Face Mask 50ml</v>
      </c>
      <c r="C5052" t="s">
        <v>635</v>
      </c>
      <c r="D5052" t="s">
        <v>1328</v>
      </c>
    </row>
    <row r="5053" spans="1:4" x14ac:dyDescent="0.25">
      <c r="B5053" t="str">
        <f>HYPERLINK("https://www.chemistwarehouse.com.au/buy/67763/Beauty-amp-Me-Cucumber-Lime-Face-Peel-50ml"," Beauty &amp; Me Cucumber Lime Face Peel 50ml")</f>
        <v xml:space="preserve"> Beauty &amp; Me Cucumber Lime Face Peel 50ml</v>
      </c>
      <c r="C5053" t="s">
        <v>635</v>
      </c>
      <c r="D5053" t="s">
        <v>1328</v>
      </c>
    </row>
    <row r="5054" spans="1:4" x14ac:dyDescent="0.25">
      <c r="B5054" t="str">
        <f>HYPERLINK("https://www.chemistwarehouse.com.au/buy/67765/Beauty-amp-Me-Apricot-Face-Scrub-50ml"," Beauty &amp; Me Apricot Face Scrub 50ml")</f>
        <v xml:space="preserve"> Beauty &amp; Me Apricot Face Scrub 50ml</v>
      </c>
      <c r="C5054" t="s">
        <v>635</v>
      </c>
      <c r="D5054" t="s">
        <v>1328</v>
      </c>
    </row>
    <row r="5055" spans="1:4" x14ac:dyDescent="0.25">
      <c r="B5055" t="str">
        <f>HYPERLINK("https://www.chemistwarehouse.com.au/buy/67762/Beauty-amp-Me-Avocado-Oatmeal-Face-Mask-50ml"," Beauty &amp; Me Avocado Oatmeal Face Mask 50ml")</f>
        <v xml:space="preserve"> Beauty &amp; Me Avocado Oatmeal Face Mask 50ml</v>
      </c>
      <c r="C5055" t="s">
        <v>635</v>
      </c>
      <c r="D5055" t="s">
        <v>1328</v>
      </c>
    </row>
    <row r="5056" spans="1:4" x14ac:dyDescent="0.25">
      <c r="A5056" t="s">
        <v>1329</v>
      </c>
    </row>
    <row r="5057" spans="1:4" x14ac:dyDescent="0.25">
      <c r="B5057" t="str">
        <f>HYPERLINK("https://www.chemistwarehouse.com.au/buy/71366/Byphasse-Soft-Cleansing-Milk-Face-And-Eye-500ml"," Byphasse Soft Cleansing Milk Face And Eye 500ml")</f>
        <v xml:space="preserve"> Byphasse Soft Cleansing Milk Face And Eye 500ml</v>
      </c>
      <c r="C5057" t="s">
        <v>556</v>
      </c>
      <c r="D5057">
        <v>0</v>
      </c>
    </row>
    <row r="5058" spans="1:4" x14ac:dyDescent="0.25">
      <c r="B5058" t="str">
        <f>HYPERLINK("https://www.chemistwarehouse.com.au/buy/71362/Byphasse-Soft-Toner-Lotion-500ml"," Byphasse Soft Toner Lotion 500ml")</f>
        <v xml:space="preserve"> Byphasse Soft Toner Lotion 500ml</v>
      </c>
      <c r="C5058" t="s">
        <v>556</v>
      </c>
      <c r="D5058">
        <v>0</v>
      </c>
    </row>
    <row r="5059" spans="1:4" x14ac:dyDescent="0.25">
      <c r="B5059" t="str">
        <f>HYPERLINK("https://www.chemistwarehouse.com.au/buy/71355/Byphasse-Makeup-Remover-Wipes-Mature-Skin-40-Wipes"," Byphasse Makeup Remover Wipes Mature Skin 40 Wipes ")</f>
        <v xml:space="preserve"> Byphasse Makeup Remover Wipes Mature Skin 40 Wipes </v>
      </c>
      <c r="C5059" t="s">
        <v>116</v>
      </c>
      <c r="D5059">
        <v>0</v>
      </c>
    </row>
    <row r="5060" spans="1:4" x14ac:dyDescent="0.25">
      <c r="B5060" t="str">
        <f>HYPERLINK("https://www.chemistwarehouse.com.au/buy/71356/Byphasse-Micellaire-Makeup-Remover-Solution-500ml"," Byphasse Micellaire Makeup Remover Solution 500ml")</f>
        <v xml:space="preserve"> Byphasse Micellaire Makeup Remover Solution 500ml</v>
      </c>
      <c r="C5060" t="s">
        <v>556</v>
      </c>
      <c r="D5060">
        <v>0</v>
      </c>
    </row>
    <row r="5061" spans="1:4" x14ac:dyDescent="0.25">
      <c r="B5061" t="str">
        <f>HYPERLINK("https://www.chemistwarehouse.com.au/buy/76291/Byphasse-Make-Up-Remover-Wipes-Aloe-Vera-Sensitive-Skin-40"," Byphasse Make Up Remover Wipes Aloe Vera Sensitive Skin 40")</f>
        <v xml:space="preserve"> Byphasse Make Up Remover Wipes Aloe Vera Sensitive Skin 40</v>
      </c>
      <c r="C5061" t="s">
        <v>116</v>
      </c>
      <c r="D5061">
        <v>0</v>
      </c>
    </row>
    <row r="5062" spans="1:4" x14ac:dyDescent="0.25">
      <c r="B5062" t="str">
        <f>HYPERLINK("https://www.chemistwarehouse.com.au/buy/71354/Byphasse-Eye-Makeup-Remover-200ml"," Byphasse Eye Makeup Remover 200ml ")</f>
        <v xml:space="preserve"> Byphasse Eye Makeup Remover 200ml </v>
      </c>
      <c r="C5062" t="s">
        <v>556</v>
      </c>
      <c r="D5062">
        <v>0</v>
      </c>
    </row>
    <row r="5063" spans="1:4" x14ac:dyDescent="0.25">
      <c r="A5063" t="s">
        <v>1330</v>
      </c>
    </row>
    <row r="5064" spans="1:4" x14ac:dyDescent="0.25">
      <c r="B5064" t="str">
        <f>HYPERLINK("https://www.chemistwarehouse.com.au/buy/54639/Neutrogena-Oil-Free-Daily-Scrub-125ml"," Neutrogena Oil Free Daily Scrub 125ml")</f>
        <v xml:space="preserve"> Neutrogena Oil Free Daily Scrub 125ml</v>
      </c>
      <c r="C5064" t="s">
        <v>290</v>
      </c>
      <c r="D5064" t="s">
        <v>318</v>
      </c>
    </row>
    <row r="5065" spans="1:4" x14ac:dyDescent="0.25">
      <c r="B5065" t="str">
        <f>HYPERLINK("https://www.chemistwarehouse.com.au/buy/59210/Neutrogena-Acne-Stress-Control-Scrub-125ml"," Neutrogena Acne Stress Control Scrub 125ml")</f>
        <v xml:space="preserve"> Neutrogena Acne Stress Control Scrub 125ml</v>
      </c>
      <c r="C5065" t="s">
        <v>212</v>
      </c>
      <c r="D5065" t="s">
        <v>318</v>
      </c>
    </row>
    <row r="5066" spans="1:4" x14ac:dyDescent="0.25">
      <c r="B5066" t="str">
        <f>HYPERLINK("https://www.chemistwarehouse.com.au/buy/59211/Neutrogena-Acne-Stress-Cream-Wash-177ml"," Neutrogena Acne Stress Cream Wash 177ml")</f>
        <v xml:space="preserve"> Neutrogena Acne Stress Cream Wash 177ml</v>
      </c>
      <c r="C5066" t="s">
        <v>212</v>
      </c>
      <c r="D5066" t="s">
        <v>318</v>
      </c>
    </row>
    <row r="5067" spans="1:4" x14ac:dyDescent="0.25">
      <c r="B5067" t="str">
        <f>HYPERLINK("https://www.chemistwarehouse.com.au/buy/60739/Neutrogena-Rapid-Clear-Blackhead-Eliminating-Daily-Scrub-125ml"," Neutrogena Rapid Clear Blackhead Eliminating Daily Scrub 125ml")</f>
        <v xml:space="preserve"> Neutrogena Rapid Clear Blackhead Eliminating Daily Scrub 125ml</v>
      </c>
      <c r="C5067" t="s">
        <v>80</v>
      </c>
      <c r="D5067" t="s">
        <v>312</v>
      </c>
    </row>
    <row r="5068" spans="1:4" x14ac:dyDescent="0.25">
      <c r="B5068" t="str">
        <f>HYPERLINK("https://www.chemistwarehouse.com.au/buy/60740/Neutrogena-Rapid-Clear-2-in-1-Cleanser-Mask-150ml"," Neutrogena Rapid Clear 2 in 1 Cleanser Mask 150ml")</f>
        <v xml:space="preserve"> Neutrogena Rapid Clear 2 in 1 Cleanser Mask 150ml</v>
      </c>
      <c r="C5068" t="s">
        <v>80</v>
      </c>
      <c r="D5068" t="s">
        <v>312</v>
      </c>
    </row>
    <row r="5069" spans="1:4" x14ac:dyDescent="0.25">
      <c r="B5069" t="str">
        <f>HYPERLINK("https://www.chemistwarehouse.com.au/buy/60742/Neutrogena-Oil-Free-Acne-Wash-Pink-Grapefruit-Facial-Cleanser-175ml"," Neutrogena Oil Free Acne Wash Pink Grapefruit Facial Cleanser 175ml")</f>
        <v xml:space="preserve"> Neutrogena Oil Free Acne Wash Pink Grapefruit Facial Cleanser 175ml</v>
      </c>
      <c r="C5069" t="s">
        <v>212</v>
      </c>
      <c r="D5069" t="s">
        <v>318</v>
      </c>
    </row>
    <row r="5070" spans="1:4" x14ac:dyDescent="0.25">
      <c r="B5070" t="str">
        <f>HYPERLINK("https://www.chemistwarehouse.com.au/buy/60743/Neutrogena-Oil-Free-Acne-Wash-Pink-Grapefruit-Foaming-Scrub-125ml"," Neutrogena Oil Free Acne Wash Pink Grapefruit Foaming Scrub 125ml")</f>
        <v xml:space="preserve"> Neutrogena Oil Free Acne Wash Pink Grapefruit Foaming Scrub 125ml</v>
      </c>
      <c r="C5070" t="s">
        <v>212</v>
      </c>
      <c r="D5070" t="s">
        <v>318</v>
      </c>
    </row>
    <row r="5071" spans="1:4" x14ac:dyDescent="0.25">
      <c r="B5071" t="str">
        <f>HYPERLINK("https://www.chemistwarehouse.com.au/buy/66993/Neutrogena-Oil-Free-Acne-Wash-175ml"," Neutrogena Oil Free Acne Wash 175ml")</f>
        <v xml:space="preserve"> Neutrogena Oil Free Acne Wash 175ml</v>
      </c>
      <c r="C5071" t="s">
        <v>290</v>
      </c>
      <c r="D5071" t="s">
        <v>318</v>
      </c>
    </row>
    <row r="5072" spans="1:4" x14ac:dyDescent="0.25">
      <c r="A5072" t="s">
        <v>1331</v>
      </c>
    </row>
    <row r="5073" spans="1:4" x14ac:dyDescent="0.25">
      <c r="B5073" t="str">
        <f>HYPERLINK("https://www.chemistwarehouse.com.au/buy/60687/Neutrogena-Body-Oil-250ml"," Neutrogena Body Oil 250ml ")</f>
        <v xml:space="preserve"> Neutrogena Body Oil 250ml </v>
      </c>
      <c r="C5073" t="s">
        <v>98</v>
      </c>
      <c r="D5073" t="s">
        <v>312</v>
      </c>
    </row>
    <row r="5074" spans="1:4" x14ac:dyDescent="0.25">
      <c r="B5074" t="str">
        <f>HYPERLINK("https://www.chemistwarehouse.com.au/buy/6561/Neutrogena-Cleansing-Bar-Hypo-Allergenic"," Neutrogena Cleansing Bar Hypo Allergenic")</f>
        <v xml:space="preserve"> Neutrogena Cleansing Bar Hypo Allergenic</v>
      </c>
      <c r="C5074" t="s">
        <v>399</v>
      </c>
      <c r="D5074" t="s">
        <v>1332</v>
      </c>
    </row>
    <row r="5075" spans="1:4" x14ac:dyDescent="0.25">
      <c r="B5075" t="str">
        <f>HYPERLINK("https://www.chemistwarehouse.com.au/buy/60668/Neutrogena-Body-Lotion-250mL"," Neutrogena Body Lotion 250mL")</f>
        <v xml:space="preserve"> Neutrogena Body Lotion 250mL</v>
      </c>
      <c r="C5075" t="s">
        <v>98</v>
      </c>
      <c r="D5075" t="s">
        <v>312</v>
      </c>
    </row>
    <row r="5076" spans="1:4" x14ac:dyDescent="0.25">
      <c r="B5076" t="str">
        <f>HYPERLINK("https://www.chemistwarehouse.com.au/buy/71424/Neutrogena-Rainbath-Shower-amp-Bath-Gel-250ml"," Neutrogena Rainbath Shower &amp; Bath Gel 250ml")</f>
        <v xml:space="preserve"> Neutrogena Rainbath Shower &amp; Bath Gel 250ml</v>
      </c>
      <c r="C5076" t="s">
        <v>98</v>
      </c>
      <c r="D5076" t="s">
        <v>312</v>
      </c>
    </row>
    <row r="5077" spans="1:4" x14ac:dyDescent="0.25">
      <c r="A5077" t="s">
        <v>1333</v>
      </c>
    </row>
    <row r="5078" spans="1:4" x14ac:dyDescent="0.25">
      <c r="B5078" t="str">
        <f>HYPERLINK("https://www.chemistwarehouse.com.au/buy/67817/Neutrogena-Ageless-Intensives-Deep-Wrinkle-Moisturiser-SPF15-39g"," Neutrogena Ageless Intensives Deep Wrinkle Moisturiser SPF15 39g")</f>
        <v xml:space="preserve"> Neutrogena Ageless Intensives Deep Wrinkle Moisturiser SPF15 39g</v>
      </c>
      <c r="C5078" t="s">
        <v>230</v>
      </c>
      <c r="D5078" t="s">
        <v>336</v>
      </c>
    </row>
    <row r="5079" spans="1:4" x14ac:dyDescent="0.25">
      <c r="B5079" t="str">
        <f>HYPERLINK("https://www.chemistwarehouse.com.au/buy/67820/Neutrogena-Ageless-Intensives-Deep-Wrinkle-Serum-29ml"," Neutrogena Ageless Intensives Deep Wrinkle Serum 29ml")</f>
        <v xml:space="preserve"> Neutrogena Ageless Intensives Deep Wrinkle Serum 29ml</v>
      </c>
      <c r="C5079" t="s">
        <v>230</v>
      </c>
      <c r="D5079" t="s">
        <v>336</v>
      </c>
    </row>
    <row r="5080" spans="1:4" x14ac:dyDescent="0.25">
      <c r="B5080" t="str">
        <f>HYPERLINK("https://www.chemistwarehouse.com.au/buy/67824/Neutrogena-Ageless-Intensives-Deep-Wrinkle-Night-Cream-39g"," Neutrogena Ageless Intensives Deep Wrinkle Night Cream 39g")</f>
        <v xml:space="preserve"> Neutrogena Ageless Intensives Deep Wrinkle Night Cream 39g</v>
      </c>
      <c r="C5080" t="s">
        <v>230</v>
      </c>
      <c r="D5080" t="s">
        <v>336</v>
      </c>
    </row>
    <row r="5081" spans="1:4" x14ac:dyDescent="0.25">
      <c r="B5081" t="str">
        <f>HYPERLINK("https://www.chemistwarehouse.com.au/buy/82604/Neutrogena-Rapid-Wrinkle-Repair-Serum-29ml"," Neutrogena Rapid Wrinkle Repair Serum 29ml")</f>
        <v xml:space="preserve"> Neutrogena Rapid Wrinkle Repair Serum 29ml</v>
      </c>
      <c r="C5081" t="s">
        <v>123</v>
      </c>
      <c r="D5081" t="s">
        <v>217</v>
      </c>
    </row>
    <row r="5082" spans="1:4" x14ac:dyDescent="0.25">
      <c r="A5082" t="s">
        <v>1334</v>
      </c>
    </row>
    <row r="5083" spans="1:4" x14ac:dyDescent="0.25">
      <c r="B5083" t="str">
        <f>HYPERLINK("https://www.chemistwarehouse.com.au/buy/73132/Neutrogena-Hydro-Boost-Water-Gel-50g"," Neutrogena Hydro Boost Water Gel 50g")</f>
        <v xml:space="preserve"> Neutrogena Hydro Boost Water Gel 50g</v>
      </c>
      <c r="C5083" t="s">
        <v>173</v>
      </c>
      <c r="D5083" t="s">
        <v>104</v>
      </c>
    </row>
    <row r="5084" spans="1:4" x14ac:dyDescent="0.25">
      <c r="B5084" t="str">
        <f>HYPERLINK("https://www.chemistwarehouse.com.au/buy/73129/Neutrogena-Hydro-Boost-Eye-Roll-On-15g"," Neutrogena Hydro Boost Eye Roll-On 15g")</f>
        <v xml:space="preserve"> Neutrogena Hydro Boost Eye Roll-On 15g</v>
      </c>
      <c r="C5084" t="s">
        <v>61</v>
      </c>
      <c r="D5084" t="s">
        <v>115</v>
      </c>
    </row>
    <row r="5085" spans="1:4" x14ac:dyDescent="0.25">
      <c r="B5085" t="str">
        <f>HYPERLINK("https://www.chemistwarehouse.com.au/buy/73131/Neutrogena-Hydro-Boost-Night-Concentrate-50g"," Neutrogena Hydro Boost Night Concentrate 50g")</f>
        <v xml:space="preserve"> Neutrogena Hydro Boost Night Concentrate 50g</v>
      </c>
      <c r="C5085" t="s">
        <v>173</v>
      </c>
      <c r="D5085" t="s">
        <v>104</v>
      </c>
    </row>
    <row r="5086" spans="1:4" x14ac:dyDescent="0.25">
      <c r="B5086" t="str">
        <f>HYPERLINK("https://www.chemistwarehouse.com.au/buy/73133/Neutrogena-Hydro-Boost-Water-Gel-SPF-15-40ml"," Neutrogena Hydro Boost Water Gel SPF 15 40ml")</f>
        <v xml:space="preserve"> Neutrogena Hydro Boost Water Gel SPF 15 40ml</v>
      </c>
      <c r="C5086" t="s">
        <v>173</v>
      </c>
      <c r="D5086" t="s">
        <v>104</v>
      </c>
    </row>
    <row r="5087" spans="1:4" x14ac:dyDescent="0.25">
      <c r="B5087" t="str">
        <f>HYPERLINK("https://www.chemistwarehouse.com.au/buy/76284/Neutrogena-Hydro-Boost-Mask-5-Piece"," Neutrogena Hydro Boost Mask 5 Piece")</f>
        <v xml:space="preserve"> Neutrogena Hydro Boost Mask 5 Piece</v>
      </c>
      <c r="C5087" t="s">
        <v>61</v>
      </c>
      <c r="D5087" t="s">
        <v>115</v>
      </c>
    </row>
    <row r="5088" spans="1:4" x14ac:dyDescent="0.25">
      <c r="B5088" t="str">
        <f>HYPERLINK("https://www.chemistwarehouse.com.au/buy/76285/Neutrogena-Hydro-Boost-Foaming-Cleanser-150ml"," Neutrogena Hydro Boost Foaming Cleanser 150ml")</f>
        <v xml:space="preserve"> Neutrogena Hydro Boost Foaming Cleanser 150ml</v>
      </c>
      <c r="C5088" t="s">
        <v>212</v>
      </c>
      <c r="D5088" t="s">
        <v>318</v>
      </c>
    </row>
    <row r="5089" spans="1:4" x14ac:dyDescent="0.25">
      <c r="B5089" t="str">
        <f>HYPERLINK("https://www.chemistwarehouse.com.au/buy/78409/Neutrogena-Hydro-Boost-Serum-30mL"," Neutrogena Hydro Boost Serum 30mL")</f>
        <v xml:space="preserve"> Neutrogena Hydro Boost Serum 30mL</v>
      </c>
      <c r="C5089" t="s">
        <v>890</v>
      </c>
      <c r="D5089" t="s">
        <v>739</v>
      </c>
    </row>
    <row r="5090" spans="1:4" x14ac:dyDescent="0.25">
      <c r="B5090" t="str">
        <f>HYPERLINK("https://www.chemistwarehouse.com.au/buy/79803/Neutrogena-Hydro-Boost-Gel-Cream-50g"," Neutrogena Hydro Boost Gel Cream 50g")</f>
        <v xml:space="preserve"> Neutrogena Hydro Boost Gel Cream 50g</v>
      </c>
      <c r="C5090" t="s">
        <v>173</v>
      </c>
      <c r="D5090" t="s">
        <v>104</v>
      </c>
    </row>
    <row r="5091" spans="1:4" x14ac:dyDescent="0.25">
      <c r="A5091" t="s">
        <v>1335</v>
      </c>
    </row>
    <row r="5092" spans="1:4" x14ac:dyDescent="0.25">
      <c r="B5092" t="str">
        <f>HYPERLINK("https://www.chemistwarehouse.com.au/buy/40445/Neutrogena-Deep-Clean-Cream-Cleanser-200g"," Neutrogena Deep Clean Cream Cleanser 200g")</f>
        <v xml:space="preserve"> Neutrogena Deep Clean Cream Cleanser 200g</v>
      </c>
      <c r="C5092" t="s">
        <v>98</v>
      </c>
      <c r="D5092" t="s">
        <v>115</v>
      </c>
    </row>
    <row r="5093" spans="1:4" x14ac:dyDescent="0.25">
      <c r="B5093" t="str">
        <f>HYPERLINK("https://www.chemistwarehouse.com.au/buy/53306/Neutrogena-Deep-Clean-Gentle-Scrub-125ml"," Neutrogena Deep Clean Gentle Scrub 125ml")</f>
        <v xml:space="preserve"> Neutrogena Deep Clean Gentle Scrub 125ml</v>
      </c>
      <c r="C5093" t="s">
        <v>211</v>
      </c>
      <c r="D5093" t="s">
        <v>121</v>
      </c>
    </row>
    <row r="5094" spans="1:4" x14ac:dyDescent="0.25">
      <c r="B5094" t="str">
        <f>HYPERLINK("https://www.chemistwarehouse.com.au/buy/53650/Neutrogena-Deep-Clean-Invigorating-Foaming-Scrub-125mL"," Neutrogena Deep Clean Invigorating Foaming Scrub 125mL")</f>
        <v xml:space="preserve"> Neutrogena Deep Clean Invigorating Foaming Scrub 125mL</v>
      </c>
      <c r="C5094" t="s">
        <v>324</v>
      </c>
      <c r="D5094" t="s">
        <v>809</v>
      </c>
    </row>
    <row r="5095" spans="1:4" x14ac:dyDescent="0.25">
      <c r="B5095" t="str">
        <f>HYPERLINK("https://www.chemistwarehouse.com.au/buy/57166/Neutrogena-Deep-Clean-Foaming-Cleanser-175g"," Neutrogena Deep Clean Foaming Cleanser 175g")</f>
        <v xml:space="preserve"> Neutrogena Deep Clean Foaming Cleanser 175g</v>
      </c>
      <c r="C5095" t="s">
        <v>98</v>
      </c>
      <c r="D5095" t="s">
        <v>115</v>
      </c>
    </row>
    <row r="5096" spans="1:4" x14ac:dyDescent="0.25">
      <c r="B5096" t="str">
        <f>HYPERLINK("https://www.chemistwarehouse.com.au/buy/64900/Neutrogena-Deep-Clean-Shine-Control-Scrub-125ml"," Neutrogena Deep Clean Shine Control Scrub 125ml")</f>
        <v xml:space="preserve"> Neutrogena Deep Clean Shine Control Scrub 125ml</v>
      </c>
      <c r="C5096" t="s">
        <v>98</v>
      </c>
      <c r="D5096" t="s">
        <v>115</v>
      </c>
    </row>
    <row r="5097" spans="1:4" x14ac:dyDescent="0.25">
      <c r="B5097" t="str">
        <f>HYPERLINK("https://www.chemistwarehouse.com.au/buy/69105/Neutrogena-Deep-Clean-Pink-Grapefruit-Foam-Scrub-100g"," Neutrogena Deep Clean Pink Grapefruit Foam Scrub 100g")</f>
        <v xml:space="preserve"> Neutrogena Deep Clean Pink Grapefruit Foam Scrub 100g</v>
      </c>
      <c r="C5097" t="s">
        <v>46</v>
      </c>
      <c r="D5097" t="s">
        <v>483</v>
      </c>
    </row>
    <row r="5098" spans="1:4" x14ac:dyDescent="0.25">
      <c r="B5098" t="str">
        <f>HYPERLINK("https://www.chemistwarehouse.com.au/buy/36182/Neutrogena-Deep-Clean-Facial-Cleanser-Normal-to-Oily-Skin-200mL"," Neutrogena Deep Clean Facial Cleanser Normal to Oily Skin 200mL")</f>
        <v xml:space="preserve"> Neutrogena Deep Clean Facial Cleanser Normal to Oily Skin 200mL</v>
      </c>
      <c r="C5098" t="s">
        <v>98</v>
      </c>
      <c r="D5098" t="s">
        <v>115</v>
      </c>
    </row>
    <row r="5099" spans="1:4" x14ac:dyDescent="0.25">
      <c r="B5099" t="str">
        <f>HYPERLINK("https://www.chemistwarehouse.com.au/buy/36197/Neutrogena-Extra-Gentle-Cleanser-200ml"," Neutrogena Extra Gentle Cleanser 200ml")</f>
        <v xml:space="preserve"> Neutrogena Extra Gentle Cleanser 200ml</v>
      </c>
      <c r="C5099" t="s">
        <v>98</v>
      </c>
      <c r="D5099" t="s">
        <v>312</v>
      </c>
    </row>
    <row r="5100" spans="1:4" x14ac:dyDescent="0.25">
      <c r="A5100" t="s">
        <v>1336</v>
      </c>
    </row>
    <row r="5101" spans="1:4" x14ac:dyDescent="0.25">
      <c r="B5101" t="str">
        <f>HYPERLINK("https://www.chemistwarehouse.com.au/buy/67813/Neutrogena-Naturals-Purifying-Facial-Cleanser-177ml"," Neutrogena Naturals Purifying Facial Cleanser 177ml")</f>
        <v xml:space="preserve"> Neutrogena Naturals Purifying Facial Cleanser 177ml</v>
      </c>
      <c r="C5101" t="s">
        <v>212</v>
      </c>
      <c r="D5101" t="s">
        <v>318</v>
      </c>
    </row>
    <row r="5102" spans="1:4" x14ac:dyDescent="0.25">
      <c r="B5102" t="str">
        <f>HYPERLINK("https://www.chemistwarehouse.com.au/buy/67894/Neutrogena-Naturals-Multi-Vitamin-Moisturiser-88ml"," Neutrogena Naturals Multi-Vitamin Moisturiser 88ml")</f>
        <v xml:space="preserve"> Neutrogena Naturals Multi-Vitamin Moisturiser 88ml</v>
      </c>
      <c r="C5102" t="s">
        <v>212</v>
      </c>
      <c r="D5102" t="s">
        <v>318</v>
      </c>
    </row>
    <row r="5103" spans="1:4" x14ac:dyDescent="0.25">
      <c r="B5103" t="str">
        <f>HYPERLINK("https://www.chemistwarehouse.com.au/buy/67895/Neutrogena-Naturals-Multi-Vitamin-Night-Cream-45g"," Neutrogena Naturals Multi-Vitamin Night Cream 45g")</f>
        <v xml:space="preserve"> Neutrogena Naturals Multi-Vitamin Night Cream 45g</v>
      </c>
      <c r="C5103" t="s">
        <v>212</v>
      </c>
      <c r="D5103" t="s">
        <v>318</v>
      </c>
    </row>
    <row r="5104" spans="1:4" x14ac:dyDescent="0.25">
      <c r="B5104" t="str">
        <f>HYPERLINK("https://www.chemistwarehouse.com.au/buy/67818/Neutrogena-Naturals-Purifying-Facial-Scrub-118ml"," Neutrogena Naturals Purifying Facial Scrub 118ml")</f>
        <v xml:space="preserve"> Neutrogena Naturals Purifying Facial Scrub 118ml</v>
      </c>
      <c r="C5104" t="s">
        <v>212</v>
      </c>
      <c r="D5104" t="s">
        <v>318</v>
      </c>
    </row>
    <row r="5105" spans="1:4" x14ac:dyDescent="0.25">
      <c r="B5105" t="str">
        <f>HYPERLINK("https://www.chemistwarehouse.com.au/buy/67821/Neutrogena-Naturals-Makeup-Remover-Cleanser-177ml"," Neutrogena Naturals Makeup Remover Cleanser 177ml")</f>
        <v xml:space="preserve"> Neutrogena Naturals Makeup Remover Cleanser 177ml</v>
      </c>
      <c r="C5105" t="s">
        <v>212</v>
      </c>
      <c r="D5105" t="s">
        <v>318</v>
      </c>
    </row>
    <row r="5106" spans="1:4" x14ac:dyDescent="0.25">
      <c r="A5106" t="s">
        <v>1337</v>
      </c>
    </row>
    <row r="5107" spans="1:4" x14ac:dyDescent="0.25">
      <c r="B5107" t="str">
        <f>HYPERLINK("https://www.chemistwarehouse.com.au/buy/36194/Neutrogena-Moisturiser-SPF15-115mL"," Neutrogena Moisturiser SPF15+ 115mL")</f>
        <v xml:space="preserve"> Neutrogena Moisturiser SPF15+ 115mL</v>
      </c>
      <c r="C5107" t="s">
        <v>290</v>
      </c>
      <c r="D5107" t="s">
        <v>318</v>
      </c>
    </row>
    <row r="5108" spans="1:4" x14ac:dyDescent="0.25">
      <c r="B5108" t="str">
        <f>HYPERLINK("https://www.chemistwarehouse.com.au/buy/40668/Neutrogena-Moisturiser-Combination-Skin-Oil-Free-118mL"," Neutrogena Moisturiser Combination Skin Oil Free 118mL")</f>
        <v xml:space="preserve"> Neutrogena Moisturiser Combination Skin Oil Free 118mL</v>
      </c>
      <c r="C5108" t="s">
        <v>290</v>
      </c>
      <c r="D5108" t="s">
        <v>318</v>
      </c>
    </row>
    <row r="5109" spans="1:4" x14ac:dyDescent="0.25">
      <c r="B5109" t="str">
        <f>HYPERLINK("https://www.chemistwarehouse.com.au/buy/53651/Neutrogena-Moisturiser-Combination-Skin-118mL"," Neutrogena Moisturiser - Combination Skin 118mL")</f>
        <v xml:space="preserve"> Neutrogena Moisturiser - Combination Skin 118mL</v>
      </c>
      <c r="C5109" t="s">
        <v>290</v>
      </c>
      <c r="D5109" t="s">
        <v>318</v>
      </c>
    </row>
    <row r="5110" spans="1:4" x14ac:dyDescent="0.25">
      <c r="B5110" t="str">
        <f>HYPERLINK("https://www.chemistwarehouse.com.au/buy/63069/Neutrogena-Oil-Free-Moisture-Sensitive-Skin-118mL"," Neutrogena Oil-Free Moisture Sensitive Skin 118mL")</f>
        <v xml:space="preserve"> Neutrogena Oil-Free Moisture Sensitive Skin 118mL</v>
      </c>
      <c r="C5110" t="s">
        <v>290</v>
      </c>
      <c r="D5110" t="s">
        <v>318</v>
      </c>
    </row>
    <row r="5111" spans="1:4" x14ac:dyDescent="0.25">
      <c r="A5111" t="s">
        <v>1338</v>
      </c>
    </row>
    <row r="5112" spans="1:4" x14ac:dyDescent="0.25">
      <c r="B5112" t="str">
        <f>HYPERLINK("https://www.chemistwarehouse.com.au/buy/41876/Neutrogena-Pore-Refining-Exfoliating-Cleanser-198ml"," Neutrogena Pore Refining Exfoliating Cleanser 198ml")</f>
        <v xml:space="preserve"> Neutrogena Pore Refining Exfoliating Cleanser 198ml</v>
      </c>
      <c r="C5112" t="s">
        <v>212</v>
      </c>
      <c r="D5112" t="s">
        <v>318</v>
      </c>
    </row>
    <row r="5113" spans="1:4" x14ac:dyDescent="0.25">
      <c r="B5113" t="str">
        <f>HYPERLINK("https://www.chemistwarehouse.com.au/buy/71314/Neutrogena-Pore-Refining-Toner-250ml"," Neutrogena Pore Refining Toner 250ml")</f>
        <v xml:space="preserve"> Neutrogena Pore Refining Toner 250ml</v>
      </c>
      <c r="C5113" t="s">
        <v>212</v>
      </c>
      <c r="D5113" t="s">
        <v>318</v>
      </c>
    </row>
    <row r="5114" spans="1:4" x14ac:dyDescent="0.25">
      <c r="B5114" t="str">
        <f>HYPERLINK("https://www.chemistwarehouse.com.au/buy/71315/Neutrogena-Pore-Refining-Cleanser-198ml"," Neutrogena Pore Refining Cleanser 198ml")</f>
        <v xml:space="preserve"> Neutrogena Pore Refining Cleanser 198ml</v>
      </c>
      <c r="C5114" t="s">
        <v>212</v>
      </c>
      <c r="D5114" t="s">
        <v>318</v>
      </c>
    </row>
    <row r="5115" spans="1:4" x14ac:dyDescent="0.25">
      <c r="A5115" t="s">
        <v>1339</v>
      </c>
    </row>
    <row r="5116" spans="1:4" x14ac:dyDescent="0.25">
      <c r="B5116" t="str">
        <f>HYPERLINK("https://www.chemistwarehouse.com.au/buy/52131/Neutrogena-Norwegian-Hand-Cream-56g"," Neutrogena Norwegian Hand Cream 56g")</f>
        <v xml:space="preserve"> Neutrogena Norwegian Hand Cream 56g</v>
      </c>
      <c r="C5116" t="s">
        <v>554</v>
      </c>
      <c r="D5116" t="s">
        <v>611</v>
      </c>
    </row>
    <row r="5117" spans="1:4" x14ac:dyDescent="0.25">
      <c r="B5117" t="str">
        <f>HYPERLINK("https://www.chemistwarehouse.com.au/buy/72650/Neutrogena-Norwegian-Hand-Cream-Concentrated-50ml"," Neutrogena Norwegian Hand Cream Concentrated 50ml")</f>
        <v xml:space="preserve"> Neutrogena Norwegian Hand Cream Concentrated 50ml</v>
      </c>
      <c r="C5117" t="s">
        <v>483</v>
      </c>
      <c r="D5117">
        <v>0</v>
      </c>
    </row>
    <row r="5118" spans="1:4" x14ac:dyDescent="0.25">
      <c r="B5118" t="str">
        <f>HYPERLINK("https://www.chemistwarehouse.com.au/buy/36188/Neutrogena-Norweigen-Hand-Fragrance-Free-Cream-56g"," Neutrogena Norweigen Hand Fragrance Free Cream 56g")</f>
        <v xml:space="preserve"> Neutrogena Norweigen Hand Fragrance Free Cream 56g</v>
      </c>
      <c r="C5118" t="s">
        <v>554</v>
      </c>
      <c r="D5118" t="s">
        <v>611</v>
      </c>
    </row>
    <row r="5119" spans="1:4" x14ac:dyDescent="0.25">
      <c r="B5119" t="str">
        <f>HYPERLINK("https://www.chemistwarehouse.com.au/buy/71754/Neutrogena-Norwegian-Hand-Cream-14g"," Neutrogena Norwegian Hand Cream 14g")</f>
        <v xml:space="preserve"> Neutrogena Norwegian Hand Cream 14g</v>
      </c>
      <c r="C5119" t="s">
        <v>733</v>
      </c>
      <c r="D5119" t="s">
        <v>1340</v>
      </c>
    </row>
    <row r="5120" spans="1:4" x14ac:dyDescent="0.25">
      <c r="B5120" t="str">
        <f>HYPERLINK("https://www.chemistwarehouse.com.au/buy/63805/Neutrogena-Norwegian-Formula-Foot-Cream-56g"," Neutrogena Norwegian Formula Foot Cream 56g")</f>
        <v xml:space="preserve"> Neutrogena Norwegian Formula Foot Cream 56g</v>
      </c>
      <c r="C5120" t="s">
        <v>554</v>
      </c>
      <c r="D5120" t="s">
        <v>611</v>
      </c>
    </row>
    <row r="5121" spans="1:4" x14ac:dyDescent="0.25">
      <c r="B5121" t="str">
        <f>HYPERLINK("https://www.chemistwarehouse.com.au/buy/66409/Neutrogena-Norwegian-Anti-Ageing-Hand-Cream-Unscented-50ml"," Neutrogena Norwegian Anti Ageing Hand Cream Unscented 50ml ")</f>
        <v xml:space="preserve"> Neutrogena Norwegian Anti Ageing Hand Cream Unscented 50ml </v>
      </c>
      <c r="C5121" t="s">
        <v>483</v>
      </c>
      <c r="D5121" t="s">
        <v>312</v>
      </c>
    </row>
    <row r="5122" spans="1:4" x14ac:dyDescent="0.25">
      <c r="A5122" t="s">
        <v>1341</v>
      </c>
    </row>
    <row r="5123" spans="1:4" x14ac:dyDescent="0.25">
      <c r="B5123" t="str">
        <f>HYPERLINK("https://www.chemistwarehouse.com.au/buy/6562/Neutrogena-T-Gel-Shampoo-200mL"," Neutrogena T-Gel Shampoo 200mL")</f>
        <v xml:space="preserve"> Neutrogena T-Gel Shampoo 200mL</v>
      </c>
      <c r="C5123" t="s">
        <v>98</v>
      </c>
      <c r="D5123" t="s">
        <v>1342</v>
      </c>
    </row>
    <row r="5124" spans="1:4" x14ac:dyDescent="0.25">
      <c r="B5124" t="str">
        <f>HYPERLINK("https://www.chemistwarehouse.com.au/buy/20425/Neutrogena-T-Gel-Conditioner-130mL"," Neutrogena T-Gel Conditioner 130mL")</f>
        <v xml:space="preserve"> Neutrogena T-Gel Conditioner 130mL</v>
      </c>
      <c r="C5124" t="s">
        <v>92</v>
      </c>
      <c r="D5124" t="s">
        <v>611</v>
      </c>
    </row>
    <row r="5125" spans="1:4" x14ac:dyDescent="0.25">
      <c r="B5125" t="str">
        <f>HYPERLINK("https://www.chemistwarehouse.com.au/buy/70007/Neutrogena-T-Gel-Daily-Control-2-In-1-200ml"," Neutrogena T/Gel Daily Control 2 In 1 200ml")</f>
        <v xml:space="preserve"> Neutrogena T/Gel Daily Control 2 In 1 200ml</v>
      </c>
      <c r="C5125" t="s">
        <v>556</v>
      </c>
      <c r="D5125" t="s">
        <v>371</v>
      </c>
    </row>
    <row r="5126" spans="1:4" x14ac:dyDescent="0.25">
      <c r="A5126" t="s">
        <v>1343</v>
      </c>
    </row>
    <row r="5127" spans="1:4" x14ac:dyDescent="0.25">
      <c r="B5127" t="str">
        <f>HYPERLINK("https://www.chemistwarehouse.com.au/buy/54091/Neutrogena-Make-up-Remover-Cleansing-Towelettes-25"," Neutrogena Make-up Remover Cleansing Towelettes 25")</f>
        <v xml:space="preserve"> Neutrogena Make-up Remover Cleansing Towelettes 25</v>
      </c>
      <c r="C5127" t="s">
        <v>116</v>
      </c>
      <c r="D5127" t="s">
        <v>312</v>
      </c>
    </row>
    <row r="5128" spans="1:4" x14ac:dyDescent="0.25">
      <c r="B5128" t="str">
        <f>HYPERLINK("https://www.chemistwarehouse.com.au/buy/54308/Neutrogena-Fresh-Foaming-Cleanser-200ml"," Neutrogena Fresh Foaming Cleanser 200ml")</f>
        <v xml:space="preserve"> Neutrogena Fresh Foaming Cleanser 200ml</v>
      </c>
      <c r="C5128" t="s">
        <v>317</v>
      </c>
      <c r="D5128" t="s">
        <v>785</v>
      </c>
    </row>
    <row r="5129" spans="1:4" x14ac:dyDescent="0.25">
      <c r="B5129" t="str">
        <f>HYPERLINK("https://www.chemistwarehouse.com.au/buy/54322/Neutrogena-Alcohol-Free-Toner-150ml"," Neutrogena Alcohol Free Toner 150ml")</f>
        <v xml:space="preserve"> Neutrogena Alcohol Free Toner 150ml</v>
      </c>
      <c r="C5129" t="s">
        <v>32</v>
      </c>
      <c r="D5129" t="s">
        <v>805</v>
      </c>
    </row>
    <row r="5130" spans="1:4" x14ac:dyDescent="0.25">
      <c r="B5130" t="str">
        <f>HYPERLINK("https://www.chemistwarehouse.com.au/buy/67565/Neutrogena-Make-Up-Remover-Cleansing-Towelettes-Night-Calming-25"," Neutrogena Make-Up Remover Cleansing Towelettes Night Calming 25")</f>
        <v xml:space="preserve"> Neutrogena Make-Up Remover Cleansing Towelettes Night Calming 25</v>
      </c>
      <c r="C5130" t="s">
        <v>116</v>
      </c>
      <c r="D5130" t="s">
        <v>312</v>
      </c>
    </row>
    <row r="5131" spans="1:4" x14ac:dyDescent="0.25">
      <c r="B5131" t="str">
        <f>HYPERLINK("https://www.chemistwarehouse.com.au/buy/80210/Neutrogena-Deep-Clean-Micellar-Gel-to-Foam-Dry-Skin-142ml"," Neutrogena Deep Clean Micellar Gel to Foam Dry Skin 142ml")</f>
        <v xml:space="preserve"> Neutrogena Deep Clean Micellar Gel to Foam Dry Skin 142ml</v>
      </c>
      <c r="C5131" t="s">
        <v>228</v>
      </c>
      <c r="D5131" t="s">
        <v>108</v>
      </c>
    </row>
    <row r="5132" spans="1:4" x14ac:dyDescent="0.25">
      <c r="B5132" t="str">
        <f>HYPERLINK("https://www.chemistwarehouse.com.au/buy/80211/Neutrogena-Deep-Clean-Micellar-Gel-to-Foam-Normal-to-Oily-Skin-142ml"," Neutrogena Deep Clean Micellar Gel to Foam Normal to Oily Skin 142ml")</f>
        <v xml:space="preserve"> Neutrogena Deep Clean Micellar Gel to Foam Normal to Oily Skin 142ml</v>
      </c>
      <c r="C5132" t="s">
        <v>228</v>
      </c>
      <c r="D5132" t="s">
        <v>108</v>
      </c>
    </row>
    <row r="5133" spans="1:4" x14ac:dyDescent="0.25">
      <c r="B5133" t="str">
        <f>HYPERLINK("https://www.chemistwarehouse.com.au/buy/53842/Neutrogena-Oil-Free-Eye-Makeup-Remover-112ml"," Neutrogena Oil Free Eye Makeup Remover 112ml")</f>
        <v xml:space="preserve"> Neutrogena Oil Free Eye Makeup Remover 112ml</v>
      </c>
      <c r="C5133" t="s">
        <v>32</v>
      </c>
      <c r="D5133" t="s">
        <v>805</v>
      </c>
    </row>
    <row r="5134" spans="1:4" x14ac:dyDescent="0.25">
      <c r="B5134" t="str">
        <f>HYPERLINK("https://www.chemistwarehouse.com.au/buy/73688/Neutrogena-Make-Up-Remover-Cleansing-Towelettes-7"," Neutrogena Make-Up Remover Cleansing Towelettes 7 ")</f>
        <v xml:space="preserve"> Neutrogena Make-Up Remover Cleansing Towelettes 7 </v>
      </c>
      <c r="C5134" t="s">
        <v>635</v>
      </c>
      <c r="D5134">
        <v>0</v>
      </c>
    </row>
    <row r="5135" spans="1:4" x14ac:dyDescent="0.25">
      <c r="A5135" t="s">
        <v>1344</v>
      </c>
    </row>
    <row r="5136" spans="1:4" x14ac:dyDescent="0.25">
      <c r="B5136" t="str">
        <f>HYPERLINK("https://www.chemistwarehouse.com.au/buy/80312/Neutrogena-Rapid-Wrinkle-Repair-Moisturiser-SPF-15-29ml"," Neutrogena Rapid Wrinkle Repair Moisturiser SPF 15 29ml")</f>
        <v xml:space="preserve"> Neutrogena Rapid Wrinkle Repair Moisturiser SPF 15 29ml</v>
      </c>
      <c r="C5136" t="s">
        <v>10</v>
      </c>
      <c r="D5136" t="s">
        <v>167</v>
      </c>
    </row>
    <row r="5137" spans="1:4" x14ac:dyDescent="0.25">
      <c r="B5137" t="str">
        <f>HYPERLINK("https://www.chemistwarehouse.com.au/buy/80313/Neutrogena-Rapid-Wrinkle-Repair-Eye-Cream-14ml"," Neutrogena Rapid Wrinkle Repair Eye Cream 14ml")</f>
        <v xml:space="preserve"> Neutrogena Rapid Wrinkle Repair Eye Cream 14ml</v>
      </c>
      <c r="C5137" t="s">
        <v>1</v>
      </c>
      <c r="D5137" t="s">
        <v>167</v>
      </c>
    </row>
    <row r="5138" spans="1:4" x14ac:dyDescent="0.25">
      <c r="B5138" t="str">
        <f>HYPERLINK("https://www.chemistwarehouse.com.au/buy/80314/Neutrogena-Rapid-Wrinkle-Repair-Night-Moisturiser-29ml"," Neutrogena Rapid Wrinkle Repair Night Moisturiser 29ml")</f>
        <v xml:space="preserve"> Neutrogena Rapid Wrinkle Repair Night Moisturiser 29ml</v>
      </c>
      <c r="C5138" t="s">
        <v>10</v>
      </c>
      <c r="D5138" t="s">
        <v>167</v>
      </c>
    </row>
    <row r="5139" spans="1:4" x14ac:dyDescent="0.25">
      <c r="A5139" t="s">
        <v>1345</v>
      </c>
    </row>
    <row r="5140" spans="1:4" x14ac:dyDescent="0.25">
      <c r="B5140" t="str">
        <f>HYPERLINK("https://www.chemistwarehouse.com.au/buy/66508/RosehipPLUS-Rosehip-Oil-30ml"," RosehipPLUS Rosehip Oil 30ml")</f>
        <v xml:space="preserve"> RosehipPLUS Rosehip Oil 30ml</v>
      </c>
      <c r="C5140" t="s">
        <v>324</v>
      </c>
      <c r="D5140" t="s">
        <v>437</v>
      </c>
    </row>
    <row r="5141" spans="1:4" x14ac:dyDescent="0.25">
      <c r="B5141" t="str">
        <f>HYPERLINK("https://www.chemistwarehouse.com.au/buy/72400/RosehipPLUS-Nourishing-Night-Cream-50ml"," RosehipPLUS Nourishing Night Cream 50ml")</f>
        <v xml:space="preserve"> RosehipPLUS Nourishing Night Cream 50ml</v>
      </c>
      <c r="C5141" t="s">
        <v>1</v>
      </c>
      <c r="D5141" t="s">
        <v>160</v>
      </c>
    </row>
    <row r="5142" spans="1:4" x14ac:dyDescent="0.25">
      <c r="B5142" t="str">
        <f>HYPERLINK("https://www.chemistwarehouse.com.au/buy/66725/RosehipPLUS-Rosehip-Oil-50ml"," RosehipPLUS Rosehip Oil 50ml")</f>
        <v xml:space="preserve"> RosehipPLUS Rosehip Oil 50ml</v>
      </c>
      <c r="C5142" t="s">
        <v>301</v>
      </c>
      <c r="D5142" t="s">
        <v>1346</v>
      </c>
    </row>
    <row r="5143" spans="1:4" x14ac:dyDescent="0.25">
      <c r="B5143" t="str">
        <f>HYPERLINK("https://www.chemistwarehouse.com.au/buy/68134/RosehipPLUS-Rosehip-Oil-Skin-Boost-Roll-On-15ml"," RosehipPLUS Rosehip Oil Skin Boost Roll-On 15ml")</f>
        <v xml:space="preserve"> RosehipPLUS Rosehip Oil Skin Boost Roll-On 15ml</v>
      </c>
      <c r="C5143" t="s">
        <v>45</v>
      </c>
      <c r="D5143" t="s">
        <v>165</v>
      </c>
    </row>
    <row r="5144" spans="1:4" x14ac:dyDescent="0.25">
      <c r="B5144" t="str">
        <f>HYPERLINK("https://www.chemistwarehouse.com.au/buy/72399/RosehipPLUS-Hydrating-Day-Cream-75ml"," RosehipPLUS Hydrating Day Cream 75ml")</f>
        <v xml:space="preserve"> RosehipPLUS Hydrating Day Cream 75ml</v>
      </c>
      <c r="C5144" t="s">
        <v>443</v>
      </c>
      <c r="D5144" t="s">
        <v>821</v>
      </c>
    </row>
    <row r="5145" spans="1:4" x14ac:dyDescent="0.25">
      <c r="B5145" t="str">
        <f>HYPERLINK("https://www.chemistwarehouse.com.au/buy/77412/RoseHipPLUS-Daily-Cream-Cleanser-150ml"," RoseHipPLUS Daily Cream Cleanser 150ml")</f>
        <v xml:space="preserve"> RoseHipPLUS Daily Cream Cleanser 150ml</v>
      </c>
      <c r="C5145" t="s">
        <v>290</v>
      </c>
      <c r="D5145" t="s">
        <v>332</v>
      </c>
    </row>
    <row r="5146" spans="1:4" x14ac:dyDescent="0.25">
      <c r="A5146" t="s">
        <v>1347</v>
      </c>
    </row>
    <row r="5147" spans="1:4" x14ac:dyDescent="0.25">
      <c r="B5147" t="str">
        <f>HYPERLINK("https://www.chemistwarehouse.com.au/buy/72690/Healthy-Care-Bee-Venom-Face-Moisturiser-30g"," Healthy Care Bee Venom Face Moisturiser 30g")</f>
        <v xml:space="preserve"> Healthy Care Bee Venom Face Moisturiser 30g</v>
      </c>
      <c r="C5147" t="s">
        <v>153</v>
      </c>
      <c r="D5147">
        <v>0</v>
      </c>
    </row>
    <row r="5148" spans="1:4" x14ac:dyDescent="0.25">
      <c r="A5148" t="s">
        <v>1348</v>
      </c>
    </row>
    <row r="5149" spans="1:4" x14ac:dyDescent="0.25">
      <c r="B5149" t="str">
        <f>HYPERLINK("https://www.chemistwarehouse.com.au/buy/73246/Natural-Instinct-SPF-30-Kids-Natural-100g"," Natural Instinct SPF 30 + Kids Natural 100g")</f>
        <v xml:space="preserve"> Natural Instinct SPF 30 + Kids Natural 100g</v>
      </c>
      <c r="C5149" t="s">
        <v>98</v>
      </c>
      <c r="D5149" t="s">
        <v>165</v>
      </c>
    </row>
    <row r="5150" spans="1:4" x14ac:dyDescent="0.25">
      <c r="B5150" t="str">
        <f>HYPERLINK("https://www.chemistwarehouse.com.au/buy/73247/Natural-Instinct-SPF-30-Kids-Natural-200g"," Natural Instinct SPF 30 + Kids Natural 200g")</f>
        <v xml:space="preserve"> Natural Instinct SPF 30 + Kids Natural 200g</v>
      </c>
      <c r="C5150" t="s">
        <v>269</v>
      </c>
      <c r="D5150" t="s">
        <v>496</v>
      </c>
    </row>
    <row r="5151" spans="1:4" x14ac:dyDescent="0.25">
      <c r="B5151" t="str">
        <f>HYPERLINK("https://www.chemistwarehouse.com.au/buy/76965/Natural-Instinct-SPF-30-Invisible-Natural-200g"," Natural Instinct SPF 30+ Invisible Natural 200g")</f>
        <v xml:space="preserve"> Natural Instinct SPF 30+ Invisible Natural 200g</v>
      </c>
      <c r="C5151" t="s">
        <v>269</v>
      </c>
      <c r="D5151" t="s">
        <v>496</v>
      </c>
    </row>
    <row r="5152" spans="1:4" x14ac:dyDescent="0.25">
      <c r="B5152" t="str">
        <f>HYPERLINK("https://www.chemistwarehouse.com.au/buy/82564/Natural-Instinct-Dark-Circle-and-Wrinkle-Correction-Eye-Creme-25ml"," Natural Instinct Dark Circle and Wrinkle Correction Eye Creme 25ml")</f>
        <v xml:space="preserve"> Natural Instinct Dark Circle and Wrinkle Correction Eye Creme 25ml</v>
      </c>
      <c r="C5152" t="s">
        <v>407</v>
      </c>
      <c r="D5152" t="s">
        <v>376</v>
      </c>
    </row>
    <row r="5153" spans="1:4" x14ac:dyDescent="0.25">
      <c r="B5153" t="str">
        <f>HYPERLINK("https://www.chemistwarehouse.com.au/buy/82565/Natural-Instinct-Hydrating-Cleansing-Facial-Wipes-25"," Natural Instinct Hydrating Cleansing Facial Wipes 25")</f>
        <v xml:space="preserve"> Natural Instinct Hydrating Cleansing Facial Wipes 25</v>
      </c>
      <c r="C5153" t="s">
        <v>554</v>
      </c>
      <c r="D5153" t="s">
        <v>325</v>
      </c>
    </row>
    <row r="5154" spans="1:4" x14ac:dyDescent="0.25">
      <c r="B5154" t="str">
        <f>HYPERLINK("https://www.chemistwarehouse.com.au/buy/82566/Natural-Instinct-Invigorating-Facial-Scrub-125ml"," Natural Instinct Invigorating Facial Scrub 125ml")</f>
        <v xml:space="preserve"> Natural Instinct Invigorating Facial Scrub 125ml</v>
      </c>
      <c r="C5154" t="s">
        <v>32</v>
      </c>
      <c r="D5154" t="s">
        <v>150</v>
      </c>
    </row>
    <row r="5155" spans="1:4" x14ac:dyDescent="0.25">
      <c r="B5155" t="str">
        <f>HYPERLINK("https://www.chemistwarehouse.com.au/buy/82567/Natural-Instinct-Nourishing-Moisturiser-125ml"," Natural Instinct Nourishing Moisturiser 125ml")</f>
        <v xml:space="preserve"> Natural Instinct Nourishing Moisturiser 125ml</v>
      </c>
      <c r="C5155" t="s">
        <v>212</v>
      </c>
      <c r="D5155" t="s">
        <v>799</v>
      </c>
    </row>
    <row r="5156" spans="1:4" x14ac:dyDescent="0.25">
      <c r="B5156" t="str">
        <f>HYPERLINK("https://www.chemistwarehouse.com.au/buy/82568/Natural-Instinct-Plump-and-Renew-Serum-30ml"," Natural Instinct Plump and Renew Serum 30ml")</f>
        <v xml:space="preserve"> Natural Instinct Plump and Renew Serum 30ml</v>
      </c>
      <c r="C5156" t="s">
        <v>495</v>
      </c>
      <c r="D5156" t="s">
        <v>152</v>
      </c>
    </row>
    <row r="5157" spans="1:4" x14ac:dyDescent="0.25">
      <c r="B5157" t="str">
        <f>HYPERLINK("https://www.chemistwarehouse.com.au/buy/82569/Natural-Instinct-Refreshing-Foaming-Cleanser-110ml"," Natural Instinct Refreshing Foaming Cleanser 110ml")</f>
        <v xml:space="preserve"> Natural Instinct Refreshing Foaming Cleanser 110ml</v>
      </c>
      <c r="C5157" t="s">
        <v>240</v>
      </c>
      <c r="D5157" t="s">
        <v>400</v>
      </c>
    </row>
    <row r="5158" spans="1:4" x14ac:dyDescent="0.25">
      <c r="B5158" t="str">
        <f>HYPERLINK("https://www.chemistwarehouse.com.au/buy/82570/Natural-Instinct-Rejuvenating-Rosehip-Oil-25ml"," Natural Instinct Rejuvenating Rosehip Oil 25ml")</f>
        <v xml:space="preserve"> Natural Instinct Rejuvenating Rosehip Oil 25ml</v>
      </c>
      <c r="C5158" t="s">
        <v>407</v>
      </c>
      <c r="D5158" t="s">
        <v>376</v>
      </c>
    </row>
    <row r="5159" spans="1:4" x14ac:dyDescent="0.25">
      <c r="B5159" t="str">
        <f>HYPERLINK("https://www.chemistwarehouse.com.au/buy/82571/Natural-Instinct-Restoring-Night-Cream-110ml"," Natural Instinct Restoring Night Cream 110ml")</f>
        <v xml:space="preserve"> Natural Instinct Restoring Night Cream 110ml</v>
      </c>
      <c r="C5159" t="s">
        <v>407</v>
      </c>
      <c r="D5159" t="s">
        <v>376</v>
      </c>
    </row>
    <row r="5160" spans="1:4" x14ac:dyDescent="0.25">
      <c r="B5160" t="str">
        <f>HYPERLINK("https://www.chemistwarehouse.com.au/buy/82572/Natural-Instinct-Skin-Refining-Cleansing-Oil-100ml"," Natural Instinct Skin Refining Cleansing Oil 100ml")</f>
        <v xml:space="preserve"> Natural Instinct Skin Refining Cleansing Oil 100ml</v>
      </c>
      <c r="C5160" t="s">
        <v>495</v>
      </c>
      <c r="D5160" t="s">
        <v>152</v>
      </c>
    </row>
    <row r="5161" spans="1:4" x14ac:dyDescent="0.25">
      <c r="A5161" t="s">
        <v>1349</v>
      </c>
    </row>
    <row r="5162" spans="1:4" x14ac:dyDescent="0.25">
      <c r="B5162" t="str">
        <f>HYPERLINK("https://www.chemistwarehouse.com.au/buy/66024/Oil-Garden-Lemongrass-25ml"," Oil Garden Lemongrass 25ml")</f>
        <v xml:space="preserve"> Oil Garden Lemongrass 25ml</v>
      </c>
      <c r="C5162" t="s">
        <v>290</v>
      </c>
      <c r="D5162" t="s">
        <v>253</v>
      </c>
    </row>
    <row r="5163" spans="1:4" x14ac:dyDescent="0.25">
      <c r="B5163" t="str">
        <f>HYPERLINK("https://www.chemistwarehouse.com.au/buy/66029/Oil-Garden-Sweet-Almond-Oil-200ml"," Oil Garden Sweet Almond Oil 200ml")</f>
        <v xml:space="preserve"> Oil Garden Sweet Almond Oil 200ml</v>
      </c>
      <c r="C5163" t="s">
        <v>237</v>
      </c>
      <c r="D5163" t="s">
        <v>64</v>
      </c>
    </row>
    <row r="5164" spans="1:4" x14ac:dyDescent="0.25">
      <c r="B5164" t="str">
        <f>HYPERLINK("https://www.chemistwarehouse.com.au/buy/66026/Oil-Garden-Peppermint-25ml"," Oil Garden Peppermint 25ml")</f>
        <v xml:space="preserve"> Oil Garden Peppermint 25ml</v>
      </c>
      <c r="C5164" t="s">
        <v>202</v>
      </c>
      <c r="D5164" t="s">
        <v>64</v>
      </c>
    </row>
    <row r="5165" spans="1:4" x14ac:dyDescent="0.25">
      <c r="B5165" t="str">
        <f>HYPERLINK("https://www.chemistwarehouse.com.au/buy/66027/Oil-Garden-Rose-Hip-Oil-25ml"," Oil Garden Rose Hip Oil 25ml")</f>
        <v xml:space="preserve"> Oil Garden Rose Hip Oil 25ml</v>
      </c>
      <c r="C5165" t="s">
        <v>237</v>
      </c>
      <c r="D5165" t="s">
        <v>64</v>
      </c>
    </row>
    <row r="5166" spans="1:4" x14ac:dyDescent="0.25">
      <c r="B5166" t="str">
        <f>HYPERLINK("https://www.chemistwarehouse.com.au/buy/66028/Oil-Garden-Rosemary-25ml"," Oil Garden Rosemary 25ml")</f>
        <v xml:space="preserve"> Oil Garden Rosemary 25ml</v>
      </c>
      <c r="C5166" t="s">
        <v>407</v>
      </c>
      <c r="D5166" t="s">
        <v>225</v>
      </c>
    </row>
    <row r="5167" spans="1:4" x14ac:dyDescent="0.25">
      <c r="B5167" t="str">
        <f>HYPERLINK("https://www.chemistwarehouse.com.au/buy/66030/Oil-Garden-Tea-Tree-25ml"," Oil Garden Tea Tree 25ml")</f>
        <v xml:space="preserve"> Oil Garden Tea Tree 25ml</v>
      </c>
      <c r="C5167" t="s">
        <v>290</v>
      </c>
      <c r="D5167" t="s">
        <v>253</v>
      </c>
    </row>
    <row r="5168" spans="1:4" x14ac:dyDescent="0.25">
      <c r="B5168" t="str">
        <f>HYPERLINK("https://www.chemistwarehouse.com.au/buy/73660/Oil-Garden-Jojoba-Oil-100ml"," Oil Garden Jojoba Oil 100ml")</f>
        <v xml:space="preserve"> Oil Garden Jojoba Oil 100ml</v>
      </c>
      <c r="C5168" t="s">
        <v>404</v>
      </c>
      <c r="D5168" t="s">
        <v>249</v>
      </c>
    </row>
    <row r="5169" spans="2:4" x14ac:dyDescent="0.25">
      <c r="B5169" t="str">
        <f>HYPERLINK("https://www.chemistwarehouse.com.au/buy/74825/Oil-Garden-Love-amp-Friendship-Blend-100ml"," Oil Garden Love &amp; Friendship Blend 100ml")</f>
        <v xml:space="preserve"> Oil Garden Love &amp; Friendship Blend 100ml</v>
      </c>
      <c r="C5169" t="s">
        <v>58</v>
      </c>
      <c r="D5169" t="s">
        <v>169</v>
      </c>
    </row>
    <row r="5170" spans="2:4" x14ac:dyDescent="0.25">
      <c r="B5170" t="str">
        <f>HYPERLINK("https://www.chemistwarehouse.com.au/buy/74826/Oil-Garden-Orange-25ml"," Oil Garden Orange 25ml")</f>
        <v xml:space="preserve"> Oil Garden Orange 25ml</v>
      </c>
      <c r="C5170" t="s">
        <v>290</v>
      </c>
      <c r="D5170" t="s">
        <v>253</v>
      </c>
    </row>
    <row r="5171" spans="2:4" x14ac:dyDescent="0.25">
      <c r="B5171" t="str">
        <f>HYPERLINK("https://www.chemistwarehouse.com.au/buy/74827/Oil-Garden-Pure-Clove-Bud-25ml"," Oil Garden Pure Clove Bud 25ml")</f>
        <v xml:space="preserve"> Oil Garden Pure Clove Bud 25ml</v>
      </c>
      <c r="C5171" t="s">
        <v>233</v>
      </c>
      <c r="D5171" t="s">
        <v>402</v>
      </c>
    </row>
    <row r="5172" spans="2:4" x14ac:dyDescent="0.25">
      <c r="B5172" t="str">
        <f>HYPERLINK("https://www.chemistwarehouse.com.au/buy/74828/Oil-Garden-Refresh-amp-Renew-Blend-25ml"," Oil Garden Refresh &amp; Renew Blend 25ml")</f>
        <v xml:space="preserve"> Oil Garden Refresh &amp; Renew Blend 25ml</v>
      </c>
      <c r="C5172" t="s">
        <v>432</v>
      </c>
      <c r="D5172" t="s">
        <v>1350</v>
      </c>
    </row>
    <row r="5173" spans="2:4" x14ac:dyDescent="0.25">
      <c r="B5173" t="str">
        <f>HYPERLINK("https://www.chemistwarehouse.com.au/buy/74829/Oil-Garden-Rose-Geranium-25ml"," Oil Garden Rose Geranium 25ml")</f>
        <v xml:space="preserve"> Oil Garden Rose Geranium 25ml</v>
      </c>
      <c r="C5173" t="s">
        <v>8</v>
      </c>
      <c r="D5173" t="s">
        <v>164</v>
      </c>
    </row>
    <row r="5174" spans="2:4" x14ac:dyDescent="0.25">
      <c r="B5174" t="str">
        <f>HYPERLINK("https://www.chemistwarehouse.com.au/buy/74830/Oil-Garden-Rose-Water-100ml"," Oil Garden Rose Water 100ml")</f>
        <v xml:space="preserve"> Oil Garden Rose Water 100ml</v>
      </c>
      <c r="C5174" t="s">
        <v>237</v>
      </c>
      <c r="D5174" t="s">
        <v>64</v>
      </c>
    </row>
    <row r="5175" spans="2:4" x14ac:dyDescent="0.25">
      <c r="B5175" t="str">
        <f>HYPERLINK("https://www.chemistwarehouse.com.au/buy/74831/Oil-Garden-Tranquil-amp-Calm-Blend-25ml"," Oil Garden Tranquil &amp; Calm Blend 25ml")</f>
        <v xml:space="preserve"> Oil Garden Tranquil &amp; Calm Blend 25ml</v>
      </c>
      <c r="C5175" t="s">
        <v>173</v>
      </c>
      <c r="D5175" t="s">
        <v>283</v>
      </c>
    </row>
    <row r="5176" spans="2:4" x14ac:dyDescent="0.25">
      <c r="B5176" t="str">
        <f>HYPERLINK("https://www.chemistwarehouse.com.au/buy/81422/Oil-Garden-Certified-Organic-Skincare-Balancing-Facial-Cleanser-110ml"," Oil Garden Certified Organic Skincare Balancing Facial Cleanser 110ml")</f>
        <v xml:space="preserve"> Oil Garden Certified Organic Skincare Balancing Facial Cleanser 110ml</v>
      </c>
      <c r="C5176" t="s">
        <v>161</v>
      </c>
      <c r="D5176">
        <v>0</v>
      </c>
    </row>
    <row r="5177" spans="2:4" x14ac:dyDescent="0.25">
      <c r="B5177" t="str">
        <f>HYPERLINK("https://www.chemistwarehouse.com.au/buy/81423/Oil-Garden-Certified-Organic-Skincare-Clarifying-Facial-Scrub-75ml"," Oil Garden Certified Organic Skincare Clarifying Facial Scrub 75ml")</f>
        <v xml:space="preserve"> Oil Garden Certified Organic Skincare Clarifying Facial Scrub 75ml</v>
      </c>
      <c r="C5177" t="s">
        <v>10</v>
      </c>
      <c r="D5177">
        <v>0</v>
      </c>
    </row>
    <row r="5178" spans="2:4" x14ac:dyDescent="0.25">
      <c r="B5178" t="str">
        <f>HYPERLINK("https://www.chemistwarehouse.com.au/buy/81424/Oil-Garden-Certified-Organic-Skincare-Nourishing-Facial-Moisturiser-50ml"," Oil Garden Certified Organic Skincare Nourishing Facial Moisturiser 50ml")</f>
        <v xml:space="preserve"> Oil Garden Certified Organic Skincare Nourishing Facial Moisturiser 50ml</v>
      </c>
      <c r="C5178" t="s">
        <v>6</v>
      </c>
      <c r="D5178">
        <v>0</v>
      </c>
    </row>
    <row r="5179" spans="2:4" x14ac:dyDescent="0.25">
      <c r="B5179" t="str">
        <f>HYPERLINK("https://www.chemistwarehouse.com.au/buy/66025/Oil-Garden-Patchouli-25ml"," Oil Garden Patchouli 25ml")</f>
        <v xml:space="preserve"> Oil Garden Patchouli 25ml</v>
      </c>
      <c r="C5179" t="s">
        <v>432</v>
      </c>
      <c r="D5179" t="s">
        <v>1350</v>
      </c>
    </row>
    <row r="5180" spans="2:4" x14ac:dyDescent="0.25">
      <c r="B5180" t="str">
        <f>HYPERLINK("https://www.chemistwarehouse.com.au/buy/66020/Oil-Garden-Breathe-Easier-25ml"," Oil Garden Breathe Easier 25ml")</f>
        <v xml:space="preserve"> Oil Garden Breathe Easier 25ml</v>
      </c>
      <c r="C5180" t="s">
        <v>202</v>
      </c>
      <c r="D5180" t="s">
        <v>64</v>
      </c>
    </row>
    <row r="5181" spans="2:4" x14ac:dyDescent="0.25">
      <c r="B5181" t="str">
        <f>HYPERLINK("https://www.chemistwarehouse.com.au/buy/66022/Oil-Garden-Lavender-25ml"," Oil Garden Lavender 25ml")</f>
        <v xml:space="preserve"> Oil Garden Lavender 25ml</v>
      </c>
      <c r="C5181" t="s">
        <v>8</v>
      </c>
      <c r="D5181" t="s">
        <v>164</v>
      </c>
    </row>
    <row r="5182" spans="2:4" x14ac:dyDescent="0.25">
      <c r="B5182" t="str">
        <f>HYPERLINK("https://www.chemistwarehouse.com.au/buy/66023/Oil-Garden-Lemon-25ml"," Oil Garden Lemon 25ml")</f>
        <v xml:space="preserve"> Oil Garden Lemon 25ml</v>
      </c>
      <c r="C5182" t="s">
        <v>269</v>
      </c>
      <c r="D5182" t="s">
        <v>206</v>
      </c>
    </row>
    <row r="5183" spans="2:4" x14ac:dyDescent="0.25">
      <c r="B5183" t="str">
        <f>HYPERLINK("https://www.chemistwarehouse.com.au/buy/81426/Oil-Garden-Certified-Organic-Skincare-Replenishing-Night-Cream-50ml"," Oil Garden Certified Organic Skincare Replenishing Night Cream 50ml")</f>
        <v xml:space="preserve"> Oil Garden Certified Organic Skincare Replenishing Night Cream 50ml</v>
      </c>
      <c r="C5183" t="s">
        <v>6</v>
      </c>
      <c r="D5183">
        <v>0</v>
      </c>
    </row>
    <row r="5184" spans="2:4" x14ac:dyDescent="0.25">
      <c r="B5184" t="str">
        <f>HYPERLINK("https://www.chemistwarehouse.com.au/buy/81427/Oil-Garden-Certified-Organic-Skincare-Soothing-Hand-Cream-75ml"," Oil Garden Certified Organic Skincare Soothing Hand Cream 75ml")</f>
        <v xml:space="preserve"> Oil Garden Certified Organic Skincare Soothing Hand Cream 75ml</v>
      </c>
      <c r="C5184" t="s">
        <v>1</v>
      </c>
      <c r="D5184">
        <v>0</v>
      </c>
    </row>
    <row r="5185" spans="1:4" x14ac:dyDescent="0.25">
      <c r="B5185" t="str">
        <f>HYPERLINK("https://www.chemistwarehouse.com.au/buy/82501/Oil-Garden-Balance-and-Harmony-Blend-25ml"," Oil Garden Balance and Harmony Blend 25ml")</f>
        <v xml:space="preserve"> Oil Garden Balance and Harmony Blend 25ml</v>
      </c>
      <c r="C5185" t="s">
        <v>404</v>
      </c>
      <c r="D5185" t="s">
        <v>249</v>
      </c>
    </row>
    <row r="5186" spans="1:4" x14ac:dyDescent="0.25">
      <c r="A5186" t="s">
        <v>1351</v>
      </c>
    </row>
    <row r="5187" spans="1:4" x14ac:dyDescent="0.25">
      <c r="B5187" t="str">
        <f>HYPERLINK("https://www.chemistwarehouse.com.au/buy/76917/7th-Heaven-Creamy-Coconut-Mask-15ml"," 7th Heaven Creamy Coconut Mask 15ml")</f>
        <v xml:space="preserve"> 7th Heaven Creamy Coconut Mask 15ml</v>
      </c>
      <c r="C5187" t="s">
        <v>483</v>
      </c>
      <c r="D5187" t="s">
        <v>371</v>
      </c>
    </row>
    <row r="5188" spans="1:4" x14ac:dyDescent="0.25">
      <c r="B5188" t="str">
        <f>HYPERLINK("https://www.chemistwarehouse.com.au/buy/76919/7th-Heaven-Manuka-Honey-Peel-Off-Mask-10ml"," 7th Heaven Manuka Honey Peel Off Mask 10ml")</f>
        <v xml:space="preserve"> 7th Heaven Manuka Honey Peel Off Mask 10ml</v>
      </c>
      <c r="C5188" t="s">
        <v>483</v>
      </c>
      <c r="D5188" t="s">
        <v>371</v>
      </c>
    </row>
    <row r="5189" spans="1:4" x14ac:dyDescent="0.25">
      <c r="B5189" t="str">
        <f>HYPERLINK("https://www.chemistwarehouse.com.au/buy/81412/7th-Heaven-Black-Seaweed-Peel-Off-Masque-10ml"," 7th Heaven Black Seaweed Peel Off Masque 10ml")</f>
        <v xml:space="preserve"> 7th Heaven Black Seaweed Peel Off Masque 10ml</v>
      </c>
      <c r="C5189" t="s">
        <v>483</v>
      </c>
      <c r="D5189" t="s">
        <v>371</v>
      </c>
    </row>
    <row r="5190" spans="1:4" x14ac:dyDescent="0.25">
      <c r="B5190" t="str">
        <f>HYPERLINK("https://www.chemistwarehouse.com.au/buy/81413/7th-Heaven-Hot-Spring-Sauna-Masque-10ml"," 7th Heaven Hot Spring Sauna Masque 10ml")</f>
        <v xml:space="preserve"> 7th Heaven Hot Spring Sauna Masque 10ml</v>
      </c>
      <c r="C5190" t="s">
        <v>483</v>
      </c>
      <c r="D5190" t="s">
        <v>371</v>
      </c>
    </row>
    <row r="5191" spans="1:4" x14ac:dyDescent="0.25">
      <c r="A5191" t="s">
        <v>1352</v>
      </c>
    </row>
    <row r="5192" spans="1:4" x14ac:dyDescent="0.25">
      <c r="B5192" t="str">
        <f>HYPERLINK("https://www.chemistwarehouse.com.au/buy/77256/Natura-Siberica-Oblepikha-Body-Butter-300ml"," Natura Siberica Oblepikha Body Butter 300ml")</f>
        <v xml:space="preserve"> Natura Siberica Oblepikha Body Butter 300ml</v>
      </c>
      <c r="C5192" t="s">
        <v>61</v>
      </c>
      <c r="D5192" t="s">
        <v>64</v>
      </c>
    </row>
    <row r="5193" spans="1:4" x14ac:dyDescent="0.25">
      <c r="B5193" t="str">
        <f>HYPERLINK("https://www.chemistwarehouse.com.au/buy/77257/Natura-Siberica-Oblepikha-Foot-Cream-75ml"," Natura Siberica Oblepikha Foot Cream 75ml")</f>
        <v xml:space="preserve"> Natura Siberica Oblepikha Foot Cream 75ml</v>
      </c>
      <c r="C5193" t="s">
        <v>45</v>
      </c>
      <c r="D5193" t="s">
        <v>162</v>
      </c>
    </row>
    <row r="5194" spans="1:4" x14ac:dyDescent="0.25">
      <c r="B5194" t="str">
        <f>HYPERLINK("https://www.chemistwarehouse.com.au/buy/77258/Natura-Siberica-Oblepikha-Hand-Cream-75ml"," Natura Siberica Oblepikha Hand Cream 75ml")</f>
        <v xml:space="preserve"> Natura Siberica Oblepikha Hand Cream 75ml</v>
      </c>
      <c r="C5194" t="s">
        <v>45</v>
      </c>
      <c r="D5194" t="s">
        <v>162</v>
      </c>
    </row>
    <row r="5195" spans="1:4" x14ac:dyDescent="0.25">
      <c r="B5195" t="str">
        <f>HYPERLINK("https://www.chemistwarehouse.com.au/buy/77239/Natura-Siberica-Extra-Firming-Hand-Cream-75ml"," Natura Siberica Extra-Firming Hand Cream 75ml")</f>
        <v xml:space="preserve"> Natura Siberica Extra-Firming Hand Cream 75ml</v>
      </c>
      <c r="C5195" t="s">
        <v>32</v>
      </c>
      <c r="D5195" t="s">
        <v>64</v>
      </c>
    </row>
    <row r="5196" spans="1:4" x14ac:dyDescent="0.25">
      <c r="B5196" t="str">
        <f>HYPERLINK("https://www.chemistwarehouse.com.au/buy/77241/Natura-Siberica-Lifting-Hand-Cream-75ml"," Natura Siberica Lifting Hand Cream 75ml")</f>
        <v xml:space="preserve"> Natura Siberica Lifting Hand Cream 75ml</v>
      </c>
      <c r="C5196" t="s">
        <v>32</v>
      </c>
      <c r="D5196" t="s">
        <v>64</v>
      </c>
    </row>
    <row r="5197" spans="1:4" x14ac:dyDescent="0.25">
      <c r="B5197" t="str">
        <f>HYPERLINK("https://www.chemistwarehouse.com.au/buy/77255/Natura-Siberica-Oblepikha-and-Honey-Body-Scrub-300ml"," Natura Siberica Oblepikha and Honey Body Scrub 300ml")</f>
        <v xml:space="preserve"> Natura Siberica Oblepikha and Honey Body Scrub 300ml</v>
      </c>
      <c r="C5197" t="s">
        <v>187</v>
      </c>
      <c r="D5197" t="s">
        <v>162</v>
      </c>
    </row>
    <row r="5198" spans="1:4" x14ac:dyDescent="0.25">
      <c r="A5198" t="s">
        <v>1353</v>
      </c>
    </row>
    <row r="5199" spans="1:4" x14ac:dyDescent="0.25">
      <c r="B5199" t="str">
        <f>HYPERLINK("https://www.chemistwarehouse.com.au/buy/77249/Natura-Siberica-Oblepikha-Intensive-Hydration-Conditioner-400ml"," Natura Siberica Oblepikha Intensive Hydration Conditioner 400ml")</f>
        <v xml:space="preserve"> Natura Siberica Oblepikha Intensive Hydration Conditioner 400ml</v>
      </c>
      <c r="C5199" t="s">
        <v>187</v>
      </c>
      <c r="D5199" t="s">
        <v>115</v>
      </c>
    </row>
    <row r="5200" spans="1:4" x14ac:dyDescent="0.25">
      <c r="B5200" t="str">
        <f>HYPERLINK("https://www.chemistwarehouse.com.au/buy/77250/Natura-Siberica-Oblepikha-Intensive-Hydration-Shampoo-400ml"," Natura Siberica Oblepikha Intensive Hydration Shampoo 400ml")</f>
        <v xml:space="preserve"> Natura Siberica Oblepikha Intensive Hydration Shampoo 400ml</v>
      </c>
      <c r="C5200" t="s">
        <v>187</v>
      </c>
      <c r="D5200" t="s">
        <v>115</v>
      </c>
    </row>
    <row r="5201" spans="1:4" x14ac:dyDescent="0.25">
      <c r="B5201" t="str">
        <f>HYPERLINK("https://www.chemistwarehouse.com.au/buy/77251/Natura-Siberica-Oblepikha-Mask-for-Severely-Damaged-Hair-300ml"," Natura Siberica Oblepikha Mask for Severely Damaged Hair 300ml")</f>
        <v xml:space="preserve"> Natura Siberica Oblepikha Mask for Severely Damaged Hair 300ml</v>
      </c>
      <c r="C5201" t="s">
        <v>1</v>
      </c>
      <c r="D5201" t="s">
        <v>162</v>
      </c>
    </row>
    <row r="5202" spans="1:4" x14ac:dyDescent="0.25">
      <c r="B5202" t="str">
        <f>HYPERLINK("https://www.chemistwarehouse.com.au/buy/77252/Natura-Siberica-Oblepikha-Nutrition-and-Repair-Conditioner-400ml"," Natura Siberica Oblepikha Nutrition and Repair Conditioner 400ml")</f>
        <v xml:space="preserve"> Natura Siberica Oblepikha Nutrition and Repair Conditioner 400ml</v>
      </c>
      <c r="C5202" t="s">
        <v>187</v>
      </c>
      <c r="D5202" t="s">
        <v>115</v>
      </c>
    </row>
    <row r="5203" spans="1:4" x14ac:dyDescent="0.25">
      <c r="B5203" t="str">
        <f>HYPERLINK("https://www.chemistwarehouse.com.au/buy/77253/Natura-Siberica-Oblepikha-Nutrition-and-Repair-Shampoo-400ml"," Natura Siberica Oblepikha Nutrition and Repair Shampoo 400ml")</f>
        <v xml:space="preserve"> Natura Siberica Oblepikha Nutrition and Repair Shampoo 400ml</v>
      </c>
      <c r="C5203" t="s">
        <v>187</v>
      </c>
      <c r="D5203" t="s">
        <v>115</v>
      </c>
    </row>
    <row r="5204" spans="1:4" x14ac:dyDescent="0.25">
      <c r="B5204" t="str">
        <f>HYPERLINK("https://www.chemistwarehouse.com.au/buy/77254/Natura-Siberica-Oblepikha-Oil-Complex-for-Damaged-Hair-50ml"," Natura Siberica Oblepikha Oil Complex for Damaged Hair 50ml")</f>
        <v xml:space="preserve"> Natura Siberica Oblepikha Oil Complex for Damaged Hair 50ml</v>
      </c>
      <c r="C5204" t="s">
        <v>61</v>
      </c>
      <c r="D5204" t="s">
        <v>164</v>
      </c>
    </row>
    <row r="5205" spans="1:4" x14ac:dyDescent="0.25">
      <c r="A5205" t="s">
        <v>1354</v>
      </c>
    </row>
    <row r="5206" spans="1:4" x14ac:dyDescent="0.25">
      <c r="B5206" t="str">
        <f>HYPERLINK("https://www.chemistwarehouse.com.au/buy/77240/Natura-Siberica-Hydrating-Cream-Soap-500ml"," Natura Siberica Hydrating Cream Soap 500ml")</f>
        <v xml:space="preserve"> Natura Siberica Hydrating Cream Soap 500ml</v>
      </c>
      <c r="C5206" t="s">
        <v>32</v>
      </c>
      <c r="D5206" t="s">
        <v>104</v>
      </c>
    </row>
    <row r="5207" spans="1:4" x14ac:dyDescent="0.25">
      <c r="B5207" t="str">
        <f>HYPERLINK("https://www.chemistwarehouse.com.au/buy/77242/Natura-Siberica-Oblepikha-Active-Revival-Bath-Foam-550ml"," Natura Siberica Oblepikha Active Revival Bath Foam 550ml")</f>
        <v xml:space="preserve"> Natura Siberica Oblepikha Active Revival Bath Foam 550ml</v>
      </c>
      <c r="C5207" t="s">
        <v>32</v>
      </c>
      <c r="D5207" t="s">
        <v>104</v>
      </c>
    </row>
    <row r="5208" spans="1:4" x14ac:dyDescent="0.25">
      <c r="B5208" t="str">
        <f>HYPERLINK("https://www.chemistwarehouse.com.au/buy/77243/Natura-Siberica-Oblepikha-Energizing-Freshness-Shower-Gel-160-400ml"," Natura Siberica Oblepikha Energizing Freshness Shower Gel 400ml")</f>
        <v xml:space="preserve"> Natura Siberica Oblepikha Energizing Freshness Shower Gel 400ml</v>
      </c>
      <c r="C5208" t="s">
        <v>32</v>
      </c>
      <c r="D5208" t="s">
        <v>104</v>
      </c>
    </row>
    <row r="5209" spans="1:4" x14ac:dyDescent="0.25">
      <c r="B5209" t="str">
        <f>HYPERLINK("https://www.chemistwarehouse.com.au/buy/77244/Natura-Siberica-Oblepikha-Intensive-Nutrition-and-Hydration-Bath-Foam-550ml"," Natura Siberica Oblepikha Intensive Nutrition and Hydration Bath Foam 550ml")</f>
        <v xml:space="preserve"> Natura Siberica Oblepikha Intensive Nutrition and Hydration Bath Foam 550ml</v>
      </c>
      <c r="C5209" t="s">
        <v>32</v>
      </c>
      <c r="D5209" t="s">
        <v>104</v>
      </c>
    </row>
    <row r="5210" spans="1:4" x14ac:dyDescent="0.25">
      <c r="B5210" t="str">
        <f>HYPERLINK("https://www.chemistwarehouse.com.au/buy/77245/Natura-Siberica-Oblepikha-Intensive-Nutrition-and-Hydration-Shower-Gel-400ml"," Natura Siberica Oblepikha Intensive Nutrition and Hydration Shower Gel 400ml")</f>
        <v xml:space="preserve"> Natura Siberica Oblepikha Intensive Nutrition and Hydration Shower Gel 400ml</v>
      </c>
      <c r="C5210" t="s">
        <v>32</v>
      </c>
      <c r="D5210" t="s">
        <v>104</v>
      </c>
    </row>
    <row r="5211" spans="1:4" x14ac:dyDescent="0.25">
      <c r="B5211" t="str">
        <f>HYPERLINK("https://www.chemistwarehouse.com.au/buy/77246/Natura-Siberica-Revitalizing-Bath-Salt-600g"," Natura Siberica Revitalizing Bath Salt 600g")</f>
        <v xml:space="preserve"> Natura Siberica Revitalizing Bath Salt 600g</v>
      </c>
      <c r="C5211" t="s">
        <v>45</v>
      </c>
      <c r="D5211" t="s">
        <v>162</v>
      </c>
    </row>
    <row r="5212" spans="1:4" x14ac:dyDescent="0.25">
      <c r="B5212" t="str">
        <f>HYPERLINK("https://www.chemistwarehouse.com.au/buy/77247/Natura-Siberica-Nourishing-Cream-Soap-500ml"," Natura Siberica Nourishing Cream Soap 500ml")</f>
        <v xml:space="preserve"> Natura Siberica Nourishing Cream Soap 500ml</v>
      </c>
      <c r="C5212" t="s">
        <v>32</v>
      </c>
      <c r="D5212" t="s">
        <v>104</v>
      </c>
    </row>
    <row r="5213" spans="1:4" x14ac:dyDescent="0.25">
      <c r="B5213" t="str">
        <f>HYPERLINK("https://www.chemistwarehouse.com.au/buy/77248/Natura-Siberica-Softening-Cream-Soap-500ml"," Natura Siberica Softening Cream Soap 500ml")</f>
        <v xml:space="preserve"> Natura Siberica Softening Cream Soap 500ml</v>
      </c>
      <c r="C5213" t="s">
        <v>32</v>
      </c>
      <c r="D5213" t="s">
        <v>104</v>
      </c>
    </row>
    <row r="5214" spans="1:4" x14ac:dyDescent="0.25">
      <c r="A5214" t="s">
        <v>1355</v>
      </c>
    </row>
    <row r="5215" spans="1:4" x14ac:dyDescent="0.25">
      <c r="B5215" t="str">
        <f>HYPERLINK("https://www.chemistwarehouse.com.au/buy/76670/Real-Paw-Paw-25g"," Real Paw Paw 25g")</f>
        <v xml:space="preserve"> Real Paw Paw 25g</v>
      </c>
      <c r="C5215" t="s">
        <v>146</v>
      </c>
      <c r="D5215">
        <v>0</v>
      </c>
    </row>
    <row r="5216" spans="1:4" x14ac:dyDescent="0.25">
      <c r="B5216" t="str">
        <f>HYPERLINK("https://www.chemistwarehouse.com.au/buy/41820/Lucas-Papaw-Ointment-25g"," Lucas Papaw Ointment 25g")</f>
        <v xml:space="preserve"> Lucas Papaw Ointment 25g</v>
      </c>
      <c r="C5216" t="s">
        <v>556</v>
      </c>
      <c r="D5216" t="s">
        <v>624</v>
      </c>
    </row>
    <row r="5217" spans="1:4" x14ac:dyDescent="0.25">
      <c r="B5217" t="str">
        <f>HYPERLINK("https://www.chemistwarehouse.com.au/buy/31207/Lucas-Papaw-Ointment-75g"," Lucas Papaw Ointment 75g")</f>
        <v xml:space="preserve"> Lucas Papaw Ointment 75g</v>
      </c>
      <c r="C5217" t="s">
        <v>45</v>
      </c>
      <c r="D5217" t="s">
        <v>1356</v>
      </c>
    </row>
    <row r="5218" spans="1:4" x14ac:dyDescent="0.25">
      <c r="B5218" t="str">
        <f>HYPERLINK("https://www.chemistwarehouse.com.au/buy/66513/Healthy-Care-Paw-Paw-Rosehip-amp-Manuka-Lip-Balm-10g"," Healthy Care Paw Paw Rosehip &amp; Manuka Lip Balm 10g")</f>
        <v xml:space="preserve"> Healthy Care Paw Paw Rosehip &amp; Manuka Lip Balm 10g</v>
      </c>
      <c r="C5218" t="s">
        <v>146</v>
      </c>
      <c r="D5218">
        <v>0</v>
      </c>
    </row>
    <row r="5219" spans="1:4" x14ac:dyDescent="0.25">
      <c r="B5219" t="str">
        <f>HYPERLINK("https://www.chemistwarehouse.com.au/buy/31206/Lucas-Papaw-Ointment-200g"," Lucas Papaw Ointment 200g")</f>
        <v xml:space="preserve"> Lucas Papaw Ointment 200g</v>
      </c>
      <c r="C5219" t="s">
        <v>10</v>
      </c>
      <c r="D5219" t="s">
        <v>899</v>
      </c>
    </row>
    <row r="5220" spans="1:4" x14ac:dyDescent="0.25">
      <c r="B5220" t="str">
        <f>HYPERLINK("https://www.chemistwarehouse.com.au/buy/63921/Healthy-Care-Paw-Paw-Lip-Balm-10g"," Healthy Care Paw Paw Lip Balm 10g")</f>
        <v xml:space="preserve"> Healthy Care Paw Paw Lip Balm 10g</v>
      </c>
      <c r="C5220" t="s">
        <v>691</v>
      </c>
      <c r="D5220">
        <v>0</v>
      </c>
    </row>
    <row r="5221" spans="1:4" x14ac:dyDescent="0.25">
      <c r="B5221" t="str">
        <f>HYPERLINK("https://www.chemistwarehouse.com.au/buy/68509/Healthy-Care-All-Natural-Paw-Paw-Baby-Shampoo-Wash-500ml"," Healthy Care All Natural Paw Paw Baby Shampoo Wash 500ml")</f>
        <v xml:space="preserve"> Healthy Care All Natural Paw Paw Baby Shampoo Wash 500ml</v>
      </c>
      <c r="C5221" t="s">
        <v>103</v>
      </c>
      <c r="D5221">
        <v>0</v>
      </c>
    </row>
    <row r="5222" spans="1:4" x14ac:dyDescent="0.25">
      <c r="B5222" t="str">
        <f>HYPERLINK("https://www.chemistwarehouse.com.au/buy/69338/Pure-Paw-Paw-Ointment-25g"," Pure Paw Paw Ointment 25g")</f>
        <v xml:space="preserve"> Pure Paw Paw Ointment 25g</v>
      </c>
      <c r="C5222" t="s">
        <v>1357</v>
      </c>
      <c r="D5222" t="s">
        <v>1358</v>
      </c>
    </row>
    <row r="5223" spans="1:4" x14ac:dyDescent="0.25">
      <c r="B5223" t="str">
        <f>HYPERLINK("https://www.chemistwarehouse.com.au/buy/55883/Healthy-Care-Paw-Paw-Balm-100g"," Healthy Care Paw Paw Balm 100g")</f>
        <v xml:space="preserve"> Healthy Care Paw Paw Balm 100g</v>
      </c>
      <c r="C5223" t="s">
        <v>103</v>
      </c>
      <c r="D5223">
        <v>0</v>
      </c>
    </row>
    <row r="5224" spans="1:4" x14ac:dyDescent="0.25">
      <c r="B5224" t="str">
        <f>HYPERLINK("https://www.chemistwarehouse.com.au/buy/55884/Healthy-Care-Paw-Paw-Balm-30g"," Healthy Care Paw Paw Balm 30g")</f>
        <v xml:space="preserve"> Healthy Care Paw Paw Balm 30g</v>
      </c>
      <c r="C5224" t="s">
        <v>775</v>
      </c>
      <c r="D5224">
        <v>0</v>
      </c>
    </row>
    <row r="5225" spans="1:4" x14ac:dyDescent="0.25">
      <c r="B5225" t="str">
        <f>HYPERLINK("https://www.chemistwarehouse.com.au/buy/68508/Healthy-Care-All-Natural-Paw-Paw-Baby-Balm-100g"," Healthy Care All Natural Paw Paw Baby Balm 100g")</f>
        <v xml:space="preserve"> Healthy Care All Natural Paw Paw Baby Balm 100g</v>
      </c>
      <c r="C5225" t="s">
        <v>116</v>
      </c>
      <c r="D5225">
        <v>0</v>
      </c>
    </row>
    <row r="5226" spans="1:4" x14ac:dyDescent="0.25">
      <c r="B5226" t="str">
        <f>HYPERLINK("https://www.chemistwarehouse.com.au/buy/77226/Real-Paw-Paw-200g"," Real Paw Paw 200g")</f>
        <v xml:space="preserve"> Real Paw Paw 200g</v>
      </c>
      <c r="C5226" t="s">
        <v>8</v>
      </c>
      <c r="D5226">
        <v>0</v>
      </c>
    </row>
    <row r="5227" spans="1:4" x14ac:dyDescent="0.25">
      <c r="B5227" t="str">
        <f>HYPERLINK("https://www.chemistwarehouse.com.au/buy/77227/Real-Paw-Paw-75g"," Real Paw Paw 75g")</f>
        <v xml:space="preserve"> Real Paw Paw 75g</v>
      </c>
      <c r="C5227" t="s">
        <v>92</v>
      </c>
      <c r="D5227">
        <v>0</v>
      </c>
    </row>
    <row r="5228" spans="1:4" x14ac:dyDescent="0.25">
      <c r="B5228" t="str">
        <f>HYPERLINK("https://www.chemistwarehouse.com.au/buy/80301/Sukin-Paw-Paw-Ointment-25ml"," Sukin Paw Paw Ointment 25ml")</f>
        <v xml:space="preserve"> Sukin Paw Paw Ointment 25ml</v>
      </c>
      <c r="C5228" t="s">
        <v>242</v>
      </c>
      <c r="D5228" t="s">
        <v>400</v>
      </c>
    </row>
    <row r="5229" spans="1:4" x14ac:dyDescent="0.25">
      <c r="B5229" t="str">
        <f>HYPERLINK("https://www.chemistwarehouse.com.au/buy/72628/Pure-Paw-Paw-Ointment-Yellow-25g"," Pure Paw Paw Ointment Yellow 25g")</f>
        <v xml:space="preserve"> Pure Paw Paw Ointment Yellow 25g</v>
      </c>
      <c r="C5229" t="s">
        <v>281</v>
      </c>
      <c r="D5229" t="s">
        <v>1359</v>
      </c>
    </row>
    <row r="5230" spans="1:4" x14ac:dyDescent="0.25">
      <c r="A5230" t="s">
        <v>1360</v>
      </c>
    </row>
    <row r="5231" spans="1:4" x14ac:dyDescent="0.25">
      <c r="B5231" t="str">
        <f>HYPERLINK("https://www.chemistwarehouse.com.au/buy/54578/Martin-amp-Pleasance-Herbal-Cream-Calendula-100g"," Martin &amp; Pleasance Herbal Cream Calendula 100g")</f>
        <v xml:space="preserve"> Martin &amp; Pleasance Herbal Cream Calendula 100g</v>
      </c>
      <c r="C5231" t="s">
        <v>80</v>
      </c>
      <c r="D5231" t="s">
        <v>1307</v>
      </c>
    </row>
    <row r="5232" spans="1:4" x14ac:dyDescent="0.25">
      <c r="B5232" t="str">
        <f>HYPERLINK("https://www.chemistwarehouse.com.au/buy/54576/Martin-amp-Pleasance-Herbal-Cream-Comfrey-100g"," Martin &amp; Pleasance Herbal Cream Comfrey 100g")</f>
        <v xml:space="preserve"> Martin &amp; Pleasance Herbal Cream Comfrey 100g</v>
      </c>
      <c r="C5232" t="s">
        <v>80</v>
      </c>
      <c r="D5232" t="s">
        <v>1307</v>
      </c>
    </row>
    <row r="5233" spans="1:4" x14ac:dyDescent="0.25">
      <c r="B5233" t="str">
        <f>HYPERLINK("https://www.chemistwarehouse.com.au/buy/54579/Martin-amp-Pleasance-Arnica-Cream-100g"," Martin &amp; Pleasance Arnica Cream 100g")</f>
        <v xml:space="preserve"> Martin &amp; Pleasance Arnica Cream 100g</v>
      </c>
      <c r="C5233" t="s">
        <v>45</v>
      </c>
      <c r="D5233" t="s">
        <v>702</v>
      </c>
    </row>
    <row r="5234" spans="1:4" x14ac:dyDescent="0.25">
      <c r="A5234" t="s">
        <v>1361</v>
      </c>
    </row>
    <row r="5235" spans="1:4" x14ac:dyDescent="0.25">
      <c r="B5235" t="str">
        <f>HYPERLINK("https://www.chemistwarehouse.com.au/buy/78839/La-Roche-Posay-Serozinc-150ml"," La Roche-Posay Serozinc 150ml")</f>
        <v xml:space="preserve"> La Roche-Posay Serozinc 150ml</v>
      </c>
      <c r="C5235" t="s">
        <v>173</v>
      </c>
      <c r="D5235" t="s">
        <v>145</v>
      </c>
    </row>
    <row r="5236" spans="1:4" x14ac:dyDescent="0.25">
      <c r="B5236" t="str">
        <f>HYPERLINK("https://www.chemistwarehouse.com.au/buy/78820/La-Roche-Posay-Effaclar-Anti-Acne-Starter-Kit"," La Roche-Posay Effaclar Anti Acne Starter Kit")</f>
        <v xml:space="preserve"> La Roche-Posay Effaclar Anti Acne Starter Kit</v>
      </c>
      <c r="C5236" t="s">
        <v>292</v>
      </c>
      <c r="D5236" t="s">
        <v>329</v>
      </c>
    </row>
    <row r="5237" spans="1:4" x14ac:dyDescent="0.25">
      <c r="B5237" t="str">
        <f>HYPERLINK("https://www.chemistwarehouse.com.au/buy/78821/La-Roche-Posay-Effaclar-Duo-Plus-160-40ml"," La Roche-Posay Effaclar Duo Plus 40ml")</f>
        <v xml:space="preserve"> La Roche-Posay Effaclar Duo Plus 40ml</v>
      </c>
      <c r="C5237" t="s">
        <v>230</v>
      </c>
      <c r="D5237" t="s">
        <v>336</v>
      </c>
    </row>
    <row r="5238" spans="1:4" x14ac:dyDescent="0.25">
      <c r="B5238" t="str">
        <f>HYPERLINK("https://www.chemistwarehouse.com.au/buy/78822/La-Roche-Posay-Effaclar-Foaming-Gel-200ml"," La Roche-Posay Effaclar Foaming Gel 200ml")</f>
        <v xml:space="preserve"> La Roche-Posay Effaclar Foaming Gel 200ml</v>
      </c>
      <c r="C5238" t="s">
        <v>173</v>
      </c>
      <c r="D5238" t="s">
        <v>145</v>
      </c>
    </row>
    <row r="5239" spans="1:4" x14ac:dyDescent="0.25">
      <c r="B5239" t="str">
        <f>HYPERLINK("https://www.chemistwarehouse.com.au/buy/78823/La-Roche-Posay-Effaclar-Micellar-Water-200ml"," La Roche-Posay Effaclar Micellar Water 200ml")</f>
        <v xml:space="preserve"> La Roche-Posay Effaclar Micellar Water 200ml</v>
      </c>
      <c r="C5239" t="s">
        <v>8</v>
      </c>
      <c r="D5239" t="s">
        <v>154</v>
      </c>
    </row>
    <row r="5240" spans="1:4" x14ac:dyDescent="0.25">
      <c r="A5240" t="s">
        <v>1362</v>
      </c>
    </row>
    <row r="5241" spans="1:4" x14ac:dyDescent="0.25">
      <c r="B5241" t="str">
        <f>HYPERLINK("https://www.chemistwarehouse.com.au/buy/78842/La-Roche-Posay-Thermal-Spring-Water-50ml"," La Roche-Posay Thermal Spring Water 50ml")</f>
        <v xml:space="preserve"> La Roche-Posay Thermal Spring Water 50ml</v>
      </c>
      <c r="C5241" t="s">
        <v>240</v>
      </c>
      <c r="D5241" t="s">
        <v>400</v>
      </c>
    </row>
    <row r="5242" spans="1:4" x14ac:dyDescent="0.25">
      <c r="B5242" t="str">
        <f>HYPERLINK("https://www.chemistwarehouse.com.au/buy/78843/La-Roche-Posay-Toleriane-Dermo-Cleanser-200ml"," La Roche-Posay Toleriane Dermo Cleanser 200ml")</f>
        <v xml:space="preserve"> La Roche-Posay Toleriane Dermo Cleanser 200ml</v>
      </c>
      <c r="C5242" t="s">
        <v>8</v>
      </c>
      <c r="D5242" t="s">
        <v>154</v>
      </c>
    </row>
    <row r="5243" spans="1:4" x14ac:dyDescent="0.25">
      <c r="B5243" t="str">
        <f>HYPERLINK("https://www.chemistwarehouse.com.au/buy/78844/La-Roche-Posay-Toleriane-Riche-Soothing-And-Protective-Cream-40ml"," La Roche-Posay Toleriane Riche Soothing And Protective Cream 40ml")</f>
        <v xml:space="preserve"> La Roche-Posay Toleriane Riche Soothing And Protective Cream 40ml</v>
      </c>
      <c r="C5243" t="s">
        <v>1</v>
      </c>
      <c r="D5243" t="s">
        <v>160</v>
      </c>
    </row>
    <row r="5244" spans="1:4" x14ac:dyDescent="0.25">
      <c r="B5244" t="str">
        <f>HYPERLINK("https://www.chemistwarehouse.com.au/buy/78845/La-Roche-Posay-Toleriane-Foaming-Gel-150ml"," La Roche-Posay Toleriane Foaming Gel 150ml")</f>
        <v xml:space="preserve"> La Roche-Posay Toleriane Foaming Gel 150ml</v>
      </c>
      <c r="C5244" t="s">
        <v>8</v>
      </c>
      <c r="D5244" t="s">
        <v>154</v>
      </c>
    </row>
    <row r="5245" spans="1:4" x14ac:dyDescent="0.25">
      <c r="B5245" t="str">
        <f>HYPERLINK("https://www.chemistwarehouse.com.au/buy/78846/La-Roche-Posay-Toleriane-Soothing-And-Protective-Cream-40ml"," La Roche-Posay Toleriane Soothing And Protective Cream 40ml")</f>
        <v xml:space="preserve"> La Roche-Posay Toleriane Soothing And Protective Cream 40ml</v>
      </c>
      <c r="C5245" t="s">
        <v>1</v>
      </c>
      <c r="D5245" t="s">
        <v>160</v>
      </c>
    </row>
    <row r="5246" spans="1:4" x14ac:dyDescent="0.25">
      <c r="B5246" t="str">
        <f>HYPERLINK("https://www.chemistwarehouse.com.au/buy/78847/La-Roche-Posay-Toleriane-Ultra-40ml"," La Roche-Posay Toleriane Ultra 40ml")</f>
        <v xml:space="preserve"> La Roche-Posay Toleriane Ultra 40ml</v>
      </c>
      <c r="C5246" t="s">
        <v>262</v>
      </c>
      <c r="D5246" t="s">
        <v>1346</v>
      </c>
    </row>
    <row r="5247" spans="1:4" x14ac:dyDescent="0.25">
      <c r="B5247" t="str">
        <f>HYPERLINK("https://www.chemistwarehouse.com.au/buy/78848/La-Roche-Posay-Toleriane-Ultra-Eye-Contour-Cream-20ml"," La Roche-Posay Toleriane Ultra Eye Contour Cream 20ml")</f>
        <v xml:space="preserve"> La Roche-Posay Toleriane Ultra Eye Contour Cream 20ml</v>
      </c>
      <c r="C5247" t="s">
        <v>890</v>
      </c>
      <c r="D5247" t="s">
        <v>1301</v>
      </c>
    </row>
    <row r="5248" spans="1:4" x14ac:dyDescent="0.25">
      <c r="B5248" t="str">
        <f>HYPERLINK("https://www.chemistwarehouse.com.au/buy/78849/La-Roche-Posay-Toleriane-Ultra-Light-40ml"," La Roche-Posay Toleriane Ultra Light 40ml")</f>
        <v xml:space="preserve"> La Roche-Posay Toleriane Ultra Light 40ml</v>
      </c>
      <c r="C5248" t="s">
        <v>262</v>
      </c>
      <c r="D5248" t="s">
        <v>1346</v>
      </c>
    </row>
    <row r="5249" spans="1:4" x14ac:dyDescent="0.25">
      <c r="B5249" t="str">
        <f>HYPERLINK("https://www.chemistwarehouse.com.au/buy/78854/La-Roche-Posay-Physiological-Soothing-Lotion-Toner-200ml"," La Roche-Posay Physiological Soothing Lotion Toner 200ml")</f>
        <v xml:space="preserve"> La Roche-Posay Physiological Soothing Lotion Toner 200ml</v>
      </c>
      <c r="C5249" t="s">
        <v>8</v>
      </c>
      <c r="D5249" t="s">
        <v>154</v>
      </c>
    </row>
    <row r="5250" spans="1:4" x14ac:dyDescent="0.25">
      <c r="B5250" t="str">
        <f>HYPERLINK("https://www.chemistwarehouse.com.au/buy/78855/La-Roche-Posay-Physiological-Micellar-Solution-200ml"," La Roche-Posay Physiological Micellar Solution 200ml")</f>
        <v xml:space="preserve"> La Roche-Posay Physiological Micellar Solution 200ml</v>
      </c>
      <c r="C5250" t="s">
        <v>8</v>
      </c>
      <c r="D5250" t="s">
        <v>154</v>
      </c>
    </row>
    <row r="5251" spans="1:4" x14ac:dyDescent="0.25">
      <c r="B5251" t="str">
        <f>HYPERLINK("https://www.chemistwarehouse.com.au/buy/78856/La-Roche-Posay-Physiological-Micellar-Foaming-Water-150ml"," La Roche-Posay Physiological Micellar Foaming Water 150ml")</f>
        <v xml:space="preserve"> La Roche-Posay Physiological Micellar Foaming Water 150ml</v>
      </c>
      <c r="C5251" t="s">
        <v>8</v>
      </c>
      <c r="D5251" t="s">
        <v>93</v>
      </c>
    </row>
    <row r="5252" spans="1:4" x14ac:dyDescent="0.25">
      <c r="B5252" t="str">
        <f>HYPERLINK("https://www.chemistwarehouse.com.au/buy/80468/La-Roche-Posay-Toleriane-Ultra-Overnight-40ml"," La Roche-Posay Toleriane Ultra Overnight 40ml")</f>
        <v xml:space="preserve"> La Roche-Posay Toleriane Ultra Overnight 40ml</v>
      </c>
      <c r="C5252" t="s">
        <v>262</v>
      </c>
      <c r="D5252" t="s">
        <v>1346</v>
      </c>
    </row>
    <row r="5253" spans="1:4" x14ac:dyDescent="0.25">
      <c r="B5253" t="str">
        <f>HYPERLINK("https://www.chemistwarehouse.com.au/buy/82573/La-Roche-Posay-Ultra-Micellar-Water-Reactive-Skin-200ml"," La Roche Posay Ultra Micellar Water Reactive Skin 200ml")</f>
        <v xml:space="preserve"> La Roche Posay Ultra Micellar Water Reactive Skin 200ml</v>
      </c>
      <c r="C5253" t="s">
        <v>8</v>
      </c>
      <c r="D5253" t="s">
        <v>154</v>
      </c>
    </row>
    <row r="5254" spans="1:4" x14ac:dyDescent="0.25">
      <c r="B5254" t="str">
        <f>HYPERLINK("https://www.chemistwarehouse.com.au/buy/78840/La-Roche-Posay-Thermal-Spring-Water-150ml"," La Roche-Posay Thermal Spring Water 150ml")</f>
        <v xml:space="preserve"> La Roche-Posay Thermal Spring Water 150ml</v>
      </c>
      <c r="C5254" t="s">
        <v>407</v>
      </c>
      <c r="D5254" t="s">
        <v>376</v>
      </c>
    </row>
    <row r="5255" spans="1:4" x14ac:dyDescent="0.25">
      <c r="B5255" t="str">
        <f>HYPERLINK("https://www.chemistwarehouse.com.au/buy/78841/La-Roche-Posay-Thermal-Spring-Water-300ml"," La Roche-Posay Thermal Spring Water 300ml")</f>
        <v xml:space="preserve"> La Roche-Posay Thermal Spring Water 300ml</v>
      </c>
      <c r="C5255" t="s">
        <v>173</v>
      </c>
      <c r="D5255" t="s">
        <v>145</v>
      </c>
    </row>
    <row r="5256" spans="1:4" x14ac:dyDescent="0.25">
      <c r="A5256" t="s">
        <v>1363</v>
      </c>
    </row>
    <row r="5257" spans="1:4" x14ac:dyDescent="0.25">
      <c r="B5257" t="str">
        <f>HYPERLINK("https://www.chemistwarehouse.com.au/buy/78816/La-Roche-Posay-Anthelios-XL-Ultra-Light-Fluid-SPF-50-50ml"," La Roche-Posay Anthelios XL Ultra Light Fluid SPF 50+ 50ml")</f>
        <v xml:space="preserve"> La Roche-Posay Anthelios XL Ultra Light Fluid SPF 50+ 50ml</v>
      </c>
      <c r="C5257" t="s">
        <v>387</v>
      </c>
      <c r="D5257" t="s">
        <v>336</v>
      </c>
    </row>
    <row r="5258" spans="1:4" x14ac:dyDescent="0.25">
      <c r="B5258" t="str">
        <f>HYPERLINK("https://www.chemistwarehouse.com.au/buy/78852/La-Roche-Posay-Uvidea-XL-BB-Cream-Shade-02-SPF-50-30ml"," La Roche-Posay Uvidea XL BB Cream Shade 02 SPF 50+ 30ml")</f>
        <v xml:space="preserve"> La Roche-Posay Uvidea XL BB Cream Shade 02 SPF 50+ 30ml</v>
      </c>
      <c r="C5258" t="s">
        <v>924</v>
      </c>
      <c r="D5258" t="s">
        <v>332</v>
      </c>
    </row>
    <row r="5259" spans="1:4" x14ac:dyDescent="0.25">
      <c r="B5259" t="str">
        <f>HYPERLINK("https://www.chemistwarehouse.com.au/buy/78853/La-Roche-Posay-Uvidea-XL-Melt-In-Cream-160-SPF-50-30ml"," La Roche-Posay Uvidea XL Melt In Cream SPF 50+ 30ml")</f>
        <v xml:space="preserve"> La Roche-Posay Uvidea XL Melt In Cream SPF 50+ 30ml</v>
      </c>
      <c r="C5259" t="s">
        <v>109</v>
      </c>
      <c r="D5259" t="s">
        <v>165</v>
      </c>
    </row>
    <row r="5260" spans="1:4" x14ac:dyDescent="0.25">
      <c r="B5260" t="str">
        <f>HYPERLINK("https://www.chemistwarehouse.com.au/buy/82214/La-Roche-Posay-Anthelios-Ultra-Light-Tinted-SPF-50-50ml"," La Roche Posay Anthelios Ultra Light Tinted SPF 50+ 50ml")</f>
        <v xml:space="preserve"> La Roche Posay Anthelios Ultra Light Tinted SPF 50+ 50ml</v>
      </c>
      <c r="C5260" t="s">
        <v>387</v>
      </c>
      <c r="D5260" t="s">
        <v>336</v>
      </c>
    </row>
    <row r="5261" spans="1:4" x14ac:dyDescent="0.25">
      <c r="B5261" t="str">
        <f>HYPERLINK("https://www.chemistwarehouse.com.au/buy/81537/La-Roche-Posay-Anthelios-XL-Ultra-Light-Spray-SPF-50-200ml"," La Roche-Posay Anthelios XL Ultra Light Spray SPF 50+ 200ml")</f>
        <v xml:space="preserve"> La Roche-Posay Anthelios XL Ultra Light Spray SPF 50+ 200ml</v>
      </c>
      <c r="C5261" t="s">
        <v>1364</v>
      </c>
      <c r="D5261" t="s">
        <v>867</v>
      </c>
    </row>
    <row r="5262" spans="1:4" x14ac:dyDescent="0.25">
      <c r="B5262" t="str">
        <f>HYPERLINK("https://www.chemistwarehouse.com.au/buy/82251/La-Roche-Posay-Uvidea-XL-BB-Cream-Shade-03-SPF-50-30ml"," La Roche Posay Uvidea XL BB Cream Shade 03 SPF 50+ 30ml")</f>
        <v xml:space="preserve"> La Roche Posay Uvidea XL BB Cream Shade 03 SPF 50+ 30ml</v>
      </c>
      <c r="C5262" t="s">
        <v>924</v>
      </c>
      <c r="D5262" t="s">
        <v>332</v>
      </c>
    </row>
    <row r="5263" spans="1:4" x14ac:dyDescent="0.25">
      <c r="B5263" t="str">
        <f>HYPERLINK("https://www.chemistwarehouse.com.au/buy/81535/La-Roche-Posay-Anthelios-XL-BB-Cream-SPF-50-50ml"," La Roche-Posay Anthelios XL BB Cream SPF 50+ 50ml")</f>
        <v xml:space="preserve"> La Roche-Posay Anthelios XL BB Cream SPF 50+ 50ml</v>
      </c>
      <c r="C5263" t="s">
        <v>387</v>
      </c>
      <c r="D5263" t="s">
        <v>336</v>
      </c>
    </row>
    <row r="5264" spans="1:4" x14ac:dyDescent="0.25">
      <c r="B5264" t="str">
        <f>HYPERLINK("https://www.chemistwarehouse.com.au/buy/81536/La-Roche-Posay-Anthelios-XL-Comfort-Cream-SPF-50-50ml"," La Roche Posay Anthelios XL Comfort Cream SPF 50+ 50ml")</f>
        <v xml:space="preserve"> La Roche Posay Anthelios XL Comfort Cream SPF 50+ 50ml</v>
      </c>
      <c r="C5264" t="s">
        <v>387</v>
      </c>
      <c r="D5264" t="s">
        <v>336</v>
      </c>
    </row>
    <row r="5265" spans="1:4" x14ac:dyDescent="0.25">
      <c r="B5265" t="str">
        <f>HYPERLINK("https://www.chemistwarehouse.com.au/buy/78851/La-Roche-Posay-Uvidea-XL-BB-Cream-Shade-01-SPF-50-30ml"," La Roche-Posay Uvidea XL BB Cream Shade 01 SPF 50+ 30ml")</f>
        <v xml:space="preserve"> La Roche-Posay Uvidea XL BB Cream Shade 01 SPF 50+ 30ml</v>
      </c>
      <c r="C5265" t="s">
        <v>924</v>
      </c>
      <c r="D5265" t="s">
        <v>332</v>
      </c>
    </row>
    <row r="5266" spans="1:4" x14ac:dyDescent="0.25">
      <c r="B5266" t="str">
        <f>HYPERLINK("https://www.chemistwarehouse.com.au/buy/78812/La-Roche-Posay-Anthelios-XL-Nutritive-Oil-SPF-50-200ml"," La Roche-Posay Anthelios XL Nutritive Oil SPF 50 200ml")</f>
        <v xml:space="preserve"> La Roche-Posay Anthelios XL Nutritive Oil SPF 50 200ml</v>
      </c>
      <c r="C5266" t="s">
        <v>493</v>
      </c>
      <c r="D5266" t="s">
        <v>867</v>
      </c>
    </row>
    <row r="5267" spans="1:4" x14ac:dyDescent="0.25">
      <c r="B5267" t="str">
        <f>HYPERLINK("https://www.chemistwarehouse.com.au/buy/78814/La-Roche-Posay-Anthelios-XL-Spray-SPF-50-200ml"," La Roche-Posay Anthelios XL Spray SPF 50+ 200ml")</f>
        <v xml:space="preserve"> La Roche-Posay Anthelios XL Spray SPF 50+ 200ml</v>
      </c>
      <c r="C5267" t="s">
        <v>1364</v>
      </c>
      <c r="D5267" t="s">
        <v>867</v>
      </c>
    </row>
    <row r="5268" spans="1:4" x14ac:dyDescent="0.25">
      <c r="A5268" t="s">
        <v>1365</v>
      </c>
    </row>
    <row r="5269" spans="1:4" x14ac:dyDescent="0.25">
      <c r="B5269" t="str">
        <f>HYPERLINK("https://www.chemistwarehouse.com.au/buy/78825/La-Roche-Posay-Lipikar-Baume-AP-Body-Balm-400ml"," La Roche-Posay Lipikar Baume AP+ Body Balm 400ml")</f>
        <v xml:space="preserve"> La Roche-Posay Lipikar Baume AP+ Body Balm 400ml</v>
      </c>
      <c r="C5269" t="s">
        <v>864</v>
      </c>
      <c r="D5269" t="s">
        <v>821</v>
      </c>
    </row>
    <row r="5270" spans="1:4" x14ac:dyDescent="0.25">
      <c r="B5270" t="str">
        <f>HYPERLINK("https://www.chemistwarehouse.com.au/buy/78826/La-Roche-Posay-Lipikar-Syndet-Cream-Gel-200ml"," La Roche-Posay Lipikar Syndet Cream Gel 200ml")</f>
        <v xml:space="preserve"> La Roche-Posay Lipikar Syndet Cream Gel 200ml</v>
      </c>
      <c r="C5270" t="s">
        <v>407</v>
      </c>
      <c r="D5270" t="s">
        <v>376</v>
      </c>
    </row>
    <row r="5271" spans="1:4" x14ac:dyDescent="0.25">
      <c r="B5271" t="str">
        <f>HYPERLINK("https://www.chemistwarehouse.com.au/buy/78827/La-Roche-Posay-Lipikar-Syndet-AP-Cream-Wash-400ml"," La Roche Posay Lipikar Syndet AP+ Cream Wash 400ml")</f>
        <v xml:space="preserve"> La Roche Posay Lipikar Syndet AP+ Cream Wash 400ml</v>
      </c>
      <c r="C5271" t="s">
        <v>279</v>
      </c>
      <c r="D5271" t="s">
        <v>165</v>
      </c>
    </row>
    <row r="5272" spans="1:4" x14ac:dyDescent="0.25">
      <c r="B5272" t="str">
        <f>HYPERLINK("https://www.chemistwarehouse.com.au/buy/78828/La-Roche-Posay-Lipikar-Cleansing-Oil-400ml"," La Roche-Posay Lipikar Cleansing Oil 400ml")</f>
        <v xml:space="preserve"> La Roche-Posay Lipikar Cleansing Oil 400ml</v>
      </c>
      <c r="C5272" t="s">
        <v>279</v>
      </c>
      <c r="D5272" t="s">
        <v>165</v>
      </c>
    </row>
    <row r="5273" spans="1:4" x14ac:dyDescent="0.25">
      <c r="B5273" t="str">
        <f>HYPERLINK("https://www.chemistwarehouse.com.au/buy/78829/La-Roche-Posay-Lipikar-Lait-400ml"," La Roche-Posay Lipikar Lait 400ml")</f>
        <v xml:space="preserve"> La Roche-Posay Lipikar Lait 400ml</v>
      </c>
      <c r="C5273" t="s">
        <v>6</v>
      </c>
      <c r="D5273" t="s">
        <v>157</v>
      </c>
    </row>
    <row r="5274" spans="1:4" x14ac:dyDescent="0.25">
      <c r="B5274" t="str">
        <f>HYPERLINK("https://www.chemistwarehouse.com.au/buy/78830/La-Roche-Posay-Lipikar-Gel-Lavant-200ml"," La Roche-Posay Lipikar Gel Lavant 200ml")</f>
        <v xml:space="preserve"> La Roche-Posay Lipikar Gel Lavant 200ml</v>
      </c>
      <c r="C5274" t="s">
        <v>98</v>
      </c>
      <c r="D5274" t="s">
        <v>150</v>
      </c>
    </row>
    <row r="5275" spans="1:4" x14ac:dyDescent="0.25">
      <c r="B5275" t="str">
        <f>HYPERLINK("https://www.chemistwarehouse.com.au/buy/78831/La-Roche-Posay-Lipikar-Gel-Lavant-400ml"," La Roche-Posay Lipikar Gel Lavant 400ml")</f>
        <v xml:space="preserve"> La Roche-Posay Lipikar Gel Lavant 400ml</v>
      </c>
      <c r="C5275" t="s">
        <v>407</v>
      </c>
      <c r="D5275" t="s">
        <v>376</v>
      </c>
    </row>
    <row r="5276" spans="1:4" x14ac:dyDescent="0.25">
      <c r="B5276" t="str">
        <f>HYPERLINK("https://www.chemistwarehouse.com.au/buy/78817/La-Roche-Posay-Cicaplast-Baume-B5-40ml"," La Roche-Posay Cicaplast Baume B5 40ml")</f>
        <v xml:space="preserve"> La Roche-Posay Cicaplast Baume B5 40ml</v>
      </c>
      <c r="C5276" t="s">
        <v>228</v>
      </c>
      <c r="D5276" t="s">
        <v>329</v>
      </c>
    </row>
    <row r="5277" spans="1:4" x14ac:dyDescent="0.25">
      <c r="B5277" t="str">
        <f>HYPERLINK("https://www.chemistwarehouse.com.au/buy/78818/La-Roche-Posay-Cicaplast-Hand-Cream-50ml"," La Roche-Posay Cicaplast Hand Cream 50ml")</f>
        <v xml:space="preserve"> La Roche-Posay Cicaplast Hand Cream 50ml</v>
      </c>
      <c r="C5277" t="s">
        <v>228</v>
      </c>
      <c r="D5277" t="s">
        <v>329</v>
      </c>
    </row>
    <row r="5278" spans="1:4" x14ac:dyDescent="0.25">
      <c r="B5278" t="str">
        <f>HYPERLINK("https://www.chemistwarehouse.com.au/buy/78819/La-Roche-Posay-Cicaplast-Lip-Barrier-Balm-7-5ml"," La Roche-Posay Cicaplast Lip Barrier Balm 7.5ml")</f>
        <v xml:space="preserve"> La Roche-Posay Cicaplast Lip Barrier Balm 7.5ml</v>
      </c>
      <c r="C5278" t="s">
        <v>228</v>
      </c>
      <c r="D5278" t="s">
        <v>329</v>
      </c>
    </row>
    <row r="5279" spans="1:4" x14ac:dyDescent="0.25">
      <c r="B5279" t="str">
        <f>HYPERLINK("https://www.chemistwarehouse.com.au/buy/78824/La-Roche-Posay-Lipikar-Baume-AP-Body-Balm-200ml"," La Roche-Posay Lipikar Baume AP+ Body Balm 200ml")</f>
        <v xml:space="preserve"> La Roche-Posay Lipikar Baume AP+ Body Balm 200ml</v>
      </c>
      <c r="C5279" t="s">
        <v>173</v>
      </c>
      <c r="D5279" t="s">
        <v>145</v>
      </c>
    </row>
    <row r="5280" spans="1:4" x14ac:dyDescent="0.25">
      <c r="A5280" t="s">
        <v>1366</v>
      </c>
    </row>
    <row r="5281" spans="1:4" x14ac:dyDescent="0.25">
      <c r="B5281" t="str">
        <f>HYPERLINK("https://www.chemistwarehouse.com.au/buy/78834/La-Roche-Posay-Redermic-C-Anti-Ageing-Dry-Skin-40ml"," La Roche-Posay Redermic C Anti-Ageing Dry Skin 40ml")</f>
        <v xml:space="preserve"> La Roche-Posay Redermic C Anti-Ageing Dry Skin 40ml</v>
      </c>
      <c r="C5281" t="s">
        <v>276</v>
      </c>
      <c r="D5281" t="s">
        <v>160</v>
      </c>
    </row>
    <row r="5282" spans="1:4" x14ac:dyDescent="0.25">
      <c r="B5282" t="str">
        <f>HYPERLINK("https://www.chemistwarehouse.com.au/buy/78833/La-Roche-Posay-Pigmentclar-Eye-Cream-15ml"," La Roche-Posay Pigmentclar Eye Cream 15ml")</f>
        <v xml:space="preserve"> La Roche-Posay Pigmentclar Eye Cream 15ml</v>
      </c>
      <c r="C5282" t="s">
        <v>864</v>
      </c>
      <c r="D5282" t="s">
        <v>821</v>
      </c>
    </row>
    <row r="5283" spans="1:4" x14ac:dyDescent="0.25">
      <c r="B5283" t="str">
        <f>HYPERLINK("https://www.chemistwarehouse.com.au/buy/78832/La-Roche-Posay-Pigmentclar-Serum-30ml"," La Roche-Posay Pigmentclar Serum 30ml")</f>
        <v xml:space="preserve"> La Roche-Posay Pigmentclar Serum 30ml</v>
      </c>
      <c r="C5283" t="s">
        <v>276</v>
      </c>
      <c r="D5283" t="s">
        <v>160</v>
      </c>
    </row>
    <row r="5284" spans="1:4" x14ac:dyDescent="0.25">
      <c r="B5284" t="str">
        <f>HYPERLINK("https://www.chemistwarehouse.com.au/buy/78835/La-Roche-Posay-Redermic-C-Anti-Ageing-Normal-Combination-Skin-40ml"," La Roche-Posay Redermic C Anti-Ageing Normal/Combination Skin 40ml")</f>
        <v xml:space="preserve"> La Roche-Posay Redermic C Anti-Ageing Normal/Combination Skin 40ml</v>
      </c>
      <c r="C5284" t="s">
        <v>276</v>
      </c>
      <c r="D5284" t="s">
        <v>160</v>
      </c>
    </row>
    <row r="5285" spans="1:4" x14ac:dyDescent="0.25">
      <c r="B5285" t="str">
        <f>HYPERLINK("https://www.chemistwarehouse.com.au/buy/78836/La-Roche-Posay-Redermic-R-Anti-Ageing-30ml"," La Roche-Posay Redermic R Anti Ageing 30ml")</f>
        <v xml:space="preserve"> La Roche-Posay Redermic R Anti Ageing 30ml</v>
      </c>
      <c r="C5285" t="s">
        <v>276</v>
      </c>
      <c r="D5285" t="s">
        <v>160</v>
      </c>
    </row>
    <row r="5286" spans="1:4" x14ac:dyDescent="0.25">
      <c r="B5286" t="str">
        <f>HYPERLINK("https://www.chemistwarehouse.com.au/buy/78837/La-Roche-Posay-Redermic-R-Eye-Cream-15ml"," La Roche-Posay Redermic R Eye Cream 15ml")</f>
        <v xml:space="preserve"> La Roche-Posay Redermic R Eye Cream 15ml</v>
      </c>
      <c r="C5286" t="s">
        <v>864</v>
      </c>
      <c r="D5286" t="s">
        <v>821</v>
      </c>
    </row>
    <row r="5287" spans="1:4" x14ac:dyDescent="0.25">
      <c r="A5287" t="s">
        <v>1367</v>
      </c>
    </row>
    <row r="5288" spans="1:4" x14ac:dyDescent="0.25">
      <c r="B5288" t="str">
        <f>HYPERLINK("https://www.chemistwarehouse.com.au/buy/78838/La-Roche-Posay-Rosaliac-AR-Intensive-Serum-40ml"," La Roche-Posay Rosaliac AR Intensive Serum 40ml")</f>
        <v xml:space="preserve"> La Roche-Posay Rosaliac AR Intensive Serum 40ml</v>
      </c>
      <c r="C5288" t="s">
        <v>864</v>
      </c>
      <c r="D5288" t="s">
        <v>821</v>
      </c>
    </row>
    <row r="5289" spans="1:4" x14ac:dyDescent="0.25">
      <c r="A5289" t="s">
        <v>1368</v>
      </c>
    </row>
    <row r="5290" spans="1:4" x14ac:dyDescent="0.25">
      <c r="B5290" t="str">
        <f>HYPERLINK("https://www.chemistwarehouse.com.au/buy/64843/Goat-Moisturising-Cream-100ml"," Goat Moisturising Cream 100ml")</f>
        <v xml:space="preserve"> Goat Moisturising Cream 100ml</v>
      </c>
      <c r="C5290" t="s">
        <v>92</v>
      </c>
      <c r="D5290">
        <v>0</v>
      </c>
    </row>
    <row r="5291" spans="1:4" x14ac:dyDescent="0.25">
      <c r="B5291" t="str">
        <f>HYPERLINK("https://www.chemistwarehouse.com.au/buy/79242/Goat-Cream-with-Argan-Oil-100ml"," Goat Cream with Argan Oil 100ml")</f>
        <v xml:space="preserve"> Goat Cream with Argan Oil 100ml</v>
      </c>
      <c r="C5291" t="s">
        <v>92</v>
      </c>
      <c r="D5291">
        <v>0</v>
      </c>
    </row>
    <row r="5292" spans="1:4" x14ac:dyDescent="0.25">
      <c r="B5292" t="str">
        <f>HYPERLINK("https://www.chemistwarehouse.com.au/buy/79243/Goat-Cream-with-Coconut-Oil-100ml"," Goat Cream with Coconut Oil 100ml")</f>
        <v xml:space="preserve"> Goat Cream with Coconut Oil 100ml</v>
      </c>
      <c r="C5292" t="s">
        <v>92</v>
      </c>
      <c r="D5292">
        <v>0</v>
      </c>
    </row>
    <row r="5293" spans="1:4" x14ac:dyDescent="0.25">
      <c r="B5293" t="str">
        <f>HYPERLINK("https://www.chemistwarehouse.com.au/buy/79244/Goat-Cream-with-Lemon-Myrtle-100ml"," Goat Cream with Lemon Myrtle 100ml")</f>
        <v xml:space="preserve"> Goat Cream with Lemon Myrtle 100ml</v>
      </c>
      <c r="C5293" t="s">
        <v>92</v>
      </c>
      <c r="D5293">
        <v>0</v>
      </c>
    </row>
    <row r="5294" spans="1:4" x14ac:dyDescent="0.25">
      <c r="B5294" t="str">
        <f>HYPERLINK("https://www.chemistwarehouse.com.au/buy/79245/Goat-Cream-with-Manuka-Honey-100ml"," Goat Cream with Manuka Honey 100ml")</f>
        <v xml:space="preserve"> Goat Cream with Manuka Honey 100ml</v>
      </c>
      <c r="C5294" t="s">
        <v>92</v>
      </c>
      <c r="D5294">
        <v>0</v>
      </c>
    </row>
    <row r="5295" spans="1:4" x14ac:dyDescent="0.25">
      <c r="B5295" t="str">
        <f>HYPERLINK("https://www.chemistwarehouse.com.au/buy/79246/Goat-Cream-with-Oatmeal-100ml"," Goat Cream with Oatmeal 100ml")</f>
        <v xml:space="preserve"> Goat Cream with Oatmeal 100ml</v>
      </c>
      <c r="C5295" t="s">
        <v>92</v>
      </c>
      <c r="D5295">
        <v>0</v>
      </c>
    </row>
    <row r="5296" spans="1:4" x14ac:dyDescent="0.25">
      <c r="B5296" t="str">
        <f>HYPERLINK("https://www.chemistwarehouse.com.au/buy/79247/Goat-Lotion-with-Argan-Oil-500ml"," Goat Lotion with Argan Oil 500ml")</f>
        <v xml:space="preserve"> Goat Lotion with Argan Oil 500ml</v>
      </c>
      <c r="C5296" t="s">
        <v>45</v>
      </c>
      <c r="D5296">
        <v>0</v>
      </c>
    </row>
    <row r="5297" spans="1:4" x14ac:dyDescent="0.25">
      <c r="B5297" t="str">
        <f>HYPERLINK("https://www.chemistwarehouse.com.au/buy/79248/Goat-Lotion-with-Coconut-Oil-500ml"," Goat Lotion with Coconut Oil 500ml")</f>
        <v xml:space="preserve"> Goat Lotion with Coconut Oil 500ml</v>
      </c>
      <c r="C5297" t="s">
        <v>45</v>
      </c>
      <c r="D5297">
        <v>0</v>
      </c>
    </row>
    <row r="5298" spans="1:4" x14ac:dyDescent="0.25">
      <c r="B5298" t="str">
        <f>HYPERLINK("https://www.chemistwarehouse.com.au/buy/79249/Goat-Lotion-with-Lemon-Myrtle-500ml"," Goat Lotion with Lemon Myrtle 500ml")</f>
        <v xml:space="preserve"> Goat Lotion with Lemon Myrtle 500ml</v>
      </c>
      <c r="C5298" t="s">
        <v>45</v>
      </c>
      <c r="D5298">
        <v>0</v>
      </c>
    </row>
    <row r="5299" spans="1:4" x14ac:dyDescent="0.25">
      <c r="B5299" t="str">
        <f>HYPERLINK("https://www.chemistwarehouse.com.au/buy/79250/Goat-Lotion-with-Manuka-Honey-500ml"," Goat Lotion with Manuka Honey 500ml")</f>
        <v xml:space="preserve"> Goat Lotion with Manuka Honey 500ml</v>
      </c>
      <c r="C5299" t="s">
        <v>45</v>
      </c>
      <c r="D5299">
        <v>0</v>
      </c>
    </row>
    <row r="5300" spans="1:4" x14ac:dyDescent="0.25">
      <c r="B5300" t="str">
        <f>HYPERLINK("https://www.chemistwarehouse.com.au/buy/79251/Goat-Lotion-with-Oatmeal-500ml"," Goat Lotion with Oatmeal 500ml")</f>
        <v xml:space="preserve"> Goat Lotion with Oatmeal 500ml</v>
      </c>
      <c r="C5300" t="s">
        <v>45</v>
      </c>
      <c r="D5300">
        <v>0</v>
      </c>
    </row>
    <row r="5301" spans="1:4" x14ac:dyDescent="0.25">
      <c r="A5301" t="s">
        <v>1369</v>
      </c>
    </row>
    <row r="5302" spans="1:4" x14ac:dyDescent="0.25">
      <c r="B5302" t="str">
        <f>HYPERLINK("https://www.chemistwarehouse.com.au/buy/79435/Byron-Bath-Salts-Detox-500g"," Byron Bath Salts Detox 500g")</f>
        <v xml:space="preserve"> Byron Bath Salts Detox 500g</v>
      </c>
      <c r="C5302" t="s">
        <v>45</v>
      </c>
      <c r="D5302">
        <v>0</v>
      </c>
    </row>
    <row r="5303" spans="1:4" x14ac:dyDescent="0.25">
      <c r="B5303" t="str">
        <f>HYPERLINK("https://www.chemistwarehouse.com.au/buy/79436/Byron-Bath-Salts-Energise-500g"," Byron Bath Salts Energise 500g")</f>
        <v xml:space="preserve"> Byron Bath Salts Energise 500g</v>
      </c>
      <c r="C5303" t="s">
        <v>45</v>
      </c>
      <c r="D5303">
        <v>0</v>
      </c>
    </row>
    <row r="5304" spans="1:4" x14ac:dyDescent="0.25">
      <c r="B5304" t="str">
        <f>HYPERLINK("https://www.chemistwarehouse.com.au/buy/79437/Byron-Bath-Salts-Relax-500g"," Byron Bath Salts Relax 500g")</f>
        <v xml:space="preserve"> Byron Bath Salts Relax 500g</v>
      </c>
      <c r="C5304" t="s">
        <v>45</v>
      </c>
      <c r="D5304">
        <v>0</v>
      </c>
    </row>
    <row r="5305" spans="1:4" x14ac:dyDescent="0.25">
      <c r="B5305" t="str">
        <f>HYPERLINK("https://www.chemistwarehouse.com.au/buy/79438/Byron-Bath-Salts-Restore-500g"," Byron Bath Salts Restore 500g")</f>
        <v xml:space="preserve"> Byron Bath Salts Restore 500g</v>
      </c>
      <c r="C5305" t="s">
        <v>45</v>
      </c>
      <c r="D5305">
        <v>0</v>
      </c>
    </row>
    <row r="5306" spans="1:4" x14ac:dyDescent="0.25">
      <c r="B5306" t="str">
        <f>HYPERLINK("https://www.chemistwarehouse.com.au/buy/80319/Byron-Coffee-Body-Scrub-200g"," Byron Coffee Body Scrub 200g")</f>
        <v xml:space="preserve"> Byron Coffee Body Scrub 200g</v>
      </c>
      <c r="C5306" t="s">
        <v>45</v>
      </c>
      <c r="D5306">
        <v>0</v>
      </c>
    </row>
    <row r="5307" spans="1:4" x14ac:dyDescent="0.25">
      <c r="A5307" t="s">
        <v>1370</v>
      </c>
    </row>
    <row r="5308" spans="1:4" x14ac:dyDescent="0.25">
      <c r="B5308" t="str">
        <f>HYPERLINK("https://www.chemistwarehouse.com.au/buy/80016/Klim-Face-Wash-150ml"," Klim Face Wash 150ml")</f>
        <v xml:space="preserve"> Klim Face Wash 150ml</v>
      </c>
      <c r="C5308" t="s">
        <v>45</v>
      </c>
      <c r="D5308" t="s">
        <v>397</v>
      </c>
    </row>
    <row r="5309" spans="1:4" x14ac:dyDescent="0.25">
      <c r="B5309" t="str">
        <f>HYPERLINK("https://www.chemistwarehouse.com.au/buy/80017/Klim-Sports-Moisturiser-SPF-30-375ml"," Klim Sports Moisturiser SPF 30 375ml")</f>
        <v xml:space="preserve"> Klim Sports Moisturiser SPF 30 375ml</v>
      </c>
      <c r="C5309" t="s">
        <v>237</v>
      </c>
      <c r="D5309" t="s">
        <v>165</v>
      </c>
    </row>
    <row r="5310" spans="1:4" x14ac:dyDescent="0.25">
      <c r="B5310" t="str">
        <f>HYPERLINK("https://www.chemistwarehouse.com.au/buy/80011/Klim-Anti-Perspirant-Deodorant-75ml"," Klim Anti-Perspirant Deodorant 75ml")</f>
        <v xml:space="preserve"> Klim Anti-Perspirant Deodorant 75ml</v>
      </c>
      <c r="C5310" t="s">
        <v>116</v>
      </c>
      <c r="D5310" t="s">
        <v>145</v>
      </c>
    </row>
    <row r="5311" spans="1:4" x14ac:dyDescent="0.25">
      <c r="B5311" t="str">
        <f>HYPERLINK("https://www.chemistwarehouse.com.au/buy/80012/Klim-Aqua-Cool-Shave-Gel-150ml"," Klim Aqua Cool Shave Gel 150ml")</f>
        <v xml:space="preserve"> Klim Aqua Cool Shave Gel 150ml</v>
      </c>
      <c r="C5311" t="s">
        <v>103</v>
      </c>
      <c r="D5311" t="s">
        <v>397</v>
      </c>
    </row>
    <row r="5312" spans="1:4" x14ac:dyDescent="0.25">
      <c r="B5312" t="str">
        <f>HYPERLINK("https://www.chemistwarehouse.com.au/buy/80013/Klim-Body-Wash-375ml"," Klim Body Wash 375ml")</f>
        <v xml:space="preserve"> Klim Body Wash 375ml</v>
      </c>
      <c r="C5312" t="s">
        <v>45</v>
      </c>
      <c r="D5312" t="s">
        <v>397</v>
      </c>
    </row>
    <row r="5313" spans="1:4" x14ac:dyDescent="0.25">
      <c r="B5313" t="str">
        <f>HYPERLINK("https://www.chemistwarehouse.com.au/buy/80014/Klim-Face-Moisturiser-Sunscreen-SPF-15-150ml"," Klim Face Moisturiser + Sunscreen SPF 15 150ml")</f>
        <v xml:space="preserve"> Klim Face Moisturiser + Sunscreen SPF 15 150ml</v>
      </c>
      <c r="C5313" t="s">
        <v>237</v>
      </c>
      <c r="D5313" t="s">
        <v>155</v>
      </c>
    </row>
    <row r="5314" spans="1:4" x14ac:dyDescent="0.25">
      <c r="B5314" t="str">
        <f>HYPERLINK("https://www.chemistwarehouse.com.au/buy/80015/Klim-Face-Wash-Scrub-150ml"," Klim Face Wash + Scrub 150ml")</f>
        <v xml:space="preserve"> Klim Face Wash + Scrub 150ml</v>
      </c>
      <c r="C5314" t="s">
        <v>45</v>
      </c>
      <c r="D5314" t="s">
        <v>165</v>
      </c>
    </row>
    <row r="5315" spans="1:4" x14ac:dyDescent="0.25">
      <c r="A5315" t="s">
        <v>1371</v>
      </c>
    </row>
    <row r="5316" spans="1:4" x14ac:dyDescent="0.25">
      <c r="B5316" t="str">
        <f>HYPERLINK("https://www.chemistwarehouse.com.au/buy/80528/Thankyou-Botanical-Mint-amp-Spring-Flowers-Body-Wash-1L"," Thankyou Botanical Mint &amp; Spring Flowers Body Wash 1L")</f>
        <v xml:space="preserve"> Thankyou Botanical Mint &amp; Spring Flowers Body Wash 1L</v>
      </c>
      <c r="C5316" t="s">
        <v>244</v>
      </c>
      <c r="D5316" t="s">
        <v>1031</v>
      </c>
    </row>
    <row r="5317" spans="1:4" x14ac:dyDescent="0.25">
      <c r="B5317" t="str">
        <f>HYPERLINK("https://www.chemistwarehouse.com.au/buy/80531/Thankyou-Botanical-Patchouli-amp-Vanilla-Hand-Wash-500ml"," Thankyou Botanical Patchouli &amp; Vanilla Hand Wash 500ml")</f>
        <v xml:space="preserve"> Thankyou Botanical Patchouli &amp; Vanilla Hand Wash 500ml</v>
      </c>
      <c r="C5317" t="s">
        <v>554</v>
      </c>
      <c r="D5317" t="s">
        <v>611</v>
      </c>
    </row>
    <row r="5318" spans="1:4" x14ac:dyDescent="0.25">
      <c r="B5318" t="str">
        <f>HYPERLINK("https://www.chemistwarehouse.com.au/buy/80526/Thankyou-Botanical-Lime-amp-Coriander-Hand-Wash-500ml"," Thankyou Botanical Lime &amp; Coriander Hand Wash 500ml")</f>
        <v xml:space="preserve"> Thankyou Botanical Lime &amp; Coriander Hand Wash 500ml</v>
      </c>
      <c r="C5318" t="s">
        <v>554</v>
      </c>
      <c r="D5318" t="s">
        <v>611</v>
      </c>
    </row>
    <row r="5319" spans="1:4" x14ac:dyDescent="0.25">
      <c r="B5319" t="str">
        <f>HYPERLINK("https://www.chemistwarehouse.com.au/buy/80532/Thankyou-Botanical-Sweet-Orange-amp-Almond-Body-Wash-1L"," Thankyou Botanical Sweet Orange &amp; Almond Body Wash 1L")</f>
        <v xml:space="preserve"> Thankyou Botanical Sweet Orange &amp; Almond Body Wash 1L</v>
      </c>
      <c r="C5319" t="s">
        <v>244</v>
      </c>
      <c r="D5319" t="s">
        <v>1031</v>
      </c>
    </row>
    <row r="5320" spans="1:4" x14ac:dyDescent="0.25">
      <c r="B5320" t="str">
        <f>HYPERLINK("https://www.chemistwarehouse.com.au/buy/80533/Thankyou-Botanical-Sweet-Orange-amp-Almond-Body-Wash-500ml"," Thankyou Botanical Sweet Orange &amp; Almond Body Wash 500ml")</f>
        <v xml:space="preserve"> Thankyou Botanical Sweet Orange &amp; Almond Body Wash 500ml</v>
      </c>
      <c r="C5320" t="s">
        <v>554</v>
      </c>
      <c r="D5320" t="s">
        <v>611</v>
      </c>
    </row>
    <row r="5321" spans="1:4" x14ac:dyDescent="0.25">
      <c r="B5321" t="str">
        <f>HYPERLINK("https://www.chemistwarehouse.com.au/buy/80534/Thankyou-Botanical-Sweet-Orange-amp-Almond-Hand-Wash-500ml"," Thankyou Botanical Sweet Orange &amp; Almond Hand Wash 500ml")</f>
        <v xml:space="preserve"> Thankyou Botanical Sweet Orange &amp; Almond Hand Wash 500ml</v>
      </c>
      <c r="C5321" t="s">
        <v>554</v>
      </c>
      <c r="D5321" t="s">
        <v>611</v>
      </c>
    </row>
    <row r="5322" spans="1:4" x14ac:dyDescent="0.25">
      <c r="B5322" t="str">
        <f>HYPERLINK("https://www.chemistwarehouse.com.au/buy/80627/Thankyou-Baby-Bath-Milk-300ml"," Thankyou Baby Bath Milk 300ml")</f>
        <v xml:space="preserve"> Thankyou Baby Bath Milk 300ml</v>
      </c>
      <c r="C5322" t="s">
        <v>32</v>
      </c>
      <c r="D5322" t="s">
        <v>371</v>
      </c>
    </row>
    <row r="5323" spans="1:4" x14ac:dyDescent="0.25">
      <c r="B5323" t="str">
        <f>HYPERLINK("https://www.chemistwarehouse.com.au/buy/80628/Thankyou-Baby-Bath-Wash-300ml"," Thankyou Baby Bath Wash 300ml")</f>
        <v xml:space="preserve"> Thankyou Baby Bath Wash 300ml</v>
      </c>
      <c r="C5323" t="s">
        <v>32</v>
      </c>
      <c r="D5323" t="s">
        <v>371</v>
      </c>
    </row>
    <row r="5324" spans="1:4" x14ac:dyDescent="0.25">
      <c r="B5324" t="str">
        <f>HYPERLINK("https://www.chemistwarehouse.com.au/buy/80629/Thankyou-Baby-Lotion-300ml"," Thankyou Baby Lotion 300ml")</f>
        <v xml:space="preserve"> Thankyou Baby Lotion 300ml</v>
      </c>
      <c r="C5324" t="s">
        <v>32</v>
      </c>
      <c r="D5324" t="s">
        <v>371</v>
      </c>
    </row>
    <row r="5325" spans="1:4" x14ac:dyDescent="0.25">
      <c r="B5325" t="str">
        <f>HYPERLINK("https://www.chemistwarehouse.com.au/buy/80630/Thankyou-Baby-Shampoo-300ml"," Thankyou Baby Shampoo 300ml")</f>
        <v xml:space="preserve"> Thankyou Baby Shampoo 300ml</v>
      </c>
      <c r="C5325" t="s">
        <v>32</v>
      </c>
      <c r="D5325" t="s">
        <v>371</v>
      </c>
    </row>
    <row r="5326" spans="1:4" x14ac:dyDescent="0.25">
      <c r="B5326" t="str">
        <f>HYPERLINK("https://www.chemistwarehouse.com.au/buy/80527/Thankyou-Botanical-Mint-amp-Spring-Flowers-Body-Lotion-500ml"," Thankyou Botanical Mint &amp; Spring Flowers Body Lotion 500ml")</f>
        <v xml:space="preserve"> Thankyou Botanical Mint &amp; Spring Flowers Body Lotion 500ml</v>
      </c>
      <c r="C5326" t="s">
        <v>240</v>
      </c>
      <c r="D5326" t="s">
        <v>561</v>
      </c>
    </row>
    <row r="5327" spans="1:4" x14ac:dyDescent="0.25">
      <c r="B5327" t="str">
        <f>HYPERLINK("https://www.chemistwarehouse.com.au/buy/80529/Thankyou-Botanical-Mint-amp-Spring-Flowers-Body-Wash-500ml"," Thankyou Botanical Mint &amp; Spring Flowers Body Wash 500ml")</f>
        <v xml:space="preserve"> Thankyou Botanical Mint &amp; Spring Flowers Body Wash 500ml</v>
      </c>
      <c r="C5327" t="s">
        <v>554</v>
      </c>
      <c r="D5327" t="s">
        <v>611</v>
      </c>
    </row>
    <row r="5328" spans="1:4" x14ac:dyDescent="0.25">
      <c r="B5328" t="str">
        <f>HYPERLINK("https://www.chemistwarehouse.com.au/buy/80530/Thankyou-Botanical-Patchouli-amp-Vanilla-Hand-Lotion-500ml"," Thankyou Botanical Patchouli &amp; Vanilla Hand Lotion 500ml")</f>
        <v xml:space="preserve"> Thankyou Botanical Patchouli &amp; Vanilla Hand Lotion 500ml</v>
      </c>
      <c r="C5328" t="s">
        <v>240</v>
      </c>
      <c r="D5328" t="s">
        <v>561</v>
      </c>
    </row>
    <row r="5329" spans="1:4" x14ac:dyDescent="0.25">
      <c r="B5329" t="str">
        <f>HYPERLINK("https://www.chemistwarehouse.com.au/buy/80522/Thankyou-Botanical-French-Vanilla-amp-Coconut-Body-Lotion-500ml"," Thankyou Botanical French Vanilla &amp; Coconut Body Lotion 500ml")</f>
        <v xml:space="preserve"> Thankyou Botanical French Vanilla &amp; Coconut Body Lotion 500ml</v>
      </c>
      <c r="C5329" t="s">
        <v>240</v>
      </c>
      <c r="D5329" t="s">
        <v>561</v>
      </c>
    </row>
    <row r="5330" spans="1:4" x14ac:dyDescent="0.25">
      <c r="B5330" t="str">
        <f>HYPERLINK("https://www.chemistwarehouse.com.au/buy/80524/Thankyou-Botanical-Geranium-amp-Rosewood-Body-Wash-500ml"," Thankyou Botanical Geranium &amp; Rosewood Body Wash 500ml")</f>
        <v xml:space="preserve"> Thankyou Botanical Geranium &amp; Rosewood Body Wash 500ml</v>
      </c>
      <c r="C5330" t="s">
        <v>554</v>
      </c>
      <c r="D5330" t="s">
        <v>611</v>
      </c>
    </row>
    <row r="5331" spans="1:4" x14ac:dyDescent="0.25">
      <c r="B5331" t="str">
        <f>HYPERLINK("https://www.chemistwarehouse.com.au/buy/80525/Thankyou-Botanical-Lime-amp-Coriander-Hand-Lotion-500ml"," Thankyou Botanical Lime &amp; Coriander Hand Lotion 500ml")</f>
        <v xml:space="preserve"> Thankyou Botanical Lime &amp; Coriander Hand Lotion 500ml</v>
      </c>
      <c r="C5331" t="s">
        <v>240</v>
      </c>
      <c r="D5331" t="s">
        <v>561</v>
      </c>
    </row>
    <row r="5332" spans="1:4" x14ac:dyDescent="0.25">
      <c r="B5332" t="str">
        <f>HYPERLINK("https://www.chemistwarehouse.com.au/buy/80523/Thankyou-Botanical-Geranium-amp-Rosewood-Body-Wash-1L"," Thankyou Botanical Geranium &amp; Rosewood Body Wash 1L")</f>
        <v xml:space="preserve"> Thankyou Botanical Geranium &amp; Rosewood Body Wash 1L</v>
      </c>
      <c r="C5332" t="s">
        <v>244</v>
      </c>
      <c r="D5332" t="s">
        <v>1031</v>
      </c>
    </row>
    <row r="5333" spans="1:4" x14ac:dyDescent="0.25">
      <c r="A5333" t="s">
        <v>1372</v>
      </c>
    </row>
    <row r="5334" spans="1:4" x14ac:dyDescent="0.25">
      <c r="B5334" t="str">
        <f>HYPERLINK("https://www.chemistwarehouse.com.au/buy/80693/WotNot-Natural-Facial-Wipes-Dry-Sensitive-Skin-25"," WotNot Natural Facial Wipes Dry/Sensitive Skin 25")</f>
        <v xml:space="preserve"> WotNot Natural Facial Wipes Dry/Sensitive Skin 25</v>
      </c>
      <c r="C5334" t="s">
        <v>116</v>
      </c>
      <c r="D5334" t="s">
        <v>115</v>
      </c>
    </row>
    <row r="5335" spans="1:4" x14ac:dyDescent="0.25">
      <c r="B5335" t="str">
        <f>HYPERLINK("https://www.chemistwarehouse.com.au/buy/80694/WotNot-Natural-Facial-Wipes-Normal-Sensitive-Skin-25"," WotNot Natural Facial Wipes Normal/Sensitive Skin 25")</f>
        <v xml:space="preserve"> WotNot Natural Facial Wipes Normal/Sensitive Skin 25</v>
      </c>
      <c r="C5335" t="s">
        <v>116</v>
      </c>
      <c r="D5335" t="s">
        <v>115</v>
      </c>
    </row>
    <row r="5336" spans="1:4" x14ac:dyDescent="0.25">
      <c r="B5336" t="str">
        <f>HYPERLINK("https://www.chemistwarehouse.com.au/buy/80695/WotNot-Natural-Facial-Wipes-Oily-Sensitive-Skin-25"," WotNot Natural Facial Wipes Oily/Sensitive Skin 25")</f>
        <v xml:space="preserve"> WotNot Natural Facial Wipes Oily/Sensitive Skin 25</v>
      </c>
      <c r="C5336" t="s">
        <v>116</v>
      </c>
      <c r="D5336" t="s">
        <v>115</v>
      </c>
    </row>
    <row r="5337" spans="1:4" x14ac:dyDescent="0.25">
      <c r="A5337" t="s">
        <v>1373</v>
      </c>
    </row>
    <row r="5338" spans="1:4" x14ac:dyDescent="0.25">
      <c r="B5338" t="str">
        <f>HYPERLINK("https://www.chemistwarehouse.com.au/buy/81457/Tony-Moly-I-Am-Real-Lemon-Brightening-Sheet-Mask"," Tony Moly I Am Real Lemon Brightening Sheet Mask")</f>
        <v xml:space="preserve"> Tony Moly I Am Real Lemon Brightening Sheet Mask</v>
      </c>
      <c r="C5338" t="s">
        <v>146</v>
      </c>
      <c r="D5338">
        <v>0</v>
      </c>
    </row>
    <row r="5339" spans="1:4" x14ac:dyDescent="0.25">
      <c r="B5339" t="str">
        <f>HYPERLINK("https://www.chemistwarehouse.com.au/buy/81458/Tony-Moly-I-Am-Real-Pomegranate-Elasticity-Sheet-Mask"," Tony Moly I Am Real Pomegranate Elasticity Sheet Mask")</f>
        <v xml:space="preserve"> Tony Moly I Am Real Pomegranate Elasticity Sheet Mask</v>
      </c>
      <c r="C5339" t="s">
        <v>146</v>
      </c>
      <c r="D5339">
        <v>0</v>
      </c>
    </row>
    <row r="5340" spans="1:4" x14ac:dyDescent="0.25">
      <c r="B5340" t="str">
        <f>HYPERLINK("https://www.chemistwarehouse.com.au/buy/81459/Tony-Moly-I-Am-Real-Rice-Clear-Skin-Sheet-Mask"," Tony Moly I Am Real Rice Clear Skin Sheet Mask")</f>
        <v xml:space="preserve"> Tony Moly I Am Real Rice Clear Skin Sheet Mask</v>
      </c>
      <c r="C5340" t="s">
        <v>146</v>
      </c>
      <c r="D5340">
        <v>0</v>
      </c>
    </row>
    <row r="5341" spans="1:4" x14ac:dyDescent="0.25">
      <c r="B5341" t="str">
        <f>HYPERLINK("https://www.chemistwarehouse.com.au/buy/81460/Tony-Moly-I-Am-Real-Tea-Tree-Skin-Soothing-Sheet-Mask"," Tony Moly I Am Real Tea Tree Skin Soothing Sheet Mask")</f>
        <v xml:space="preserve"> Tony Moly I Am Real Tea Tree Skin Soothing Sheet Mask</v>
      </c>
      <c r="C5341" t="s">
        <v>146</v>
      </c>
      <c r="D5341">
        <v>0</v>
      </c>
    </row>
    <row r="5342" spans="1:4" x14ac:dyDescent="0.25">
      <c r="B5342" t="str">
        <f>HYPERLINK("https://www.chemistwarehouse.com.au/buy/81461/Tony-Moly-I-Am-Real-Tomato-Radiance-Sheet-Mask"," Tony Moly I Am Real Tomato Radiance Sheet Mask")</f>
        <v xml:space="preserve"> Tony Moly I Am Real Tomato Radiance Sheet Mask</v>
      </c>
      <c r="C5342" t="s">
        <v>146</v>
      </c>
      <c r="D5342">
        <v>0</v>
      </c>
    </row>
    <row r="5343" spans="1:4" x14ac:dyDescent="0.25">
      <c r="A5343" t="s">
        <v>1374</v>
      </c>
    </row>
    <row r="5344" spans="1:4" x14ac:dyDescent="0.25">
      <c r="B5344" t="str">
        <f>HYPERLINK("https://www.chemistwarehouse.com.au/buy/60983/Thursday-Plantation-Tea-Tree-Hand-and-Body-Lotion-200ml"," Thursday Plantation Tea Tree Hand and Body Lotion 200ml")</f>
        <v xml:space="preserve"> Thursday Plantation Tea Tree Hand and Body Lotion 200ml</v>
      </c>
      <c r="C5344" t="s">
        <v>32</v>
      </c>
      <c r="D5344" t="s">
        <v>441</v>
      </c>
    </row>
    <row r="5345" spans="1:4" x14ac:dyDescent="0.25">
      <c r="B5345" t="str">
        <f>HYPERLINK("https://www.chemistwarehouse.com.au/buy/68133/Thursday-Plantation-Certified-Organic-Rosehip-Oil-25ml"," Thursday Plantation Certified Organic Rosehip Oil 25ml")</f>
        <v xml:space="preserve"> Thursday Plantation Certified Organic Rosehip Oil 25ml</v>
      </c>
      <c r="C5345" t="s">
        <v>244</v>
      </c>
      <c r="D5345" t="s">
        <v>1375</v>
      </c>
    </row>
    <row r="5346" spans="1:4" x14ac:dyDescent="0.25">
      <c r="B5346" t="str">
        <f>HYPERLINK("https://www.chemistwarehouse.com.au/buy/71661/Thursday-Plantation-Macadamia-Oil-125ml"," Thursday Plantation Macadamia Oil 125ml")</f>
        <v xml:space="preserve"> Thursday Plantation Macadamia Oil 125ml</v>
      </c>
      <c r="C5346" t="s">
        <v>80</v>
      </c>
      <c r="D5346" t="s">
        <v>349</v>
      </c>
    </row>
    <row r="5347" spans="1:4" x14ac:dyDescent="0.25">
      <c r="B5347" t="str">
        <f>HYPERLINK("https://www.chemistwarehouse.com.au/buy/71662/Thursday-Plantation-Nurture-Oil-60ml"," Thursday Plantation Nurture Oil 60ml")</f>
        <v xml:space="preserve"> Thursday Plantation Nurture Oil 60ml</v>
      </c>
      <c r="C5347" t="s">
        <v>107</v>
      </c>
      <c r="D5347" t="s">
        <v>797</v>
      </c>
    </row>
    <row r="5348" spans="1:4" x14ac:dyDescent="0.25">
      <c r="B5348" t="str">
        <f>HYPERLINK("https://www.chemistwarehouse.com.au/buy/76286/Thursday-Plantation-Clarifying-Oil-60ml"," Thursday Plantation Clarifying Oil 60ml")</f>
        <v xml:space="preserve"> Thursday Plantation Clarifying Oil 60ml</v>
      </c>
      <c r="C5348" t="s">
        <v>443</v>
      </c>
      <c r="D5348" t="s">
        <v>821</v>
      </c>
    </row>
    <row r="5349" spans="1:4" x14ac:dyDescent="0.25">
      <c r="B5349" t="str">
        <f>HYPERLINK("https://www.chemistwarehouse.com.au/buy/76326/Thursday-Plantation-Brightening-Oil-60ml"," Thursday Plantation Brightening Oil 60ml")</f>
        <v xml:space="preserve"> Thursday Plantation Brightening Oil 60ml</v>
      </c>
      <c r="C5349" t="s">
        <v>443</v>
      </c>
      <c r="D5349" t="s">
        <v>821</v>
      </c>
    </row>
    <row r="5350" spans="1:4" x14ac:dyDescent="0.25">
      <c r="B5350" t="str">
        <f>HYPERLINK("https://www.chemistwarehouse.com.au/buy/76349/Thursday-Plantation-Face-Moisturiser-70g"," Thursday Plantation Face Moisturiser 70g")</f>
        <v xml:space="preserve"> Thursday Plantation Face Moisturiser 70g</v>
      </c>
      <c r="C5350" t="s">
        <v>443</v>
      </c>
      <c r="D5350" t="s">
        <v>821</v>
      </c>
    </row>
    <row r="5351" spans="1:4" x14ac:dyDescent="0.25">
      <c r="B5351" t="str">
        <f>HYPERLINK("https://www.chemistwarehouse.com.au/buy/76350/Thursday-Plantation-Oil-Cleanser-125ml"," Thursday Plantation Oil Cleanser 125ml")</f>
        <v xml:space="preserve"> Thursday Plantation Oil Cleanser 125ml</v>
      </c>
      <c r="C5351" t="s">
        <v>551</v>
      </c>
      <c r="D5351" t="s">
        <v>867</v>
      </c>
    </row>
    <row r="5352" spans="1:4" x14ac:dyDescent="0.25">
      <c r="A5352" t="s">
        <v>1376</v>
      </c>
    </row>
    <row r="5353" spans="1:4" x14ac:dyDescent="0.25">
      <c r="B5353" t="str">
        <f>HYPERLINK("https://www.chemistwarehouse.com.au/buy/80636/Akin-Brightening-Rosehip-Oil-with-Vitamin-C-20ml"," Akin Brightening Rosehip Oil with Vitamin C 20ml")</f>
        <v xml:space="preserve"> Akin Brightening Rosehip Oil with Vitamin C 20ml</v>
      </c>
      <c r="C5353" t="s">
        <v>148</v>
      </c>
      <c r="D5353" t="s">
        <v>437</v>
      </c>
    </row>
    <row r="5354" spans="1:4" x14ac:dyDescent="0.25">
      <c r="B5354" t="str">
        <f>HYPERLINK("https://www.chemistwarehouse.com.au/buy/81807/Akin-Certified-Organic-Rosehip-Oil-20ml"," Akin Certified Organic Rosehip Oil 20ml")</f>
        <v xml:space="preserve"> Akin Certified Organic Rosehip Oil 20ml</v>
      </c>
      <c r="C5354" t="s">
        <v>233</v>
      </c>
      <c r="D5354" t="s">
        <v>821</v>
      </c>
    </row>
    <row r="5355" spans="1:4" x14ac:dyDescent="0.25">
      <c r="B5355" t="str">
        <f>HYPERLINK("https://www.chemistwarehouse.com.au/buy/81808/Akin-Certified-Organic-Rosehip-Oil-45ml"," Akin Certified Organic Rosehip Oil 45ml")</f>
        <v xml:space="preserve"> Akin Certified Organic Rosehip Oil 45ml</v>
      </c>
      <c r="C5355" t="s">
        <v>262</v>
      </c>
      <c r="D5355" t="s">
        <v>1346</v>
      </c>
    </row>
    <row r="5356" spans="1:4" x14ac:dyDescent="0.25">
      <c r="B5356" t="str">
        <f>HYPERLINK("https://www.chemistwarehouse.com.au/buy/81809/Akin-Cleansing-Micellar-Water-150ml"," Akin Cleansing Micellar Water 150ml")</f>
        <v xml:space="preserve"> Akin Cleansing Micellar Water 150ml</v>
      </c>
      <c r="C5356" t="s">
        <v>211</v>
      </c>
      <c r="D5356" t="s">
        <v>336</v>
      </c>
    </row>
    <row r="5357" spans="1:4" x14ac:dyDescent="0.25">
      <c r="B5357" t="str">
        <f>HYPERLINK("https://www.chemistwarehouse.com.au/buy/81810/Akin-Hydrating-Antioxidant-Day-Cream-50ml"," Akin Hydrating Antioxidant Day Cream 50ml")</f>
        <v xml:space="preserve"> Akin Hydrating Antioxidant Day Cream 50ml</v>
      </c>
      <c r="C5357" t="s">
        <v>262</v>
      </c>
      <c r="D5357" t="s">
        <v>1346</v>
      </c>
    </row>
    <row r="5358" spans="1:4" x14ac:dyDescent="0.25">
      <c r="B5358" t="str">
        <f>HYPERLINK("https://www.chemistwarehouse.com.au/buy/81811/Akin-Hydrating-Mist-Toner-150ml"," Akin Hydrating Mist Toner 150ml")</f>
        <v xml:space="preserve"> Akin Hydrating Mist Toner 150ml</v>
      </c>
      <c r="C5358" t="s">
        <v>443</v>
      </c>
      <c r="D5358" t="s">
        <v>821</v>
      </c>
    </row>
    <row r="5359" spans="1:4" x14ac:dyDescent="0.25">
      <c r="B5359" t="str">
        <f>HYPERLINK("https://www.chemistwarehouse.com.au/buy/81812/Akin-Nourishing-Cream-Cleanser-and-Toner-140ml"," Akin Nourishing Cream Cleanser and Toner 140ml")</f>
        <v xml:space="preserve"> Akin Nourishing Cream Cleanser and Toner 140ml</v>
      </c>
      <c r="C5359" t="s">
        <v>432</v>
      </c>
      <c r="D5359" t="s">
        <v>356</v>
      </c>
    </row>
    <row r="5360" spans="1:4" x14ac:dyDescent="0.25">
      <c r="B5360" t="str">
        <f>HYPERLINK("https://www.chemistwarehouse.com.au/buy/81813/Akin-Replenishing-Antioxidant-Night-Cream-50ml"," Akin Replenishing Antioxidant Night Cream 50ml")</f>
        <v xml:space="preserve"> Akin Replenishing Antioxidant Night Cream 50ml</v>
      </c>
      <c r="C5360" t="s">
        <v>262</v>
      </c>
      <c r="D5360" t="s">
        <v>1346</v>
      </c>
    </row>
    <row r="5361" spans="1:4" x14ac:dyDescent="0.25">
      <c r="A5361" t="s">
        <v>1377</v>
      </c>
    </row>
    <row r="5362" spans="1:4" x14ac:dyDescent="0.25">
      <c r="B5362" t="str">
        <f>HYPERLINK("https://www.chemistwarehouse.com.au/buy/81851/Wrinkles-Schminkles-Neck-Smoothing-Kit"," Wrinkles Schminkles Neck Smoothing Kit")</f>
        <v xml:space="preserve"> Wrinkles Schminkles Neck Smoothing Kit</v>
      </c>
      <c r="C5362" t="s">
        <v>1378</v>
      </c>
      <c r="D5362">
        <v>0</v>
      </c>
    </row>
    <row r="5363" spans="1:4" x14ac:dyDescent="0.25">
      <c r="B5363" t="str">
        <f>HYPERLINK("https://www.chemistwarehouse.com.au/buy/82026/Wrinkles-Schminkles-Chest-amp-Decolletage-and-Forehead-amp-Eye-Smoothing-Kit-plus-free-Cleansing-Solution-60ml-Online-Only"," Wrinkles Schminkles Chest &amp; Decolletage and Forehead &amp; Eye Smoothing Kit plus free Cleansing Solution 60ml Online Only")</f>
        <v xml:space="preserve"> Wrinkles Schminkles Chest &amp; Decolletage and Forehead &amp; Eye Smoothing Kit plus free Cleansing Solution 60ml Online Only</v>
      </c>
      <c r="C5363" t="s">
        <v>833</v>
      </c>
      <c r="D5363">
        <v>0</v>
      </c>
    </row>
    <row r="5364" spans="1:4" x14ac:dyDescent="0.25">
      <c r="B5364" t="str">
        <f>HYPERLINK("https://www.chemistwarehouse.com.au/buy/81847/Wrinkles-Schminkles-Chest-amp-Decolletage-Smoothing-Kit"," Wrinkles Schminkles Chest &amp; Decolletage Smoothing Kit")</f>
        <v xml:space="preserve"> Wrinkles Schminkles Chest &amp; Decolletage Smoothing Kit</v>
      </c>
      <c r="C5364" t="s">
        <v>1378</v>
      </c>
      <c r="D5364">
        <v>0</v>
      </c>
    </row>
    <row r="5365" spans="1:4" x14ac:dyDescent="0.25">
      <c r="B5365" t="str">
        <f>HYPERLINK("https://www.chemistwarehouse.com.au/buy/81848/Wrinkles-Schminkles-Cleaning-Solution-60ml"," Wrinkles Schminkles Cleaning Solution 60ml")</f>
        <v xml:space="preserve"> Wrinkles Schminkles Cleaning Solution 60ml</v>
      </c>
      <c r="C5365" t="s">
        <v>303</v>
      </c>
      <c r="D5365">
        <v>0</v>
      </c>
    </row>
    <row r="5366" spans="1:4" x14ac:dyDescent="0.25">
      <c r="B5366" t="str">
        <f>HYPERLINK("https://www.chemistwarehouse.com.au/buy/81849/Wrinkles-Schminkles-Morning-After-Glow-Serum-50ml"," Wrinkles Schminkles Morning After Glow Serum 50ml")</f>
        <v xml:space="preserve"> Wrinkles Schminkles Morning After Glow Serum 50ml</v>
      </c>
      <c r="C5366" t="s">
        <v>1378</v>
      </c>
      <c r="D5366">
        <v>0</v>
      </c>
    </row>
    <row r="5367" spans="1:4" x14ac:dyDescent="0.25">
      <c r="B5367" t="str">
        <f>HYPERLINK("https://www.chemistwarehouse.com.au/buy/81850/Wrinkles-Schminkles-Forehead-amp-Eye-Smoothing-Kit"," Wrinkles Schminkles Forehead &amp; Eye Smoothing Kit")</f>
        <v xml:space="preserve"> Wrinkles Schminkles Forehead &amp; Eye Smoothing Kit</v>
      </c>
      <c r="C5367" t="s">
        <v>1378</v>
      </c>
      <c r="D5367">
        <v>0</v>
      </c>
    </row>
    <row r="5368" spans="1:4" x14ac:dyDescent="0.25">
      <c r="A5368" t="s">
        <v>1379</v>
      </c>
    </row>
    <row r="5369" spans="1:4" x14ac:dyDescent="0.25">
      <c r="B5369" t="str">
        <f>HYPERLINK("https://www.chemistwarehouse.com.au/buy/81937/By-My-Beard-Beard-Conditioner-amp-Face-Moisturiser-300ml"," By My Beard Beard Conditioner &amp; Face Moisturiser 300ml")</f>
        <v xml:space="preserve"> By My Beard Beard Conditioner &amp; Face Moisturiser 300ml</v>
      </c>
      <c r="C5369" t="s">
        <v>556</v>
      </c>
      <c r="D5369">
        <v>0</v>
      </c>
    </row>
    <row r="5370" spans="1:4" x14ac:dyDescent="0.25">
      <c r="B5370" t="str">
        <f>HYPERLINK("https://www.chemistwarehouse.com.au/buy/81939/By-My-Beard-Beard-Shampoo-300ml"," By My Beard Beard Shampoo 300ml")</f>
        <v xml:space="preserve"> By My Beard Beard Shampoo 300ml</v>
      </c>
      <c r="C5370" t="s">
        <v>556</v>
      </c>
      <c r="D5370">
        <v>0</v>
      </c>
    </row>
    <row r="5371" spans="1:4" x14ac:dyDescent="0.25">
      <c r="B5371" t="str">
        <f>HYPERLINK("https://www.chemistwarehouse.com.au/buy/81938/By-My-Beard-Beard-Oil-30ml"," By My Beard Beard Oil 30ml")</f>
        <v xml:space="preserve"> By My Beard Beard Oil 30ml</v>
      </c>
      <c r="C5371" t="s">
        <v>556</v>
      </c>
      <c r="D5371">
        <v>0</v>
      </c>
    </row>
    <row r="5372" spans="1:4" x14ac:dyDescent="0.25">
      <c r="A5372" t="s">
        <v>1380</v>
      </c>
    </row>
    <row r="5373" spans="1:4" x14ac:dyDescent="0.25">
      <c r="B5373" t="str">
        <f>HYPERLINK("https://www.chemistwarehouse.com.au/buy/82150/Coffee-Bar-Exfoliator-Caramel-Espresso-60g"," Coffee Bar Exfoliator Caramel Espresso 60g")</f>
        <v xml:space="preserve"> Coffee Bar Exfoliator Caramel Espresso 60g</v>
      </c>
      <c r="C5373" t="s">
        <v>556</v>
      </c>
      <c r="D5373" t="s">
        <v>371</v>
      </c>
    </row>
    <row r="5374" spans="1:4" x14ac:dyDescent="0.25">
      <c r="B5374" t="str">
        <f>HYPERLINK("https://www.chemistwarehouse.com.au/buy/82151/Coffee-Bar-Exfoliator-Chocolate-Cappuccino-60g"," Coffee Bar Exfoliator Chocolate Cappuccino 60g")</f>
        <v xml:space="preserve"> Coffee Bar Exfoliator Chocolate Cappuccino 60g</v>
      </c>
      <c r="C5374" t="s">
        <v>556</v>
      </c>
      <c r="D5374" t="s">
        <v>371</v>
      </c>
    </row>
    <row r="5375" spans="1:4" x14ac:dyDescent="0.25">
      <c r="B5375" t="str">
        <f>HYPERLINK("https://www.chemistwarehouse.com.au/buy/82152/Coffee-Bar-Exfoliator-Coconut-Macchiato-60g"," Coffee Bar Exfoliator Coconut Macchiato 60g")</f>
        <v xml:space="preserve"> Coffee Bar Exfoliator Coconut Macchiato 60g</v>
      </c>
      <c r="C5375" t="s">
        <v>556</v>
      </c>
      <c r="D5375" t="s">
        <v>371</v>
      </c>
    </row>
    <row r="5376" spans="1:4" x14ac:dyDescent="0.25">
      <c r="B5376" t="str">
        <f>HYPERLINK("https://www.chemistwarehouse.com.au/buy/82153/Coffee-Bar-Exfoliator-Vanilla-Latte-60g"," Coffee Bar Exfoliator Vanilla Latte 60g")</f>
        <v xml:space="preserve"> Coffee Bar Exfoliator Vanilla Latte 60g</v>
      </c>
      <c r="C5376" t="s">
        <v>556</v>
      </c>
      <c r="D5376" t="s">
        <v>371</v>
      </c>
    </row>
    <row r="5377" spans="1:4" x14ac:dyDescent="0.25">
      <c r="A5377" t="s">
        <v>1381</v>
      </c>
    </row>
    <row r="5378" spans="1:4" x14ac:dyDescent="0.25">
      <c r="B5378" t="str">
        <f>HYPERLINK("https://www.chemistwarehouse.com.au/buy/82035/Hamilton-Skin-Therapy-Nourishing-Cream-225g"," Hamilton Skin Therapy Nourishing Cream 225g")</f>
        <v xml:space="preserve"> Hamilton Skin Therapy Nourishing Cream 225g</v>
      </c>
      <c r="C5378" t="s">
        <v>290</v>
      </c>
      <c r="D5378" t="s">
        <v>799</v>
      </c>
    </row>
    <row r="5379" spans="1:4" x14ac:dyDescent="0.25">
      <c r="A5379" t="s">
        <v>1382</v>
      </c>
    </row>
    <row r="5380" spans="1:4" x14ac:dyDescent="0.25">
      <c r="B5380" t="str">
        <f>HYPERLINK("https://www.chemistwarehouse.com.au/buy/67741/Olivella-Face-amp-Body-Bar-Fragrance-Free-100g"," Olivella Face &amp; Body Bar Fragrance Free 100g")</f>
        <v xml:space="preserve"> Olivella Face &amp; Body Bar Fragrance Free 100g</v>
      </c>
      <c r="C5380" t="s">
        <v>146</v>
      </c>
      <c r="D5380">
        <v>0</v>
      </c>
    </row>
    <row r="5381" spans="1:4" x14ac:dyDescent="0.25">
      <c r="B5381" t="str">
        <f>HYPERLINK("https://www.chemistwarehouse.com.au/buy/69644/Olivella-Contour-Eye-Cream-30ml"," Olivella Contour Eye Cream 30ml")</f>
        <v xml:space="preserve"> Olivella Contour Eye Cream 30ml</v>
      </c>
      <c r="C5381" t="s">
        <v>237</v>
      </c>
      <c r="D5381">
        <v>0</v>
      </c>
    </row>
    <row r="5382" spans="1:4" x14ac:dyDescent="0.25">
      <c r="B5382" t="str">
        <f>HYPERLINK("https://www.chemistwarehouse.com.au/buy/69646/Olivella-Nourishment-Cream-50ml"," Olivella Nourishment Cream 50ml")</f>
        <v xml:space="preserve"> Olivella Nourishment Cream 50ml</v>
      </c>
      <c r="C5382" t="s">
        <v>237</v>
      </c>
      <c r="D5382">
        <v>0</v>
      </c>
    </row>
    <row r="5383" spans="1:4" x14ac:dyDescent="0.25">
      <c r="B5383" t="str">
        <f>HYPERLINK("https://www.chemistwarehouse.com.au/buy/76239/Olivella-Daily-Cleansing-30-Wipes"," Olivella Daily Cleansing 30 Wipes")</f>
        <v xml:space="preserve"> Olivella Daily Cleansing 30 Wipes</v>
      </c>
      <c r="C5383" t="s">
        <v>556</v>
      </c>
      <c r="D5383">
        <v>0</v>
      </c>
    </row>
    <row r="5384" spans="1:4" x14ac:dyDescent="0.25">
      <c r="B5384" t="str">
        <f>HYPERLINK("https://www.chemistwarehouse.com.au/buy/67742/Olivella-Face-Moisturiser-50ml"," Olivella Face Moisturiser 50ml")</f>
        <v xml:space="preserve"> Olivella Face Moisturiser 50ml</v>
      </c>
      <c r="C5384" t="s">
        <v>237</v>
      </c>
      <c r="D5384">
        <v>0</v>
      </c>
    </row>
    <row r="5385" spans="1:4" x14ac:dyDescent="0.25">
      <c r="B5385" t="str">
        <f>HYPERLINK("https://www.chemistwarehouse.com.au/buy/68633/Olivella-Face-amp-Body-Soap-500ml"," Olivella Face &amp; Body Soap 500ml")</f>
        <v xml:space="preserve"> Olivella Face &amp; Body Soap 500ml</v>
      </c>
      <c r="C5385" t="s">
        <v>103</v>
      </c>
      <c r="D5385">
        <v>0</v>
      </c>
    </row>
    <row r="5386" spans="1:4" x14ac:dyDescent="0.25">
      <c r="B5386" t="str">
        <f>HYPERLINK("https://www.chemistwarehouse.com.au/buy/68634/Olivella-Apricot-Face-amp-Body-Soap-500ml"," Olivella Apricot Face &amp; Body Soap 500ml")</f>
        <v xml:space="preserve"> Olivella Apricot Face &amp; Body Soap 500ml</v>
      </c>
      <c r="C5386" t="s">
        <v>103</v>
      </c>
      <c r="D5386">
        <v>0</v>
      </c>
    </row>
    <row r="5387" spans="1:4" x14ac:dyDescent="0.25">
      <c r="B5387" t="str">
        <f>HYPERLINK("https://www.chemistwarehouse.com.au/buy/64269/Olivella-Gentle-Beauty-Soap-100g"," Olivella Gentle Beauty Soap 100g")</f>
        <v xml:space="preserve"> Olivella Gentle Beauty Soap 100g</v>
      </c>
      <c r="C5387" t="s">
        <v>146</v>
      </c>
      <c r="D5387">
        <v>0</v>
      </c>
    </row>
    <row r="5388" spans="1:4" x14ac:dyDescent="0.25">
      <c r="B5388" t="str">
        <f>HYPERLINK("https://www.chemistwarehouse.com.au/buy/64270/Olivella-Body-Cream-150ml"," Olivella Body Cream 150ml")</f>
        <v xml:space="preserve"> Olivella Body Cream 150ml</v>
      </c>
      <c r="C5388" t="s">
        <v>32</v>
      </c>
      <c r="D5388">
        <v>0</v>
      </c>
    </row>
    <row r="5389" spans="1:4" x14ac:dyDescent="0.25">
      <c r="B5389" t="str">
        <f>HYPERLINK("https://www.chemistwarehouse.com.au/buy/64271/Olivella-Hand-Cream-75ml"," Olivella Hand Cream 75ml")</f>
        <v xml:space="preserve"> Olivella Hand Cream 75ml</v>
      </c>
      <c r="C5389" t="s">
        <v>92</v>
      </c>
      <c r="D5389">
        <v>0</v>
      </c>
    </row>
    <row r="5390" spans="1:4" x14ac:dyDescent="0.25">
      <c r="B5390" t="str">
        <f>HYPERLINK("https://www.chemistwarehouse.com.au/buy/64272/Olivella-Bath-amp-Shower-Gel-500ml"," Olivella Bath &amp; Shower Gel 500ml")</f>
        <v xml:space="preserve"> Olivella Bath &amp; Shower Gel 500ml</v>
      </c>
      <c r="C5390" t="s">
        <v>103</v>
      </c>
      <c r="D5390">
        <v>0</v>
      </c>
    </row>
    <row r="5391" spans="1:4" x14ac:dyDescent="0.25">
      <c r="B5391" t="str">
        <f>HYPERLINK("https://www.chemistwarehouse.com.au/buy/67740/Olivella-Bath-amp-Shower-Gel-Orange-500ml"," Olivella Bath &amp; Shower Gel Orange 500ml")</f>
        <v xml:space="preserve"> Olivella Bath &amp; Shower Gel Orange 500ml</v>
      </c>
      <c r="C5391" t="s">
        <v>103</v>
      </c>
      <c r="D5391">
        <v>0</v>
      </c>
    </row>
    <row r="5392" spans="1:4" x14ac:dyDescent="0.25">
      <c r="B5392" t="str">
        <f>HYPERLINK("https://www.chemistwarehouse.com.au/buy/69643/Olivella-Anti-Wrinkle-Cream-50ml"," Olivella Anti Wrinkle Cream 50ml")</f>
        <v xml:space="preserve"> Olivella Anti Wrinkle Cream 50ml</v>
      </c>
      <c r="C5392" t="s">
        <v>237</v>
      </c>
      <c r="D5392">
        <v>0</v>
      </c>
    </row>
    <row r="5393" spans="1:4" x14ac:dyDescent="0.25">
      <c r="A5393" t="s">
        <v>1383</v>
      </c>
    </row>
    <row r="5394" spans="1:4" x14ac:dyDescent="0.25">
      <c r="B5394" t="str">
        <f>HYPERLINK("https://www.chemistwarehouse.com.au/buy/82415/Mustela-2-in-1-Cleansing-Gel-200ml"," Mustela 2-in-1 Cleansing Gel 200ml")</f>
        <v xml:space="preserve"> Mustela 2-in-1 Cleansing Gel 200ml</v>
      </c>
      <c r="C5394" t="s">
        <v>61</v>
      </c>
      <c r="D5394" t="s">
        <v>147</v>
      </c>
    </row>
    <row r="5395" spans="1:4" x14ac:dyDescent="0.25">
      <c r="B5395" t="str">
        <f>HYPERLINK("https://www.chemistwarehouse.com.au/buy/82416/Mustela-Gentle-Cleansing-Gel-500ml"," Mustela Gentle Cleansing Gel 500ml")</f>
        <v xml:space="preserve"> Mustela Gentle Cleansing Gel 500ml</v>
      </c>
      <c r="C5395" t="s">
        <v>63</v>
      </c>
      <c r="D5395" t="s">
        <v>157</v>
      </c>
    </row>
    <row r="5396" spans="1:4" x14ac:dyDescent="0.25">
      <c r="B5396" t="str">
        <f>HYPERLINK("https://www.chemistwarehouse.com.au/buy/82417/Mustela-Hydra-Bebe-Body-Lotion-300ml"," Mustela Hydra-Bebe Body Lotion 300ml")</f>
        <v xml:space="preserve"> Mustela Hydra-Bebe Body Lotion 300ml</v>
      </c>
      <c r="C5396" t="s">
        <v>63</v>
      </c>
      <c r="D5396" t="s">
        <v>157</v>
      </c>
    </row>
    <row r="5397" spans="1:4" x14ac:dyDescent="0.25">
      <c r="B5397" t="str">
        <f>HYPERLINK("https://www.chemistwarehouse.com.au/buy/82418/Mustela-Hydra-Bebe-Face-Cream-40ml"," Mustela Hydra-Bebe Face Cream 40ml")</f>
        <v xml:space="preserve"> Mustela Hydra-Bebe Face Cream 40ml</v>
      </c>
      <c r="C5397" t="s">
        <v>237</v>
      </c>
      <c r="D5397" t="s">
        <v>145</v>
      </c>
    </row>
    <row r="5398" spans="1:4" x14ac:dyDescent="0.25">
      <c r="B5398" t="str">
        <f>HYPERLINK("https://www.chemistwarehouse.com.au/buy/82419/Mustela-Multi-Sensory-Bubble-Bath-200ml"," Mustela Multi-Sensory Bubble Bath 200ml")</f>
        <v xml:space="preserve"> Mustela Multi-Sensory Bubble Bath 200ml</v>
      </c>
      <c r="C5398" t="s">
        <v>237</v>
      </c>
      <c r="D5398" t="s">
        <v>150</v>
      </c>
    </row>
    <row r="5399" spans="1:4" x14ac:dyDescent="0.25">
      <c r="B5399" t="str">
        <f>HYPERLINK("https://www.chemistwarehouse.com.au/buy/82420/Mustela-Newborn-Foam-Shampoo-150ml"," Mustela Newborn Foam Shampoo 150ml")</f>
        <v xml:space="preserve"> Mustela Newborn Foam Shampoo 150ml</v>
      </c>
      <c r="C5399" t="s">
        <v>58</v>
      </c>
      <c r="D5399" t="s">
        <v>145</v>
      </c>
    </row>
    <row r="5400" spans="1:4" x14ac:dyDescent="0.25">
      <c r="B5400" t="str">
        <f>HYPERLINK("https://www.chemistwarehouse.com.au/buy/82421/Mustela-Nourishing-Body-Lotion-for-Dry-Skin-200ml"," Mustela Nourishing Body Lotion for Dry Skin 200ml")</f>
        <v xml:space="preserve"> Mustela Nourishing Body Lotion for Dry Skin 200ml</v>
      </c>
      <c r="C5400" t="s">
        <v>61</v>
      </c>
      <c r="D5400" t="s">
        <v>397</v>
      </c>
    </row>
    <row r="5401" spans="1:4" x14ac:dyDescent="0.25">
      <c r="B5401" t="str">
        <f>HYPERLINK("https://www.chemistwarehouse.com.au/buy/82422/Mustela-Nourishing-Face-Cream-For-Dry-Skin-40ml"," Mustela Nourishing Face Cream For Dry Skin 40ml")</f>
        <v xml:space="preserve"> Mustela Nourishing Face Cream For Dry Skin 40ml</v>
      </c>
      <c r="C5401" t="s">
        <v>237</v>
      </c>
      <c r="D5401" t="s">
        <v>150</v>
      </c>
    </row>
    <row r="5402" spans="1:4" x14ac:dyDescent="0.25">
      <c r="B5402" t="str">
        <f>HYPERLINK("https://www.chemistwarehouse.com.au/buy/82423/Mustela-Stelatopia-Cleansing-Cream-200ml"," Mustela Stelatopia Cleansing Cream 200ml")</f>
        <v xml:space="preserve"> Mustela Stelatopia Cleansing Cream 200ml</v>
      </c>
      <c r="C5402" t="s">
        <v>125</v>
      </c>
      <c r="D5402" t="s">
        <v>397</v>
      </c>
    </row>
    <row r="5403" spans="1:4" x14ac:dyDescent="0.25">
      <c r="B5403" t="str">
        <f>HYPERLINK("https://www.chemistwarehouse.com.au/buy/82424/Mustela-Stelatopia-Emollient-Cream-200ml"," Mustela Stelatopia Emollient Cream 200ml")</f>
        <v xml:space="preserve"> Mustela Stelatopia Emollient Cream 200ml</v>
      </c>
      <c r="C5403" t="s">
        <v>6</v>
      </c>
      <c r="D5403" t="s">
        <v>165</v>
      </c>
    </row>
    <row r="5404" spans="1:4" x14ac:dyDescent="0.25">
      <c r="B5404" t="str">
        <f>HYPERLINK("https://www.chemistwarehouse.com.au/buy/82425/Mustela-Stelatria-Purifying-Recovery-Cream-40ml"," Mustela Stelatria Purifying Recovery Cream 40ml")</f>
        <v xml:space="preserve"> Mustela Stelatria Purifying Recovery Cream 40ml</v>
      </c>
      <c r="C5404" t="s">
        <v>173</v>
      </c>
      <c r="D5404" t="s">
        <v>150</v>
      </c>
    </row>
    <row r="5405" spans="1:4" x14ac:dyDescent="0.25">
      <c r="B5405" t="str">
        <f>HYPERLINK("https://www.chemistwarehouse.com.au/buy/82426/Mustela-Travel-Set"," Mustela Travel Set")</f>
        <v xml:space="preserve"> Mustela Travel Set</v>
      </c>
      <c r="C5405" t="s">
        <v>1</v>
      </c>
      <c r="D5405" t="s">
        <v>165</v>
      </c>
    </row>
    <row r="5406" spans="1:4" x14ac:dyDescent="0.25">
      <c r="B5406" t="str">
        <f>HYPERLINK("https://www.chemistwarehouse.com.au/buy/82427/Mustela-Vitamin-Barrier-Cream-100ml"," Mustela Vitamin Barrier Cream 100ml")</f>
        <v xml:space="preserve"> Mustela Vitamin Barrier Cream 100ml</v>
      </c>
      <c r="C5406" t="s">
        <v>32</v>
      </c>
      <c r="D5406" t="s">
        <v>147</v>
      </c>
    </row>
    <row r="5407" spans="1:4" x14ac:dyDescent="0.25">
      <c r="A5407" t="s">
        <v>1384</v>
      </c>
    </row>
    <row r="5408" spans="1:4" x14ac:dyDescent="0.25">
      <c r="B5408" t="str">
        <f>HYPERLINK("https://www.chemistwarehouse.com.au/buy/82639/Essano-Rosehip-Certified-Organic-Rosehip-Oil-20ml"," Essano Rosehip Certified Organic Rosehip Oil 20ml")</f>
        <v xml:space="preserve"> Essano Rosehip Certified Organic Rosehip Oil 20ml</v>
      </c>
      <c r="C5408" t="s">
        <v>61</v>
      </c>
      <c r="D5408" t="s">
        <v>115</v>
      </c>
    </row>
    <row r="5409" spans="1:4" x14ac:dyDescent="0.25">
      <c r="B5409" t="str">
        <f>HYPERLINK("https://www.chemistwarehouse.com.au/buy/82640/Essano-Rosehip-Collagen-Repair-Serum-30ml"," Essano Rosehip Collagen Repair Serum 30ml")</f>
        <v xml:space="preserve"> Essano Rosehip Collagen Repair Serum 30ml</v>
      </c>
      <c r="C5409" t="s">
        <v>230</v>
      </c>
      <c r="D5409" t="s">
        <v>119</v>
      </c>
    </row>
    <row r="5410" spans="1:4" x14ac:dyDescent="0.25">
      <c r="B5410" t="str">
        <f>HYPERLINK("https://www.chemistwarehouse.com.au/buy/82641/Essano-Rosehip-Gentle-Foaming-Facial-Cleanser-140ml"," Essano Rosehip Gentle Foaming Facial Cleanser 140ml")</f>
        <v xml:space="preserve"> Essano Rosehip Gentle Foaming Facial Cleanser 140ml</v>
      </c>
      <c r="C5410" t="s">
        <v>212</v>
      </c>
      <c r="D5410" t="s">
        <v>318</v>
      </c>
    </row>
    <row r="5411" spans="1:4" x14ac:dyDescent="0.25">
      <c r="B5411" t="str">
        <f>HYPERLINK("https://www.chemistwarehouse.com.au/buy/82642/Essano-Rosehip-Micellar-Water-400ml"," Essano Rosehip Micellar Water 400ml")</f>
        <v xml:space="preserve"> Essano Rosehip Micellar Water 400ml</v>
      </c>
      <c r="C5411" t="s">
        <v>98</v>
      </c>
      <c r="D5411" t="s">
        <v>312</v>
      </c>
    </row>
    <row r="5412" spans="1:4" x14ac:dyDescent="0.25">
      <c r="B5412" t="str">
        <f>HYPERLINK("https://www.chemistwarehouse.com.au/buy/82643/Essano-Rosehip-Moisture-Resortative-Night-Creme-50g"," Essano Rosehip Moisture Resortative Night Creme 50g")</f>
        <v xml:space="preserve"> Essano Rosehip Moisture Resortative Night Creme 50g</v>
      </c>
      <c r="C5412" t="s">
        <v>61</v>
      </c>
      <c r="D5412" t="s">
        <v>115</v>
      </c>
    </row>
    <row r="5413" spans="1:4" x14ac:dyDescent="0.25">
      <c r="B5413" t="str">
        <f>HYPERLINK("https://www.chemistwarehouse.com.au/buy/82644/Essano-Rosehip-Pure-Defence-SPF-15-Moisturiser-75ml"," Essano Rosehip Pure Defence SPF 15 Moisturiser 75ml")</f>
        <v xml:space="preserve"> Essano Rosehip Pure Defence SPF 15 Moisturiser 75ml</v>
      </c>
      <c r="C5413" t="s">
        <v>61</v>
      </c>
      <c r="D5413" t="s">
        <v>115</v>
      </c>
    </row>
    <row r="5414" spans="1:4" x14ac:dyDescent="0.25">
      <c r="B5414" t="str">
        <f>HYPERLINK("https://www.chemistwarehouse.com.au/buy/82645/Essano-Rosehip-Regenerating-Facial-Moisturiser-140ml"," Essano Rosehip Regenerating Facial Moisturiser 140ml")</f>
        <v xml:space="preserve"> Essano Rosehip Regenerating Facial Moisturiser 140ml</v>
      </c>
      <c r="C5414" t="s">
        <v>61</v>
      </c>
      <c r="D5414" t="s">
        <v>115</v>
      </c>
    </row>
    <row r="5415" spans="1:4" x14ac:dyDescent="0.25">
      <c r="B5415" t="str">
        <f>HYPERLINK("https://www.chemistwarehouse.com.au/buy/82646/Essano-Rosehip-Visible-Lift-Eye-Creme-15ml"," Essano Rosehip Visible Lift Eye Creme 15ml")</f>
        <v xml:space="preserve"> Essano Rosehip Visible Lift Eye Creme 15ml</v>
      </c>
      <c r="C5415" t="s">
        <v>61</v>
      </c>
      <c r="D5415" t="s">
        <v>115</v>
      </c>
    </row>
    <row r="5416" spans="1:4" x14ac:dyDescent="0.25">
      <c r="A5416" t="s">
        <v>1385</v>
      </c>
    </row>
    <row r="5417" spans="1:4" x14ac:dyDescent="0.25">
      <c r="B5417" t="str">
        <f>HYPERLINK("https://www.chemistwarehouse.com.au/buy/53157/Bio-Oil-200mL"," Bio Oil 200mL")</f>
        <v xml:space="preserve"> Bio Oil 200mL</v>
      </c>
      <c r="C5417" t="s">
        <v>596</v>
      </c>
      <c r="D5417" t="s">
        <v>332</v>
      </c>
    </row>
    <row r="5418" spans="1:4" x14ac:dyDescent="0.25">
      <c r="B5418" t="str">
        <f>HYPERLINK("https://www.chemistwarehouse.com.au/buy/44678/Bio-Oil-60mL"," Bio Oil 60mL")</f>
        <v xml:space="preserve"> Bio Oil 60mL</v>
      </c>
      <c r="C5418" t="s">
        <v>212</v>
      </c>
      <c r="D5418" t="s">
        <v>799</v>
      </c>
    </row>
    <row r="5419" spans="1:4" x14ac:dyDescent="0.25">
      <c r="B5419" t="str">
        <f>HYPERLINK("https://www.chemistwarehouse.com.au/buy/49533/Bio-Oil-125mL"," Bio Oil 125mL")</f>
        <v xml:space="preserve"> Bio Oil 125mL</v>
      </c>
      <c r="C5419" t="s">
        <v>173</v>
      </c>
      <c r="D5419" t="s">
        <v>145</v>
      </c>
    </row>
    <row r="5420" spans="1:4" x14ac:dyDescent="0.25">
      <c r="A5420" t="s">
        <v>1386</v>
      </c>
    </row>
    <row r="5421" spans="1:4" x14ac:dyDescent="0.25">
      <c r="B5421" t="str">
        <f>HYPERLINK("https://www.chemistwarehouse.com.au/buy/62006/Swisspers-Make-Up-Rounds-Twin"," Swisspers Make Up Rounds Twin")</f>
        <v xml:space="preserve"> Swisspers Make Up Rounds Twin</v>
      </c>
      <c r="C5421" t="s">
        <v>375</v>
      </c>
      <c r="D5421" t="s">
        <v>325</v>
      </c>
    </row>
    <row r="5422" spans="1:4" x14ac:dyDescent="0.25">
      <c r="B5422" t="str">
        <f>HYPERLINK("https://www.chemistwarehouse.com.au/buy/49718/Swisspers-Cosmetic-Tips-100"," Swisspers Cosmetic Tips 100")</f>
        <v xml:space="preserve"> Swisspers Cosmetic Tips 100</v>
      </c>
      <c r="C5422" t="s">
        <v>399</v>
      </c>
      <c r="D5422" t="s">
        <v>725</v>
      </c>
    </row>
    <row r="5423" spans="1:4" x14ac:dyDescent="0.25">
      <c r="B5423" t="str">
        <f>HYPERLINK("https://www.chemistwarehouse.com.au/buy/41573/Swisspers-Make-Up-Rounds-80"," Swisspers Make Up Rounds 80")</f>
        <v xml:space="preserve"> Swisspers Make Up Rounds 80</v>
      </c>
      <c r="C5423" t="s">
        <v>775</v>
      </c>
      <c r="D5423" t="s">
        <v>1387</v>
      </c>
    </row>
    <row r="5424" spans="1:4" x14ac:dyDescent="0.25">
      <c r="B5424" t="str">
        <f>HYPERLINK("https://www.chemistwarehouse.com.au/buy/64898/Swisspers-Organics-Make-Up-Pads-80"," Swisspers Organics Make Up Pads 80")</f>
        <v xml:space="preserve"> Swisspers Organics Make Up Pads 80</v>
      </c>
      <c r="C5424" t="s">
        <v>775</v>
      </c>
      <c r="D5424" t="s">
        <v>1388</v>
      </c>
    </row>
    <row r="5425" spans="1:4" x14ac:dyDescent="0.25">
      <c r="A5425" t="s">
        <v>1389</v>
      </c>
    </row>
    <row r="5426" spans="1:4" x14ac:dyDescent="0.25">
      <c r="B5426" t="str">
        <f>HYPERLINK("https://www.chemistwarehouse.com.au/buy/63460/Hiprex-1g-Tablets-100"," Hiprex 1g Tablets 100")</f>
        <v xml:space="preserve"> Hiprex 1g Tablets 100</v>
      </c>
      <c r="C5426" t="s">
        <v>491</v>
      </c>
      <c r="D5426" t="s">
        <v>104</v>
      </c>
    </row>
    <row r="5427" spans="1:4" x14ac:dyDescent="0.25">
      <c r="B5427" t="str">
        <f>HYPERLINK("https://www.chemistwarehouse.com.au/buy/59897/Hiprex-Urinary-Tract-Antibacterial-Tablets-20"," Hiprex Urinary Tract Antibacterial Tablets 20")</f>
        <v xml:space="preserve"> Hiprex Urinary Tract Antibacterial Tablets 20</v>
      </c>
      <c r="C5427" t="s">
        <v>8</v>
      </c>
      <c r="D5427" t="s">
        <v>155</v>
      </c>
    </row>
    <row r="5428" spans="1:4" x14ac:dyDescent="0.25">
      <c r="A5428" t="s">
        <v>1390</v>
      </c>
    </row>
    <row r="5429" spans="1:4" x14ac:dyDescent="0.25">
      <c r="B5429" t="str">
        <f>HYPERLINK("https://www.chemistwarehouse.com.au/buy/7828/Sorbolene-Cream-500g"," Sorbolene Cream 500g ")</f>
        <v xml:space="preserve"> Sorbolene Cream 500g </v>
      </c>
      <c r="C5429" t="s">
        <v>45</v>
      </c>
      <c r="D5429" t="s">
        <v>115</v>
      </c>
    </row>
    <row r="5430" spans="1:4" x14ac:dyDescent="0.25">
      <c r="B5430" t="str">
        <f>HYPERLINK("https://www.chemistwarehouse.com.au/buy/5440/Hydrogen-Peroxide-3-10vol-200mL"," Hydrogen Peroxide 3%(10vol) 200mL")</f>
        <v xml:space="preserve"> Hydrogen Peroxide 3%(10vol) 200mL</v>
      </c>
      <c r="C5430" t="s">
        <v>728</v>
      </c>
      <c r="D5430" t="s">
        <v>327</v>
      </c>
    </row>
    <row r="5431" spans="1:4" x14ac:dyDescent="0.25">
      <c r="B5431" t="str">
        <f>HYPERLINK("https://www.chemistwarehouse.com.au/buy/4780/FGF-Tablets-30"," FGF Tablets 30")</f>
        <v xml:space="preserve"> FGF Tablets 30</v>
      </c>
      <c r="C5431" t="s">
        <v>237</v>
      </c>
      <c r="D5431">
        <v>0</v>
      </c>
    </row>
    <row r="5432" spans="1:4" x14ac:dyDescent="0.25">
      <c r="B5432" t="str">
        <f>HYPERLINK("https://www.chemistwarehouse.com.au/buy/46342/Gold-Cross-Friars-Balsam-25ml"," Gold Cross Friars Balsam 25ml ")</f>
        <v xml:space="preserve"> Gold Cross Friars Balsam 25ml </v>
      </c>
      <c r="C5432" t="s">
        <v>556</v>
      </c>
      <c r="D5432" t="s">
        <v>1332</v>
      </c>
    </row>
    <row r="5433" spans="1:4" x14ac:dyDescent="0.25">
      <c r="B5433" t="str">
        <f>HYPERLINK("https://www.chemistwarehouse.com.au/buy/52689/Gold-Cross-Hydrogen-Peroxide-6-100ml"," Gold Cross Hydrogen Peroxide 6% 100ml")</f>
        <v xml:space="preserve"> Gold Cross Hydrogen Peroxide 6% 100ml</v>
      </c>
      <c r="C5433" t="s">
        <v>483</v>
      </c>
      <c r="D5433" t="s">
        <v>1332</v>
      </c>
    </row>
    <row r="5434" spans="1:4" x14ac:dyDescent="0.25">
      <c r="B5434" t="str">
        <f>HYPERLINK("https://www.chemistwarehouse.com.au/buy/57583/Gold-Cross-Mercurochrome-2-50ml"," Gold Cross Mercurochrome 2% 50ml")</f>
        <v xml:space="preserve"> Gold Cross Mercurochrome 2% 50ml</v>
      </c>
      <c r="C5434" t="s">
        <v>120</v>
      </c>
      <c r="D5434" t="s">
        <v>327</v>
      </c>
    </row>
    <row r="5435" spans="1:4" x14ac:dyDescent="0.25">
      <c r="B5435" t="str">
        <f>HYPERLINK("https://www.chemistwarehouse.com.au/buy/57584/Gold-Cross-Wool-Fat-Anhydrous-50g-Jar"," Gold Cross Wool Fat Anhydrous 50g Jar")</f>
        <v xml:space="preserve"> Gold Cross Wool Fat Anhydrous 50g Jar</v>
      </c>
      <c r="C5435" t="s">
        <v>92</v>
      </c>
      <c r="D5435" t="s">
        <v>727</v>
      </c>
    </row>
    <row r="5436" spans="1:4" x14ac:dyDescent="0.25">
      <c r="B5436" t="str">
        <f>HYPERLINK("https://www.chemistwarehouse.com.au/buy/57585/Gold-Cross-Spec-Methyl-Spirit-100ml"," Gold Cross Spec Methyl Spirit 100ml")</f>
        <v xml:space="preserve"> Gold Cross Spec Methyl Spirit 100ml</v>
      </c>
      <c r="C5436" t="s">
        <v>556</v>
      </c>
      <c r="D5436" t="s">
        <v>1332</v>
      </c>
    </row>
    <row r="5437" spans="1:4" x14ac:dyDescent="0.25">
      <c r="B5437" t="str">
        <f>HYPERLINK("https://www.chemistwarehouse.com.au/buy/52048/Ferro-F-60-Tablets"," Ferro F 60 Tablets")</f>
        <v xml:space="preserve"> Ferro F 60 Tablets</v>
      </c>
      <c r="C5437" t="s">
        <v>80</v>
      </c>
      <c r="D5437">
        <v>0</v>
      </c>
    </row>
    <row r="5438" spans="1:4" x14ac:dyDescent="0.25">
      <c r="B5438" t="str">
        <f>HYPERLINK("https://www.chemistwarehouse.com.au/buy/2533/Cod-Liver-Oil-200ml-Gold-Cross"," Cod Liver Oil 200ml Gold Cross")</f>
        <v xml:space="preserve"> Cod Liver Oil 200ml Gold Cross</v>
      </c>
      <c r="C5438" t="s">
        <v>290</v>
      </c>
      <c r="D5438">
        <v>0</v>
      </c>
    </row>
    <row r="5439" spans="1:4" x14ac:dyDescent="0.25">
      <c r="B5439" t="str">
        <f>HYPERLINK("https://www.chemistwarehouse.com.au/buy/4475/Eucalyptus-Oil-50ml-Goldx"," Eucalyptus Oil 50ml Goldx")</f>
        <v xml:space="preserve"> Eucalyptus Oil 50ml Goldx</v>
      </c>
      <c r="C5439" t="s">
        <v>610</v>
      </c>
      <c r="D5439" t="s">
        <v>327</v>
      </c>
    </row>
    <row r="5440" spans="1:4" x14ac:dyDescent="0.25">
      <c r="B5440" t="str">
        <f>HYPERLINK("https://www.chemistwarehouse.com.au/buy/7038/Paraffin-Soft-White-500g-DC-Brand"," Paraffin Soft White 500g DC Brand")</f>
        <v xml:space="preserve"> Paraffin Soft White 500g DC Brand</v>
      </c>
      <c r="C5440" t="s">
        <v>432</v>
      </c>
      <c r="D5440">
        <v>0</v>
      </c>
    </row>
    <row r="5441" spans="1:4" x14ac:dyDescent="0.25">
      <c r="B5441" t="str">
        <f>HYPERLINK("https://www.chemistwarehouse.com.au/buy/7822/Sorbolene-amp-Glyc-10-Cream-Pump-500g-DC"," Sorbolene &amp; Glyc 10% Cream Pump 500g DC")</f>
        <v xml:space="preserve"> Sorbolene &amp; Glyc 10% Cream Pump 500g DC</v>
      </c>
      <c r="C5441" t="s">
        <v>80</v>
      </c>
      <c r="D5441" t="s">
        <v>727</v>
      </c>
    </row>
    <row r="5442" spans="1:4" x14ac:dyDescent="0.25">
      <c r="B5442" t="str">
        <f>HYPERLINK("https://www.chemistwarehouse.com.au/buy/5439/Hydrogen-Peroxide-3-10vol-100mL"," Hydrogen Peroxide 3%(10vol) 100mL")</f>
        <v xml:space="preserve"> Hydrogen Peroxide 3%(10vol) 100mL</v>
      </c>
      <c r="C5442" t="s">
        <v>483</v>
      </c>
      <c r="D5442" t="s">
        <v>1230</v>
      </c>
    </row>
    <row r="5443" spans="1:4" x14ac:dyDescent="0.25">
      <c r="B5443" t="str">
        <f>HYPERLINK("https://www.chemistwarehouse.com.au/buy/7825/David-Craig-Sorbolene-and-Glyc-10-Cream-500g"," David Craig Sorbolene and Glyc 10% Cream 500g")</f>
        <v xml:space="preserve"> David Craig Sorbolene and Glyc 10% Cream 500g</v>
      </c>
      <c r="C5443" t="s">
        <v>45</v>
      </c>
      <c r="D5443" t="s">
        <v>115</v>
      </c>
    </row>
    <row r="5444" spans="1:4" x14ac:dyDescent="0.25">
      <c r="A5444" t="s">
        <v>1391</v>
      </c>
    </row>
    <row r="5445" spans="1:4" x14ac:dyDescent="0.25">
      <c r="B5445" t="str">
        <f>HYPERLINK("https://www.chemistwarehouse.com.au/buy/64597/Surgipack-1650-Arm-Sling-Soft-Comfort"," Surgipack 1650 Arm Sling Soft Comfort")</f>
        <v xml:space="preserve"> Surgipack 1650 Arm Sling Soft Comfort</v>
      </c>
      <c r="C5445" t="s">
        <v>283</v>
      </c>
      <c r="D5445" t="s">
        <v>483</v>
      </c>
    </row>
    <row r="5446" spans="1:4" x14ac:dyDescent="0.25">
      <c r="B5446" t="str">
        <f>HYPERLINK("https://www.chemistwarehouse.com.au/buy/64708/Proguard-Examination-Gloves-Large-100"," Proguard Examination Gloves Large 100")</f>
        <v xml:space="preserve"> Proguard Examination Gloves Large 100</v>
      </c>
      <c r="C5446" t="s">
        <v>187</v>
      </c>
      <c r="D5446" t="s">
        <v>1099</v>
      </c>
    </row>
    <row r="5447" spans="1:4" x14ac:dyDescent="0.25">
      <c r="B5447" t="str">
        <f>HYPERLINK("https://www.chemistwarehouse.com.au/buy/64709/Proguard-Examination-Gloves-Small"," Proguard Examination Gloves Small ")</f>
        <v xml:space="preserve"> Proguard Examination Gloves Small </v>
      </c>
      <c r="C5447" t="s">
        <v>187</v>
      </c>
      <c r="D5447" t="s">
        <v>1099</v>
      </c>
    </row>
    <row r="5448" spans="1:4" x14ac:dyDescent="0.25">
      <c r="B5448" t="str">
        <f>HYPERLINK("https://www.chemistwarehouse.com.au/buy/64710/Proshield-N95-Mask-Medium-Single"," Proshield N95 Mask Medium Single")</f>
        <v xml:space="preserve"> Proshield N95 Mask Medium Single</v>
      </c>
      <c r="C5448" t="s">
        <v>786</v>
      </c>
      <c r="D5448" t="s">
        <v>727</v>
      </c>
    </row>
    <row r="5449" spans="1:4" x14ac:dyDescent="0.25">
      <c r="B5449" t="str">
        <f>HYPERLINK("https://www.chemistwarehouse.com.au/buy/64711/Proshield-N95-Mask-Small-Single"," Proshield N95 Mask Small Single")</f>
        <v xml:space="preserve"> Proshield N95 Mask Small Single</v>
      </c>
      <c r="C5449" t="s">
        <v>786</v>
      </c>
      <c r="D5449" t="s">
        <v>727</v>
      </c>
    </row>
    <row r="5450" spans="1:4" x14ac:dyDescent="0.25">
      <c r="B5450" t="str">
        <f>HYPERLINK("https://www.chemistwarehouse.com.au/buy/64712/Surgipack-6323-Rectal-Syringe-100ml-Medium"," Surgipack 6323 Rectal Syringe 100ml Medium")</f>
        <v xml:space="preserve"> Surgipack 6323 Rectal Syringe 100ml Medium</v>
      </c>
      <c r="C5450" t="s">
        <v>45</v>
      </c>
      <c r="D5450" t="s">
        <v>1086</v>
      </c>
    </row>
    <row r="5451" spans="1:4" x14ac:dyDescent="0.25">
      <c r="B5451" t="str">
        <f>HYPERLINK("https://www.chemistwarehouse.com.au/buy/31915/Surgipack-Regular-Cotton-Gloves-Medium"," Surgipack Regular Cotton Gloves Medium")</f>
        <v xml:space="preserve"> Surgipack Regular Cotton Gloves Medium</v>
      </c>
      <c r="C5451" t="s">
        <v>312</v>
      </c>
      <c r="D5451" t="s">
        <v>748</v>
      </c>
    </row>
    <row r="5452" spans="1:4" x14ac:dyDescent="0.25">
      <c r="B5452" t="str">
        <f>HYPERLINK("https://www.chemistwarehouse.com.au/buy/54898/Surgipack-6174-Keep-Dry-for-Leg-Large-2-Pack"," Surgipack 6174 Keep Dry for Leg Large 2 Pack")</f>
        <v xml:space="preserve"> Surgipack 6174 Keep Dry for Leg Large 2 Pack</v>
      </c>
      <c r="C5452" t="s">
        <v>274</v>
      </c>
      <c r="D5452" t="s">
        <v>1392</v>
      </c>
    </row>
    <row r="5453" spans="1:4" x14ac:dyDescent="0.25">
      <c r="B5453" t="str">
        <f>HYPERLINK("https://www.chemistwarehouse.com.au/buy/54899/Surgipack-6173-Keep-Dry-for-Leg-Small-2-Pack"," Surgipack 6173 Keep Dry for Leg Small 2 Pack")</f>
        <v xml:space="preserve"> Surgipack 6173 Keep Dry for Leg Small 2 Pack</v>
      </c>
      <c r="C5453" t="s">
        <v>274</v>
      </c>
      <c r="D5453" t="s">
        <v>1392</v>
      </c>
    </row>
    <row r="5454" spans="1:4" x14ac:dyDescent="0.25">
      <c r="B5454" t="str">
        <f>HYPERLINK("https://www.chemistwarehouse.com.au/buy/56070/Surgipack-Eye-Dropper-Glass"," Surgipack Eye Dropper - Glass")</f>
        <v xml:space="preserve"> Surgipack Eye Dropper - Glass</v>
      </c>
      <c r="C5454" t="s">
        <v>115</v>
      </c>
      <c r="D5454" t="s">
        <v>748</v>
      </c>
    </row>
    <row r="5455" spans="1:4" x14ac:dyDescent="0.25">
      <c r="B5455" t="str">
        <f>HYPERLINK("https://www.chemistwarehouse.com.au/buy/56078/Surgipack-Keep-Dry-Full-Arm-Protector-x-2"," Surgipack Keep Dry Full Arm Protector x 2")</f>
        <v xml:space="preserve"> Surgipack Keep Dry Full Arm Protector x 2</v>
      </c>
      <c r="C5455" t="s">
        <v>46</v>
      </c>
      <c r="D5455" t="s">
        <v>786</v>
      </c>
    </row>
    <row r="5456" spans="1:4" x14ac:dyDescent="0.25">
      <c r="B5456" t="str">
        <f>HYPERLINK("https://www.chemistwarehouse.com.au/buy/58594/Ansell-Glove-Handy-Disposable-Fresh-Gloves-50"," Ansell Glove Handy Disposable Fresh Gloves 50")</f>
        <v xml:space="preserve"> Ansell Glove Handy Disposable Fresh Gloves 50</v>
      </c>
      <c r="C5456" t="s">
        <v>32</v>
      </c>
      <c r="D5456" t="s">
        <v>371</v>
      </c>
    </row>
    <row r="5457" spans="1:4" x14ac:dyDescent="0.25">
      <c r="B5457" t="str">
        <f>HYPERLINK("https://www.chemistwarehouse.com.au/buy/64595/Surgipack-1642-Arm-Sling-Max-Comfort-Small"," Surgipack 1642 Arm Sling Max Comfort Small ")</f>
        <v xml:space="preserve"> Surgipack 1642 Arm Sling Max Comfort Small </v>
      </c>
      <c r="C5457" t="s">
        <v>295</v>
      </c>
      <c r="D5457" t="s">
        <v>1393</v>
      </c>
    </row>
    <row r="5458" spans="1:4" x14ac:dyDescent="0.25">
      <c r="B5458" t="str">
        <f>HYPERLINK("https://www.chemistwarehouse.com.au/buy/64596/Surgipack-1645-Arm-Sling-Max-Comfort-Regular"," Surgipack 1645 Arm Sling Max Comfort Regular ")</f>
        <v xml:space="preserve"> Surgipack 1645 Arm Sling Max Comfort Regular </v>
      </c>
      <c r="C5458" t="s">
        <v>295</v>
      </c>
      <c r="D5458" t="s">
        <v>782</v>
      </c>
    </row>
    <row r="5459" spans="1:4" x14ac:dyDescent="0.25">
      <c r="B5459" t="str">
        <f>HYPERLINK("https://www.chemistwarehouse.com.au/buy/56077/Surgipack-Keep-Dry-Half-Arm-Protector-x-2"," Surgipack Keep Dry Half Arm Protector x 2")</f>
        <v xml:space="preserve"> Surgipack Keep Dry Half Arm Protector x 2</v>
      </c>
      <c r="C5459" t="s">
        <v>46</v>
      </c>
      <c r="D5459" t="s">
        <v>786</v>
      </c>
    </row>
    <row r="5460" spans="1:4" x14ac:dyDescent="0.25">
      <c r="A5460" t="s">
        <v>1394</v>
      </c>
    </row>
    <row r="5461" spans="1:4" x14ac:dyDescent="0.25">
      <c r="B5461" t="str">
        <f>HYPERLINK("https://www.chemistwarehouse.com.au/buy/53132/Fixomull-Stretch-5cm-x-10m-2036"," Fixomull Stretch 5cm x 10m 2036")</f>
        <v xml:space="preserve"> Fixomull Stretch 5cm x 10m 2036</v>
      </c>
      <c r="C5461" t="s">
        <v>61</v>
      </c>
      <c r="D5461" t="s">
        <v>1395</v>
      </c>
    </row>
    <row r="5462" spans="1:4" x14ac:dyDescent="0.25">
      <c r="B5462" t="str">
        <f>HYPERLINK("https://www.chemistwarehouse.com.au/buy/53181/Handy-Grip-Cohesive-8cm-x-2-1m"," Handy Grip Cohesive 8cm x 2.1m")</f>
        <v xml:space="preserve"> Handy Grip Cohesive 8cm x 2.1m</v>
      </c>
      <c r="C5462" t="s">
        <v>80</v>
      </c>
      <c r="D5462" t="s">
        <v>1396</v>
      </c>
    </row>
    <row r="5463" spans="1:4" x14ac:dyDescent="0.25">
      <c r="B5463" t="str">
        <f>HYPERLINK("https://www.chemistwarehouse.com.au/buy/64590/Handy-Gauze-Swabs-10cm-x-10cm-Sterile-100-Pack"," Handy Gauze Swabs 10cm x 10cm Sterile 100 Pack")</f>
        <v xml:space="preserve"> Handy Gauze Swabs 10cm x 10cm Sterile 100 Pack</v>
      </c>
      <c r="C5463" t="s">
        <v>153</v>
      </c>
      <c r="D5463" t="s">
        <v>104</v>
      </c>
    </row>
    <row r="5464" spans="1:4" x14ac:dyDescent="0.25">
      <c r="B5464" t="str">
        <f>HYPERLINK("https://www.chemistwarehouse.com.au/buy/68384/Handy-Triangular-Bandage-Large"," Handy Triangular Bandage Large")</f>
        <v xml:space="preserve"> Handy Triangular Bandage Large</v>
      </c>
      <c r="C5464" t="s">
        <v>92</v>
      </c>
      <c r="D5464" t="s">
        <v>115</v>
      </c>
    </row>
    <row r="5465" spans="1:4" x14ac:dyDescent="0.25">
      <c r="B5465" t="str">
        <f>HYPERLINK("https://www.chemistwarehouse.com.au/buy/68385/Handy-Triangular-Bandage-Small"," Handy Triangular Bandage Small ")</f>
        <v xml:space="preserve"> Handy Triangular Bandage Small </v>
      </c>
      <c r="C5465" t="s">
        <v>92</v>
      </c>
      <c r="D5465" t="s">
        <v>115</v>
      </c>
    </row>
    <row r="5466" spans="1:4" x14ac:dyDescent="0.25">
      <c r="B5466" t="str">
        <f>HYPERLINK("https://www.chemistwarehouse.com.au/buy/5179/Handy-Elastic-Bandage-Clip-1"," Handy Elastic Bandage Clip 1")</f>
        <v xml:space="preserve"> Handy Elastic Bandage Clip 1</v>
      </c>
      <c r="C5466" t="s">
        <v>1397</v>
      </c>
      <c r="D5466" t="s">
        <v>725</v>
      </c>
    </row>
    <row r="5467" spans="1:4" x14ac:dyDescent="0.25">
      <c r="B5467" t="str">
        <f>HYPERLINK("https://www.chemistwarehouse.com.au/buy/5383/Handy-Conforming-Bandage-2-5cm"," Handy Conforming Bandage 2.5cm")</f>
        <v xml:space="preserve"> Handy Conforming Bandage 2.5cm</v>
      </c>
      <c r="C5467" t="s">
        <v>399</v>
      </c>
      <c r="D5467" t="s">
        <v>611</v>
      </c>
    </row>
    <row r="5468" spans="1:4" x14ac:dyDescent="0.25">
      <c r="B5468" t="str">
        <f>HYPERLINK("https://www.chemistwarehouse.com.au/buy/5398/Handy-Crepe-Bandage-Medium-15cm"," Handy Crepe Bandage Medium 15cm")</f>
        <v xml:space="preserve"> Handy Crepe Bandage Medium 15cm</v>
      </c>
      <c r="C5468" t="s">
        <v>98</v>
      </c>
      <c r="D5468" t="s">
        <v>188</v>
      </c>
    </row>
    <row r="5469" spans="1:4" x14ac:dyDescent="0.25">
      <c r="B5469" t="str">
        <f>HYPERLINK("https://www.chemistwarehouse.com.au/buy/53131/Leuko-Sportstape-1557-White-3-8cm-x-13-7m"," Leuko Sportstape 1557 White 3.8cm x 13.7m")</f>
        <v xml:space="preserve"> Leuko Sportstape 1557 White 3.8cm x 13.7m</v>
      </c>
      <c r="C5469" t="s">
        <v>45</v>
      </c>
      <c r="D5469" t="s">
        <v>611</v>
      </c>
    </row>
    <row r="5470" spans="1:4" x14ac:dyDescent="0.25">
      <c r="A5470" t="s">
        <v>1398</v>
      </c>
    </row>
    <row r="5471" spans="1:4" x14ac:dyDescent="0.25">
      <c r="B5471" t="str">
        <f>HYPERLINK("https://www.chemistwarehouse.com.au/buy/69722/Band-Aid-Adhesive-Bandages-Fabric-50"," Band-Aid Adhesive Bandages Fabric 50")</f>
        <v xml:space="preserve"> Band-Aid Adhesive Bandages Fabric 50</v>
      </c>
      <c r="C5471" t="s">
        <v>775</v>
      </c>
      <c r="D5471" t="s">
        <v>611</v>
      </c>
    </row>
    <row r="5472" spans="1:4" x14ac:dyDescent="0.25">
      <c r="B5472" t="str">
        <f>HYPERLINK("https://www.chemistwarehouse.com.au/buy/999/Band-Aid-Fabric-Strips-24"," Band-Aid Fabric Strips 24")</f>
        <v xml:space="preserve"> Band-Aid Fabric Strips 24</v>
      </c>
      <c r="C5472" t="s">
        <v>146</v>
      </c>
      <c r="D5472" t="s">
        <v>727</v>
      </c>
    </row>
    <row r="5473" spans="1:4" x14ac:dyDescent="0.25">
      <c r="A5473" t="s">
        <v>1399</v>
      </c>
    </row>
    <row r="5474" spans="1:4" x14ac:dyDescent="0.25">
      <c r="B5474" t="str">
        <f>HYPERLINK("https://www.chemistwarehouse.com.au/buy/74957/Band-Aid-SkinFlex-Finger-10-Pack"," Band-Aid SkinFlex Finger 10 Pack")</f>
        <v xml:space="preserve"> Band-Aid SkinFlex Finger 10 Pack</v>
      </c>
      <c r="C5474" t="s">
        <v>115</v>
      </c>
      <c r="D5474" t="s">
        <v>748</v>
      </c>
    </row>
    <row r="5475" spans="1:4" x14ac:dyDescent="0.25">
      <c r="B5475" t="str">
        <f>HYPERLINK("https://www.chemistwarehouse.com.au/buy/74959/Band-Aid-SkinFlex-Regular-20-Pack"," Band-Aid SkinFlex Regular 20 Pack")</f>
        <v xml:space="preserve"> Band-Aid SkinFlex Regular 20 Pack</v>
      </c>
      <c r="C5475" t="s">
        <v>483</v>
      </c>
      <c r="D5475" t="s">
        <v>371</v>
      </c>
    </row>
    <row r="5476" spans="1:4" x14ac:dyDescent="0.25">
      <c r="B5476" t="str">
        <f>HYPERLINK("https://www.chemistwarehouse.com.au/buy/82536/Band-Aid-SkinFlex-Regular-40-Pack"," Band-Aid SkinFlex Regular 40 Pack")</f>
        <v xml:space="preserve"> Band-Aid SkinFlex Regular 40 Pack</v>
      </c>
      <c r="C5476" t="s">
        <v>92</v>
      </c>
      <c r="D5476" t="s">
        <v>805</v>
      </c>
    </row>
    <row r="5477" spans="1:4" x14ac:dyDescent="0.25">
      <c r="A5477" t="s">
        <v>1400</v>
      </c>
    </row>
    <row r="5478" spans="1:4" x14ac:dyDescent="0.25">
      <c r="B5478" t="str">
        <f>HYPERLINK("https://www.chemistwarehouse.com.au/buy/41218/Band-Aid-Advanced-Healing-Dressing-Regular-10"," Band-Aid Advanced Healing Dressing Regular 10")</f>
        <v xml:space="preserve"> Band-Aid Advanced Healing Dressing Regular 10</v>
      </c>
      <c r="C5478" t="s">
        <v>92</v>
      </c>
      <c r="D5478" t="s">
        <v>613</v>
      </c>
    </row>
    <row r="5479" spans="1:4" x14ac:dyDescent="0.25">
      <c r="B5479" t="str">
        <f>HYPERLINK("https://www.chemistwarehouse.com.au/buy/53330/Band-Aid-Advanced-Healing-Blister-Regular-4"," Band-Aid Advanced Healing Blister Regular 4")</f>
        <v xml:space="preserve"> Band-Aid Advanced Healing Blister Regular 4</v>
      </c>
      <c r="C5479" t="s">
        <v>375</v>
      </c>
      <c r="D5479" t="s">
        <v>1401</v>
      </c>
    </row>
    <row r="5480" spans="1:4" x14ac:dyDescent="0.25">
      <c r="B5480" t="str">
        <f>HYPERLINK("https://www.chemistwarehouse.com.au/buy/41217/Band-Aid-Advanced-Healing-Dressings-Large-6"," Band-Aid Advanced Healing Dressings Large 6")</f>
        <v xml:space="preserve"> Band-Aid Advanced Healing Dressings Large 6</v>
      </c>
      <c r="C5480" t="s">
        <v>92</v>
      </c>
      <c r="D5480" t="s">
        <v>613</v>
      </c>
    </row>
    <row r="5481" spans="1:4" x14ac:dyDescent="0.25">
      <c r="A5481" t="s">
        <v>1402</v>
      </c>
    </row>
    <row r="5482" spans="1:4" x14ac:dyDescent="0.25">
      <c r="B5482" t="str">
        <f>HYPERLINK("https://www.chemistwarehouse.com.au/buy/69725/Band-Aid-Character-Strips-Dora-20"," Band-Aid Character Strips Dora 20")</f>
        <v xml:space="preserve"> Band-Aid Character Strips Dora 20</v>
      </c>
      <c r="C5482" t="s">
        <v>733</v>
      </c>
      <c r="D5482" t="s">
        <v>731</v>
      </c>
    </row>
    <row r="5483" spans="1:4" x14ac:dyDescent="0.25">
      <c r="B5483" t="str">
        <f>HYPERLINK("https://www.chemistwarehouse.com.au/buy/69726/Band-Aid-Character-Strips-Disney-Princesses-15"," Band-Aid Character Strips Disney Princesses 15")</f>
        <v xml:space="preserve"> Band-Aid Character Strips Disney Princesses 15</v>
      </c>
      <c r="C5483" t="s">
        <v>733</v>
      </c>
      <c r="D5483" t="s">
        <v>731</v>
      </c>
    </row>
    <row r="5484" spans="1:4" x14ac:dyDescent="0.25">
      <c r="B5484" t="str">
        <f>HYPERLINK("https://www.chemistwarehouse.com.au/buy/71891/Band-Aid-Character-Strips-Cars-15"," Band-Aid Character Strips Cars 15")</f>
        <v xml:space="preserve"> Band-Aid Character Strips Cars 15</v>
      </c>
      <c r="C5484" t="s">
        <v>733</v>
      </c>
      <c r="D5484" t="s">
        <v>731</v>
      </c>
    </row>
    <row r="5485" spans="1:4" x14ac:dyDescent="0.25">
      <c r="B5485" t="str">
        <f>HYPERLINK("https://www.chemistwarehouse.com.au/buy/78789/Band-Aid-Character-Strips-Frozen-15"," Band-Aid Character Strips Frozen 15")</f>
        <v xml:space="preserve"> Band-Aid Character Strips Frozen 15</v>
      </c>
      <c r="C5485" t="s">
        <v>733</v>
      </c>
      <c r="D5485" t="s">
        <v>731</v>
      </c>
    </row>
    <row r="5486" spans="1:4" x14ac:dyDescent="0.25">
      <c r="B5486" t="str">
        <f>HYPERLINK("https://www.chemistwarehouse.com.au/buy/80617/Band-Aid-Character-Strips-Star-Wars-15"," Band-Aid Character Strips Star Wars 15")</f>
        <v xml:space="preserve"> Band-Aid Character Strips Star Wars 15</v>
      </c>
      <c r="C5486" t="s">
        <v>733</v>
      </c>
      <c r="D5486" t="s">
        <v>731</v>
      </c>
    </row>
    <row r="5487" spans="1:4" x14ac:dyDescent="0.25">
      <c r="B5487" t="str">
        <f>HYPERLINK("https://www.chemistwarehouse.com.au/buy/69724/Band-Aid-Character-Strips-Mickey-Mouse-15"," Band-Aid Character Strips Mickey Mouse 15")</f>
        <v xml:space="preserve"> Band-Aid Character Strips Mickey Mouse 15</v>
      </c>
      <c r="C5487" t="s">
        <v>733</v>
      </c>
      <c r="D5487" t="s">
        <v>731</v>
      </c>
    </row>
    <row r="5488" spans="1:4" x14ac:dyDescent="0.25">
      <c r="A5488" t="s">
        <v>1403</v>
      </c>
    </row>
    <row r="5489" spans="1:4" x14ac:dyDescent="0.25">
      <c r="B5489" t="str">
        <f>HYPERLINK("https://www.chemistwarehouse.com.au/buy/993/Band-Aid-Clear-Strips-40"," Band-Aid Clear Strips 40")</f>
        <v xml:space="preserve"> Band-Aid Clear Strips 40</v>
      </c>
      <c r="C5489" t="s">
        <v>483</v>
      </c>
      <c r="D5489" t="s">
        <v>1086</v>
      </c>
    </row>
    <row r="5490" spans="1:4" x14ac:dyDescent="0.25">
      <c r="A5490" t="s">
        <v>1404</v>
      </c>
    </row>
    <row r="5491" spans="1:4" x14ac:dyDescent="0.25">
      <c r="B5491" t="str">
        <f>HYPERLINK("https://www.chemistwarehouse.com.au/buy/996/Band-Aid-Extra-Wide-Strips-40"," Band-Aid Extra Wide Strips 40")</f>
        <v xml:space="preserve"> Band-Aid Extra Wide Strips 40</v>
      </c>
      <c r="C5491" t="s">
        <v>483</v>
      </c>
      <c r="D5491" t="s">
        <v>1086</v>
      </c>
    </row>
    <row r="5492" spans="1:4" x14ac:dyDescent="0.25">
      <c r="A5492" t="s">
        <v>1405</v>
      </c>
    </row>
    <row r="5493" spans="1:4" x14ac:dyDescent="0.25">
      <c r="B5493" t="str">
        <f>HYPERLINK("https://www.chemistwarehouse.com.au/buy/32243/Band-Aid-Plastic-Shapes-50"," Band-Aid Plastic Shapes 50")</f>
        <v xml:space="preserve"> Band-Aid Plastic Shapes 50</v>
      </c>
      <c r="C5493" t="s">
        <v>120</v>
      </c>
      <c r="D5493" t="s">
        <v>327</v>
      </c>
    </row>
    <row r="5494" spans="1:4" x14ac:dyDescent="0.25">
      <c r="A5494" t="s">
        <v>1406</v>
      </c>
    </row>
    <row r="5495" spans="1:4" x14ac:dyDescent="0.25">
      <c r="B5495" t="str">
        <f>HYPERLINK("https://www.chemistwarehouse.com.au/buy/51530/Band-Aid-Plastic-Strips-100"," Band-Aid Plastic Strips 100")</f>
        <v xml:space="preserve"> Band-Aid Plastic Strips 100</v>
      </c>
      <c r="C5495" t="s">
        <v>92</v>
      </c>
      <c r="D5495" t="s">
        <v>1086</v>
      </c>
    </row>
    <row r="5496" spans="1:4" x14ac:dyDescent="0.25">
      <c r="B5496" t="str">
        <f>HYPERLINK("https://www.chemistwarehouse.com.au/buy/32242/Band-Aid-Plastic-Strips-10"," Band-Aid Plastic Strips 10")</f>
        <v xml:space="preserve"> Band-Aid Plastic Strips 10</v>
      </c>
      <c r="C5496" t="s">
        <v>827</v>
      </c>
      <c r="D5496" t="s">
        <v>327</v>
      </c>
    </row>
    <row r="5497" spans="1:4" x14ac:dyDescent="0.25">
      <c r="B5497" t="str">
        <f>HYPERLINK("https://www.chemistwarehouse.com.au/buy/32245/Band-Aid-Plastic-Strips-50"," Band-Aid Plastic Strips 50")</f>
        <v xml:space="preserve"> Band-Aid Plastic Strips 50</v>
      </c>
      <c r="C5497" t="s">
        <v>483</v>
      </c>
      <c r="D5497" t="s">
        <v>371</v>
      </c>
    </row>
    <row r="5498" spans="1:4" x14ac:dyDescent="0.25">
      <c r="B5498" t="str">
        <f>HYPERLINK("https://www.chemistwarehouse.com.au/buy/82535/Band-Aid-Aquablock-Strips-40-Pack"," Band-Aid Aquablock Strips 40 Pack")</f>
        <v xml:space="preserve"> Band-Aid Aquablock Strips 40 Pack</v>
      </c>
      <c r="C5498" t="s">
        <v>786</v>
      </c>
      <c r="D5498" t="s">
        <v>611</v>
      </c>
    </row>
    <row r="5499" spans="1:4" x14ac:dyDescent="0.25">
      <c r="A5499" t="s">
        <v>1407</v>
      </c>
    </row>
    <row r="5500" spans="1:4" x14ac:dyDescent="0.25">
      <c r="B5500" t="str">
        <f>HYPERLINK("https://www.chemistwarehouse.com.au/buy/49713/Band-Aid-Tough-Strip-Extra-Large-10"," Band-Aid Tough Strip Extra Large 10")</f>
        <v xml:space="preserve"> Band-Aid Tough Strip Extra Large 10</v>
      </c>
      <c r="C5500" t="s">
        <v>146</v>
      </c>
      <c r="D5500" t="s">
        <v>727</v>
      </c>
    </row>
    <row r="5501" spans="1:4" x14ac:dyDescent="0.25">
      <c r="B5501" t="str">
        <f>HYPERLINK("https://www.chemistwarehouse.com.au/buy/69810/Band-Aid-Tough-Strips-40"," Band-Aid Tough Strips 40")</f>
        <v xml:space="preserve"> Band-Aid Tough Strips 40</v>
      </c>
      <c r="C5501" t="s">
        <v>483</v>
      </c>
      <c r="D5501" t="s">
        <v>561</v>
      </c>
    </row>
    <row r="5502" spans="1:4" x14ac:dyDescent="0.25">
      <c r="B5502" t="str">
        <f>HYPERLINK("https://www.chemistwarehouse.com.au/buy/61197/Band-Aid-Tough-Strips-Waterproof-Regular-20"," Band-Aid Tough Strips Waterproof Regular 20")</f>
        <v xml:space="preserve"> Band-Aid Tough Strips Waterproof Regular 20</v>
      </c>
      <c r="C5502" t="s">
        <v>146</v>
      </c>
      <c r="D5502" t="s">
        <v>371</v>
      </c>
    </row>
    <row r="5503" spans="1:4" x14ac:dyDescent="0.25">
      <c r="B5503" t="str">
        <f>HYPERLINK("https://www.chemistwarehouse.com.au/buy/61196/Band-Aid-Tough-Strips-Waterproof-Extra-Large-10"," Band-Aid Tough Strips Waterproof Extra Large 10")</f>
        <v xml:space="preserve"> Band-Aid Tough Strips Waterproof Extra Large 10</v>
      </c>
      <c r="C5503" t="s">
        <v>146</v>
      </c>
      <c r="D5503" t="s">
        <v>371</v>
      </c>
    </row>
    <row r="5504" spans="1:4" x14ac:dyDescent="0.25">
      <c r="B5504" t="str">
        <f>HYPERLINK("https://www.chemistwarehouse.com.au/buy/49378/Band-Aid-Tough-Strip-Regular-20"," Band-Aid Tough Strip Regular 20")</f>
        <v xml:space="preserve"> Band-Aid Tough Strip Regular 20</v>
      </c>
      <c r="C5504" t="s">
        <v>399</v>
      </c>
      <c r="D5504" t="s">
        <v>371</v>
      </c>
    </row>
    <row r="5505" spans="1:4" x14ac:dyDescent="0.25">
      <c r="A5505" t="s">
        <v>1408</v>
      </c>
    </row>
    <row r="5506" spans="1:4" x14ac:dyDescent="0.25">
      <c r="B5506" t="str">
        <f>HYPERLINK("https://www.chemistwarehouse.com.au/buy/72607/Band-Aid-First-Aid-Non-Stick-Pads-8"," Band-Aid First Aid Non-Stick Pads 8")</f>
        <v xml:space="preserve"> Band-Aid First Aid Non-Stick Pads 8</v>
      </c>
      <c r="C5506" t="s">
        <v>786</v>
      </c>
      <c r="D5506" t="s">
        <v>611</v>
      </c>
    </row>
    <row r="5507" spans="1:4" x14ac:dyDescent="0.25">
      <c r="B5507" t="str">
        <f>HYPERLINK("https://www.chemistwarehouse.com.au/buy/72605/Band-Aid-First-Aid-Gauze-Pads-8"," Band-Aid First Aid Gauze Pads 8")</f>
        <v xml:space="preserve"> Band-Aid First Aid Gauze Pads 8</v>
      </c>
      <c r="C5507" t="s">
        <v>556</v>
      </c>
      <c r="D5507" t="s">
        <v>312</v>
      </c>
    </row>
    <row r="5508" spans="1:4" x14ac:dyDescent="0.25">
      <c r="B5508" t="str">
        <f>HYPERLINK("https://www.chemistwarehouse.com.au/buy/72608/Band-Aid-First-Aid-Paper-Tape-Non-Irritating-9-1m"," Band-Aid First Aid Paper Tape Non-Irritating 9.1m")</f>
        <v xml:space="preserve"> Band-Aid First Aid Paper Tape Non-Irritating 9.1m</v>
      </c>
      <c r="C5508" t="s">
        <v>556</v>
      </c>
      <c r="D5508" t="s">
        <v>312</v>
      </c>
    </row>
    <row r="5509" spans="1:4" x14ac:dyDescent="0.25">
      <c r="B5509" t="str">
        <f>HYPERLINK("https://www.chemistwarehouse.com.au/buy/72606/Band-Aid-First-Aid-Gauze-Rolled-2-3m"," Band-Aid First Aid Gauze Rolled 2.3m")</f>
        <v xml:space="preserve"> Band-Aid First Aid Gauze Rolled 2.3m</v>
      </c>
      <c r="C5509" t="s">
        <v>483</v>
      </c>
      <c r="D5509" t="s">
        <v>371</v>
      </c>
    </row>
    <row r="5510" spans="1:4" x14ac:dyDescent="0.25">
      <c r="A5510" t="s">
        <v>1409</v>
      </c>
    </row>
    <row r="5511" spans="1:4" x14ac:dyDescent="0.25">
      <c r="B5511" t="str">
        <f>HYPERLINK("https://www.chemistwarehouse.com.au/buy/63968/Nexcare-Steri-Strip-Skin-Closures-Tan-3mm-x-75mm-5-Strips"," Nexcare Steri-Strip Skin Closures Tan 3mm x 75mm 5 Strips")</f>
        <v xml:space="preserve"> Nexcare Steri-Strip Skin Closures Tan 3mm x 75mm 5 Strips</v>
      </c>
      <c r="C5511" t="s">
        <v>830</v>
      </c>
      <c r="D5511" t="s">
        <v>1410</v>
      </c>
    </row>
    <row r="5512" spans="1:4" x14ac:dyDescent="0.25">
      <c r="B5512" t="str">
        <f>HYPERLINK("https://www.chemistwarehouse.com.au/buy/50526/Nexcare-Micropore-Gentle-Paper-Tape-White-50-8mm-x-9-14m"," Nexcare Micropore Gentle Paper Tape White 50.8mm x 9.14m")</f>
        <v xml:space="preserve"> Nexcare Micropore Gentle Paper Tape White 50.8mm x 9.14m</v>
      </c>
      <c r="C5512" t="s">
        <v>174</v>
      </c>
      <c r="D5512" t="s">
        <v>1031</v>
      </c>
    </row>
    <row r="5513" spans="1:4" x14ac:dyDescent="0.25">
      <c r="B5513" t="str">
        <f>HYPERLINK("https://www.chemistwarehouse.com.au/buy/55757/Nexcare-Micropore-Gentle-Paper-Tape-Tan-25-4mm-x-9-14m"," Nexcare Micropore Gentle Paper Tape Tan 25.4mm x 9.14m")</f>
        <v xml:space="preserve"> Nexcare Micropore Gentle Paper Tape Tan 25.4mm x 9.14m</v>
      </c>
      <c r="C5513" t="s">
        <v>1411</v>
      </c>
      <c r="D5513" t="s">
        <v>555</v>
      </c>
    </row>
    <row r="5514" spans="1:4" x14ac:dyDescent="0.25">
      <c r="B5514" t="str">
        <f>HYPERLINK("https://www.chemistwarehouse.com.au/buy/64564/Nexcare-Blue-Strips-22mm-x-57mm-50-Pack"," Nexcare Blue Strips 22mm x 57mm 50 Pack")</f>
        <v xml:space="preserve"> Nexcare Blue Strips 22mm x 57mm 50 Pack</v>
      </c>
      <c r="C5514" t="s">
        <v>554</v>
      </c>
      <c r="D5514" t="s">
        <v>1412</v>
      </c>
    </row>
    <row r="5515" spans="1:4" x14ac:dyDescent="0.25">
      <c r="B5515" t="str">
        <f>HYPERLINK("https://www.chemistwarehouse.com.au/buy/64565/Nexcare-Brights-Strips-Assorted-25-Pack"," Nexcare Brights Strips Assorted 25 Pack")</f>
        <v xml:space="preserve"> Nexcare Brights Strips Assorted 25 Pack</v>
      </c>
      <c r="C5515" t="s">
        <v>556</v>
      </c>
      <c r="D5515" t="s">
        <v>497</v>
      </c>
    </row>
    <row r="5516" spans="1:4" x14ac:dyDescent="0.25">
      <c r="B5516" t="str">
        <f>HYPERLINK("https://www.chemistwarehouse.com.au/buy/64592/Nexcare-Crepe-Bandage-Medium-100mm-x-1-6m"," Nexcare Crepe Bandage Medium 100mm x 1.6m ")</f>
        <v xml:space="preserve"> Nexcare Crepe Bandage Medium 100mm x 1.6m </v>
      </c>
      <c r="C5516" t="s">
        <v>483</v>
      </c>
      <c r="D5516" t="s">
        <v>594</v>
      </c>
    </row>
    <row r="5517" spans="1:4" x14ac:dyDescent="0.25">
      <c r="B5517" t="str">
        <f>HYPERLINK("https://www.chemistwarehouse.com.au/buy/64593/Nexcare-Crepe-Bandage-Medium-50mm-x-1-6m"," Nexcare Crepe Bandage Medium 50mm x 1.6m")</f>
        <v xml:space="preserve"> Nexcare Crepe Bandage Medium 50mm x 1.6m</v>
      </c>
      <c r="C5517" t="s">
        <v>635</v>
      </c>
      <c r="D5517" t="s">
        <v>588</v>
      </c>
    </row>
    <row r="5518" spans="1:4" x14ac:dyDescent="0.25">
      <c r="B5518" t="str">
        <f>HYPERLINK("https://www.chemistwarehouse.com.au/buy/64594/Nexcare-Crepe-Bandage-Medium-75mm-x-1-6m"," Nexcare Crepe Bandage Medium 75mm x 1.6m")</f>
        <v xml:space="preserve"> Nexcare Crepe Bandage Medium 75mm x 1.6m</v>
      </c>
      <c r="C5518" t="s">
        <v>146</v>
      </c>
      <c r="D5518" t="s">
        <v>682</v>
      </c>
    </row>
    <row r="5519" spans="1:4" x14ac:dyDescent="0.25">
      <c r="B5519" t="str">
        <f>HYPERLINK("https://www.chemistwarehouse.com.au/buy/64672/Nexcare-Gentle-Paper-Tape-Dispenser-Micropore-19mm-x-7-31m"," Nexcare Gentle Paper Tape Dispenser (Micropore) 19mm x 7.31m")</f>
        <v xml:space="preserve"> Nexcare Gentle Paper Tape Dispenser (Micropore) 19mm x 7.31m</v>
      </c>
      <c r="C5519" t="s">
        <v>326</v>
      </c>
      <c r="D5519" t="s">
        <v>467</v>
      </c>
    </row>
    <row r="5520" spans="1:4" x14ac:dyDescent="0.25">
      <c r="B5520" t="str">
        <f>HYPERLINK("https://www.chemistwarehouse.com.au/buy/69907/Nexcare-Absolute-Waterproof-Tape-25-4mm-x-4-57m"," Nexcare Absolute Waterproof Tape 25.4mm x 4.57m")</f>
        <v xml:space="preserve"> Nexcare Absolute Waterproof Tape 25.4mm x 4.57m</v>
      </c>
      <c r="C5520" t="s">
        <v>1413</v>
      </c>
      <c r="D5520" t="s">
        <v>1414</v>
      </c>
    </row>
    <row r="5521" spans="1:4" x14ac:dyDescent="0.25">
      <c r="B5521" t="str">
        <f>HYPERLINK("https://www.chemistwarehouse.com.au/buy/71345/Nexcare-Micropore-Gentle-Paper-Tape-White-25-4mm-x-9-14m"," Nexcare Micropore Gentle Paper Tape White 25.4mm x 9.14m")</f>
        <v xml:space="preserve"> Nexcare Micropore Gentle Paper Tape White 25.4mm x 9.14m</v>
      </c>
      <c r="C5521" t="s">
        <v>1411</v>
      </c>
      <c r="D5521" t="s">
        <v>555</v>
      </c>
    </row>
    <row r="5522" spans="1:4" x14ac:dyDescent="0.25">
      <c r="B5522" t="str">
        <f>HYPERLINK("https://www.chemistwarehouse.com.au/buy/73120/Nexcare-Sensitive-Skin-Tape-25-4mm-x-3-65m"," Nexcare Sensitive Skin Tape 25.4mm x 3.65m")</f>
        <v xml:space="preserve"> Nexcare Sensitive Skin Tape 25.4mm x 3.65m</v>
      </c>
      <c r="C5522" t="s">
        <v>240</v>
      </c>
      <c r="D5522" t="s">
        <v>1321</v>
      </c>
    </row>
    <row r="5523" spans="1:4" x14ac:dyDescent="0.25">
      <c r="B5523" t="str">
        <f>HYPERLINK("https://www.chemistwarehouse.com.au/buy/55758/Nexcare-Micropore-Gentle-Paper-Tape-Tan-12-7mm-x-9-14m"," Nexcare Micropore Gentle Paper Tape Tan 12.7mm x 9.14m")</f>
        <v xml:space="preserve"> Nexcare Micropore Gentle Paper Tape Tan 12.7mm x 9.14m</v>
      </c>
      <c r="C5523" t="s">
        <v>1415</v>
      </c>
      <c r="D5523" t="s">
        <v>1416</v>
      </c>
    </row>
    <row r="5524" spans="1:4" x14ac:dyDescent="0.25">
      <c r="B5524" t="str">
        <f>HYPERLINK("https://www.chemistwarehouse.com.au/buy/62837/Nexcare-Flexible-Clear-Tape-Dispenser-Transpore-19mm-x-6-4m"," Nexcare Flexible Clear Tape Dispenser (Transpore) 19mm x 6.4m")</f>
        <v xml:space="preserve"> Nexcare Flexible Clear Tape Dispenser (Transpore) 19mm x 6.4m</v>
      </c>
      <c r="C5524" t="s">
        <v>1417</v>
      </c>
      <c r="D5524" t="s">
        <v>1418</v>
      </c>
    </row>
    <row r="5525" spans="1:4" x14ac:dyDescent="0.25">
      <c r="B5525" t="str">
        <f>HYPERLINK("https://www.chemistwarehouse.com.au/buy/53237/Nexcare-Opticlude-Orthoptic-Eye-Patch-Regular-81mm-x-55-5mm"," Nexcare Opticlude Orthoptic Eye Patch Regular 81mm x 55.5mm")</f>
        <v xml:space="preserve"> Nexcare Opticlude Orthoptic Eye Patch Regular 81mm x 55.5mm</v>
      </c>
      <c r="C5525" t="s">
        <v>58</v>
      </c>
      <c r="D5525" t="s">
        <v>1307</v>
      </c>
    </row>
    <row r="5526" spans="1:4" x14ac:dyDescent="0.25">
      <c r="B5526" t="str">
        <f>HYPERLINK("https://www.chemistwarehouse.com.au/buy/55755/Nexcare-Micropore-Gentle-Paper-Tape-White-12-5mm-x-9-14m"," Nexcare Micropore Gentle Paper Tape White 12.5mm x 9.14m")</f>
        <v xml:space="preserve"> Nexcare Micropore Gentle Paper Tape White 12.5mm x 9.14m</v>
      </c>
      <c r="C5526" t="s">
        <v>1415</v>
      </c>
      <c r="D5526" t="s">
        <v>1416</v>
      </c>
    </row>
    <row r="5527" spans="1:4" x14ac:dyDescent="0.25">
      <c r="B5527" t="str">
        <f>HYPERLINK("https://www.chemistwarehouse.com.au/buy/4582/Nexcare-Opticlude-Orthoptic-Eye-Patch-Junior-62mm-x-46mm"," Nexcare Opticlude Orthoptic Eye Patch Junior 62mm x 46mm")</f>
        <v xml:space="preserve"> Nexcare Opticlude Orthoptic Eye Patch Junior 62mm x 46mm</v>
      </c>
      <c r="C5527" t="s">
        <v>269</v>
      </c>
      <c r="D5527" t="s">
        <v>1419</v>
      </c>
    </row>
    <row r="5528" spans="1:4" x14ac:dyDescent="0.25">
      <c r="B5528" t="str">
        <f>HYPERLINK("https://www.chemistwarehouse.com.au/buy/80465/Nexcare-Waterproof-Animal-Strips-20"," Nexcare Waterproof Animal Strips 20")</f>
        <v xml:space="preserve"> Nexcare Waterproof Animal Strips 20</v>
      </c>
      <c r="C5528" t="s">
        <v>548</v>
      </c>
      <c r="D5528" t="s">
        <v>1420</v>
      </c>
    </row>
    <row r="5529" spans="1:4" x14ac:dyDescent="0.25">
      <c r="A5529" t="s">
        <v>1421</v>
      </c>
    </row>
    <row r="5530" spans="1:4" x14ac:dyDescent="0.25">
      <c r="B5530" t="str">
        <f>HYPERLINK("https://www.chemistwarehouse.com.au/buy/77186/Elastoplast-Sensitive-40-Strips-Assorted"," Elastoplast Sensitive 40 Strips Assorted")</f>
        <v xml:space="preserve"> Elastoplast Sensitive 40 Strips Assorted</v>
      </c>
      <c r="C5530" t="s">
        <v>775</v>
      </c>
      <c r="D5530" t="s">
        <v>611</v>
      </c>
    </row>
    <row r="5531" spans="1:4" x14ac:dyDescent="0.25">
      <c r="B5531" t="str">
        <f>HYPERLINK("https://www.chemistwarehouse.com.au/buy/53124/Elastoplast-2228-Elastic-Tubular-Support-Bandage-Size-F"," Elastoplast 2228 Elastic Tubular Support Bandage Size F")</f>
        <v xml:space="preserve"> Elastoplast 2228 Elastic Tubular Support Bandage Size F</v>
      </c>
      <c r="C5531" t="s">
        <v>45</v>
      </c>
      <c r="D5531" t="s">
        <v>1410</v>
      </c>
    </row>
    <row r="5532" spans="1:4" x14ac:dyDescent="0.25">
      <c r="B5532" t="str">
        <f>HYPERLINK("https://www.chemistwarehouse.com.au/buy/53223/Elastoplast-46851-Fabric-Strips-Assorted-90-10"," Elastoplast 46851 Fabric Strips Assorted 90+10")</f>
        <v xml:space="preserve"> Elastoplast 46851 Fabric Strips Assorted 90+10</v>
      </c>
      <c r="C5532" t="s">
        <v>103</v>
      </c>
      <c r="D5532" t="s">
        <v>814</v>
      </c>
    </row>
    <row r="5533" spans="1:4" x14ac:dyDescent="0.25">
      <c r="B5533" t="str">
        <f>HYPERLINK("https://www.chemistwarehouse.com.au/buy/65530/Elastoplast-Anti-bacterial-Fabric-Strips-20"," Elastoplast Anti-bacterial Fabric Strips 20")</f>
        <v xml:space="preserve"> Elastoplast Anti-bacterial Fabric Strips 20</v>
      </c>
      <c r="C5533" t="s">
        <v>775</v>
      </c>
      <c r="D5533" t="s">
        <v>1422</v>
      </c>
    </row>
    <row r="5534" spans="1:4" x14ac:dyDescent="0.25">
      <c r="B5534" t="str">
        <f>HYPERLINK("https://www.chemistwarehouse.com.au/buy/60051/Elastoplast-48506-Aqua-Protect-Water-Resitant-10-Patches"," Elastoplast 48506 Aqua Protect Water Resitant 10 Patches ")</f>
        <v xml:space="preserve"> Elastoplast 48506 Aqua Protect Water Resitant 10 Patches </v>
      </c>
      <c r="C5534" t="s">
        <v>483</v>
      </c>
      <c r="D5534" t="s">
        <v>557</v>
      </c>
    </row>
    <row r="5535" spans="1:4" x14ac:dyDescent="0.25">
      <c r="B5535" t="str">
        <f>HYPERLINK("https://www.chemistwarehouse.com.au/buy/4087/Elastoplast-2668-Fabric-Dressings-8cm-x-10cm-10-pieces"," Elastoplast 2668 Fabric Dressings 8cm x 10cm 10 pieces")</f>
        <v xml:space="preserve"> Elastoplast 2668 Fabric Dressings 8cm x 10cm 10 pieces</v>
      </c>
      <c r="C5535" t="s">
        <v>116</v>
      </c>
      <c r="D5535" t="s">
        <v>327</v>
      </c>
    </row>
    <row r="5536" spans="1:4" x14ac:dyDescent="0.25">
      <c r="B5536" t="str">
        <f>HYPERLINK("https://www.chemistwarehouse.com.au/buy/4098/Elastoplast-45778-Fabric-Strips-40-Pack"," Elastoplast 45778 Fabric Strips 40 Pack")</f>
        <v xml:space="preserve"> Elastoplast 45778 Fabric Strips 40 Pack</v>
      </c>
      <c r="C5536" t="s">
        <v>775</v>
      </c>
      <c r="D5536" t="s">
        <v>1397</v>
      </c>
    </row>
    <row r="5537" spans="2:4" x14ac:dyDescent="0.25">
      <c r="B5537" t="str">
        <f>HYPERLINK("https://www.chemistwarehouse.com.au/buy/60038/Elastoplast-46040-Sensitive-Dressing-Lengths-6cm-x-10cm-10-Pack"," Elastoplast 46040 Sensitive Dressing Lengths 6cm x 10cm 10 Pack")</f>
        <v xml:space="preserve"> Elastoplast 46040 Sensitive Dressing Lengths 6cm x 10cm 10 Pack</v>
      </c>
      <c r="C5537" t="s">
        <v>556</v>
      </c>
      <c r="D5537" t="s">
        <v>1423</v>
      </c>
    </row>
    <row r="5538" spans="2:4" x14ac:dyDescent="0.25">
      <c r="B5538" t="str">
        <f>HYPERLINK("https://www.chemistwarehouse.com.au/buy/60050/Elastoplast-11471-Aqua-Protect-Water-Proof-Strip-40"," Elastoplast 11471 Aqua Protect Water Proof Strip 40")</f>
        <v xml:space="preserve"> Elastoplast 11471 Aqua Protect Water Proof Strip 40</v>
      </c>
      <c r="C5538" t="s">
        <v>120</v>
      </c>
      <c r="D5538" t="s">
        <v>1265</v>
      </c>
    </row>
    <row r="5539" spans="2:4" x14ac:dyDescent="0.25">
      <c r="B5539" t="str">
        <f>HYPERLINK("https://www.chemistwarehouse.com.au/buy/76289/Elastoplast-Minions-16-Strips"," Elastoplast Minions 16 Strips")</f>
        <v xml:space="preserve"> Elastoplast Minions 16 Strips</v>
      </c>
      <c r="C5539" t="s">
        <v>399</v>
      </c>
      <c r="D5539" t="s">
        <v>1424</v>
      </c>
    </row>
    <row r="5540" spans="2:4" x14ac:dyDescent="0.25">
      <c r="B5540" t="str">
        <f>HYPERLINK("https://www.chemistwarehouse.com.au/buy/53126/Elastoplast-76334-Sensitive-Transparent-Hypoallergenic-Spot-24-Strips"," Elastoplast 76334 Sensitive Transparent Hypoallergenic Spot 24 Strips")</f>
        <v xml:space="preserve"> Elastoplast 76334 Sensitive Transparent Hypoallergenic Spot 24 Strips</v>
      </c>
      <c r="C5540" t="s">
        <v>146</v>
      </c>
      <c r="D5540" t="s">
        <v>1425</v>
      </c>
    </row>
    <row r="5541" spans="2:4" x14ac:dyDescent="0.25">
      <c r="B5541" t="str">
        <f>HYPERLINK("https://www.chemistwarehouse.com.au/buy/60041/Elastoplast-21100-Non-Stick-Wound-Dressing-7-5cm-x-5cm-5-Pack"," Elastoplast 21100 Non-Stick Wound Dressing 7.5cm x 5cm 5 Pack")</f>
        <v xml:space="preserve"> Elastoplast 21100 Non-Stick Wound Dressing 7.5cm x 5cm 5 Pack</v>
      </c>
      <c r="C5541" t="s">
        <v>326</v>
      </c>
      <c r="D5541" t="s">
        <v>1332</v>
      </c>
    </row>
    <row r="5542" spans="2:4" x14ac:dyDescent="0.25">
      <c r="B5542" t="str">
        <f>HYPERLINK("https://www.chemistwarehouse.com.au/buy/65531/Elastoplast-Anti-bacterial-Plastic-Strips-20"," Elastoplast Anti-bacterial Plastic Strips 20")</f>
        <v xml:space="preserve"> Elastoplast Anti-bacterial Plastic Strips 20</v>
      </c>
      <c r="C5542" t="s">
        <v>146</v>
      </c>
      <c r="D5542" t="s">
        <v>1312</v>
      </c>
    </row>
    <row r="5543" spans="2:4" x14ac:dyDescent="0.25">
      <c r="B5543" t="str">
        <f>HYPERLINK("https://www.chemistwarehouse.com.au/buy/77188/Elastoplast-Sensitive-Tape-2-5cm-x-5m"," Elastoplast Sensitive Tape 2.5cm x 5m")</f>
        <v xml:space="preserve"> Elastoplast Sensitive Tape 2.5cm x 5m</v>
      </c>
      <c r="C5543" t="s">
        <v>556</v>
      </c>
      <c r="D5543" t="s">
        <v>150</v>
      </c>
    </row>
    <row r="5544" spans="2:4" x14ac:dyDescent="0.25">
      <c r="B5544" t="str">
        <f>HYPERLINK("https://www.chemistwarehouse.com.au/buy/71892/Elastoplast-Spray-Bandage-40ml"," Elastoplast Spray Bandage 40ml")</f>
        <v xml:space="preserve"> Elastoplast Spray Bandage 40ml</v>
      </c>
      <c r="C5544" t="s">
        <v>212</v>
      </c>
      <c r="D5544" t="s">
        <v>1426</v>
      </c>
    </row>
    <row r="5545" spans="2:4" x14ac:dyDescent="0.25">
      <c r="B5545" t="str">
        <f>HYPERLINK("https://www.chemistwarehouse.com.au/buy/65535/Elastoplast-Anti-bacterial-Waterproof-Dressings-Small-6cm-x-7cm"," Elastoplast Anti-bacterial Waterproof Dressings Small 6cm x 7cm")</f>
        <v xml:space="preserve"> Elastoplast Anti-bacterial Waterproof Dressings Small 6cm x 7cm</v>
      </c>
      <c r="C5545" t="s">
        <v>103</v>
      </c>
      <c r="D5545" t="s">
        <v>1427</v>
      </c>
    </row>
    <row r="5546" spans="2:4" x14ac:dyDescent="0.25">
      <c r="B5546" t="str">
        <f>HYPERLINK("https://www.chemistwarehouse.com.au/buy/65890/Elastoplast-48598-Heavy-Fabric-Waterproof-16-Pack"," Elastoplast 48598 Heavy Fabric Waterproof 16 Pack")</f>
        <v xml:space="preserve"> Elastoplast 48598 Heavy Fabric Waterproof 16 Pack</v>
      </c>
      <c r="C5546" t="s">
        <v>728</v>
      </c>
      <c r="D5546" t="s">
        <v>725</v>
      </c>
    </row>
    <row r="5547" spans="2:4" x14ac:dyDescent="0.25">
      <c r="B5547" t="str">
        <f>HYPERLINK("https://www.chemistwarehouse.com.au/buy/65891/Elastoplast-48601-Heavy-Fabric-Waterproof-Assorted-15-Pack"," Elastoplast 48601 Heavy Fabric Waterproof Assorted 15 Pack")</f>
        <v xml:space="preserve"> Elastoplast 48601 Heavy Fabric Waterproof Assorted 15 Pack</v>
      </c>
      <c r="C5547" t="s">
        <v>483</v>
      </c>
      <c r="D5547" t="s">
        <v>1428</v>
      </c>
    </row>
    <row r="5548" spans="2:4" x14ac:dyDescent="0.25">
      <c r="B5548" t="str">
        <f>HYPERLINK("https://www.chemistwarehouse.com.au/buy/65892/Elastoplast-48602-Heavy-Fabric-Waterproof-DL-80cm-x-6cm-8-Pack"," Elastoplast 48602 Heavy Fabric Waterproof DL 80cm x 6cm 8 Pack")</f>
        <v xml:space="preserve"> Elastoplast 48602 Heavy Fabric Waterproof DL 80cm x 6cm 8 Pack</v>
      </c>
      <c r="C5548" t="s">
        <v>375</v>
      </c>
      <c r="D5548" t="s">
        <v>1429</v>
      </c>
    </row>
    <row r="5549" spans="2:4" x14ac:dyDescent="0.25">
      <c r="B5549" t="str">
        <f>HYPERLINK("https://www.chemistwarehouse.com.au/buy/60039/Elastoplast-47892-Aqua-Protect-Skin-Tone-Waterproof-Dressing-5x7-2cm-5"," Elastoplast 47892 Aqua Protect Skin Tone Waterproof Dressing 5x7.2cm 5 ")</f>
        <v xml:space="preserve"> Elastoplast 47892 Aqua Protect Skin Tone Waterproof Dressing 5x7.2cm 5 </v>
      </c>
      <c r="C5549" t="s">
        <v>32</v>
      </c>
      <c r="D5549" t="s">
        <v>1430</v>
      </c>
    </row>
    <row r="5550" spans="2:4" x14ac:dyDescent="0.25">
      <c r="B5550" t="str">
        <f>HYPERLINK("https://www.chemistwarehouse.com.au/buy/60040/Elastoplast-47311-Plastic-Strips-40"," Elastoplast 47311 Plastic Strips 40")</f>
        <v xml:space="preserve"> Elastoplast 47311 Plastic Strips 40</v>
      </c>
      <c r="C5550" t="s">
        <v>146</v>
      </c>
      <c r="D5550" t="s">
        <v>1332</v>
      </c>
    </row>
    <row r="5551" spans="2:4" x14ac:dyDescent="0.25">
      <c r="B5551" t="str">
        <f>HYPERLINK("https://www.chemistwarehouse.com.au/buy/78942/Elastoplast-Character-Strips-Peppa-Pig-16-Pack"," Elastoplast Character Strips Peppa Pig 16 Pack")</f>
        <v xml:space="preserve"> Elastoplast Character Strips Peppa Pig 16 Pack</v>
      </c>
      <c r="C5551" t="s">
        <v>399</v>
      </c>
      <c r="D5551" t="s">
        <v>1424</v>
      </c>
    </row>
    <row r="5552" spans="2:4" x14ac:dyDescent="0.25">
      <c r="B5552" t="str">
        <f>HYPERLINK("https://www.chemistwarehouse.com.au/buy/76290/Elastoplast-Sesame-Street-16-Strips"," Elastoplast Sesame Street 16 Strips")</f>
        <v xml:space="preserve"> Elastoplast Sesame Street 16 Strips</v>
      </c>
      <c r="C5552" t="s">
        <v>399</v>
      </c>
      <c r="D5552" t="s">
        <v>1424</v>
      </c>
    </row>
    <row r="5553" spans="1:4" x14ac:dyDescent="0.25">
      <c r="B5553" t="str">
        <f>HYPERLINK("https://www.chemistwarehouse.com.au/buy/77185/Elastoplast-47082-Plastic-40-Assorted"," Elastoplast 47082 Plastic 40 Assorted")</f>
        <v xml:space="preserve"> Elastoplast 47082 Plastic 40 Assorted</v>
      </c>
      <c r="C5553" t="s">
        <v>146</v>
      </c>
      <c r="D5553" t="s">
        <v>1431</v>
      </c>
    </row>
    <row r="5554" spans="1:4" x14ac:dyDescent="0.25">
      <c r="A5554" t="s">
        <v>1432</v>
      </c>
    </row>
    <row r="5555" spans="1:4" x14ac:dyDescent="0.25">
      <c r="B5555" t="str">
        <f>HYPERLINK("https://www.chemistwarehouse.com.au/buy/35857/Melolin-10cm-x-10cm-Single-Dressing"," Melolin 10cm x 10cm Single Dressing")</f>
        <v xml:space="preserve"> Melolin 10cm x 10cm Single Dressing</v>
      </c>
      <c r="C5555" t="s">
        <v>399</v>
      </c>
      <c r="D5555" t="s">
        <v>557</v>
      </c>
    </row>
    <row r="5556" spans="1:4" x14ac:dyDescent="0.25">
      <c r="B5556" t="str">
        <f>HYPERLINK("https://www.chemistwarehouse.com.au/buy/35859/Melolin-10-X-20cm-Single-Dressing"," Melolin 10 X 20cm Single Dressing")</f>
        <v xml:space="preserve"> Melolin 10 X 20cm Single Dressing</v>
      </c>
      <c r="C5556" t="s">
        <v>146</v>
      </c>
      <c r="D5556" t="s">
        <v>1433</v>
      </c>
    </row>
    <row r="5557" spans="1:4" x14ac:dyDescent="0.25">
      <c r="B5557" t="str">
        <f>HYPERLINK("https://www.chemistwarehouse.com.au/buy/31114/Cutiplast-8-x-10cm-Dressing-Single"," Cutiplast 8 x 10cm Dressing Single")</f>
        <v xml:space="preserve"> Cutiplast 8 x 10cm Dressing Single</v>
      </c>
      <c r="C5557" t="s">
        <v>635</v>
      </c>
      <c r="D5557" t="s">
        <v>1422</v>
      </c>
    </row>
    <row r="5558" spans="1:4" x14ac:dyDescent="0.25">
      <c r="B5558" t="str">
        <f>HYPERLINK("https://www.chemistwarehouse.com.au/buy/53116/Leukoplast-2-5cm-x-5m"," Leukoplast 2.5cm x 5m")</f>
        <v xml:space="preserve"> Leukoplast 2.5cm x 5m</v>
      </c>
      <c r="C5558" t="s">
        <v>92</v>
      </c>
      <c r="D5558" t="s">
        <v>1031</v>
      </c>
    </row>
    <row r="5559" spans="1:4" x14ac:dyDescent="0.25">
      <c r="B5559" t="str">
        <f>HYPERLINK("https://www.chemistwarehouse.com.au/buy/53115/Leukoplast-1-25cm-x-5-m-1521","  Leukoplast 1.25cm x 5 m 1521 ")</f>
        <v xml:space="preserve">  Leukoplast 1.25cm x 5 m 1521 </v>
      </c>
      <c r="C5559" t="s">
        <v>786</v>
      </c>
      <c r="D5559" t="s">
        <v>611</v>
      </c>
    </row>
    <row r="5560" spans="1:4" x14ac:dyDescent="0.25">
      <c r="B5560" t="str">
        <f>HYPERLINK("https://www.chemistwarehouse.com.au/buy/57117/Primapore-8-3cm-x-6cm-5-Pack"," Primapore 8.3cm x 6cm 5 Pack")</f>
        <v xml:space="preserve"> Primapore 8.3cm x 6cm 5 Pack</v>
      </c>
      <c r="C5560" t="s">
        <v>116</v>
      </c>
      <c r="D5560" t="s">
        <v>1434</v>
      </c>
    </row>
    <row r="5561" spans="1:4" x14ac:dyDescent="0.25">
      <c r="B5561" t="str">
        <f>HYPERLINK("https://www.chemistwarehouse.com.au/buy/64563/Melolin-5cm-x-5cm-5-Pack"," Melolin 5cm x 5cm 5 Pack")</f>
        <v xml:space="preserve"> Melolin 5cm x 5cm 5 Pack</v>
      </c>
      <c r="C5561" t="s">
        <v>556</v>
      </c>
      <c r="D5561" t="s">
        <v>569</v>
      </c>
    </row>
    <row r="5562" spans="1:4" x14ac:dyDescent="0.25">
      <c r="B5562" t="str">
        <f>HYPERLINK("https://www.chemistwarehouse.com.au/buy/62657/CUTIFILM-7-2cmX5cm-PK-5"," CUTIFILM 7.2cmX5cm PK 5")</f>
        <v xml:space="preserve"> CUTIFILM 7.2cmX5cm PK 5</v>
      </c>
      <c r="C5562" t="s">
        <v>32</v>
      </c>
      <c r="D5562" t="s">
        <v>1435</v>
      </c>
    </row>
    <row r="5563" spans="1:4" x14ac:dyDescent="0.25">
      <c r="B5563" t="str">
        <f>HYPERLINK("https://www.chemistwarehouse.com.au/buy/62658/Cutiflim-Plus-10cmx8cm-PK5"," Cutiflim Plus 10cmx8cm PK5")</f>
        <v xml:space="preserve"> Cutiflim Plus 10cmx8cm PK5</v>
      </c>
      <c r="C5563" t="s">
        <v>61</v>
      </c>
      <c r="D5563" t="s">
        <v>647</v>
      </c>
    </row>
    <row r="5564" spans="1:4" x14ac:dyDescent="0.25">
      <c r="B5564" t="str">
        <f>HYPERLINK("https://www.chemistwarehouse.com.au/buy/62659/Cutifilm-Plus-Tan-7-2cm-x-5cm-5-Pack"," Cutifilm Plus Tan 7.2cm x 5cm 5 Pack")</f>
        <v xml:space="preserve"> Cutifilm Plus Tan 7.2cm x 5cm 5 Pack</v>
      </c>
      <c r="C5564" t="s">
        <v>98</v>
      </c>
      <c r="D5564" t="s">
        <v>1436</v>
      </c>
    </row>
    <row r="5565" spans="1:4" x14ac:dyDescent="0.25">
      <c r="B5565" t="str">
        <f>HYPERLINK("https://www.chemistwarehouse.com.au/buy/62660/Cutifilm-Plus-Tan-10cm-x-8cm-5-Pack"," Cutifilm Plus Tan 10cm x 8cm 5 Pack")</f>
        <v xml:space="preserve"> Cutifilm Plus Tan 10cm x 8cm 5 Pack</v>
      </c>
      <c r="C5565" t="s">
        <v>63</v>
      </c>
      <c r="D5565" t="s">
        <v>1261</v>
      </c>
    </row>
    <row r="5566" spans="1:4" x14ac:dyDescent="0.25">
      <c r="B5566" t="str">
        <f>HYPERLINK("https://www.chemistwarehouse.com.au/buy/62661/Remove-Wipes-Single"," Remove Wipes Single")</f>
        <v xml:space="preserve"> Remove Wipes Single</v>
      </c>
      <c r="C5566" t="s">
        <v>1437</v>
      </c>
      <c r="D5566" t="s">
        <v>1438</v>
      </c>
    </row>
    <row r="5567" spans="1:4" x14ac:dyDescent="0.25">
      <c r="B5567" t="str">
        <f>HYPERLINK("https://www.chemistwarehouse.com.au/buy/64491/Cutiplast-Comfortable-Dressing-8-x-10cm-5-Pack"," Cutiplast Comfortable Dressing 8 x 10cm 5 Pack")</f>
        <v xml:space="preserve"> Cutiplast Comfortable Dressing 8 x 10cm 5 Pack</v>
      </c>
      <c r="C5567" t="s">
        <v>45</v>
      </c>
      <c r="D5567" t="s">
        <v>1320</v>
      </c>
    </row>
    <row r="5568" spans="1:4" x14ac:dyDescent="0.25">
      <c r="B5568" t="str">
        <f>HYPERLINK("https://www.chemistwarehouse.com.au/buy/64550/Allevyn-Non-Adhesive-10cm-x-10cm-Single-Dressing"," Allevyn Non-Adhesive 10cm x 10cm Single Dressing ")</f>
        <v xml:space="preserve"> Allevyn Non-Adhesive 10cm x 10cm Single Dressing </v>
      </c>
      <c r="C5568" t="s">
        <v>187</v>
      </c>
      <c r="D5568" t="s">
        <v>1439</v>
      </c>
    </row>
    <row r="5569" spans="1:4" x14ac:dyDescent="0.25">
      <c r="B5569" t="str">
        <f>HYPERLINK("https://www.chemistwarehouse.com.au/buy/64561/Jelonet-10cm-x-10cm-Single-Dressing"," Jelonet 10cm x 10cm Single Dressing")</f>
        <v xml:space="preserve"> Jelonet 10cm x 10cm Single Dressing</v>
      </c>
      <c r="C5569" t="s">
        <v>635</v>
      </c>
      <c r="D5569" t="s">
        <v>1440</v>
      </c>
    </row>
    <row r="5570" spans="1:4" x14ac:dyDescent="0.25">
      <c r="B5570" t="str">
        <f>HYPERLINK("https://www.chemistwarehouse.com.au/buy/64562/Leukostrip-6-4mm-x-76mm-Single-Dressing"," Leukostrip 6.4mm x 76mm Single Dressing")</f>
        <v xml:space="preserve"> Leukostrip 6.4mm x 76mm Single Dressing</v>
      </c>
      <c r="C5570" t="s">
        <v>691</v>
      </c>
      <c r="D5570" t="s">
        <v>553</v>
      </c>
    </row>
    <row r="5571" spans="1:4" x14ac:dyDescent="0.25">
      <c r="B5571" t="str">
        <f>HYPERLINK("https://www.chemistwarehouse.com.au/buy/53117/Leukoplast-5cm-x-5m-1524"," Leukoplast 5cm x 5m 1524")</f>
        <v xml:space="preserve"> Leukoplast 5cm x 5m 1524</v>
      </c>
      <c r="C5571" t="s">
        <v>244</v>
      </c>
      <c r="D5571" t="s">
        <v>291</v>
      </c>
    </row>
    <row r="5572" spans="1:4" x14ac:dyDescent="0.25">
      <c r="B5572" t="str">
        <f>HYPERLINK("https://www.chemistwarehouse.com.au/buy/53118/Leukofix-1-25cm-x-5m"," Leukofix 1.25cm x 5m")</f>
        <v xml:space="preserve"> Leukofix 1.25cm x 5m</v>
      </c>
      <c r="C5572" t="s">
        <v>556</v>
      </c>
      <c r="D5572" t="s">
        <v>1441</v>
      </c>
    </row>
    <row r="5573" spans="1:4" x14ac:dyDescent="0.25">
      <c r="B5573" t="str">
        <f>HYPERLINK("https://www.chemistwarehouse.com.au/buy/53127/Leukoplast-WP-1-25cm-x-5-m-2321"," Leukoplast WP 1.25cm x 5 m 2321 ")</f>
        <v xml:space="preserve"> Leukoplast WP 1.25cm x 5 m 2321 </v>
      </c>
      <c r="C5573" t="s">
        <v>116</v>
      </c>
      <c r="D5573" t="s">
        <v>312</v>
      </c>
    </row>
    <row r="5574" spans="1:4" x14ac:dyDescent="0.25">
      <c r="B5574" t="str">
        <f>HYPERLINK("https://www.chemistwarehouse.com.au/buy/53130/Leukostrip-6-4mm-x-76mm-3-Pack"," Leukostrip 6.4mm x 76mm 3 Pack")</f>
        <v xml:space="preserve"> Leukostrip 6.4mm x 76mm 3 Pack</v>
      </c>
      <c r="C5574" t="s">
        <v>92</v>
      </c>
      <c r="D5574" t="s">
        <v>1442</v>
      </c>
    </row>
    <row r="5575" spans="1:4" x14ac:dyDescent="0.25">
      <c r="B5575" t="str">
        <f>HYPERLINK("https://www.chemistwarehouse.com.au/buy/53183/Cutifilm-Plus-5X7-2cm-76248-Single"," Cutifilm Plus 5X7.2cm 76248 Single")</f>
        <v xml:space="preserve"> Cutifilm Plus 5X7.2cm 76248 Single</v>
      </c>
      <c r="C5575" t="s">
        <v>635</v>
      </c>
      <c r="D5575" t="s">
        <v>558</v>
      </c>
    </row>
    <row r="5576" spans="1:4" x14ac:dyDescent="0.25">
      <c r="B5576" t="str">
        <f>HYPERLINK("https://www.chemistwarehouse.com.au/buy/53184/Cutifilm-Plus-76244-8X10cm-Single"," Cutifilm Plus 76244 8X10cm Single")</f>
        <v xml:space="preserve"> Cutifilm Plus 76244 8X10cm Single</v>
      </c>
      <c r="C5576" t="s">
        <v>775</v>
      </c>
      <c r="D5576" t="s">
        <v>1443</v>
      </c>
    </row>
    <row r="5577" spans="1:4" x14ac:dyDescent="0.25">
      <c r="B5577" t="str">
        <f>HYPERLINK("https://www.chemistwarehouse.com.au/buy/53192/Bactigras-10x10cm-3-Pack"," Bactigras 10x10cm 3 Pack")</f>
        <v xml:space="preserve"> Bactigras 10x10cm 3 Pack</v>
      </c>
      <c r="C5577" t="s">
        <v>103</v>
      </c>
      <c r="D5577" t="s">
        <v>1322</v>
      </c>
    </row>
    <row r="5578" spans="1:4" x14ac:dyDescent="0.25">
      <c r="B5578" t="str">
        <f>HYPERLINK("https://www.chemistwarehouse.com.au/buy/54892/Allevyn-Thin-5cm-x-6cm-3-Pack"," Allevyn Thin 5cm x 6cm 3 Pack ")</f>
        <v xml:space="preserve"> Allevyn Thin 5cm x 6cm 3 Pack </v>
      </c>
      <c r="C5578" t="s">
        <v>443</v>
      </c>
      <c r="D5578" t="s">
        <v>1375</v>
      </c>
    </row>
    <row r="5579" spans="1:4" x14ac:dyDescent="0.25">
      <c r="A5579" t="s">
        <v>1444</v>
      </c>
    </row>
    <row r="5580" spans="1:4" x14ac:dyDescent="0.25">
      <c r="B5580" t="str">
        <f>HYPERLINK("https://www.chemistwarehouse.com.au/buy/64552/Bodigrip-B-6-5cm-x-1m-Flesh"," Bodigrip B 6.5cm x 1m Flesh")</f>
        <v xml:space="preserve"> Bodigrip B 6.5cm x 1m Flesh</v>
      </c>
      <c r="C5580" t="s">
        <v>610</v>
      </c>
      <c r="D5580" t="s">
        <v>327</v>
      </c>
    </row>
    <row r="5581" spans="1:4" x14ac:dyDescent="0.25">
      <c r="B5581" t="str">
        <f>HYPERLINK("https://www.chemistwarehouse.com.au/buy/64553/Bodigrip-C-6-75cm-x-1m-Flesh"," Bodigrip C 6.75cm x 1m Flesh")</f>
        <v xml:space="preserve"> Bodigrip C 6.75cm x 1m Flesh</v>
      </c>
      <c r="C5581" t="s">
        <v>610</v>
      </c>
      <c r="D5581" t="s">
        <v>327</v>
      </c>
    </row>
    <row r="5582" spans="1:4" x14ac:dyDescent="0.25">
      <c r="B5582" t="str">
        <f>HYPERLINK("https://www.chemistwarehouse.com.au/buy/64554/Bodigrip-D-7-5cm-x-1m-Flesh"," Bodigrip D 7.5cm x 1m Flesh")</f>
        <v xml:space="preserve"> Bodigrip D 7.5cm x 1m Flesh</v>
      </c>
      <c r="C5582" t="s">
        <v>610</v>
      </c>
      <c r="D5582" t="s">
        <v>327</v>
      </c>
    </row>
    <row r="5583" spans="1:4" x14ac:dyDescent="0.25">
      <c r="B5583" t="str">
        <f>HYPERLINK("https://www.chemistwarehouse.com.au/buy/64555/Bodigrip-E-8-75cm-x-1m-Flesh"," Bodigrip E 8.75cm x 1m Flesh")</f>
        <v xml:space="preserve"> Bodigrip E 8.75cm x 1m Flesh</v>
      </c>
      <c r="C5583" t="s">
        <v>610</v>
      </c>
      <c r="D5583" t="s">
        <v>327</v>
      </c>
    </row>
    <row r="5584" spans="1:4" x14ac:dyDescent="0.25">
      <c r="B5584" t="str">
        <f>HYPERLINK("https://www.chemistwarehouse.com.au/buy/64556/Bodigrip-F-10cm-x-1m-Flesh"," Bodigrip F 10cm x 1m Flesh")</f>
        <v xml:space="preserve"> Bodigrip F 10cm x 1m Flesh</v>
      </c>
      <c r="C5584" t="s">
        <v>610</v>
      </c>
      <c r="D5584" t="s">
        <v>327</v>
      </c>
    </row>
    <row r="5585" spans="1:4" x14ac:dyDescent="0.25">
      <c r="B5585" t="str">
        <f>HYPERLINK("https://www.chemistwarehouse.com.au/buy/64557/Bodigrip-G-12cm-x-1m-Flesh"," Bodigrip G 12cm x 1m Flesh")</f>
        <v xml:space="preserve"> Bodigrip G 12cm x 1m Flesh</v>
      </c>
      <c r="C5585" t="s">
        <v>610</v>
      </c>
      <c r="D5585" t="s">
        <v>327</v>
      </c>
    </row>
    <row r="5586" spans="1:4" x14ac:dyDescent="0.25">
      <c r="A5586" t="s">
        <v>1445</v>
      </c>
    </row>
    <row r="5587" spans="1:4" x14ac:dyDescent="0.25">
      <c r="B5587" t="str">
        <f>HYPERLINK("https://www.chemistwarehouse.com.au/buy/39927/Thursday-Plantation-Tea-Tree-Pure-Oil-50ml"," Thursday Plantation Tea Tree Pure Oil 50ml")</f>
        <v xml:space="preserve"> Thursday Plantation Tea Tree Pure Oil 50ml</v>
      </c>
      <c r="C5587" t="s">
        <v>45</v>
      </c>
      <c r="D5587" t="s">
        <v>1446</v>
      </c>
    </row>
    <row r="5588" spans="1:4" x14ac:dyDescent="0.25">
      <c r="B5588" t="str">
        <f>HYPERLINK("https://www.chemistwarehouse.com.au/buy/40678/Isocol-Rubbing-Alcohol-345mL"," Isocol Rubbing Alcohol 345mL")</f>
        <v xml:space="preserve"> Isocol Rubbing Alcohol 345mL</v>
      </c>
      <c r="C5588" t="s">
        <v>430</v>
      </c>
      <c r="D5588" t="s">
        <v>115</v>
      </c>
    </row>
    <row r="5589" spans="1:4" x14ac:dyDescent="0.25">
      <c r="B5589" t="str">
        <f>HYPERLINK("https://www.chemistwarehouse.com.au/buy/31145/Eurax-Cream-10-20g"," Eurax Cream 10% 20g")</f>
        <v xml:space="preserve"> Eurax Cream 10% 20g</v>
      </c>
      <c r="C5589" t="s">
        <v>103</v>
      </c>
      <c r="D5589" t="s">
        <v>371</v>
      </c>
    </row>
    <row r="5590" spans="1:4" x14ac:dyDescent="0.25">
      <c r="B5590" t="str">
        <f>HYPERLINK("https://www.chemistwarehouse.com.au/buy/31121/Dettol-Antiseptic-Cream-30g"," Dettol Antiseptic Cream 30g")</f>
        <v xml:space="preserve"> Dettol Antiseptic Cream 30g</v>
      </c>
      <c r="C5590" t="s">
        <v>775</v>
      </c>
      <c r="D5590" t="s">
        <v>776</v>
      </c>
    </row>
    <row r="5591" spans="1:4" x14ac:dyDescent="0.25">
      <c r="B5591" t="str">
        <f>HYPERLINK("https://www.chemistwarehouse.com.au/buy/31054/Betadine-Antiseptic-Liquid-15ml"," Betadine Antiseptic Liquid 15ml")</f>
        <v xml:space="preserve"> Betadine Antiseptic Liquid 15ml</v>
      </c>
      <c r="C5591" t="s">
        <v>103</v>
      </c>
      <c r="D5591" t="s">
        <v>808</v>
      </c>
    </row>
    <row r="5592" spans="1:4" x14ac:dyDescent="0.25">
      <c r="B5592" t="str">
        <f>HYPERLINK("https://www.chemistwarehouse.com.au/buy/31120/Dettol-Antiseptic-Solution-500ml"," Dettol Antiseptic Solution 500ml")</f>
        <v xml:space="preserve"> Dettol Antiseptic Solution 500ml</v>
      </c>
      <c r="C5592" t="s">
        <v>32</v>
      </c>
      <c r="D5592" t="s">
        <v>727</v>
      </c>
    </row>
    <row r="5593" spans="1:4" x14ac:dyDescent="0.25">
      <c r="B5593" t="str">
        <f>HYPERLINK("https://www.chemistwarehouse.com.au/buy/31056/Betadine-Antiseptic-Ointment-25g"," Betadine Antiseptic Ointment 25g")</f>
        <v xml:space="preserve"> Betadine Antiseptic Ointment 25g</v>
      </c>
      <c r="C5593" t="s">
        <v>92</v>
      </c>
      <c r="D5593" t="s">
        <v>454</v>
      </c>
    </row>
    <row r="5594" spans="1:4" x14ac:dyDescent="0.25">
      <c r="B5594" t="str">
        <f>HYPERLINK("https://www.chemistwarehouse.com.au/buy/31265/Thursday-Plantation-Tea-Tree-Oil-25ml"," Thursday Plantation Tea Tree Oil 25ml")</f>
        <v xml:space="preserve"> Thursday Plantation Tea Tree Oil 25ml</v>
      </c>
      <c r="C5594" t="s">
        <v>1447</v>
      </c>
      <c r="D5594" t="s">
        <v>1448</v>
      </c>
    </row>
    <row r="5595" spans="1:4" x14ac:dyDescent="0.25">
      <c r="B5595" t="str">
        <f>HYPERLINK("https://www.chemistwarehouse.com.au/buy/64515/Thursday-Plantation-Tea-Tree-Antiseptic-Cream-100g"," Thursday Plantation Tea Tree Antiseptic Cream 100g")</f>
        <v xml:space="preserve"> Thursday Plantation Tea Tree Antiseptic Cream 100g</v>
      </c>
      <c r="C5595" t="s">
        <v>782</v>
      </c>
      <c r="D5595" t="s">
        <v>611</v>
      </c>
    </row>
    <row r="5596" spans="1:4" x14ac:dyDescent="0.25">
      <c r="B5596" t="str">
        <f>HYPERLINK("https://www.chemistwarehouse.com.au/buy/31229/Savlon-Antiseptic-Cream-75g"," Savlon Antiseptic Cream 75g")</f>
        <v xml:space="preserve"> Savlon Antiseptic Cream 75g</v>
      </c>
      <c r="C5596" t="s">
        <v>554</v>
      </c>
      <c r="D5596" t="s">
        <v>371</v>
      </c>
    </row>
    <row r="5597" spans="1:4" x14ac:dyDescent="0.25">
      <c r="B5597" t="str">
        <f>HYPERLINK("https://www.chemistwarehouse.com.au/buy/31143/Ego-Soov-Cream-50g"," Ego Soov Cream 50g")</f>
        <v xml:space="preserve"> Ego Soov Cream 50g</v>
      </c>
      <c r="C5597" t="s">
        <v>116</v>
      </c>
      <c r="D5597" t="s">
        <v>1192</v>
      </c>
    </row>
    <row r="5598" spans="1:4" x14ac:dyDescent="0.25">
      <c r="B5598" t="str">
        <f>HYPERLINK("https://www.chemistwarehouse.com.au/buy/31058/Betadine-Antiseptic-Liquid-Hospital-500ml"," Betadine Antiseptic Liquid Hospital 500ml")</f>
        <v xml:space="preserve"> Betadine Antiseptic Liquid Hospital 500ml</v>
      </c>
      <c r="C5598" t="s">
        <v>80</v>
      </c>
      <c r="D5598" t="s">
        <v>312</v>
      </c>
    </row>
    <row r="5599" spans="1:4" x14ac:dyDescent="0.25">
      <c r="B5599" t="str">
        <f>HYPERLINK("https://www.chemistwarehouse.com.au/buy/62852/Medicreme-Antiseptic-Cream-50g"," Medicreme Antiseptic Cream 50g")</f>
        <v xml:space="preserve"> Medicreme Antiseptic Cream 50g</v>
      </c>
      <c r="C5599" t="s">
        <v>92</v>
      </c>
      <c r="D5599" t="s">
        <v>397</v>
      </c>
    </row>
    <row r="5600" spans="1:4" x14ac:dyDescent="0.25">
      <c r="B5600" t="str">
        <f>HYPERLINK("https://www.chemistwarehouse.com.au/buy/72294/Thursday-Plantation-Tea-Tree-Spray-140g"," Thursday Plantation Tea Tree Spray 140g")</f>
        <v xml:space="preserve"> Thursday Plantation Tea Tree Spray 140g</v>
      </c>
      <c r="C5600" t="s">
        <v>1449</v>
      </c>
      <c r="D5600" t="s">
        <v>1450</v>
      </c>
    </row>
    <row r="5601" spans="1:4" x14ac:dyDescent="0.25">
      <c r="B5601" t="str">
        <f>HYPERLINK("https://www.chemistwarehouse.com.au/buy/31228/Savlon-Antiseptic-Cream-50g"," Savlon Antiseptic Cream 50g")</f>
        <v xml:space="preserve"> Savlon Antiseptic Cream 50g</v>
      </c>
      <c r="C5601" t="s">
        <v>786</v>
      </c>
      <c r="D5601" t="s">
        <v>776</v>
      </c>
    </row>
    <row r="5602" spans="1:4" x14ac:dyDescent="0.25">
      <c r="B5602" t="str">
        <f>HYPERLINK("https://www.chemistwarehouse.com.au/buy/52063/Bepanthen-First-Aid-Antiseptic-Cream-100g"," Bepanthen First Aid Antiseptic Cream 100g")</f>
        <v xml:space="preserve"> Bepanthen First Aid Antiseptic Cream 100g</v>
      </c>
      <c r="C5602" t="s">
        <v>103</v>
      </c>
      <c r="D5602" t="s">
        <v>1451</v>
      </c>
    </row>
    <row r="5603" spans="1:4" x14ac:dyDescent="0.25">
      <c r="B5603" t="str">
        <f>HYPERLINK("https://www.chemistwarehouse.com.au/buy/58224/Sudocrem-Tube-30g-for-Nappy-Rash"," Sudocrem Tube 30g for Nappy Rash")</f>
        <v xml:space="preserve"> Sudocrem Tube 30g for Nappy Rash</v>
      </c>
      <c r="C5603" t="s">
        <v>326</v>
      </c>
      <c r="D5603" t="s">
        <v>561</v>
      </c>
    </row>
    <row r="5604" spans="1:4" x14ac:dyDescent="0.25">
      <c r="B5604" t="str">
        <f>HYPERLINK("https://www.chemistwarehouse.com.au/buy/31119/Dettol-Antiseptic-Solution-250ml"," Dettol Antiseptic Solution 250ml")</f>
        <v xml:space="preserve"> Dettol Antiseptic Solution 250ml</v>
      </c>
      <c r="C5604" t="s">
        <v>326</v>
      </c>
      <c r="D5604" t="s">
        <v>327</v>
      </c>
    </row>
    <row r="5605" spans="1:4" x14ac:dyDescent="0.25">
      <c r="B5605" t="str">
        <f>HYPERLINK("https://www.chemistwarehouse.com.au/buy/31055/Betadine-Antiseptic-Liquid-100mL"," Betadine Antiseptic Liquid 100mL")</f>
        <v xml:space="preserve"> Betadine Antiseptic Liquid 100mL</v>
      </c>
      <c r="C5605" t="s">
        <v>202</v>
      </c>
      <c r="D5605" t="s">
        <v>802</v>
      </c>
    </row>
    <row r="5606" spans="1:4" x14ac:dyDescent="0.25">
      <c r="B5606" t="str">
        <f>HYPERLINK("https://www.chemistwarehouse.com.au/buy/41917/Thursday-Plantation-Tea-Tree-Pure-Oil-10ml"," Thursday Plantation Tea Tree Pure Oil 10ml")</f>
        <v xml:space="preserve"> Thursday Plantation Tea Tree Pure Oil 10ml</v>
      </c>
      <c r="C5606" t="s">
        <v>1308</v>
      </c>
      <c r="D5606" t="s">
        <v>1452</v>
      </c>
    </row>
    <row r="5607" spans="1:4" x14ac:dyDescent="0.25">
      <c r="B5607" t="str">
        <f>HYPERLINK("https://www.chemistwarehouse.com.au/buy/48100/Calmoseptine-Ointment-75g-Tube"," Calmoseptine Ointment 75g Tube")</f>
        <v xml:space="preserve"> Calmoseptine Ointment 75g Tube</v>
      </c>
      <c r="C5607" t="s">
        <v>551</v>
      </c>
      <c r="D5607" t="s">
        <v>776</v>
      </c>
    </row>
    <row r="5608" spans="1:4" x14ac:dyDescent="0.25">
      <c r="B5608" t="str">
        <f>HYPERLINK("https://www.chemistwarehouse.com.au/buy/31208/Magnoplasm-100g"," Magnoplasm 100g")</f>
        <v xml:space="preserve"> Magnoplasm 100g</v>
      </c>
      <c r="C5608" t="s">
        <v>1</v>
      </c>
      <c r="D5608" t="s">
        <v>371</v>
      </c>
    </row>
    <row r="5609" spans="1:4" x14ac:dyDescent="0.25">
      <c r="B5609" t="str">
        <f>HYPERLINK("https://www.chemistwarehouse.com.au/buy/31059/Betadine-First-Aid-Cream-20g"," Betadine First Aid Cream 20g")</f>
        <v xml:space="preserve"> Betadine First Aid Cream 20g</v>
      </c>
      <c r="C5609" t="s">
        <v>782</v>
      </c>
      <c r="D5609" t="s">
        <v>115</v>
      </c>
    </row>
    <row r="5610" spans="1:4" x14ac:dyDescent="0.25">
      <c r="B5610" t="str">
        <f>HYPERLINK("https://www.chemistwarehouse.com.au/buy/31062/Betadine-Antiseptic-Liquid-Spray-75mL"," Betadine Antiseptic Liquid Spray 75mL")</f>
        <v xml:space="preserve"> Betadine Antiseptic Liquid Spray 75mL</v>
      </c>
      <c r="C5610" t="s">
        <v>237</v>
      </c>
      <c r="D5610" t="s">
        <v>802</v>
      </c>
    </row>
    <row r="5611" spans="1:4" x14ac:dyDescent="0.25">
      <c r="A5611" t="s">
        <v>1453</v>
      </c>
    </row>
    <row r="5612" spans="1:4" x14ac:dyDescent="0.25">
      <c r="B5612" t="str">
        <f>HYPERLINK("https://www.chemistwarehouse.com.au/buy/64654/Hotteeze-10-Pack"," Hotteeze 10 Pack")</f>
        <v xml:space="preserve"> Hotteeze 10 Pack</v>
      </c>
      <c r="C5612" t="s">
        <v>63</v>
      </c>
      <c r="D5612">
        <v>0</v>
      </c>
    </row>
    <row r="5613" spans="1:4" x14ac:dyDescent="0.25">
      <c r="B5613" t="str">
        <f>HYPERLINK("https://www.chemistwarehouse.com.au/buy/59691/Bodichek-Hot-Cold-Pack-Large"," Bodichek Hot/Cold Pack Large")</f>
        <v xml:space="preserve"> Bodichek Hot/Cold Pack Large</v>
      </c>
      <c r="C5613" t="s">
        <v>98</v>
      </c>
      <c r="D5613" t="s">
        <v>165</v>
      </c>
    </row>
    <row r="5614" spans="1:4" x14ac:dyDescent="0.25">
      <c r="B5614" t="str">
        <f>HYPERLINK("https://www.chemistwarehouse.com.au/buy/73625/Bodichek-Premium-Shoulder-and-Neck-Hot-Cold-Pack-Reusable-Nylon-With-Towel-Bag"," Bodichek Premium Shoulder and Neck Hot/Cold Pack Reusable Nylon With Towel Bag")</f>
        <v xml:space="preserve"> Bodichek Premium Shoulder and Neck Hot/Cold Pack Reusable Nylon With Towel Bag</v>
      </c>
      <c r="C5614" t="s">
        <v>8</v>
      </c>
      <c r="D5614" t="s">
        <v>378</v>
      </c>
    </row>
    <row r="5615" spans="1:4" x14ac:dyDescent="0.25">
      <c r="B5615" t="str">
        <f>HYPERLINK("https://www.chemistwarehouse.com.au/buy/73626/Bodichek-Premium-Waist-Back-Hot-Cold-Pack-Reusable"," Bodichek Premium Waist-Back Hot/Cold Pack Reusable")</f>
        <v xml:space="preserve"> Bodichek Premium Waist-Back Hot/Cold Pack Reusable</v>
      </c>
      <c r="C5615" t="s">
        <v>8</v>
      </c>
      <c r="D5615" t="s">
        <v>378</v>
      </c>
    </row>
    <row r="5616" spans="1:4" x14ac:dyDescent="0.25">
      <c r="B5616" t="str">
        <f>HYPERLINK("https://www.chemistwarehouse.com.au/buy/73659/Instant-Ice"," Instant Ice")</f>
        <v xml:space="preserve"> Instant Ice</v>
      </c>
      <c r="C5616" t="s">
        <v>691</v>
      </c>
      <c r="D5616" t="s">
        <v>611</v>
      </c>
    </row>
    <row r="5617" spans="2:4" x14ac:dyDescent="0.25">
      <c r="B5617" t="str">
        <f>HYPERLINK("https://www.chemistwarehouse.com.au/buy/75660/Hot-Hands-Toasti-Toe-Warmers"," Hot Hands Toasti Toe Warmers")</f>
        <v xml:space="preserve"> Hot Hands Toasti Toe Warmers</v>
      </c>
      <c r="C5617" t="s">
        <v>733</v>
      </c>
      <c r="D5617" t="s">
        <v>1340</v>
      </c>
    </row>
    <row r="5618" spans="2:4" x14ac:dyDescent="0.25">
      <c r="B5618" t="str">
        <f>HYPERLINK("https://www.chemistwarehouse.com.au/buy/75661/Hot-Hands-Hand-Warmers-2-Pack"," Hot Hands Hand Warmers 2 Pack")</f>
        <v xml:space="preserve"> Hot Hands Hand Warmers 2 Pack</v>
      </c>
      <c r="C5618" t="s">
        <v>733</v>
      </c>
      <c r="D5618" t="s">
        <v>1340</v>
      </c>
    </row>
    <row r="5619" spans="2:4" x14ac:dyDescent="0.25">
      <c r="B5619" t="str">
        <f>HYPERLINK("https://www.chemistwarehouse.com.au/buy/77896/Hot-amp-Cold-Pack-Small"," Hot &amp; Cold Pack Small")</f>
        <v xml:space="preserve"> Hot &amp; Cold Pack Small</v>
      </c>
      <c r="C5619" t="s">
        <v>103</v>
      </c>
      <c r="D5619" t="s">
        <v>145</v>
      </c>
    </row>
    <row r="5620" spans="2:4" x14ac:dyDescent="0.25">
      <c r="B5620" t="str">
        <f>HYPERLINK("https://www.chemistwarehouse.com.au/buy/79548/Oapl-Hot-Cold-Clay-Pack-Medium"," Oapl Hot/Cold Clay Pack Medium")</f>
        <v xml:space="preserve"> Oapl Hot/Cold Clay Pack Medium</v>
      </c>
      <c r="C5620" t="s">
        <v>45</v>
      </c>
      <c r="D5620" t="s">
        <v>64</v>
      </c>
    </row>
    <row r="5621" spans="2:4" x14ac:dyDescent="0.25">
      <c r="B5621" t="str">
        <f>HYPERLINK("https://www.chemistwarehouse.com.au/buy/79549/Oapl-Hot-Cold-Pearl-Gel-Pack-Large"," Oapl Hot/Cold Pearl Gel Pack Large")</f>
        <v xml:space="preserve"> Oapl Hot/Cold Pearl Gel Pack Large</v>
      </c>
      <c r="C5621" t="s">
        <v>63</v>
      </c>
      <c r="D5621" t="s">
        <v>157</v>
      </c>
    </row>
    <row r="5622" spans="2:4" x14ac:dyDescent="0.25">
      <c r="B5622" t="str">
        <f>HYPERLINK("https://www.chemistwarehouse.com.au/buy/79550/Oapl-Hot-Cold-Pearl-Gel-Pack-Medium"," Oapl Hot/Cold Pearl Gel Pack Medium")</f>
        <v xml:space="preserve"> Oapl Hot/Cold Pearl Gel Pack Medium</v>
      </c>
      <c r="C5622" t="s">
        <v>58</v>
      </c>
      <c r="D5622" t="s">
        <v>162</v>
      </c>
    </row>
    <row r="5623" spans="2:4" x14ac:dyDescent="0.25">
      <c r="B5623" t="str">
        <f>HYPERLINK("https://www.chemistwarehouse.com.au/buy/73627/Mc-Gloins-Hot-Water-Bottle-Assorted-Colours"," Mc Gloins Hot Water Bottle - Assorted Colours")</f>
        <v xml:space="preserve"> Mc Gloins Hot Water Bottle - Assorted Colours</v>
      </c>
      <c r="C5623" t="s">
        <v>556</v>
      </c>
      <c r="D5623" t="s">
        <v>560</v>
      </c>
    </row>
    <row r="5624" spans="2:4" x14ac:dyDescent="0.25">
      <c r="B5624" t="str">
        <f>HYPERLINK("https://www.chemistwarehouse.com.au/buy/59692/Bodichek-Hot-Cold-Packs-Medium"," Bodichek Hot/Cold Packs Medium")</f>
        <v xml:space="preserve"> Bodichek Hot/Cold Packs Medium</v>
      </c>
      <c r="C5624" t="s">
        <v>103</v>
      </c>
      <c r="D5624" t="s">
        <v>1454</v>
      </c>
    </row>
    <row r="5625" spans="2:4" x14ac:dyDescent="0.25">
      <c r="B5625" t="str">
        <f>HYPERLINK("https://www.chemistwarehouse.com.au/buy/63656/Hot-and-Cold-Pack-Large"," Hot and Cold Pack Large")</f>
        <v xml:space="preserve"> Hot and Cold Pack Large</v>
      </c>
      <c r="C5625" t="s">
        <v>45</v>
      </c>
      <c r="D5625" t="s">
        <v>821</v>
      </c>
    </row>
    <row r="5626" spans="2:4" x14ac:dyDescent="0.25">
      <c r="B5626" t="str">
        <f>HYPERLINK("https://www.chemistwarehouse.com.au/buy/69130/Surgipack-Clay-Hot-Cold-Pack-Large"," Surgipack Clay Hot/Cold Pack Large")</f>
        <v xml:space="preserve"> Surgipack Clay Hot/Cold Pack Large</v>
      </c>
      <c r="C5626" t="s">
        <v>8</v>
      </c>
      <c r="D5626" t="s">
        <v>352</v>
      </c>
    </row>
    <row r="5627" spans="2:4" x14ac:dyDescent="0.25">
      <c r="B5627" t="str">
        <f>HYPERLINK("https://www.chemistwarehouse.com.au/buy/69131/Surgipack-Clay-Hot-Cold-Pack-Medium"," Surgipack Clay Hot/Cold Pack Medium")</f>
        <v xml:space="preserve"> Surgipack Clay Hot/Cold Pack Medium</v>
      </c>
      <c r="C5627" t="s">
        <v>237</v>
      </c>
      <c r="D5627" t="s">
        <v>1218</v>
      </c>
    </row>
    <row r="5628" spans="2:4" x14ac:dyDescent="0.25">
      <c r="B5628" t="str">
        <f>HYPERLINK("https://www.chemistwarehouse.com.au/buy/72122/Bodichek-Wheat-Pack-Small-Rectangle-25x15cm"," Bodichek Wheat Pack Small Rectangle - 25x15cm")</f>
        <v xml:space="preserve"> Bodichek Wheat Pack Small Rectangle - 25x15cm</v>
      </c>
      <c r="C5628" t="s">
        <v>202</v>
      </c>
      <c r="D5628" t="s">
        <v>145</v>
      </c>
    </row>
    <row r="5629" spans="2:4" x14ac:dyDescent="0.25">
      <c r="B5629" t="str">
        <f>HYPERLINK("https://www.chemistwarehouse.com.au/buy/72123/Bodichek-Wheat-Pack-Square-26x26cm"," Bodichek Wheat Pack Square - 26x26cm")</f>
        <v xml:space="preserve"> Bodichek Wheat Pack Square - 26x26cm</v>
      </c>
      <c r="C5629" t="s">
        <v>61</v>
      </c>
      <c r="D5629" t="s">
        <v>397</v>
      </c>
    </row>
    <row r="5630" spans="2:4" x14ac:dyDescent="0.25">
      <c r="B5630" t="str">
        <f>HYPERLINK("https://www.chemistwarehouse.com.au/buy/72124/Bodichek-Wheat-Pack-2-Section-Rectangle-50x15cm"," Bodichek Wheat Pack 2 Section Rectangle - 50x15cm")</f>
        <v xml:space="preserve"> Bodichek Wheat Pack 2 Section Rectangle - 50x15cm</v>
      </c>
      <c r="C5630" t="s">
        <v>61</v>
      </c>
      <c r="D5630" t="s">
        <v>93</v>
      </c>
    </row>
    <row r="5631" spans="2:4" x14ac:dyDescent="0.25">
      <c r="B5631" t="str">
        <f>HYPERLINK("https://www.chemistwarehouse.com.au/buy/73624/Surgipack-Instant-Cold-Reusable-Hot-Cold-Pack"," Surgipack Instant Cold Reusable Hot/Cold Pack")</f>
        <v xml:space="preserve"> Surgipack Instant Cold Reusable Hot/Cold Pack</v>
      </c>
      <c r="C5631" t="s">
        <v>116</v>
      </c>
      <c r="D5631" t="s">
        <v>465</v>
      </c>
    </row>
    <row r="5632" spans="2:4" x14ac:dyDescent="0.25">
      <c r="B5632" t="str">
        <f>HYPERLINK("https://www.chemistwarehouse.com.au/buy/2580/Cold-Pack-Instant-Medi-ice"," Cold Pack Instant Medi-ice")</f>
        <v xml:space="preserve"> Cold Pack Instant Medi-ice</v>
      </c>
      <c r="C5632" t="s">
        <v>556</v>
      </c>
      <c r="D5632" t="s">
        <v>1455</v>
      </c>
    </row>
    <row r="5633" spans="1:4" x14ac:dyDescent="0.25">
      <c r="B5633" t="str">
        <f>HYPERLINK("https://www.chemistwarehouse.com.au/buy/79551/Oapl-Hot-Moisture-Beads-Medium"," Oapl Hot Moisture Beads Medium")</f>
        <v xml:space="preserve"> Oapl Hot Moisture Beads Medium</v>
      </c>
      <c r="C5633" t="s">
        <v>187</v>
      </c>
      <c r="D5633" t="s">
        <v>169</v>
      </c>
    </row>
    <row r="5634" spans="1:4" x14ac:dyDescent="0.25">
      <c r="B5634" t="str">
        <f>HYPERLINK("https://www.chemistwarehouse.com.au/buy/79552/Oapl-Hot-Moisture-Beads-Large"," Oapl Hot Moisture Beads Large")</f>
        <v xml:space="preserve"> Oapl Hot Moisture Beads Large</v>
      </c>
      <c r="C5634" t="s">
        <v>63</v>
      </c>
      <c r="D5634" t="s">
        <v>169</v>
      </c>
    </row>
    <row r="5635" spans="1:4" x14ac:dyDescent="0.25">
      <c r="B5635" t="str">
        <f>HYPERLINK("https://www.chemistwarehouse.com.au/buy/79547/Oapl-Hot-Cold-Clay-Pack-Large"," Oapl Hot/Cold Clay Pack Large")</f>
        <v xml:space="preserve"> Oapl Hot/Cold Clay Pack Large</v>
      </c>
      <c r="C5635" t="s">
        <v>237</v>
      </c>
      <c r="D5635" t="s">
        <v>169</v>
      </c>
    </row>
    <row r="5636" spans="1:4" x14ac:dyDescent="0.25">
      <c r="A5636" t="s">
        <v>1456</v>
      </c>
    </row>
    <row r="5637" spans="1:4" x14ac:dyDescent="0.25">
      <c r="B5637" t="str">
        <f>HYPERLINK("https://www.chemistwarehouse.com.au/buy/79207/Squatty-Potty-Footstool-7-17-5inch-Ecco"," Squatty Potty Footstool 7/17.5inch Ecco")</f>
        <v xml:space="preserve"> Squatty Potty Footstool 7/17.5inch Ecco</v>
      </c>
      <c r="C5637" t="s">
        <v>6</v>
      </c>
      <c r="D5637" t="s">
        <v>391</v>
      </c>
    </row>
    <row r="5638" spans="1:4" x14ac:dyDescent="0.25">
      <c r="A5638" t="s">
        <v>1457</v>
      </c>
    </row>
    <row r="5639" spans="1:4" x14ac:dyDescent="0.25">
      <c r="B5639" t="str">
        <f>HYPERLINK("https://www.chemistwarehouse.com.au/buy/53666/Zen-Joint-amp-Muscle-Relief-Liniment-Spray-100mL"," Zen Joint &amp; Muscle Relief Liniment Spray 100mL")</f>
        <v xml:space="preserve"> Zen Joint &amp; Muscle Relief Liniment Spray 100mL</v>
      </c>
      <c r="C5639" t="s">
        <v>63</v>
      </c>
      <c r="D5639" t="s">
        <v>1458</v>
      </c>
    </row>
    <row r="5640" spans="1:4" x14ac:dyDescent="0.25">
      <c r="B5640" t="str">
        <f>HYPERLINK("https://www.chemistwarehouse.com.au/buy/66540/Martin-amp-Pleasance-Zen-Gel-40g"," Martin &amp; Pleasance Zen Gel 40g")</f>
        <v xml:space="preserve"> Martin &amp; Pleasance Zen Gel 40g</v>
      </c>
      <c r="C5640" t="s">
        <v>98</v>
      </c>
      <c r="D5640" t="s">
        <v>467</v>
      </c>
    </row>
    <row r="5641" spans="1:4" x14ac:dyDescent="0.25">
      <c r="B5641" t="str">
        <f>HYPERLINK("https://www.chemistwarehouse.com.au/buy/80168/Martin-amp-Pleasance-Zen-Sports-Massage-Liniment-125ml"," Martin &amp; Pleasance Zen Sports Massage Liniment 125ml")</f>
        <v xml:space="preserve"> Martin &amp; Pleasance Zen Sports Massage Liniment 125ml</v>
      </c>
      <c r="C5641" t="s">
        <v>173</v>
      </c>
      <c r="D5641" t="s">
        <v>93</v>
      </c>
    </row>
    <row r="5642" spans="1:4" x14ac:dyDescent="0.25">
      <c r="B5642" t="str">
        <f>HYPERLINK("https://www.chemistwarehouse.com.au/buy/8451/Zen-Therapeutic-Tincture-50ml"," Zen Therapeutic Tincture 50ml")</f>
        <v xml:space="preserve"> Zen Therapeutic Tincture 50ml</v>
      </c>
      <c r="C5642" t="s">
        <v>244</v>
      </c>
      <c r="D5642" t="s">
        <v>165</v>
      </c>
    </row>
    <row r="5643" spans="1:4" x14ac:dyDescent="0.25">
      <c r="A5643" t="s">
        <v>1459</v>
      </c>
    </row>
    <row r="5644" spans="1:4" x14ac:dyDescent="0.25">
      <c r="B5644" t="str">
        <f>HYPERLINK("https://www.chemistwarehouse.com.au/buy/79796/Flexiseq-Osteoarthritis-Relief-Gel-50g-Online-Only"," Flexiseq Osteoarthritis Relief Gel 50g Online Only")</f>
        <v xml:space="preserve"> Flexiseq Osteoarthritis Relief Gel 50g Online Only</v>
      </c>
      <c r="C5644" t="s">
        <v>113</v>
      </c>
      <c r="D5644" t="s">
        <v>160</v>
      </c>
    </row>
    <row r="5645" spans="1:4" x14ac:dyDescent="0.25">
      <c r="A5645" t="s">
        <v>1460</v>
      </c>
    </row>
    <row r="5646" spans="1:4" x14ac:dyDescent="0.25">
      <c r="B5646" t="str">
        <f>HYPERLINK("https://www.chemistwarehouse.com.au/buy/56440/Buscopan-Forte-20mg-10-Tablets"," Buscopan Forte 20mg 10 Tablets")</f>
        <v xml:space="preserve"> Buscopan Forte 20mg 10 Tablets</v>
      </c>
      <c r="C5646" t="s">
        <v>107</v>
      </c>
      <c r="D5646">
        <v>0</v>
      </c>
    </row>
    <row r="5647" spans="1:4" x14ac:dyDescent="0.25">
      <c r="B5647" t="str">
        <f>HYPERLINK("https://www.chemistwarehouse.com.au/buy/1745/Buscopan-Tablets-20"," Buscopan Tablets 20")</f>
        <v xml:space="preserve"> Buscopan Tablets 20</v>
      </c>
      <c r="C5647" t="s">
        <v>107</v>
      </c>
      <c r="D5647">
        <v>0</v>
      </c>
    </row>
    <row r="5648" spans="1:4" x14ac:dyDescent="0.25">
      <c r="A5648" t="s">
        <v>1461</v>
      </c>
    </row>
    <row r="5649" spans="1:4" x14ac:dyDescent="0.25">
      <c r="B5649" t="str">
        <f>HYPERLINK("https://www.chemistwarehouse.com.au/buy/57378/Alka-Seltzer-Regular-20"," Alka Seltzer Regular 20")</f>
        <v xml:space="preserve"> Alka Seltzer Regular 20</v>
      </c>
      <c r="C5649" t="s">
        <v>240</v>
      </c>
      <c r="D5649" t="s">
        <v>1462</v>
      </c>
    </row>
    <row r="5650" spans="1:4" x14ac:dyDescent="0.25">
      <c r="B5650" t="str">
        <f>HYPERLINK("https://www.chemistwarehouse.com.au/buy/57377/Alka-Seltzer-Lemon-20"," Alka Seltzer Lemon 20")</f>
        <v xml:space="preserve"> Alka Seltzer Lemon 20</v>
      </c>
      <c r="C5650" t="s">
        <v>240</v>
      </c>
      <c r="D5650" t="s">
        <v>1462</v>
      </c>
    </row>
    <row r="5651" spans="1:4" x14ac:dyDescent="0.25">
      <c r="A5651" t="s">
        <v>1463</v>
      </c>
    </row>
    <row r="5652" spans="1:4" x14ac:dyDescent="0.25">
      <c r="B5652" t="str">
        <f>HYPERLINK("https://www.chemistwarehouse.com.au/buy/3175/De-Gas-48-Capsules"," De Gas 48 Capsules")</f>
        <v xml:space="preserve"> De Gas 48 Capsules</v>
      </c>
      <c r="C5652" t="s">
        <v>242</v>
      </c>
      <c r="D5652" t="s">
        <v>1204</v>
      </c>
    </row>
    <row r="5653" spans="1:4" x14ac:dyDescent="0.25">
      <c r="B5653" t="str">
        <f>HYPERLINK("https://www.chemistwarehouse.com.au/buy/3174/De-Gas-24-Capsules"," De Gas 24 Capsules")</f>
        <v xml:space="preserve"> De Gas 24 Capsules</v>
      </c>
      <c r="C5653" t="s">
        <v>326</v>
      </c>
      <c r="D5653" t="s">
        <v>119</v>
      </c>
    </row>
    <row r="5654" spans="1:4" x14ac:dyDescent="0.25">
      <c r="A5654" t="s">
        <v>1464</v>
      </c>
    </row>
    <row r="5655" spans="1:4" x14ac:dyDescent="0.25">
      <c r="B5655" t="str">
        <f>HYPERLINK("https://www.chemistwarehouse.com.au/buy/4268/Eno-Fruit-Salt-Lemon-200g"," Eno Fruit Salt Lemon 200g")</f>
        <v xml:space="preserve"> Eno Fruit Salt Lemon 200g</v>
      </c>
      <c r="C5655" t="s">
        <v>45</v>
      </c>
      <c r="D5655" t="s">
        <v>727</v>
      </c>
    </row>
    <row r="5656" spans="1:4" x14ac:dyDescent="0.25">
      <c r="A5656" t="s">
        <v>1465</v>
      </c>
    </row>
    <row r="5657" spans="1:4" x14ac:dyDescent="0.25">
      <c r="B5657" t="str">
        <f>HYPERLINK("https://www.chemistwarehouse.com.au/buy/69721/Gaviscon-Dual-Action-32-Tablets"," Gaviscon Dual Action 32 Tablets")</f>
        <v xml:space="preserve"> Gaviscon Dual Action 32 Tablets</v>
      </c>
      <c r="C5657" t="s">
        <v>92</v>
      </c>
      <c r="D5657" t="s">
        <v>238</v>
      </c>
    </row>
    <row r="5658" spans="1:4" x14ac:dyDescent="0.25">
      <c r="B5658" t="str">
        <f>HYPERLINK("https://www.chemistwarehouse.com.au/buy/79588/Gaviscon-Liquid-Aniseed-600ml"," Gaviscon Liquid Aniseed 600ml")</f>
        <v xml:space="preserve"> Gaviscon Liquid Aniseed 600ml</v>
      </c>
      <c r="C5658" t="s">
        <v>324</v>
      </c>
      <c r="D5658" t="s">
        <v>1466</v>
      </c>
    </row>
    <row r="5659" spans="1:4" x14ac:dyDescent="0.25">
      <c r="B5659" t="str">
        <f>HYPERLINK("https://www.chemistwarehouse.com.au/buy/39326/Gaviscon-Liquid-Double-Strength-500mL"," Gaviscon Liquid Double Strength 500mL")</f>
        <v xml:space="preserve"> Gaviscon Liquid Double Strength 500mL</v>
      </c>
      <c r="C5659" t="s">
        <v>45</v>
      </c>
      <c r="D5659" t="s">
        <v>177</v>
      </c>
    </row>
    <row r="5660" spans="1:4" x14ac:dyDescent="0.25">
      <c r="B5660" t="str">
        <f>HYPERLINK("https://www.chemistwarehouse.com.au/buy/5146/Gaviscon-Tablets-Peppermint-48"," Gaviscon Tablets Peppermint 48")</f>
        <v xml:space="preserve"> Gaviscon Tablets Peppermint 48</v>
      </c>
      <c r="C5660" t="s">
        <v>103</v>
      </c>
      <c r="D5660" t="s">
        <v>281</v>
      </c>
    </row>
    <row r="5661" spans="1:4" x14ac:dyDescent="0.25">
      <c r="B5661" t="str">
        <f>HYPERLINK("https://www.chemistwarehouse.com.au/buy/76643/Gaviscon-Liquid-Dual-Action-600ml"," Gaviscon Liquid Dual Action 600ml")</f>
        <v xml:space="preserve"> Gaviscon Liquid Dual Action 600ml</v>
      </c>
      <c r="C5661" t="s">
        <v>290</v>
      </c>
      <c r="D5661" t="s">
        <v>291</v>
      </c>
    </row>
    <row r="5662" spans="1:4" x14ac:dyDescent="0.25">
      <c r="B5662" t="str">
        <f>HYPERLINK("https://www.chemistwarehouse.com.au/buy/58634/Gaviscon-Dual-Action-300ml"," Gaviscon Dual Action 300ml")</f>
        <v xml:space="preserve"> Gaviscon Dual Action 300ml</v>
      </c>
      <c r="C5662" t="s">
        <v>782</v>
      </c>
      <c r="D5662" t="s">
        <v>731</v>
      </c>
    </row>
    <row r="5663" spans="1:4" x14ac:dyDescent="0.25">
      <c r="B5663" t="str">
        <f>HYPERLINK("https://www.chemistwarehouse.com.au/buy/51261/Gaviscon-Cool-Liquid-Cool-Mint-300ml"," Gaviscon Cool Liquid Cool Mint 300ml")</f>
        <v xml:space="preserve"> Gaviscon Cool Liquid Cool Mint 300ml</v>
      </c>
      <c r="C5663" t="s">
        <v>242</v>
      </c>
      <c r="D5663" t="s">
        <v>624</v>
      </c>
    </row>
    <row r="5664" spans="1:4" x14ac:dyDescent="0.25">
      <c r="B5664" t="str">
        <f>HYPERLINK("https://www.chemistwarehouse.com.au/buy/58039/Gaviscon-Dual-Action-16-Tablets"," Gaviscon Dual Action 16 Tablets")</f>
        <v xml:space="preserve"> Gaviscon Dual Action 16 Tablets</v>
      </c>
      <c r="C5664" t="s">
        <v>556</v>
      </c>
      <c r="D5664" t="s">
        <v>1467</v>
      </c>
    </row>
    <row r="5665" spans="1:4" x14ac:dyDescent="0.25">
      <c r="B5665" t="str">
        <f>HYPERLINK("https://www.chemistwarehouse.com.au/buy/76864/Gaviscon-Double-Strength-Peppermint-Tablets-24"," Gaviscon Double Strength Peppermint Tablets 24")</f>
        <v xml:space="preserve"> Gaviscon Double Strength Peppermint Tablets 24</v>
      </c>
      <c r="C5665" t="s">
        <v>92</v>
      </c>
      <c r="D5665" t="s">
        <v>312</v>
      </c>
    </row>
    <row r="5666" spans="1:4" x14ac:dyDescent="0.25">
      <c r="B5666" t="str">
        <f>HYPERLINK("https://www.chemistwarehouse.com.au/buy/79589/Gaviscon-Liquid-Peppermint-600ml"," Gaviscon Liquid Peppermint 600ml")</f>
        <v xml:space="preserve"> Gaviscon Liquid Peppermint 600ml</v>
      </c>
      <c r="C5666" t="s">
        <v>324</v>
      </c>
      <c r="D5666" t="s">
        <v>318</v>
      </c>
    </row>
    <row r="5667" spans="1:4" x14ac:dyDescent="0.25">
      <c r="A5667" t="s">
        <v>1468</v>
      </c>
    </row>
    <row r="5668" spans="1:4" x14ac:dyDescent="0.25">
      <c r="B5668" t="str">
        <f>HYPERLINK("https://www.chemistwarehouse.com.au/buy/6281/Mintec-Capsules-60"," Mintec Capsules 60")</f>
        <v xml:space="preserve"> Mintec Capsules 60</v>
      </c>
      <c r="C5668" t="s">
        <v>63</v>
      </c>
      <c r="D5668" t="s">
        <v>157</v>
      </c>
    </row>
    <row r="5669" spans="1:4" x14ac:dyDescent="0.25">
      <c r="B5669" t="str">
        <f>HYPERLINK("https://www.chemistwarehouse.com.au/buy/6280/Mintec-Capsules-20"," Mintec Capsules 20")</f>
        <v xml:space="preserve"> Mintec Capsules 20</v>
      </c>
      <c r="C5669" t="s">
        <v>32</v>
      </c>
      <c r="D5669" t="s">
        <v>147</v>
      </c>
    </row>
    <row r="5670" spans="1:4" x14ac:dyDescent="0.25">
      <c r="A5670" t="s">
        <v>1469</v>
      </c>
    </row>
    <row r="5671" spans="1:4" x14ac:dyDescent="0.25">
      <c r="B5671" t="str">
        <f>HYPERLINK("https://www.chemistwarehouse.com.au/buy/59433/Mylanta2go-Double-Strength-Chew-48-Tablets"," Mylanta2go Double Strength Chew 48 Tablets")</f>
        <v xml:space="preserve"> Mylanta2go Double Strength Chew 48 Tablets</v>
      </c>
      <c r="C5671" t="s">
        <v>242</v>
      </c>
      <c r="D5671" t="s">
        <v>121</v>
      </c>
    </row>
    <row r="5672" spans="1:4" x14ac:dyDescent="0.25">
      <c r="B5672" t="str">
        <f>HYPERLINK("https://www.chemistwarehouse.com.au/buy/71408/Mylanta-2go-Double-Strength-Chewable-Tablets-24"," Mylanta 2go Double Strength Chewable Tablets 24")</f>
        <v xml:space="preserve"> Mylanta 2go Double Strength Chewable Tablets 24</v>
      </c>
      <c r="C5672" t="s">
        <v>786</v>
      </c>
      <c r="D5672" t="s">
        <v>611</v>
      </c>
    </row>
    <row r="5673" spans="1:4" x14ac:dyDescent="0.25">
      <c r="B5673" t="str">
        <f>HYPERLINK("https://www.chemistwarehouse.com.au/buy/72566/Mylanta-Original-Liquid-500ml"," Mylanta Original Liquid 500ml ")</f>
        <v xml:space="preserve"> Mylanta Original Liquid 500ml </v>
      </c>
      <c r="C5673" t="s">
        <v>103</v>
      </c>
      <c r="D5673" t="s">
        <v>830</v>
      </c>
    </row>
    <row r="5674" spans="1:4" x14ac:dyDescent="0.25">
      <c r="B5674" t="str">
        <f>HYPERLINK("https://www.chemistwarehouse.com.au/buy/55193/Mylanta2go-Original-Chew-Tablets-100"," Mylanta2go Original Chew Tablets 100")</f>
        <v xml:space="preserve"> Mylanta2go Original Chew Tablets 100</v>
      </c>
      <c r="C5674" t="s">
        <v>98</v>
      </c>
      <c r="D5674" t="s">
        <v>1470</v>
      </c>
    </row>
    <row r="5675" spans="1:4" x14ac:dyDescent="0.25">
      <c r="B5675" t="str">
        <f>HYPERLINK("https://www.chemistwarehouse.com.au/buy/53054/Mylanta-Double-Strength-500mL"," Mylanta Double Strength 500mL")</f>
        <v xml:space="preserve"> Mylanta Double Strength 500mL</v>
      </c>
      <c r="C5675" t="s">
        <v>32</v>
      </c>
      <c r="D5675" t="s">
        <v>808</v>
      </c>
    </row>
    <row r="5676" spans="1:4" x14ac:dyDescent="0.25">
      <c r="B5676" t="str">
        <f>HYPERLINK("https://www.chemistwarehouse.com.au/buy/53264/Mylanta-Ranitidine-24-Hour-300mg-14-Tablets"," Mylanta Ranitidine 24 Hour 300mg 14 Tablets")</f>
        <v xml:space="preserve"> Mylanta Ranitidine 24 Hour 300mg 14 Tablets</v>
      </c>
      <c r="C5676" t="s">
        <v>98</v>
      </c>
      <c r="D5676">
        <v>0</v>
      </c>
    </row>
    <row r="5677" spans="1:4" x14ac:dyDescent="0.25">
      <c r="A5677" t="s">
        <v>1471</v>
      </c>
    </row>
    <row r="5678" spans="1:4" x14ac:dyDescent="0.25">
      <c r="B5678" t="str">
        <f>HYPERLINK("https://www.chemistwarehouse.com.au/buy/69719/Quick-Eze-Tablets-Multi-Pack"," Quick Eze Tablets Multi Pack")</f>
        <v xml:space="preserve"> Quick Eze Tablets Multi Pack</v>
      </c>
      <c r="C5678" t="s">
        <v>610</v>
      </c>
      <c r="D5678" t="s">
        <v>121</v>
      </c>
    </row>
    <row r="5679" spans="1:4" x14ac:dyDescent="0.25">
      <c r="B5679" t="str">
        <f>HYPERLINK("https://www.chemistwarehouse.com.au/buy/49733/Quick-Eze-Peppermint-Chewy-Antacid-8-Tablet"," Quick-Eze Peppermint Chewy Antacid 8 Tablet")</f>
        <v xml:space="preserve"> Quick-Eze Peppermint Chewy Antacid 8 Tablet</v>
      </c>
      <c r="C5679" t="s">
        <v>593</v>
      </c>
      <c r="D5679" t="s">
        <v>1472</v>
      </c>
    </row>
    <row r="5680" spans="1:4" x14ac:dyDescent="0.25">
      <c r="B5680" t="str">
        <f>HYPERLINK("https://www.chemistwarehouse.com.au/buy/53906/Quick-Eze-12-Tablets"," Quick Eze 12 Tablets")</f>
        <v xml:space="preserve"> Quick Eze 12 Tablets</v>
      </c>
      <c r="C5680" t="s">
        <v>635</v>
      </c>
      <c r="D5680">
        <v>0</v>
      </c>
    </row>
    <row r="5681" spans="1:4" x14ac:dyDescent="0.25">
      <c r="B5681" t="str">
        <f>HYPERLINK("https://www.chemistwarehouse.com.au/buy/69718/Quick-Eze-Chewy-Peppermint-Multi-Pack"," Quick Eze Chewy Peppermint Multi Pack")</f>
        <v xml:space="preserve"> Quick Eze Chewy Peppermint Multi Pack</v>
      </c>
      <c r="C5681" t="s">
        <v>556</v>
      </c>
      <c r="D5681" t="s">
        <v>776</v>
      </c>
    </row>
    <row r="5682" spans="1:4" x14ac:dyDescent="0.25">
      <c r="A5682" t="s">
        <v>1473</v>
      </c>
    </row>
    <row r="5683" spans="1:4" x14ac:dyDescent="0.25">
      <c r="B5683" t="str">
        <f>HYPERLINK("https://www.chemistwarehouse.com.au/buy/7407/Rennie-96"," Rennie 96")</f>
        <v xml:space="preserve"> Rennie 96</v>
      </c>
      <c r="C5683" t="s">
        <v>32</v>
      </c>
      <c r="D5683" t="s">
        <v>1474</v>
      </c>
    </row>
    <row r="5684" spans="1:4" x14ac:dyDescent="0.25">
      <c r="B5684" t="str">
        <f>HYPERLINK("https://www.chemistwarehouse.com.au/buy/7405/Rennie-24"," Rennie 24")</f>
        <v xml:space="preserve"> Rennie 24</v>
      </c>
      <c r="C5684" t="s">
        <v>483</v>
      </c>
      <c r="D5684" t="s">
        <v>371</v>
      </c>
    </row>
    <row r="5685" spans="1:4" x14ac:dyDescent="0.25">
      <c r="A5685" t="s">
        <v>1475</v>
      </c>
    </row>
    <row r="5686" spans="1:4" x14ac:dyDescent="0.25">
      <c r="B5686" t="str">
        <f>HYPERLINK("https://www.chemistwarehouse.com.au/buy/51211/Zantac-Extra-Strength-300mg-14-Tablets"," Zantac Extra Strength 300mg 14 Tablets")</f>
        <v xml:space="preserve"> Zantac Extra Strength 300mg 14 Tablets</v>
      </c>
      <c r="C5686" t="s">
        <v>80</v>
      </c>
      <c r="D5686">
        <v>0</v>
      </c>
    </row>
    <row r="5687" spans="1:4" x14ac:dyDescent="0.25">
      <c r="B5687" t="str">
        <f>HYPERLINK("https://www.chemistwarehouse.com.au/buy/8446/Zantac-12-Hour-150mg-14-Tablets"," Zantac 12 Hour 150mg 14 Tablets")</f>
        <v xml:space="preserve"> Zantac 12 Hour 150mg 14 Tablets</v>
      </c>
      <c r="C5687" t="s">
        <v>103</v>
      </c>
      <c r="D5687" t="s">
        <v>312</v>
      </c>
    </row>
    <row r="5688" spans="1:4" x14ac:dyDescent="0.25">
      <c r="B5688" t="str">
        <f>HYPERLINK("https://www.chemistwarehouse.com.au/buy/39453/Zantac-12-Hour-150mg-28-Tablets"," Zantac 12 Hour 150mg 28 Tablets")</f>
        <v xml:space="preserve"> Zantac 12 Hour 150mg 28 Tablets</v>
      </c>
      <c r="C5688" t="s">
        <v>98</v>
      </c>
      <c r="D5688">
        <v>0</v>
      </c>
    </row>
    <row r="5689" spans="1:4" x14ac:dyDescent="0.25">
      <c r="A5689" t="s">
        <v>1476</v>
      </c>
    </row>
    <row r="5690" spans="1:4" x14ac:dyDescent="0.25">
      <c r="B5690" t="str">
        <f>HYPERLINK("https://www.chemistwarehouse.com.au/buy/70063/Dulcogas-125mg-18-Sachets"," Dulcogas 125mg 18 Sachets")</f>
        <v xml:space="preserve"> Dulcogas 125mg 18 Sachets</v>
      </c>
      <c r="C5690" t="s">
        <v>103</v>
      </c>
      <c r="D5690" t="s">
        <v>371</v>
      </c>
    </row>
    <row r="5691" spans="1:4" x14ac:dyDescent="0.25">
      <c r="B5691" t="str">
        <f>HYPERLINK("https://www.chemistwarehouse.com.au/buy/74750/Lacto-Free-100-Mini-Tablets"," Lacto-Free 100 Mini Tablets")</f>
        <v xml:space="preserve"> Lacto-Free 100 Mini Tablets</v>
      </c>
      <c r="C5691" t="s">
        <v>161</v>
      </c>
      <c r="D5691" t="s">
        <v>397</v>
      </c>
    </row>
    <row r="5692" spans="1:4" x14ac:dyDescent="0.25">
      <c r="B5692" t="str">
        <f>HYPERLINK("https://www.chemistwarehouse.com.au/buy/77348/Somac-Heartburn-Relief-20mg-Tablets-7"," Somac Heartburn Relief 20mg Tablets 7 ")</f>
        <v xml:space="preserve"> Somac Heartburn Relief 20mg Tablets 7 </v>
      </c>
      <c r="C5692" t="s">
        <v>103</v>
      </c>
      <c r="D5692">
        <v>0</v>
      </c>
    </row>
    <row r="5693" spans="1:4" x14ac:dyDescent="0.25">
      <c r="B5693" t="str">
        <f>HYPERLINK("https://www.chemistwarehouse.com.au/buy/46343/Gasbusters-Capsules-Peppermint-24"," Gasbusters Capsules Peppermint 24")</f>
        <v xml:space="preserve"> Gasbusters Capsules Peppermint 24</v>
      </c>
      <c r="C5693" t="s">
        <v>782</v>
      </c>
      <c r="D5693" t="s">
        <v>799</v>
      </c>
    </row>
    <row r="5694" spans="1:4" x14ac:dyDescent="0.25">
      <c r="B5694" t="str">
        <f>HYPERLINK("https://www.chemistwarehouse.com.au/buy/57042/Somac-Heartburn-Relief-14-Tablets"," Somac Heartburn Relief 14 Tablets")</f>
        <v xml:space="preserve"> Somac Heartburn Relief 14 Tablets</v>
      </c>
      <c r="C5694" t="s">
        <v>58</v>
      </c>
      <c r="D5694">
        <v>0</v>
      </c>
    </row>
    <row r="5695" spans="1:4" x14ac:dyDescent="0.25">
      <c r="B5695" t="str">
        <f>HYPERLINK("https://www.chemistwarehouse.com.au/buy/69445/Sodibic-840mg-100-Capsules"," Sodibic 840mg 100 Capsules")</f>
        <v xml:space="preserve"> Sodibic 840mg 100 Capsules</v>
      </c>
      <c r="C5695" t="s">
        <v>45</v>
      </c>
      <c r="D5695">
        <v>0</v>
      </c>
    </row>
    <row r="5696" spans="1:4" x14ac:dyDescent="0.25">
      <c r="A5696" t="s">
        <v>1477</v>
      </c>
    </row>
    <row r="5697" spans="1:4" x14ac:dyDescent="0.25">
      <c r="B5697" t="str">
        <f>HYPERLINK("https://www.chemistwarehouse.com.au/buy/8139/Travacalm-HO-Tablets-10"," Travacalm HO Tablets 10")</f>
        <v xml:space="preserve"> Travacalm HO Tablets 10</v>
      </c>
      <c r="C5697" t="s">
        <v>326</v>
      </c>
      <c r="D5697">
        <v>0</v>
      </c>
    </row>
    <row r="5698" spans="1:4" x14ac:dyDescent="0.25">
      <c r="B5698" t="str">
        <f>HYPERLINK("https://www.chemistwarehouse.com.au/buy/20080/Avil-45-3mg-Tablets-50"," Avil 45.3mg Tablets 50")</f>
        <v xml:space="preserve"> Avil 45.3mg Tablets 50</v>
      </c>
      <c r="C5698" t="s">
        <v>45</v>
      </c>
      <c r="D5698">
        <v>0</v>
      </c>
    </row>
    <row r="5699" spans="1:4" x14ac:dyDescent="0.25">
      <c r="B5699" t="str">
        <f>HYPERLINK("https://www.chemistwarehouse.com.au/buy/74906/Kwells-Adults-12-Pack"," Kwells Adults 12 Pack")</f>
        <v xml:space="preserve"> Kwells Adults 12 Pack</v>
      </c>
      <c r="C5699" t="s">
        <v>782</v>
      </c>
      <c r="D5699">
        <v>0</v>
      </c>
    </row>
    <row r="5700" spans="1:4" x14ac:dyDescent="0.25">
      <c r="B5700" t="str">
        <f>HYPERLINK("https://www.chemistwarehouse.com.au/buy/7673/Sea-Band-for-Travel-Sickness-Band-1-Pair"," Sea-Band for Travel Sickness Band 1 Pair")</f>
        <v xml:space="preserve"> Sea-Band for Travel Sickness Band 1 Pair</v>
      </c>
      <c r="C5700" t="s">
        <v>301</v>
      </c>
      <c r="D5700" t="s">
        <v>558</v>
      </c>
    </row>
    <row r="5701" spans="1:4" x14ac:dyDescent="0.25">
      <c r="B5701" t="str">
        <f>HYPERLINK("https://www.chemistwarehouse.com.au/buy/73692/Kwells-Kids-12-Tablets"," Kwells Kids 12 Tablets")</f>
        <v xml:space="preserve"> Kwells Kids 12 Tablets</v>
      </c>
      <c r="C5701" t="s">
        <v>782</v>
      </c>
      <c r="D5701">
        <v>0</v>
      </c>
    </row>
    <row r="5702" spans="1:4" x14ac:dyDescent="0.25">
      <c r="B5702" t="str">
        <f>HYPERLINK("https://www.chemistwarehouse.com.au/buy/8140/Travacalm-Natural-Tablets-10"," Travacalm Natural Tablets 10")</f>
        <v xml:space="preserve"> Travacalm Natural Tablets 10</v>
      </c>
      <c r="C5702" t="s">
        <v>483</v>
      </c>
      <c r="D5702" t="s">
        <v>147</v>
      </c>
    </row>
    <row r="5703" spans="1:4" x14ac:dyDescent="0.25">
      <c r="B5703" t="str">
        <f>HYPERLINK("https://www.chemistwarehouse.com.au/buy/8141/Travacalm-Original-Tablets-10"," Travacalm Original Tablets 10")</f>
        <v xml:space="preserve"> Travacalm Original Tablets 10</v>
      </c>
      <c r="C5703" t="s">
        <v>116</v>
      </c>
      <c r="D5703">
        <v>0</v>
      </c>
    </row>
    <row r="5704" spans="1:4" x14ac:dyDescent="0.25">
      <c r="A5704" t="s">
        <v>1478</v>
      </c>
    </row>
    <row r="5705" spans="1:4" x14ac:dyDescent="0.25">
      <c r="B5705" t="str">
        <f>HYPERLINK("https://www.chemistwarehouse.com.au/buy/5201/Glucodin-Glucose-32-Tablets"," Glucodin Glucose 32 Tablets")</f>
        <v xml:space="preserve"> Glucodin Glucose 32 Tablets</v>
      </c>
      <c r="C5705" t="s">
        <v>146</v>
      </c>
      <c r="D5705" t="s">
        <v>371</v>
      </c>
    </row>
    <row r="5706" spans="1:4" x14ac:dyDescent="0.25">
      <c r="B5706" t="str">
        <f>HYPERLINK("https://www.chemistwarehouse.com.au/buy/46691/Glucodin-Powder-Zip-Bag-325G"," Glucodin Powder Zip/Bag 325G")</f>
        <v xml:space="preserve"> Glucodin Powder Zip/Bag 325G</v>
      </c>
      <c r="C5706" t="s">
        <v>556</v>
      </c>
      <c r="D5706" t="s">
        <v>371</v>
      </c>
    </row>
    <row r="5707" spans="1:4" x14ac:dyDescent="0.25">
      <c r="B5707" t="str">
        <f>HYPERLINK("https://www.chemistwarehouse.com.au/buy/53337/Proform-Meal-Replacement-1kg-Neutral"," Proform Meal Replacement 1kg Neutral")</f>
        <v xml:space="preserve"> Proform Meal Replacement 1kg Neutral</v>
      </c>
      <c r="C5707" t="s">
        <v>58</v>
      </c>
      <c r="D5707" t="s">
        <v>157</v>
      </c>
    </row>
    <row r="5708" spans="1:4" x14ac:dyDescent="0.25">
      <c r="B5708" t="str">
        <f>HYPERLINK("https://www.chemistwarehouse.com.au/buy/72519/PediaSure-Vanilla-850g"," PediaSure Vanilla 850g")</f>
        <v xml:space="preserve"> PediaSure Vanilla 850g</v>
      </c>
      <c r="C5708" t="s">
        <v>166</v>
      </c>
      <c r="D5708" t="s">
        <v>1215</v>
      </c>
    </row>
    <row r="5709" spans="1:4" x14ac:dyDescent="0.25">
      <c r="B5709" t="str">
        <f>HYPERLINK("https://www.chemistwarehouse.com.au/buy/81816/Pediasure-Ready-To-Drink-Chocolate-200ml"," Pediasure Ready To Drink Chocolate 200ml")</f>
        <v xml:space="preserve"> Pediasure Ready To Drink Chocolate 200ml</v>
      </c>
      <c r="C5709" t="s">
        <v>728</v>
      </c>
      <c r="D5709" t="s">
        <v>1257</v>
      </c>
    </row>
    <row r="5710" spans="1:4" x14ac:dyDescent="0.25">
      <c r="B5710" t="str">
        <f>HYPERLINK("https://www.chemistwarehouse.com.au/buy/81817/Pediasure-Ready-To-Drink-Strawberry-200ml"," Pediasure Ready To Drink Strawberry 200ml")</f>
        <v xml:space="preserve"> Pediasure Ready To Drink Strawberry 200ml</v>
      </c>
      <c r="C5710" t="s">
        <v>728</v>
      </c>
      <c r="D5710" t="s">
        <v>1257</v>
      </c>
    </row>
    <row r="5711" spans="1:4" x14ac:dyDescent="0.25">
      <c r="B5711" t="str">
        <f>HYPERLINK("https://www.chemistwarehouse.com.au/buy/41062/Proform-Nutritional-Supplement-Vanilla-1kg-Powder"," Proform Nutritional Supplement Vanilla 1kg Powder")</f>
        <v xml:space="preserve"> Proform Nutritional Supplement Vanilla 1kg Powder</v>
      </c>
      <c r="C5711" t="s">
        <v>58</v>
      </c>
      <c r="D5711" t="s">
        <v>157</v>
      </c>
    </row>
    <row r="5712" spans="1:4" x14ac:dyDescent="0.25">
      <c r="B5712" t="str">
        <f>HYPERLINK("https://www.chemistwarehouse.com.au/buy/81818/Pediasure-Ready-To-Drink-Vanilla-200ml"," Pediasure Ready To Drink Vanilla 200ml")</f>
        <v xml:space="preserve"> Pediasure Ready To Drink Vanilla 200ml</v>
      </c>
      <c r="C5712" t="s">
        <v>728</v>
      </c>
      <c r="D5712" t="s">
        <v>1257</v>
      </c>
    </row>
    <row r="5713" spans="1:4" x14ac:dyDescent="0.25">
      <c r="A5713" t="s">
        <v>1479</v>
      </c>
    </row>
    <row r="5714" spans="1:4" x14ac:dyDescent="0.25">
      <c r="B5714" t="str">
        <f>HYPERLINK("https://www.chemistwarehouse.com.au/buy/7269/Proctosedyl-Ointment-30g-Limit-of-ONE-Per-Order"," Proctosedyl Ointment 30g (Limit of ONE Per Order)")</f>
        <v xml:space="preserve"> Proctosedyl Ointment 30g (Limit of ONE Per Order)</v>
      </c>
      <c r="C5714" t="s">
        <v>202</v>
      </c>
      <c r="D5714">
        <v>0</v>
      </c>
    </row>
    <row r="5715" spans="1:4" x14ac:dyDescent="0.25">
      <c r="B5715" t="str">
        <f>HYPERLINK("https://www.chemistwarehouse.com.au/buy/58573/Ego-Soov-It-Haemorrhoids-Ointment-30g"," Ego Soov It Haemorrhoids Ointment 30g")</f>
        <v xml:space="preserve"> Ego Soov It Haemorrhoids Ointment 30g</v>
      </c>
      <c r="C5715" t="s">
        <v>45</v>
      </c>
      <c r="D5715">
        <v>0</v>
      </c>
    </row>
    <row r="5716" spans="1:4" x14ac:dyDescent="0.25">
      <c r="B5716" t="str">
        <f>HYPERLINK("https://www.chemistwarehouse.com.au/buy/7374/Rectinol-Ointment-50g"," Rectinol Ointment 50g")</f>
        <v xml:space="preserve"> Rectinol Ointment 50g</v>
      </c>
      <c r="C5716" t="s">
        <v>202</v>
      </c>
      <c r="D5716">
        <v>0</v>
      </c>
    </row>
    <row r="5717" spans="1:4" x14ac:dyDescent="0.25">
      <c r="B5717" t="str">
        <f>HYPERLINK("https://www.chemistwarehouse.com.au/buy/7376/Rectogesic-Ointment-30g"," Rectogesic Ointment 30g")</f>
        <v xml:space="preserve"> Rectogesic Ointment 30g</v>
      </c>
      <c r="C5717" t="s">
        <v>493</v>
      </c>
      <c r="D5717">
        <v>0</v>
      </c>
    </row>
    <row r="5718" spans="1:4" x14ac:dyDescent="0.25">
      <c r="B5718" t="str">
        <f>HYPERLINK("https://www.chemistwarehouse.com.au/buy/64604/Rectogesic-Finger-Protectors-50"," Rectogesic Finger Protectors 50")</f>
        <v xml:space="preserve"> Rectogesic Finger Protectors 50</v>
      </c>
      <c r="C5718" t="s">
        <v>483</v>
      </c>
      <c r="D5718" t="s">
        <v>147</v>
      </c>
    </row>
    <row r="5719" spans="1:4" x14ac:dyDescent="0.25">
      <c r="B5719" t="str">
        <f>HYPERLINK("https://www.chemistwarehouse.com.au/buy/7270/Proctosedyl-Suppositories-12"," Proctosedyl Suppositories 12")</f>
        <v xml:space="preserve"> Proctosedyl Suppositories 12</v>
      </c>
      <c r="C5719" t="s">
        <v>80</v>
      </c>
      <c r="D5719">
        <v>0</v>
      </c>
    </row>
    <row r="5720" spans="1:4" x14ac:dyDescent="0.25">
      <c r="B5720" t="str">
        <f>HYPERLINK("https://www.chemistwarehouse.com.au/buy/7267/Proctosedyl-Ointment-15g-Limit-of-ONE-Per-Order"," Proctosedyl Ointment 15g (Limit of ONE Per Order)")</f>
        <v xml:space="preserve"> Proctosedyl Ointment 15g (Limit of ONE Per Order)</v>
      </c>
      <c r="C5720" t="s">
        <v>45</v>
      </c>
      <c r="D5720">
        <v>0</v>
      </c>
    </row>
    <row r="5721" spans="1:4" x14ac:dyDescent="0.25">
      <c r="B5721" t="str">
        <f>HYPERLINK("https://www.chemistwarehouse.com.au/buy/579/Anusol-Ointment-50g"," Anusol Ointment 50g")</f>
        <v xml:space="preserve"> Anusol Ointment 50g</v>
      </c>
      <c r="C5721" t="s">
        <v>32</v>
      </c>
      <c r="D5721" t="s">
        <v>371</v>
      </c>
    </row>
    <row r="5722" spans="1:4" x14ac:dyDescent="0.25">
      <c r="B5722" t="str">
        <f>HYPERLINK("https://www.chemistwarehouse.com.au/buy/580/Anusol-Suppositories-12"," Anusol Suppositories 12")</f>
        <v xml:space="preserve"> Anusol Suppositories 12</v>
      </c>
      <c r="C5722" t="s">
        <v>782</v>
      </c>
      <c r="D5722" t="s">
        <v>776</v>
      </c>
    </row>
    <row r="5723" spans="1:4" x14ac:dyDescent="0.25">
      <c r="A5723" t="s">
        <v>1480</v>
      </c>
    </row>
    <row r="5724" spans="1:4" x14ac:dyDescent="0.25">
      <c r="B5724" t="str">
        <f>HYPERLINK("https://www.chemistwarehouse.com.au/buy/5051/Dulcolax-Suppository-10mg-Adult-10-Pack"," Dulcolax Suppository 10mg Adult 10 Pack")</f>
        <v xml:space="preserve"> Dulcolax Suppository 10mg Adult 10 Pack</v>
      </c>
      <c r="C5724" t="s">
        <v>375</v>
      </c>
      <c r="D5724" t="s">
        <v>115</v>
      </c>
    </row>
    <row r="5725" spans="1:4" x14ac:dyDescent="0.25">
      <c r="B5725" t="str">
        <f>HYPERLINK("https://www.chemistwarehouse.com.au/buy/63971/Dulcolax-5mg-Tablets-200-Limit-of-TWO-per-Order"," Dulcolax 5mg Tablets 200 (Limit of TWO per Order)")</f>
        <v xml:space="preserve"> Dulcolax 5mg Tablets 200 (Limit of TWO per Order)</v>
      </c>
      <c r="C5725" t="s">
        <v>61</v>
      </c>
      <c r="D5725" t="s">
        <v>169</v>
      </c>
    </row>
    <row r="5726" spans="1:4" x14ac:dyDescent="0.25">
      <c r="B5726" t="str">
        <f>HYPERLINK("https://www.chemistwarehouse.com.au/buy/61247/Dulcolax-5mg-80-Tablets"," Dulcolax 5mg 80 Tablets")</f>
        <v xml:space="preserve"> Dulcolax 5mg 80 Tablets</v>
      </c>
      <c r="C5726" t="s">
        <v>45</v>
      </c>
      <c r="D5726" t="s">
        <v>312</v>
      </c>
    </row>
    <row r="5727" spans="1:4" x14ac:dyDescent="0.25">
      <c r="B5727" t="str">
        <f>HYPERLINK("https://www.chemistwarehouse.com.au/buy/55742/Dulcolax-SP-Drops-30mL"," Dulcolax SP Drops 30mL")</f>
        <v xml:space="preserve"> Dulcolax SP Drops 30mL</v>
      </c>
      <c r="C5727" t="s">
        <v>242</v>
      </c>
      <c r="D5727" t="s">
        <v>611</v>
      </c>
    </row>
    <row r="5728" spans="1:4" x14ac:dyDescent="0.25">
      <c r="B5728" t="str">
        <f>HYPERLINK("https://www.chemistwarehouse.com.au/buy/60519/Dulcolax-5mg-Tablets-50"," Dulcolax 5mg Tablets 50")</f>
        <v xml:space="preserve"> Dulcolax 5mg Tablets 50</v>
      </c>
      <c r="C5728" t="s">
        <v>103</v>
      </c>
      <c r="D5728" t="s">
        <v>727</v>
      </c>
    </row>
    <row r="5729" spans="1:4" x14ac:dyDescent="0.25">
      <c r="A5729" t="s">
        <v>1481</v>
      </c>
    </row>
    <row r="5730" spans="1:4" x14ac:dyDescent="0.25">
      <c r="B5730" t="str">
        <f>HYPERLINK("https://www.chemistwarehouse.com.au/buy/53484/Coloxyl-50mg-100-Tablets-Filmcoat"," Coloxyl 50mg 100 Tablets Filmcoat")</f>
        <v xml:space="preserve"> Coloxyl 50mg 100 Tablets Filmcoat</v>
      </c>
      <c r="C5730" t="s">
        <v>103</v>
      </c>
      <c r="D5730" t="s">
        <v>150</v>
      </c>
    </row>
    <row r="5731" spans="1:4" x14ac:dyDescent="0.25">
      <c r="B5731" t="str">
        <f>HYPERLINK("https://www.chemistwarehouse.com.au/buy/2678/Coloxyl-amp-Senna-90-Tablets"," Coloxyl &amp; Senna 90 Tablets")</f>
        <v xml:space="preserve"> Coloxyl &amp; Senna 90 Tablets</v>
      </c>
      <c r="C5731" t="s">
        <v>103</v>
      </c>
      <c r="D5731" t="s">
        <v>145</v>
      </c>
    </row>
    <row r="5732" spans="1:4" x14ac:dyDescent="0.25">
      <c r="B5732" t="str">
        <f>HYPERLINK("https://www.chemistwarehouse.com.au/buy/2677/Coloxyl-amp-Senna-30-Tablets"," Coloxyl &amp; Senna 30 Tablets")</f>
        <v xml:space="preserve"> Coloxyl &amp; Senna 30 Tablets</v>
      </c>
      <c r="C5732" t="s">
        <v>556</v>
      </c>
      <c r="D5732" t="s">
        <v>147</v>
      </c>
    </row>
    <row r="5733" spans="1:4" x14ac:dyDescent="0.25">
      <c r="B5733" t="str">
        <f>HYPERLINK("https://www.chemistwarehouse.com.au/buy/53483/Coloxyl-120mg-100-Tablets-Filmcoat"," Coloxyl 120mg 100 Tablets Filmcoat")</f>
        <v xml:space="preserve"> Coloxyl 120mg 100 Tablets Filmcoat</v>
      </c>
      <c r="C5733" t="s">
        <v>98</v>
      </c>
      <c r="D5733" t="s">
        <v>150</v>
      </c>
    </row>
    <row r="5734" spans="1:4" x14ac:dyDescent="0.25">
      <c r="B5734" t="str">
        <f>HYPERLINK("https://www.chemistwarehouse.com.au/buy/69461/Coloxyl-With-Senna-Tablets-200"," Coloxyl With Senna Tablets 200")</f>
        <v xml:space="preserve"> Coloxyl With Senna Tablets 200</v>
      </c>
      <c r="C5734" t="s">
        <v>61</v>
      </c>
      <c r="D5734" t="s">
        <v>155</v>
      </c>
    </row>
    <row r="5735" spans="1:4" x14ac:dyDescent="0.25">
      <c r="B5735" t="str">
        <f>HYPERLINK("https://www.chemistwarehouse.com.au/buy/2679/Coloxyl-Drops-30mL"," Coloxyl Drops 30mL")</f>
        <v xml:space="preserve"> Coloxyl Drops 30mL</v>
      </c>
      <c r="C5735" t="s">
        <v>103</v>
      </c>
      <c r="D5735" t="s">
        <v>150</v>
      </c>
    </row>
    <row r="5736" spans="1:4" x14ac:dyDescent="0.25">
      <c r="A5736" t="s">
        <v>1482</v>
      </c>
    </row>
    <row r="5737" spans="1:4" x14ac:dyDescent="0.25">
      <c r="B5737" t="str">
        <f>HYPERLINK("https://www.chemistwarehouse.com.au/buy/5221/Glycerol-Suppository-Adult-Petrus-12"," Glycerol Suppository Adult Petrus 12")</f>
        <v xml:space="preserve"> Glycerol Suppository Adult Petrus 12</v>
      </c>
      <c r="C5737" t="s">
        <v>375</v>
      </c>
      <c r="D5737" t="s">
        <v>822</v>
      </c>
    </row>
    <row r="5738" spans="1:4" x14ac:dyDescent="0.25">
      <c r="B5738" t="str">
        <f>HYPERLINK("https://www.chemistwarehouse.com.au/buy/50207/Glycerol-Suppositories-for-Children"," Glycerol Suppositories for Children")</f>
        <v xml:space="preserve"> Glycerol Suppositories for Children</v>
      </c>
      <c r="C5738" t="s">
        <v>375</v>
      </c>
      <c r="D5738" t="s">
        <v>822</v>
      </c>
    </row>
    <row r="5739" spans="1:4" x14ac:dyDescent="0.25">
      <c r="B5739" t="str">
        <f>HYPERLINK("https://www.chemistwarehouse.com.au/buy/50208/Glycerol-Suppositories-for-Infants"," Glycerol Suppositories for Infants")</f>
        <v xml:space="preserve"> Glycerol Suppositories for Infants</v>
      </c>
      <c r="C5739" t="s">
        <v>375</v>
      </c>
      <c r="D5739" t="s">
        <v>822</v>
      </c>
    </row>
    <row r="5740" spans="1:4" x14ac:dyDescent="0.25">
      <c r="A5740" t="s">
        <v>1483</v>
      </c>
    </row>
    <row r="5741" spans="1:4" x14ac:dyDescent="0.25">
      <c r="B5741" t="str">
        <f>HYPERLINK("https://www.chemistwarehouse.com.au/buy/5901/Laxettes-24"," Laxettes 24")</f>
        <v xml:space="preserve"> Laxettes 24</v>
      </c>
      <c r="C5741" t="s">
        <v>556</v>
      </c>
      <c r="D5741" t="s">
        <v>727</v>
      </c>
    </row>
    <row r="5742" spans="1:4" x14ac:dyDescent="0.25">
      <c r="B5742" t="str">
        <f>HYPERLINK("https://www.chemistwarehouse.com.au/buy/63685/Laxettes-Chocolate-with-Senna-48"," Laxettes Chocolate with Senna 48")</f>
        <v xml:space="preserve"> Laxettes Chocolate with Senna 48</v>
      </c>
      <c r="C5742" t="s">
        <v>240</v>
      </c>
      <c r="D5742" t="s">
        <v>400</v>
      </c>
    </row>
    <row r="5743" spans="1:4" x14ac:dyDescent="0.25">
      <c r="B5743" t="str">
        <f>HYPERLINK("https://www.chemistwarehouse.com.au/buy/63690/Laxettes-with-Senna-12mg-50-Tablets"," Laxettes with Senna 12mg 50 Tablets ")</f>
        <v xml:space="preserve"> Laxettes with Senna 12mg 50 Tablets </v>
      </c>
      <c r="C5743" t="s">
        <v>326</v>
      </c>
      <c r="D5743" t="s">
        <v>611</v>
      </c>
    </row>
    <row r="5744" spans="1:4" x14ac:dyDescent="0.25">
      <c r="A5744" t="s">
        <v>1484</v>
      </c>
    </row>
    <row r="5745" spans="1:4" x14ac:dyDescent="0.25">
      <c r="B5745" t="str">
        <f>HYPERLINK("https://www.chemistwarehouse.com.au/buy/10011/Microlax-Enemas-5mL-12"," Microlax Enemas 5mL 12")</f>
        <v xml:space="preserve"> Microlax Enemas 5mL 12</v>
      </c>
      <c r="C5745" t="s">
        <v>61</v>
      </c>
      <c r="D5745" t="s">
        <v>802</v>
      </c>
    </row>
    <row r="5746" spans="1:4" x14ac:dyDescent="0.25">
      <c r="B5746" t="str">
        <f>HYPERLINK("https://www.chemistwarehouse.com.au/buy/55230/Microlax-Enemas-5mL-Pack-4"," Microlax Enemas 5mL Pack 4")</f>
        <v xml:space="preserve"> Microlax Enemas 5mL Pack 4</v>
      </c>
      <c r="C5746" t="s">
        <v>554</v>
      </c>
      <c r="D5746" t="s">
        <v>1451</v>
      </c>
    </row>
    <row r="5747" spans="1:4" x14ac:dyDescent="0.25">
      <c r="A5747" t="s">
        <v>1485</v>
      </c>
    </row>
    <row r="5748" spans="1:4" x14ac:dyDescent="0.25">
      <c r="B5748" t="str">
        <f>HYPERLINK("https://www.chemistwarehouse.com.au/buy/64858/Movicol-Powder-Sachets-13g-Flavour-Free-30"," Movicol Powder Sachets 13g Flavour Free 30")</f>
        <v xml:space="preserve"> Movicol Powder Sachets 13g Flavour Free 30</v>
      </c>
      <c r="C5748" t="s">
        <v>202</v>
      </c>
      <c r="D5748" t="s">
        <v>64</v>
      </c>
    </row>
    <row r="5749" spans="1:4" x14ac:dyDescent="0.25">
      <c r="B5749" t="str">
        <f>HYPERLINK("https://www.chemistwarehouse.com.au/buy/64857/Movicol-Powder-Sachets-13g-Chocolate-30"," Movicol Powder Sachets 13g Chocolate 30")</f>
        <v xml:space="preserve"> Movicol Powder Sachets 13g Chocolate 30</v>
      </c>
      <c r="C5749" t="s">
        <v>202</v>
      </c>
      <c r="D5749" t="s">
        <v>64</v>
      </c>
    </row>
    <row r="5750" spans="1:4" x14ac:dyDescent="0.25">
      <c r="B5750" t="str">
        <f>HYPERLINK("https://www.chemistwarehouse.com.au/buy/20824/Movicol-Powder-Sachets-13g-Lemon-Lime-30"," Movicol Powder Sachets 13g Lemon Lime 30 ")</f>
        <v xml:space="preserve"> Movicol Powder Sachets 13g Lemon Lime 30 </v>
      </c>
      <c r="C5750" t="s">
        <v>202</v>
      </c>
      <c r="D5750" t="s">
        <v>64</v>
      </c>
    </row>
    <row r="5751" spans="1:4" x14ac:dyDescent="0.25">
      <c r="B5751" t="str">
        <f>HYPERLINK("https://www.chemistwarehouse.com.au/buy/50033/Movicol-Junior-Lemon-Lime-30-Sachets"," Movicol Junior Lemon Lime 30 Sachets")</f>
        <v xml:space="preserve"> Movicol Junior Lemon Lime 30 Sachets</v>
      </c>
      <c r="C5751" t="s">
        <v>202</v>
      </c>
      <c r="D5751" t="s">
        <v>312</v>
      </c>
    </row>
    <row r="5752" spans="1:4" x14ac:dyDescent="0.25">
      <c r="B5752" t="str">
        <f>HYPERLINK("https://www.chemistwarehouse.com.au/buy/64663/Movicol-Powder-Sachets-13g-Lemon-Lime-8"," Movicol Powder Sachets 13g Lemon Lime 8")</f>
        <v xml:space="preserve"> Movicol Powder Sachets 13g Lemon Lime 8</v>
      </c>
      <c r="C5752" t="s">
        <v>103</v>
      </c>
      <c r="D5752" t="s">
        <v>371</v>
      </c>
    </row>
    <row r="5753" spans="1:4" x14ac:dyDescent="0.25">
      <c r="B5753" t="str">
        <f>HYPERLINK("https://www.chemistwarehouse.com.au/buy/64699/Movicol-Junior-Sachets-6-9g-Flavour-Free-30"," Movicol Junior Sachets 6.9g Flavour Free 30")</f>
        <v xml:space="preserve"> Movicol Junior Sachets 6.9g Flavour Free 30</v>
      </c>
      <c r="C5753" t="s">
        <v>202</v>
      </c>
      <c r="D5753" t="s">
        <v>312</v>
      </c>
    </row>
    <row r="5754" spans="1:4" x14ac:dyDescent="0.25">
      <c r="B5754" t="str">
        <f>HYPERLINK("https://www.chemistwarehouse.com.au/buy/72626/Movicol-Liquid-Concentrate-Orange-500ml"," Movicol Liquid Concentrate Orange 500ml")</f>
        <v xml:space="preserve"> Movicol Liquid Concentrate Orange 500ml</v>
      </c>
      <c r="C5754" t="s">
        <v>98</v>
      </c>
      <c r="D5754">
        <v>0</v>
      </c>
    </row>
    <row r="5755" spans="1:4" x14ac:dyDescent="0.25">
      <c r="B5755" t="str">
        <f>HYPERLINK("https://www.chemistwarehouse.com.au/buy/74368/MOVICOL-Junior-Chocolate-30-Pack"," MOVICOL Junior Chocolate 30 Pack")</f>
        <v xml:space="preserve"> MOVICOL Junior Chocolate 30 Pack</v>
      </c>
      <c r="C5755" t="s">
        <v>202</v>
      </c>
      <c r="D5755" t="s">
        <v>312</v>
      </c>
    </row>
    <row r="5756" spans="1:4" x14ac:dyDescent="0.25">
      <c r="A5756" t="s">
        <v>1486</v>
      </c>
    </row>
    <row r="5757" spans="1:4" x14ac:dyDescent="0.25">
      <c r="B5757" t="str">
        <f>HYPERLINK("https://www.chemistwarehouse.com.au/buy/10016/Normacol-Plus-500g"," Normacol Plus 500g")</f>
        <v xml:space="preserve"> Normacol Plus 500g</v>
      </c>
      <c r="C5757" t="s">
        <v>1</v>
      </c>
      <c r="D5757" t="s">
        <v>104</v>
      </c>
    </row>
    <row r="5758" spans="1:4" x14ac:dyDescent="0.25">
      <c r="B5758" t="str">
        <f>HYPERLINK("https://www.chemistwarehouse.com.au/buy/64671/Normacol-Plus-200g"," Normacol Plus 200g")</f>
        <v xml:space="preserve"> Normacol Plus 200g</v>
      </c>
      <c r="C5758" t="s">
        <v>80</v>
      </c>
      <c r="D5758" t="s">
        <v>115</v>
      </c>
    </row>
    <row r="5759" spans="1:4" x14ac:dyDescent="0.25">
      <c r="A5759" t="s">
        <v>1487</v>
      </c>
    </row>
    <row r="5760" spans="1:4" x14ac:dyDescent="0.25">
      <c r="B5760" t="str">
        <f>HYPERLINK("https://www.chemistwarehouse.com.au/buy/6741/Nulax-Fruit-Laxative-500g"," Nulax Fruit Laxative 500g")</f>
        <v xml:space="preserve"> Nulax Fruit Laxative 500g</v>
      </c>
      <c r="C5760" t="s">
        <v>98</v>
      </c>
      <c r="D5760" t="s">
        <v>1488</v>
      </c>
    </row>
    <row r="5761" spans="1:4" x14ac:dyDescent="0.25">
      <c r="B5761" t="str">
        <f>HYPERLINK("https://www.chemistwarehouse.com.au/buy/6740/Nulax-Fruit-Laxative-250g"," Nulax Fruit Laxative 250g")</f>
        <v xml:space="preserve"> Nulax Fruit Laxative 250g</v>
      </c>
      <c r="C5761" t="s">
        <v>116</v>
      </c>
      <c r="D5761" t="s">
        <v>1489</v>
      </c>
    </row>
    <row r="5762" spans="1:4" x14ac:dyDescent="0.25">
      <c r="A5762" t="s">
        <v>1490</v>
      </c>
    </row>
    <row r="5763" spans="1:4" x14ac:dyDescent="0.25">
      <c r="B5763" t="str">
        <f>HYPERLINK("https://www.chemistwarehouse.com.au/buy/41029/Actilax-Mixture-500mL"," Actilax Mixture 500mL")</f>
        <v xml:space="preserve"> Actilax Mixture 500mL</v>
      </c>
      <c r="C5763" t="s">
        <v>430</v>
      </c>
      <c r="D5763">
        <v>0</v>
      </c>
    </row>
    <row r="5764" spans="1:4" x14ac:dyDescent="0.25">
      <c r="B5764" t="str">
        <f>HYPERLINK("https://www.chemistwarehouse.com.au/buy/57376/Agiolax-Granules-250g"," Agiolax Granules 250g")</f>
        <v xml:space="preserve"> Agiolax Granules 250g</v>
      </c>
      <c r="C5764" t="s">
        <v>8</v>
      </c>
      <c r="D5764" t="s">
        <v>1491</v>
      </c>
    </row>
    <row r="5765" spans="1:4" x14ac:dyDescent="0.25">
      <c r="B5765" t="str">
        <f>HYPERLINK("https://www.chemistwarehouse.com.au/buy/7698/Senokot-Tablets-100"," Senokot Tablets 100")</f>
        <v xml:space="preserve"> Senokot Tablets 100</v>
      </c>
      <c r="C5765" t="s">
        <v>103</v>
      </c>
      <c r="D5765" t="s">
        <v>1492</v>
      </c>
    </row>
    <row r="5766" spans="1:4" x14ac:dyDescent="0.25">
      <c r="B5766" t="str">
        <f>HYPERLINK("https://www.chemistwarehouse.com.au/buy/60898/Osmolax-30-Dose-510g"," Osmolax 30 Dose 510g")</f>
        <v xml:space="preserve"> Osmolax 30 Dose 510g</v>
      </c>
      <c r="C5766" t="s">
        <v>237</v>
      </c>
      <c r="D5766" t="s">
        <v>160</v>
      </c>
    </row>
    <row r="5767" spans="1:4" x14ac:dyDescent="0.25">
      <c r="B5767" t="str">
        <f>HYPERLINK("https://www.chemistwarehouse.com.au/buy/5121/Fybogel-Orange-High-Fibre-Supplement-Sachets-30"," Fybogel Orange High-Fibre Supplement Sachets 30")</f>
        <v xml:space="preserve"> Fybogel Orange High-Fibre Supplement Sachets 30</v>
      </c>
      <c r="C5767" t="s">
        <v>80</v>
      </c>
      <c r="D5767" t="s">
        <v>719</v>
      </c>
    </row>
    <row r="5768" spans="1:4" x14ac:dyDescent="0.25">
      <c r="B5768" t="str">
        <f>HYPERLINK("https://www.chemistwarehouse.com.au/buy/57374/Agarol-Vanilla-500mL"," Agarol Vanilla 500mL")</f>
        <v xml:space="preserve"> Agarol Vanilla 500mL</v>
      </c>
      <c r="C5768" t="s">
        <v>211</v>
      </c>
      <c r="D5768" t="s">
        <v>1265</v>
      </c>
    </row>
    <row r="5769" spans="1:4" x14ac:dyDescent="0.25">
      <c r="B5769" t="str">
        <f>HYPERLINK("https://www.chemistwarehouse.com.au/buy/79331/Ford-Senna-Extra-Strength-100-Tablets"," Ford Senna Extra Strength 100 Tablets")</f>
        <v xml:space="preserve"> Ford Senna Extra Strength 100 Tablets</v>
      </c>
      <c r="C5769" t="s">
        <v>103</v>
      </c>
      <c r="D5769" t="s">
        <v>593</v>
      </c>
    </row>
    <row r="5770" spans="1:4" x14ac:dyDescent="0.25">
      <c r="B5770" t="str">
        <f>HYPERLINK("https://www.chemistwarehouse.com.au/buy/61907/Liquid-Paraffin-200mL"," Liquid Paraffin 200mL")</f>
        <v xml:space="preserve"> Liquid Paraffin 200mL</v>
      </c>
      <c r="C5770" t="s">
        <v>786</v>
      </c>
      <c r="D5770" t="s">
        <v>776</v>
      </c>
    </row>
    <row r="5771" spans="1:4" x14ac:dyDescent="0.25">
      <c r="B5771" t="str">
        <f>HYPERLINK("https://www.chemistwarehouse.com.au/buy/64695/Bisacodyl-Suppositories-12-BP"," Bisacodyl Suppositories 12 BP")</f>
        <v xml:space="preserve"> Bisacodyl Suppositories 12 BP</v>
      </c>
      <c r="C5771" t="s">
        <v>556</v>
      </c>
      <c r="D5771" t="s">
        <v>371</v>
      </c>
    </row>
    <row r="5772" spans="1:4" x14ac:dyDescent="0.25">
      <c r="B5772" t="str">
        <f>HYPERLINK("https://www.chemistwarehouse.com.au/buy/65692/Bisalax-5mg-Tablets-200"," Bisalax 5mg Tablets 200")</f>
        <v xml:space="preserve"> Bisalax 5mg Tablets 200</v>
      </c>
      <c r="C5772" t="s">
        <v>45</v>
      </c>
      <c r="D5772" t="s">
        <v>64</v>
      </c>
    </row>
    <row r="5773" spans="1:4" x14ac:dyDescent="0.25">
      <c r="B5773" t="str">
        <f>HYPERLINK("https://www.chemistwarehouse.com.au/buy/69138/Betaglucare-Oat-Sachet-28-x-25g"," Betaglucare Oat Sachet 28 x 25g ")</f>
        <v xml:space="preserve"> Betaglucare Oat Sachet 28 x 25g </v>
      </c>
      <c r="C5773" t="s">
        <v>273</v>
      </c>
      <c r="D5773" t="s">
        <v>165</v>
      </c>
    </row>
    <row r="5774" spans="1:4" x14ac:dyDescent="0.25">
      <c r="B5774" t="str">
        <f>HYPERLINK("https://www.chemistwarehouse.com.au/buy/73568/Bisalax-Micro-Enema-25"," Bisalax Micro-Enema 25")</f>
        <v xml:space="preserve"> Bisalax Micro-Enema 25</v>
      </c>
      <c r="C5774" t="s">
        <v>273</v>
      </c>
      <c r="D5774">
        <v>0</v>
      </c>
    </row>
    <row r="5775" spans="1:4" x14ac:dyDescent="0.25">
      <c r="B5775" t="str">
        <f>HYPERLINK("https://www.chemistwarehouse.com.au/buy/4893/Fleet-Phospho-Soda-45ml"," Fleet Phospho-Soda 45ml")</f>
        <v xml:space="preserve"> Fleet Phospho-Soda 45ml</v>
      </c>
      <c r="C5775" t="s">
        <v>556</v>
      </c>
      <c r="D5775">
        <v>0</v>
      </c>
    </row>
    <row r="5776" spans="1:4" x14ac:dyDescent="0.25">
      <c r="B5776" t="str">
        <f>HYPERLINK("https://www.chemistwarehouse.com.au/buy/53480/Parachoc-400mL-Liquid-Paraffin"," Parachoc 400mL Liquid Paraffin")</f>
        <v xml:space="preserve"> Parachoc 400mL Liquid Paraffin</v>
      </c>
      <c r="C5776" t="s">
        <v>98</v>
      </c>
      <c r="D5776" t="s">
        <v>147</v>
      </c>
    </row>
    <row r="5777" spans="1:4" x14ac:dyDescent="0.25">
      <c r="B5777" t="str">
        <f>HYPERLINK("https://www.chemistwarehouse.com.au/buy/53482/Picoprep-Sachets-Lemon-3-Pack"," Picoprep Sachets Lemon 3 Pack")</f>
        <v xml:space="preserve"> Picoprep Sachets Lemon 3 Pack</v>
      </c>
      <c r="C5777" t="s">
        <v>45</v>
      </c>
      <c r="D5777">
        <v>0</v>
      </c>
    </row>
    <row r="5778" spans="1:4" x14ac:dyDescent="0.25">
      <c r="B5778" t="str">
        <f>HYPERLINK("https://www.chemistwarehouse.com.au/buy/57413/Colonlytely-Lemon-Sachet"," Colonlytely Lemon Sachet")</f>
        <v xml:space="preserve"> Colonlytely Lemon Sachet</v>
      </c>
      <c r="C5778" t="s">
        <v>483</v>
      </c>
      <c r="D5778">
        <v>0</v>
      </c>
    </row>
    <row r="5779" spans="1:4" x14ac:dyDescent="0.25">
      <c r="B5779" t="str">
        <f>HYPERLINK("https://www.chemistwarehouse.com.au/buy/57414/Colonlytely-Sachet-Regular"," Colonlytely Sachet Regular")</f>
        <v xml:space="preserve"> Colonlytely Sachet Regular</v>
      </c>
      <c r="C5779" t="s">
        <v>483</v>
      </c>
      <c r="D5779">
        <v>0</v>
      </c>
    </row>
    <row r="5780" spans="1:4" x14ac:dyDescent="0.25">
      <c r="B5780" t="str">
        <f>HYPERLINK("https://www.chemistwarehouse.com.au/buy/57416/Colonprep-Kit-A"," Colonprep Kit A")</f>
        <v xml:space="preserve"> Colonprep Kit A</v>
      </c>
      <c r="C5780" t="s">
        <v>45</v>
      </c>
      <c r="D5780">
        <v>0</v>
      </c>
    </row>
    <row r="5781" spans="1:4" x14ac:dyDescent="0.25">
      <c r="B5781" t="str">
        <f>HYPERLINK("https://www.chemistwarehouse.com.au/buy/57511/Picoprep-Sachets-Lemon-2-Pack"," Picoprep Sachets Lemon 2 Pack")</f>
        <v xml:space="preserve"> Picoprep Sachets Lemon 2 Pack</v>
      </c>
      <c r="C5781" t="s">
        <v>430</v>
      </c>
      <c r="D5781">
        <v>0</v>
      </c>
    </row>
    <row r="5782" spans="1:4" x14ac:dyDescent="0.25">
      <c r="B5782" t="str">
        <f>HYPERLINK("https://www.chemistwarehouse.com.au/buy/60723/Glycoprep-C-Lemon-70g"," Glycoprep-C Lemon 70g")</f>
        <v xml:space="preserve"> Glycoprep-C Lemon 70g</v>
      </c>
      <c r="C5782" t="s">
        <v>483</v>
      </c>
      <c r="D5782">
        <v>0</v>
      </c>
    </row>
    <row r="5783" spans="1:4" x14ac:dyDescent="0.25">
      <c r="B5783" t="str">
        <f>HYPERLINK("https://www.chemistwarehouse.com.au/buy/64677/Magnesia-San-Pellegrino-125g"," Magnesia San Pellegrino 125g")</f>
        <v xml:space="preserve"> Magnesia San Pellegrino 125g</v>
      </c>
      <c r="C5783" t="s">
        <v>237</v>
      </c>
      <c r="D5783" t="s">
        <v>581</v>
      </c>
    </row>
    <row r="5784" spans="1:4" x14ac:dyDescent="0.25">
      <c r="A5784" t="s">
        <v>1493</v>
      </c>
    </row>
    <row r="5785" spans="1:4" x14ac:dyDescent="0.25">
      <c r="B5785" t="str">
        <f>HYPERLINK("https://www.chemistwarehouse.com.au/buy/68863/Prunelax-20-Tablets"," Prunelax 20 Tablets")</f>
        <v xml:space="preserve"> Prunelax 20 Tablets</v>
      </c>
      <c r="C5785" t="s">
        <v>483</v>
      </c>
      <c r="D5785" t="s">
        <v>593</v>
      </c>
    </row>
    <row r="5786" spans="1:4" x14ac:dyDescent="0.25">
      <c r="B5786" t="str">
        <f>HYPERLINK("https://www.chemistwarehouse.com.au/buy/68864/Prunelax-60-Tablets"," Prunelax 60 Tablets")</f>
        <v xml:space="preserve"> Prunelax 60 Tablets</v>
      </c>
      <c r="C5786" t="s">
        <v>32</v>
      </c>
      <c r="D5786" t="s">
        <v>593</v>
      </c>
    </row>
    <row r="5787" spans="1:4" x14ac:dyDescent="0.25">
      <c r="B5787" t="str">
        <f>HYPERLINK("https://www.chemistwarehouse.com.au/buy/74129/Prunelax-120-tablets"," Prunelax 120 tablets")</f>
        <v xml:space="preserve"> Prunelax 120 tablets</v>
      </c>
      <c r="C5787" t="s">
        <v>80</v>
      </c>
      <c r="D5787" t="s">
        <v>162</v>
      </c>
    </row>
    <row r="5788" spans="1:4" x14ac:dyDescent="0.25">
      <c r="B5788" t="str">
        <f>HYPERLINK("https://www.chemistwarehouse.com.au/buy/76997/Prunelax-Smooth-300g"," Prunelax Smooth 300g")</f>
        <v xml:space="preserve"> Prunelax Smooth 300g</v>
      </c>
      <c r="C5788" t="s">
        <v>98</v>
      </c>
      <c r="D5788" t="s">
        <v>64</v>
      </c>
    </row>
    <row r="5789" spans="1:4" x14ac:dyDescent="0.25">
      <c r="A5789" t="s">
        <v>1494</v>
      </c>
    </row>
    <row r="5790" spans="1:4" x14ac:dyDescent="0.25">
      <c r="B5790" t="str">
        <f>HYPERLINK("https://www.chemistwarehouse.com.au/buy/67247/Opti-free-Puremoist-Mega-Bundle-780ml"," Opti free Puremoist Mega Bundle 780ml")</f>
        <v xml:space="preserve"> Opti free Puremoist Mega Bundle 780ml</v>
      </c>
      <c r="C5790" t="s">
        <v>161</v>
      </c>
      <c r="D5790" t="s">
        <v>104</v>
      </c>
    </row>
    <row r="5791" spans="1:4" x14ac:dyDescent="0.25">
      <c r="B5791" t="str">
        <f>HYPERLINK("https://www.chemistwarehouse.com.au/buy/50157/Reclens-Normal-Saline-500mL"," Reclens Normal Saline 500mL")</f>
        <v xml:space="preserve"> Reclens Normal Saline 500mL</v>
      </c>
      <c r="C5791" t="s">
        <v>146</v>
      </c>
      <c r="D5791" t="s">
        <v>1441</v>
      </c>
    </row>
    <row r="5792" spans="1:4" x14ac:dyDescent="0.25">
      <c r="B5792" t="str">
        <f>HYPERLINK("https://www.chemistwarehouse.com.au/buy/65777/Biotrue-Value-Pack-720mL"," Biotrue Value Pack 720mL")</f>
        <v xml:space="preserve"> Biotrue Value Pack 720mL</v>
      </c>
      <c r="C5792" t="s">
        <v>1</v>
      </c>
      <c r="D5792" t="s">
        <v>115</v>
      </c>
    </row>
    <row r="5793" spans="2:4" x14ac:dyDescent="0.25">
      <c r="B5793" t="str">
        <f>HYPERLINK("https://www.chemistwarehouse.com.au/buy/53576/Reclens-Multi-Purpose-Solution-with-Lense-Case-2-x-500ml"," Reclens Multi Purpose Solution with Lense Case 2 x 500ml")</f>
        <v xml:space="preserve"> Reclens Multi Purpose Solution with Lense Case 2 x 500ml</v>
      </c>
      <c r="C5793" t="s">
        <v>237</v>
      </c>
      <c r="D5793" t="s">
        <v>312</v>
      </c>
    </row>
    <row r="5794" spans="2:4" x14ac:dyDescent="0.25">
      <c r="B5794" t="str">
        <f>HYPERLINK("https://www.chemistwarehouse.com.au/buy/67825/Clearwipe-Lens-Cleaner-Free-Smartphone-Cleaner"," Clearwipe Lens Cleaner + Free Smartphone Cleaner")</f>
        <v xml:space="preserve"> Clearwipe Lens Cleaner + Free Smartphone Cleaner</v>
      </c>
      <c r="C5794" t="s">
        <v>483</v>
      </c>
      <c r="D5794" t="s">
        <v>371</v>
      </c>
    </row>
    <row r="5795" spans="2:4" x14ac:dyDescent="0.25">
      <c r="B5795" t="str">
        <f>HYPERLINK("https://www.chemistwarehouse.com.au/buy/46294/Blink-N-Clean-15ml-Complete"," Blink-N-Clean 15ml Complete")</f>
        <v xml:space="preserve"> Blink-N-Clean 15ml Complete</v>
      </c>
      <c r="C5795" t="s">
        <v>237</v>
      </c>
      <c r="D5795" t="s">
        <v>1451</v>
      </c>
    </row>
    <row r="5796" spans="2:4" x14ac:dyDescent="0.25">
      <c r="B5796" t="str">
        <f>HYPERLINK("https://www.chemistwarehouse.com.au/buy/47770/Bausch-amp-Lomb-Renu-Fresh-Multi-Purpose-Solution-120ml"," Bausch &amp; Lomb Renu Fresh Multi Purpose Solution 120ml")</f>
        <v xml:space="preserve"> Bausch &amp; Lomb Renu Fresh Multi Purpose Solution 120ml</v>
      </c>
      <c r="C5796" t="s">
        <v>103</v>
      </c>
      <c r="D5796" t="s">
        <v>312</v>
      </c>
    </row>
    <row r="5797" spans="2:4" x14ac:dyDescent="0.25">
      <c r="B5797" t="str">
        <f>HYPERLINK("https://www.chemistwarehouse.com.au/buy/62688/Bausch-amp-Lomb-Renu-Fresh-3-for-2-355ml"," Bausch &amp; Lomb Renu Fresh 3-for-2 355ml")</f>
        <v xml:space="preserve"> Bausch &amp; Lomb Renu Fresh 3-for-2 355ml</v>
      </c>
      <c r="C5797" t="s">
        <v>202</v>
      </c>
      <c r="D5797" t="s">
        <v>169</v>
      </c>
    </row>
    <row r="5798" spans="2:4" x14ac:dyDescent="0.25">
      <c r="B5798" t="str">
        <f>HYPERLINK("https://www.chemistwarehouse.com.au/buy/63145/Reclens-Normal-Saline-15ml-Ampules-15"," Reclens Normal Saline 15ml Ampules 15")</f>
        <v xml:space="preserve"> Reclens Normal Saline 15ml Ampules 15</v>
      </c>
      <c r="C5798" t="s">
        <v>32</v>
      </c>
      <c r="D5798" t="s">
        <v>371</v>
      </c>
    </row>
    <row r="5799" spans="2:4" x14ac:dyDescent="0.25">
      <c r="B5799" t="str">
        <f>HYPERLINK("https://www.chemistwarehouse.com.au/buy/75634/Bio-True-Travel-Pack-60ml"," Bio True Travel Pack 60ml")</f>
        <v xml:space="preserve"> Bio True Travel Pack 60ml</v>
      </c>
      <c r="C5799" t="s">
        <v>116</v>
      </c>
      <c r="D5799" t="s">
        <v>640</v>
      </c>
    </row>
    <row r="5800" spans="2:4" x14ac:dyDescent="0.25">
      <c r="B5800" t="str">
        <f>HYPERLINK("https://www.chemistwarehouse.com.au/buy/75635/Opti-Free-Pro-Moisturising-Lens-Drops-10ml"," Opti Free Pro Moisturising Lens Drops 10ml")</f>
        <v xml:space="preserve"> Opti Free Pro Moisturising Lens Drops 10ml</v>
      </c>
      <c r="C5800" t="s">
        <v>782</v>
      </c>
      <c r="D5800" t="s">
        <v>406</v>
      </c>
    </row>
    <row r="5801" spans="2:4" x14ac:dyDescent="0.25">
      <c r="B5801" t="str">
        <f>HYPERLINK("https://www.chemistwarehouse.com.au/buy/1487/Boston-Advance-Lens-Cleaner-30ml"," Boston Advance Lens Cleaner 30ml")</f>
        <v xml:space="preserve"> Boston Advance Lens Cleaner 30ml</v>
      </c>
      <c r="C5801" t="s">
        <v>80</v>
      </c>
      <c r="D5801" t="s">
        <v>162</v>
      </c>
    </row>
    <row r="5802" spans="2:4" x14ac:dyDescent="0.25">
      <c r="B5802" t="str">
        <f>HYPERLINK("https://www.chemistwarehouse.com.au/buy/1488/Boston-Advance-Conditioning-Solution-120ml"," Boston Advance Conditioning Solution 120ml")</f>
        <v xml:space="preserve"> Boston Advance Conditioning Solution 120ml</v>
      </c>
      <c r="C5802" t="s">
        <v>237</v>
      </c>
      <c r="D5802" t="s">
        <v>1495</v>
      </c>
    </row>
    <row r="5803" spans="2:4" x14ac:dyDescent="0.25">
      <c r="B5803" t="str">
        <f>HYPERLINK("https://www.chemistwarehouse.com.au/buy/64844/Thera-Tears-Sterilid-48ml"," Thera Tears Sterilid 48ml")</f>
        <v xml:space="preserve"> Thera Tears Sterilid 48ml</v>
      </c>
      <c r="C5803" t="s">
        <v>109</v>
      </c>
      <c r="D5803" t="s">
        <v>104</v>
      </c>
    </row>
    <row r="5804" spans="2:4" x14ac:dyDescent="0.25">
      <c r="B5804" t="str">
        <f>HYPERLINK("https://www.chemistwarehouse.com.au/buy/80104/Optrex-Advanced-Eye-Drops-10ml"," Optrex Advanced Eye Drops 10ml")</f>
        <v xml:space="preserve"> Optrex Advanced Eye Drops 10ml</v>
      </c>
      <c r="C5804" t="s">
        <v>32</v>
      </c>
      <c r="D5804" t="s">
        <v>312</v>
      </c>
    </row>
    <row r="5805" spans="2:4" x14ac:dyDescent="0.25">
      <c r="B5805" t="str">
        <f>HYPERLINK("https://www.chemistwarehouse.com.au/buy/76188/Complete-Easy-Rub-3x240ml"," Complete Easy Rub 3x240ml")</f>
        <v xml:space="preserve"> Complete Easy Rub 3x240ml</v>
      </c>
      <c r="C5805" t="s">
        <v>237</v>
      </c>
      <c r="D5805" t="s">
        <v>371</v>
      </c>
    </row>
    <row r="5806" spans="2:4" x14ac:dyDescent="0.25">
      <c r="B5806" t="str">
        <f>HYPERLINK("https://www.chemistwarehouse.com.au/buy/78900/Complete-RevitaLens-100ml"," Complete RevitaLens 100ml")</f>
        <v xml:space="preserve"> Complete RevitaLens 100ml</v>
      </c>
      <c r="C5806" t="s">
        <v>326</v>
      </c>
      <c r="D5806" t="s">
        <v>121</v>
      </c>
    </row>
    <row r="5807" spans="2:4" x14ac:dyDescent="0.25">
      <c r="B5807" t="str">
        <f>HYPERLINK("https://www.chemistwarehouse.com.au/buy/78901/Complete-RevitaLens-300ml-Plus-100ml"," Complete RevitaLens 300ml Plus 100ml")</f>
        <v xml:space="preserve"> Complete RevitaLens 300ml Plus 100ml</v>
      </c>
      <c r="C5807" t="s">
        <v>237</v>
      </c>
      <c r="D5807" t="s">
        <v>162</v>
      </c>
    </row>
    <row r="5808" spans="2:4" x14ac:dyDescent="0.25">
      <c r="B5808" t="str">
        <f>HYPERLINK("https://www.chemistwarehouse.com.au/buy/79806/Aosept-Hydraglyde-Economy-Pack-360-Plus-90ml"," Aosept Hydraglyde Economy Pack 360 Plus 90ml")</f>
        <v xml:space="preserve"> Aosept Hydraglyde Economy Pack 360 Plus 90ml</v>
      </c>
      <c r="C5808" t="s">
        <v>279</v>
      </c>
      <c r="D5808" t="s">
        <v>154</v>
      </c>
    </row>
    <row r="5809" spans="1:4" x14ac:dyDescent="0.25">
      <c r="B5809" t="str">
        <f>HYPERLINK("https://www.chemistwarehouse.com.au/buy/66261/Opti-Free-PureMoist-Economy-Pack"," Opti Free PureMoist Economy Pack ")</f>
        <v xml:space="preserve"> Opti Free PureMoist Economy Pack </v>
      </c>
      <c r="C5809" t="s">
        <v>8</v>
      </c>
      <c r="D5809" t="s">
        <v>465</v>
      </c>
    </row>
    <row r="5810" spans="1:4" x14ac:dyDescent="0.25">
      <c r="B5810" t="str">
        <f>HYPERLINK("https://www.chemistwarehouse.com.au/buy/67182/Opti-Free-PureMoist-90mL"," Opti Free PureMoist 90mL")</f>
        <v xml:space="preserve"> Opti Free PureMoist 90mL</v>
      </c>
      <c r="C5810" t="s">
        <v>92</v>
      </c>
      <c r="D5810" t="s">
        <v>641</v>
      </c>
    </row>
    <row r="5811" spans="1:4" x14ac:dyDescent="0.25">
      <c r="B5811" t="str">
        <f>HYPERLINK("https://www.chemistwarehouse.com.au/buy/39706/Bausch-amp-Lomb-Renu-Fresh-Multi-Purpose-Duo-Pack-355ml-120ml"," Bausch &amp; Lomb Renu Fresh Multi-Purpose Duo Pack 355ml + 120ml")</f>
        <v xml:space="preserve"> Bausch &amp; Lomb Renu Fresh Multi-Purpose Duo Pack 355ml + 120ml</v>
      </c>
      <c r="C5811" t="s">
        <v>187</v>
      </c>
      <c r="D5811" t="s">
        <v>104</v>
      </c>
    </row>
    <row r="5812" spans="1:4" x14ac:dyDescent="0.25">
      <c r="B5812" t="str">
        <f>HYPERLINK("https://www.chemistwarehouse.com.au/buy/61416/Blink-Contacts-Eye-Drops-10ml"," Blink Contacts Eye Drops 10ml")</f>
        <v xml:space="preserve"> Blink Contacts Eye Drops 10ml</v>
      </c>
      <c r="C5812" t="s">
        <v>92</v>
      </c>
      <c r="D5812" t="s">
        <v>164</v>
      </c>
    </row>
    <row r="5813" spans="1:4" x14ac:dyDescent="0.25">
      <c r="B5813" t="str">
        <f>HYPERLINK("https://www.chemistwarehouse.com.au/buy/62234/Oxysept-240ml-Triple-Pack"," Oxysept 240ml Triple Pack")</f>
        <v xml:space="preserve"> Oxysept 240ml Triple Pack</v>
      </c>
      <c r="C5813" t="s">
        <v>279</v>
      </c>
      <c r="D5813" t="s">
        <v>312</v>
      </c>
    </row>
    <row r="5814" spans="1:4" x14ac:dyDescent="0.25">
      <c r="A5814" t="s">
        <v>1496</v>
      </c>
    </row>
    <row r="5815" spans="1:4" x14ac:dyDescent="0.25">
      <c r="B5815" t="str">
        <f>HYPERLINK("https://www.chemistwarehouse.com.au/buy/8373/Waxsol-Ear-Drops-0-5-10mL"," Waxsol Ear Drops 0.5% 10mL")</f>
        <v xml:space="preserve"> Waxsol Ear Drops 0.5% 10mL</v>
      </c>
      <c r="C5815" t="s">
        <v>80</v>
      </c>
      <c r="D5815" t="s">
        <v>150</v>
      </c>
    </row>
    <row r="5816" spans="1:4" x14ac:dyDescent="0.25">
      <c r="B5816" t="str">
        <f>HYPERLINK("https://www.chemistwarehouse.com.au/buy/81881/Essenzza-Ear-Candles-4-Pairs"," Essenzza Ear Candles 4 Pairs")</f>
        <v xml:space="preserve"> Essenzza Ear Candles 4 Pairs</v>
      </c>
      <c r="C5816" t="s">
        <v>125</v>
      </c>
      <c r="D5816" t="s">
        <v>343</v>
      </c>
    </row>
    <row r="5817" spans="1:4" x14ac:dyDescent="0.25">
      <c r="B5817" t="str">
        <f>HYPERLINK("https://www.chemistwarehouse.com.au/buy/77516/My-Beauty-Ear-Plugs-4-Pair"," My Beauty Ear Plugs 4 Pair")</f>
        <v xml:space="preserve"> My Beauty Ear Plugs 4 Pair</v>
      </c>
      <c r="C5817" t="s">
        <v>146</v>
      </c>
      <c r="D5817">
        <v>0</v>
      </c>
    </row>
    <row r="5818" spans="1:4" x14ac:dyDescent="0.25">
      <c r="B5818" t="str">
        <f>HYPERLINK("https://www.chemistwarehouse.com.au/buy/626/Aquaear-Ear-Drops-35mL"," Aquaear Ear Drops 35mL")</f>
        <v xml:space="preserve"> Aquaear Ear Drops 35mL</v>
      </c>
      <c r="C5818" t="s">
        <v>45</v>
      </c>
      <c r="D5818" t="s">
        <v>312</v>
      </c>
    </row>
    <row r="5819" spans="1:4" x14ac:dyDescent="0.25">
      <c r="B5819" t="str">
        <f>HYPERLINK("https://www.chemistwarehouse.com.au/buy/750/Auralgan-Ear-Drops-15mL"," Auralgan Ear Drops 15mL")</f>
        <v xml:space="preserve"> Auralgan Ear Drops 15mL</v>
      </c>
      <c r="C5819" t="s">
        <v>98</v>
      </c>
      <c r="D5819">
        <v>0</v>
      </c>
    </row>
    <row r="5820" spans="1:4" x14ac:dyDescent="0.25">
      <c r="B5820" t="str">
        <f>HYPERLINK("https://www.chemistwarehouse.com.au/buy/3901/Ear-Clear-Ear-Drops-For-Wax-Removal-12ml"," Ear Clear Ear Drops For Wax Removal 12ml")</f>
        <v xml:space="preserve"> Ear Clear Ear Drops For Wax Removal 12ml</v>
      </c>
      <c r="C5820" t="s">
        <v>45</v>
      </c>
      <c r="D5820" t="s">
        <v>150</v>
      </c>
    </row>
    <row r="5821" spans="1:4" x14ac:dyDescent="0.25">
      <c r="B5821" t="str">
        <f>HYPERLINK("https://www.chemistwarehouse.com.au/buy/8348/Vosol-Ear-Drops-35mL"," Vosol Ear Drops 35mL")</f>
        <v xml:space="preserve"> Vosol Ear Drops 35mL</v>
      </c>
      <c r="C5821" t="s">
        <v>240</v>
      </c>
      <c r="D5821" t="s">
        <v>90</v>
      </c>
    </row>
    <row r="5822" spans="1:4" x14ac:dyDescent="0.25">
      <c r="B5822" t="str">
        <f>HYPERLINK("https://www.chemistwarehouse.com.au/buy/2150/Cerumol-Ear-Drops-10ml"," Cerumol Ear Drops 10ml")</f>
        <v xml:space="preserve"> Cerumol Ear Drops 10ml</v>
      </c>
      <c r="C5822" t="s">
        <v>103</v>
      </c>
      <c r="D5822">
        <v>0</v>
      </c>
    </row>
    <row r="5823" spans="1:4" x14ac:dyDescent="0.25">
      <c r="B5823" t="str">
        <f>HYPERLINK("https://www.chemistwarehouse.com.au/buy/50309/Surgipack-6279-Ear-Plugs-Water-Stop"," Surgipack 6279 Ear Plugs Water Stop")</f>
        <v xml:space="preserve"> Surgipack 6279 Ear Plugs Water Stop</v>
      </c>
      <c r="C5823" t="s">
        <v>162</v>
      </c>
      <c r="D5823" t="s">
        <v>775</v>
      </c>
    </row>
    <row r="5824" spans="1:4" x14ac:dyDescent="0.25">
      <c r="B5824" t="str">
        <f>HYPERLINK("https://www.chemistwarehouse.com.au/buy/50330/Ear-Clear-Ear-Ache-Relief-15ml"," Ear Clear Ear Ache Relief 15ml")</f>
        <v xml:space="preserve"> Ear Clear Ear Ache Relief 15ml</v>
      </c>
      <c r="C5824" t="s">
        <v>98</v>
      </c>
      <c r="D5824">
        <v>0</v>
      </c>
    </row>
    <row r="5825" spans="1:4" x14ac:dyDescent="0.25">
      <c r="B5825" t="str">
        <f>HYPERLINK("https://www.chemistwarehouse.com.au/buy/56054/Surgipack-6945-Ear-Plugs-Aquatite"," Surgipack 6945 Ear Plugs Aquatite")</f>
        <v xml:space="preserve"> Surgipack 6945 Ear Plugs Aquatite</v>
      </c>
      <c r="C5825" t="s">
        <v>556</v>
      </c>
      <c r="D5825" t="s">
        <v>371</v>
      </c>
    </row>
    <row r="5826" spans="1:4" x14ac:dyDescent="0.25">
      <c r="B5826" t="str">
        <f>HYPERLINK("https://www.chemistwarehouse.com.au/buy/56073/Surgipack-6259-Eye-Patch-Natural"," Surgipack 6259 Eye Patch Natural")</f>
        <v xml:space="preserve"> Surgipack 6259 Eye Patch Natural</v>
      </c>
      <c r="C5826" t="s">
        <v>104</v>
      </c>
      <c r="D5826" t="s">
        <v>1437</v>
      </c>
    </row>
    <row r="5827" spans="1:4" x14ac:dyDescent="0.25">
      <c r="B5827" t="str">
        <f>HYPERLINK("https://www.chemistwarehouse.com.au/buy/56704/Ear-Clear-Swimmers-Ear-40ml"," Ear Clear Swimmers Ear 40ml")</f>
        <v xml:space="preserve"> Ear Clear Swimmers Ear 40ml</v>
      </c>
      <c r="C5827" t="s">
        <v>45</v>
      </c>
      <c r="D5827" t="s">
        <v>1434</v>
      </c>
    </row>
    <row r="5828" spans="1:4" x14ac:dyDescent="0.25">
      <c r="B5828" t="str">
        <f>HYPERLINK("https://www.chemistwarehouse.com.au/buy/60269/Ear-Clear-Ear-Cleanser-100mL"," Ear Clear Ear Cleanser 100mL")</f>
        <v xml:space="preserve"> Ear Clear Ear Cleanser 100mL</v>
      </c>
      <c r="C5828" t="s">
        <v>237</v>
      </c>
      <c r="D5828" t="s">
        <v>157</v>
      </c>
    </row>
    <row r="5829" spans="1:4" x14ac:dyDescent="0.25">
      <c r="B5829" t="str">
        <f>HYPERLINK("https://www.chemistwarehouse.com.au/buy/62761/Surgipack-6008-Eye-Bath"," Surgipack 6008 Eye Bath")</f>
        <v xml:space="preserve"> Surgipack 6008 Eye Bath</v>
      </c>
      <c r="C5829" t="s">
        <v>733</v>
      </c>
      <c r="D5829">
        <v>0</v>
      </c>
    </row>
    <row r="5830" spans="1:4" x14ac:dyDescent="0.25">
      <c r="B5830" t="str">
        <f>HYPERLINK("https://www.chemistwarehouse.com.au/buy/62817/Audiclean-Ear-Wash-60ml-amp-Ear-Wax-Remover-12ml-Pack"," Audiclean Ear Wash 60ml &amp; Ear Wax Remover 12ml Pack")</f>
        <v xml:space="preserve"> Audiclean Ear Wash 60ml &amp; Ear Wax Remover 12ml Pack</v>
      </c>
      <c r="C5830" t="s">
        <v>63</v>
      </c>
      <c r="D5830">
        <v>0</v>
      </c>
    </row>
    <row r="5831" spans="1:4" x14ac:dyDescent="0.25">
      <c r="B5831" t="str">
        <f>HYPERLINK("https://www.chemistwarehouse.com.au/buy/62943/Clean-Ears-Spray-30ml-Spray"," Clean Ears Spray 30ml Spray")</f>
        <v xml:space="preserve"> Clean Ears Spray 30ml Spray</v>
      </c>
      <c r="C5831" t="s">
        <v>80</v>
      </c>
      <c r="D5831" t="s">
        <v>397</v>
      </c>
    </row>
    <row r="5832" spans="1:4" x14ac:dyDescent="0.25">
      <c r="B5832" t="str">
        <f>HYPERLINK("https://www.chemistwarehouse.com.au/buy/55697/Audiclean-Ear-Cleansing-Wash-60-ml"," Audiclean Ear Cleansing Wash 60 ml")</f>
        <v xml:space="preserve"> Audiclean Ear Cleansing Wash 60 ml</v>
      </c>
      <c r="C5832" t="s">
        <v>202</v>
      </c>
      <c r="D5832" t="s">
        <v>145</v>
      </c>
    </row>
    <row r="5833" spans="1:4" x14ac:dyDescent="0.25">
      <c r="B5833" t="str">
        <f>HYPERLINK("https://www.chemistwarehouse.com.au/buy/64575/Ear-Plug-HSH-TPR-6954"," Ear Plug HSH/TPR 6954 ")</f>
        <v xml:space="preserve"> Ear Plug HSH/TPR 6954 </v>
      </c>
      <c r="C5833" t="s">
        <v>748</v>
      </c>
      <c r="D5833" t="s">
        <v>1497</v>
      </c>
    </row>
    <row r="5834" spans="1:4" x14ac:dyDescent="0.25">
      <c r="B5834" t="str">
        <f>HYPERLINK("https://www.chemistwarehouse.com.au/buy/64576/Surgipack-6254-Ear-Plugs-Foam-1-Pair"," Surgipack 6254 Ear Plugs Foam 1 Pair")</f>
        <v xml:space="preserve"> Surgipack 6254 Ear Plugs Foam 1 Pair</v>
      </c>
      <c r="C5834" t="s">
        <v>748</v>
      </c>
      <c r="D5834" t="s">
        <v>1332</v>
      </c>
    </row>
    <row r="5835" spans="1:4" x14ac:dyDescent="0.25">
      <c r="B5835" t="str">
        <f>HYPERLINK("https://www.chemistwarehouse.com.au/buy/64577/Surgipack-6257-Ear-Plugs-Hush-Taper-Regular-3-pack"," Surgipack 6257 Ear Plugs Hush Taper Regular 3 pack")</f>
        <v xml:space="preserve"> Surgipack 6257 Ear Plugs Hush Taper Regular 3 pack</v>
      </c>
      <c r="C5835" t="s">
        <v>483</v>
      </c>
      <c r="D5835" t="s">
        <v>808</v>
      </c>
    </row>
    <row r="5836" spans="1:4" x14ac:dyDescent="0.25">
      <c r="B5836" t="str">
        <f>HYPERLINK("https://www.chemistwarehouse.com.au/buy/64578/Surgipack-6953-Ear-Plugs-Hush-Taper-Large-2-pair"," Surgipack 6953 Ear Plugs Hush Taper Large 2 pair")</f>
        <v xml:space="preserve"> Surgipack 6953 Ear Plugs Hush Taper Large 2 pair</v>
      </c>
      <c r="C5836" t="s">
        <v>728</v>
      </c>
      <c r="D5836" t="s">
        <v>121</v>
      </c>
    </row>
    <row r="5837" spans="1:4" x14ac:dyDescent="0.25">
      <c r="B5837" t="str">
        <f>HYPERLINK("https://www.chemistwarehouse.com.au/buy/72611/Ear-904-Ear-Care-Pump-Spray-60ml"," Ear 904 Ear Care Pump Spray 60ml")</f>
        <v xml:space="preserve"> Ear 904 Ear Care Pump Spray 60ml</v>
      </c>
      <c r="C5837" t="s">
        <v>1498</v>
      </c>
      <c r="D5837">
        <v>0</v>
      </c>
    </row>
    <row r="5838" spans="1:4" x14ac:dyDescent="0.25">
      <c r="B5838" t="str">
        <f>HYPERLINK("https://www.chemistwarehouse.com.au/buy/74298/Audiclean-Swimmers-Ear"," Audiclean Swimmers Ear")</f>
        <v xml:space="preserve"> Audiclean Swimmers Ear</v>
      </c>
      <c r="C5838" t="s">
        <v>103</v>
      </c>
      <c r="D5838" t="s">
        <v>104</v>
      </c>
    </row>
    <row r="5839" spans="1:4" x14ac:dyDescent="0.25">
      <c r="A5839" t="s">
        <v>1499</v>
      </c>
    </row>
    <row r="5840" spans="1:4" x14ac:dyDescent="0.25">
      <c r="B5840" t="str">
        <f>HYPERLINK("https://www.chemistwarehouse.com.au/buy/2686/Combantrin-Chocolate-Squares-24"," Combantrin Chocolate Squares 24")</f>
        <v xml:space="preserve"> Combantrin Chocolate Squares 24</v>
      </c>
      <c r="C5840" t="s">
        <v>58</v>
      </c>
      <c r="D5840">
        <v>0</v>
      </c>
    </row>
    <row r="5841" spans="1:4" x14ac:dyDescent="0.25">
      <c r="B5841" t="str">
        <f>HYPERLINK("https://www.chemistwarehouse.com.au/buy/72669/Combantrin-1-Tablets-6"," Combantrin -1 Tablets 6")</f>
        <v xml:space="preserve"> Combantrin -1 Tablets 6</v>
      </c>
      <c r="C5841" t="s">
        <v>80</v>
      </c>
      <c r="D5841">
        <v>0</v>
      </c>
    </row>
    <row r="5842" spans="1:4" x14ac:dyDescent="0.25">
      <c r="B5842" t="str">
        <f>HYPERLINK("https://www.chemistwarehouse.com.au/buy/2131/Combantrin-1-with-Mebendazole-Chocolate-Squares-4"," Combantrin -1 with Mebendazole Chocolate Squares 4")</f>
        <v xml:space="preserve"> Combantrin -1 with Mebendazole Chocolate Squares 4</v>
      </c>
      <c r="C5842" t="s">
        <v>187</v>
      </c>
      <c r="D5842">
        <v>0</v>
      </c>
    </row>
    <row r="5843" spans="1:4" x14ac:dyDescent="0.25">
      <c r="B5843" t="str">
        <f>HYPERLINK("https://www.chemistwarehouse.com.au/buy/2692/Combantrin-1-Tablets-2"," Combantrin -1 Tablets 2")</f>
        <v xml:space="preserve"> Combantrin -1 Tablets 2</v>
      </c>
      <c r="C5843" t="s">
        <v>375</v>
      </c>
      <c r="D5843">
        <v>0</v>
      </c>
    </row>
    <row r="5844" spans="1:4" x14ac:dyDescent="0.25">
      <c r="A5844" t="s">
        <v>1500</v>
      </c>
    </row>
    <row r="5845" spans="1:4" x14ac:dyDescent="0.25">
      <c r="B5845" t="str">
        <f>HYPERLINK("https://www.chemistwarehouse.com.au/buy/7428/Restavit-20-Tablets"," Restavit 20 Tablets")</f>
        <v xml:space="preserve"> Restavit 20 Tablets</v>
      </c>
      <c r="C5845" t="s">
        <v>45</v>
      </c>
      <c r="D5845">
        <v>0</v>
      </c>
    </row>
    <row r="5846" spans="1:4" x14ac:dyDescent="0.25">
      <c r="B5846" t="str">
        <f>HYPERLINK("https://www.chemistwarehouse.com.au/buy/64657/Dozile-25mg-20-Capsules"," Dozile 25mg 20 Capsules")</f>
        <v xml:space="preserve"> Dozile 25mg 20 Capsules</v>
      </c>
      <c r="C5846" t="s">
        <v>98</v>
      </c>
      <c r="D5846">
        <v>0</v>
      </c>
    </row>
    <row r="5847" spans="1:4" x14ac:dyDescent="0.25">
      <c r="B5847" t="str">
        <f>HYPERLINK("https://www.chemistwarehouse.com.au/buy/58231/Dozile-20-Tablets"," Dozile 20 Tablets")</f>
        <v xml:space="preserve"> Dozile 20 Tablets</v>
      </c>
      <c r="C5847" t="s">
        <v>45</v>
      </c>
      <c r="D5847">
        <v>0</v>
      </c>
    </row>
    <row r="5848" spans="1:4" x14ac:dyDescent="0.25">
      <c r="A5848" t="s">
        <v>1501</v>
      </c>
    </row>
    <row r="5849" spans="1:4" x14ac:dyDescent="0.25">
      <c r="B5849" t="str">
        <f>HYPERLINK("https://www.chemistwarehouse.com.au/buy/6656/No-Doz-100-Tablets"," No Doz 100 Tablets")</f>
        <v xml:space="preserve"> No Doz 100 Tablets</v>
      </c>
      <c r="C5849" t="s">
        <v>58</v>
      </c>
      <c r="D5849" t="s">
        <v>145</v>
      </c>
    </row>
    <row r="5850" spans="1:4" x14ac:dyDescent="0.25">
      <c r="B5850" t="str">
        <f>HYPERLINK("https://www.chemistwarehouse.com.au/buy/6654/No-Doz-Plus-24-Tablets"," No Doz Plus 24 Tablets")</f>
        <v xml:space="preserve"> No Doz Plus 24 Tablets</v>
      </c>
      <c r="C5850" t="s">
        <v>610</v>
      </c>
      <c r="D5850" t="s">
        <v>1502</v>
      </c>
    </row>
    <row r="5851" spans="1:4" x14ac:dyDescent="0.25">
      <c r="B5851" t="str">
        <f>HYPERLINK("https://www.chemistwarehouse.com.au/buy/6655/No-Doz-24-Tablets"," No Doz 24 Tablets")</f>
        <v xml:space="preserve"> No Doz 24 Tablets</v>
      </c>
      <c r="C5851" t="s">
        <v>326</v>
      </c>
      <c r="D5851" t="s">
        <v>1502</v>
      </c>
    </row>
    <row r="5852" spans="1:4" x14ac:dyDescent="0.25">
      <c r="A5852" t="s">
        <v>1503</v>
      </c>
    </row>
    <row r="5853" spans="1:4" x14ac:dyDescent="0.25">
      <c r="B5853" t="str">
        <f>HYPERLINK("https://www.chemistwarehouse.com.au/buy/69915/Gastrolyte-Jelly-Ice-Blocks-Orange-16-Pack"," Gastrolyte Jelly Ice Blocks Orange 16 Pack")</f>
        <v xml:space="preserve"> Gastrolyte Jelly Ice Blocks Orange 16 Pack</v>
      </c>
      <c r="C5853" t="s">
        <v>45</v>
      </c>
      <c r="D5853" t="s">
        <v>165</v>
      </c>
    </row>
    <row r="5854" spans="1:4" x14ac:dyDescent="0.25">
      <c r="B5854" t="str">
        <f>HYPERLINK("https://www.chemistwarehouse.com.au/buy/69916/Gastrolyte-Jelly-Ice-Blocks-Strawberry-16-Pack"," Gastrolyte Jelly Ice Blocks Strawberry 16 Pack")</f>
        <v xml:space="preserve"> Gastrolyte Jelly Ice Blocks Strawberry 16 Pack</v>
      </c>
      <c r="C5854" t="s">
        <v>45</v>
      </c>
      <c r="D5854" t="s">
        <v>165</v>
      </c>
    </row>
    <row r="5855" spans="1:4" x14ac:dyDescent="0.25">
      <c r="A5855" t="s">
        <v>1504</v>
      </c>
    </row>
    <row r="5856" spans="1:4" x14ac:dyDescent="0.25">
      <c r="B5856" t="str">
        <f>HYPERLINK("https://www.chemistwarehouse.com.au/buy/5372/Hirudoid-Cream-40g"," Hirudoid Cream 40g")</f>
        <v xml:space="preserve"> Hirudoid Cream 40g</v>
      </c>
      <c r="C5856" t="s">
        <v>63</v>
      </c>
      <c r="D5856" t="s">
        <v>165</v>
      </c>
    </row>
    <row r="5857" spans="1:4" x14ac:dyDescent="0.25">
      <c r="B5857" t="str">
        <f>HYPERLINK("https://www.chemistwarehouse.com.au/buy/7059/Paroven-Forte-Tablets-60"," Paroven Forte Tablets 60")</f>
        <v xml:space="preserve"> Paroven Forte Tablets 60</v>
      </c>
      <c r="C5857" t="s">
        <v>297</v>
      </c>
      <c r="D5857" t="s">
        <v>1505</v>
      </c>
    </row>
    <row r="5858" spans="1:4" x14ac:dyDescent="0.25">
      <c r="B5858" t="str">
        <f>HYPERLINK("https://www.chemistwarehouse.com.au/buy/5371/Hirudoid-Cream-20g"," Hirudoid Cream 20g")</f>
        <v xml:space="preserve"> Hirudoid Cream 20g</v>
      </c>
      <c r="C5858" t="s">
        <v>551</v>
      </c>
      <c r="D5858" t="s">
        <v>400</v>
      </c>
    </row>
    <row r="5859" spans="1:4" x14ac:dyDescent="0.25">
      <c r="B5859" t="str">
        <f>HYPERLINK("https://www.chemistwarehouse.com.au/buy/7058/Paroven-Capsules-250mg-100"," Paroven Capsules 250mg 100")</f>
        <v xml:space="preserve"> Paroven Capsules 250mg 100</v>
      </c>
      <c r="C5859" t="s">
        <v>6</v>
      </c>
      <c r="D5859" t="s">
        <v>1506</v>
      </c>
    </row>
    <row r="5860" spans="1:4" x14ac:dyDescent="0.25">
      <c r="A5860" t="s">
        <v>1507</v>
      </c>
    </row>
    <row r="5861" spans="1:4" x14ac:dyDescent="0.25">
      <c r="B5861" t="str">
        <f>HYPERLINK("https://www.chemistwarehouse.com.au/buy/80620/Kids-Dough-2-Pack"," Kids Dough 2 Pack")</f>
        <v xml:space="preserve"> Kids Dough 2 Pack</v>
      </c>
      <c r="C5861" t="s">
        <v>635</v>
      </c>
      <c r="D5861">
        <v>0</v>
      </c>
    </row>
    <row r="5862" spans="1:4" x14ac:dyDescent="0.25">
      <c r="B5862" t="str">
        <f>HYPERLINK("https://www.chemistwarehouse.com.au/buy/81565/Kids-Dough-Tub"," Kids Dough Tub")</f>
        <v xml:space="preserve"> Kids Dough Tub</v>
      </c>
      <c r="C5862" t="s">
        <v>45</v>
      </c>
      <c r="D5862">
        <v>0</v>
      </c>
    </row>
    <row r="5863" spans="1:4" x14ac:dyDescent="0.25">
      <c r="A5863" t="s">
        <v>1508</v>
      </c>
    </row>
    <row r="5864" spans="1:4" x14ac:dyDescent="0.25">
      <c r="B5864" t="str">
        <f>HYPERLINK("https://www.chemistwarehouse.com.au/buy/48679/Advil-Liquid-Capsules-90"," Advil Liquid Capsules 90")</f>
        <v xml:space="preserve"> Advil Liquid Capsules 90</v>
      </c>
      <c r="C5864" t="s">
        <v>237</v>
      </c>
      <c r="D5864">
        <v>0</v>
      </c>
    </row>
    <row r="5865" spans="1:4" x14ac:dyDescent="0.25">
      <c r="B5865" t="str">
        <f>HYPERLINK("https://www.chemistwarehouse.com.au/buy/47495/Advil-Liquid-Capsules-40"," Advil Liquid Capsules 40")</f>
        <v xml:space="preserve"> Advil Liquid Capsules 40</v>
      </c>
      <c r="C5865" t="s">
        <v>103</v>
      </c>
      <c r="D5865">
        <v>0</v>
      </c>
    </row>
    <row r="5866" spans="1:4" x14ac:dyDescent="0.25">
      <c r="B5866" t="str">
        <f>HYPERLINK("https://www.chemistwarehouse.com.au/buy/65510/Advil-Pain-amp-Fever-Infant-Drops-40ml"," Advil Pain &amp; Fever Infant Drops 40ml")</f>
        <v xml:space="preserve"> Advil Pain &amp; Fever Infant Drops 40ml</v>
      </c>
      <c r="C5866" t="s">
        <v>556</v>
      </c>
      <c r="D5866">
        <v>0</v>
      </c>
    </row>
    <row r="5867" spans="1:4" x14ac:dyDescent="0.25">
      <c r="B5867" t="str">
        <f>HYPERLINK("https://www.chemistwarehouse.com.au/buy/47743/Advil-Liquid-Capsules-20"," Advil Liquid Capsules 20")</f>
        <v xml:space="preserve"> Advil Liquid Capsules 20</v>
      </c>
      <c r="C5867" t="s">
        <v>483</v>
      </c>
      <c r="D5867">
        <v>0</v>
      </c>
    </row>
    <row r="5868" spans="1:4" x14ac:dyDescent="0.25">
      <c r="B5868" t="str">
        <f>HYPERLINK("https://www.chemistwarehouse.com.au/buy/50401/Advil-Tablets-24"," Advil Tablets 24")</f>
        <v xml:space="preserve"> Advil Tablets 24</v>
      </c>
      <c r="C5868" t="s">
        <v>483</v>
      </c>
      <c r="D5868">
        <v>0</v>
      </c>
    </row>
    <row r="5869" spans="1:4" x14ac:dyDescent="0.25">
      <c r="B5869" t="str">
        <f>HYPERLINK("https://www.chemistwarehouse.com.au/buy/65430/Advil-Pain-amp-Fever-Suspension-200mL"," Advil Pain &amp; Fever Suspension 200mL")</f>
        <v xml:space="preserve"> Advil Pain &amp; Fever Suspension 200mL</v>
      </c>
      <c r="C5869" t="s">
        <v>103</v>
      </c>
      <c r="D5869">
        <v>0</v>
      </c>
    </row>
    <row r="5870" spans="1:4" x14ac:dyDescent="0.25">
      <c r="A5870" t="s">
        <v>1509</v>
      </c>
    </row>
    <row r="5871" spans="1:4" x14ac:dyDescent="0.25">
      <c r="B5871" t="str">
        <f>HYPERLINK("https://www.chemistwarehouse.com.au/buy/60526/Aspalgin-Soluble-40-Tablets"," Aspalgin Soluble 40 Tablets")</f>
        <v xml:space="preserve"> Aspalgin Soluble 40 Tablets</v>
      </c>
      <c r="C5871" t="s">
        <v>32</v>
      </c>
      <c r="D5871">
        <v>0</v>
      </c>
    </row>
    <row r="5872" spans="1:4" x14ac:dyDescent="0.25">
      <c r="B5872" t="str">
        <f>HYPERLINK("https://www.chemistwarehouse.com.au/buy/699/Aspalgin-Soluble-20-Tablets"," Aspalgin Soluble 20 Tablets")</f>
        <v xml:space="preserve"> Aspalgin Soluble 20 Tablets</v>
      </c>
      <c r="C5872" t="s">
        <v>556</v>
      </c>
      <c r="D5872">
        <v>0</v>
      </c>
    </row>
    <row r="5873" spans="1:4" x14ac:dyDescent="0.25">
      <c r="A5873" t="s">
        <v>1510</v>
      </c>
    </row>
    <row r="5874" spans="1:4" x14ac:dyDescent="0.25">
      <c r="B5874" t="str">
        <f>HYPERLINK("https://www.chemistwarehouse.com.au/buy/20066/Aspro-Clear-Tablets-60"," Aspro Clear Tablets 60")</f>
        <v xml:space="preserve"> Aspro Clear Tablets 60</v>
      </c>
      <c r="C5874" t="s">
        <v>103</v>
      </c>
      <c r="D5874">
        <v>0</v>
      </c>
    </row>
    <row r="5875" spans="1:4" x14ac:dyDescent="0.25">
      <c r="B5875" t="str">
        <f>HYPERLINK("https://www.chemistwarehouse.com.au/buy/42808/Aspro-Clear-Extra-Strength-16"," Aspro Clear Extra Strength 16")</f>
        <v xml:space="preserve"> Aspro Clear Extra Strength 16</v>
      </c>
      <c r="C5875" t="s">
        <v>483</v>
      </c>
      <c r="D5875">
        <v>0</v>
      </c>
    </row>
    <row r="5876" spans="1:4" x14ac:dyDescent="0.25">
      <c r="B5876" t="str">
        <f>HYPERLINK("https://www.chemistwarehouse.com.au/buy/60698/Aspro-Clear-Tablets-42"," Aspro Clear Tablets 42")</f>
        <v xml:space="preserve"> Aspro Clear Tablets 42</v>
      </c>
      <c r="C5876" t="s">
        <v>610</v>
      </c>
      <c r="D5876">
        <v>0</v>
      </c>
    </row>
    <row r="5877" spans="1:4" x14ac:dyDescent="0.25">
      <c r="B5877" t="str">
        <f>HYPERLINK("https://www.chemistwarehouse.com.au/buy/705/Aspro-Tablets-Regular-20"," Aspro Tablets Regular 20")</f>
        <v xml:space="preserve"> Aspro Tablets Regular 20</v>
      </c>
      <c r="C5877" t="s">
        <v>775</v>
      </c>
      <c r="D5877">
        <v>0</v>
      </c>
    </row>
    <row r="5878" spans="1:4" x14ac:dyDescent="0.25">
      <c r="B5878" t="str">
        <f>HYPERLINK("https://www.chemistwarehouse.com.au/buy/708/Aspro-Clear-Tablets-24"," Aspro Clear Tablets 24")</f>
        <v xml:space="preserve"> Aspro Clear Tablets 24</v>
      </c>
      <c r="C5878" t="s">
        <v>775</v>
      </c>
      <c r="D5878">
        <v>0</v>
      </c>
    </row>
    <row r="5879" spans="1:4" x14ac:dyDescent="0.25">
      <c r="A5879" t="s">
        <v>1511</v>
      </c>
    </row>
    <row r="5880" spans="1:4" x14ac:dyDescent="0.25">
      <c r="B5880" t="str">
        <f>HYPERLINK("https://www.chemistwarehouse.com.au/buy/3524/Disprin-Max-Tablets-16"," Disprin Max Tablets 16")</f>
        <v xml:space="preserve"> Disprin Max Tablets 16</v>
      </c>
      <c r="C5880" t="s">
        <v>775</v>
      </c>
      <c r="D5880">
        <v>0</v>
      </c>
    </row>
    <row r="5881" spans="1:4" x14ac:dyDescent="0.25">
      <c r="B5881" t="str">
        <f>HYPERLINK("https://www.chemistwarehouse.com.au/buy/3528/Disprin-Regular-Soluble-Tablets-24"," Disprin Regular Soluble Tablets 24")</f>
        <v xml:space="preserve"> Disprin Regular Soluble Tablets 24</v>
      </c>
      <c r="C5881" t="s">
        <v>728</v>
      </c>
      <c r="D5881" t="s">
        <v>327</v>
      </c>
    </row>
    <row r="5882" spans="1:4" x14ac:dyDescent="0.25">
      <c r="B5882" t="str">
        <f>HYPERLINK("https://www.chemistwarehouse.com.au/buy/3523/Disprin-Direct-Chewable-Tablets-24"," Disprin Direct Chewable Tablets 24")</f>
        <v xml:space="preserve"> Disprin Direct Chewable Tablets 24</v>
      </c>
      <c r="C5882" t="s">
        <v>728</v>
      </c>
      <c r="D5882">
        <v>0</v>
      </c>
    </row>
    <row r="5883" spans="1:4" x14ac:dyDescent="0.25">
      <c r="B5883" t="str">
        <f>HYPERLINK("https://www.chemistwarehouse.com.au/buy/3525/Disprin-Forte-Tablets-24"," Disprin Forte Tablets 24")</f>
        <v xml:space="preserve"> Disprin Forte Tablets 24</v>
      </c>
      <c r="C5883" t="s">
        <v>92</v>
      </c>
      <c r="D5883">
        <v>0</v>
      </c>
    </row>
    <row r="5884" spans="1:4" x14ac:dyDescent="0.25">
      <c r="A5884" t="s">
        <v>1512</v>
      </c>
    </row>
    <row r="5885" spans="1:4" x14ac:dyDescent="0.25">
      <c r="B5885" t="str">
        <f>HYPERLINK("https://www.chemistwarehouse.com.au/buy/20256/Dymadon-Pain-amp-Fever-Relief-for-Kids-Ages-2-years-12-years-200mL"," Dymadon Pain &amp; Fever Relief for Kids Ages 2 years - 12 years 200mL")</f>
        <v xml:space="preserve"> Dymadon Pain &amp; Fever Relief for Kids Ages 2 years - 12 years 200mL</v>
      </c>
      <c r="C5885" t="s">
        <v>212</v>
      </c>
      <c r="D5885">
        <v>0</v>
      </c>
    </row>
    <row r="5886" spans="1:4" x14ac:dyDescent="0.25">
      <c r="B5886" t="str">
        <f>HYPERLINK("https://www.chemistwarehouse.com.au/buy/33577/Dymadon-Pain-amp-Fever-Relief-for-Babies-Ages-1-month-2-years-60ml"," Dymadon Pain &amp; Fever Relief for Babies Ages 1 month - 2 years 60ml")</f>
        <v xml:space="preserve"> Dymadon Pain &amp; Fever Relief for Babies Ages 1 month - 2 years 60ml</v>
      </c>
      <c r="C5886" t="s">
        <v>375</v>
      </c>
      <c r="D5886">
        <v>0</v>
      </c>
    </row>
    <row r="5887" spans="1:4" x14ac:dyDescent="0.25">
      <c r="A5887" t="s">
        <v>1513</v>
      </c>
    </row>
    <row r="5888" spans="1:4" x14ac:dyDescent="0.25">
      <c r="B5888" t="str">
        <f>HYPERLINK("https://www.chemistwarehouse.com.au/buy/55161/Herron-Blue-Ibuprofen-Bottle-Tabsules-60"," Herron Blue Ibuprofen Bottle Tabsules 60")</f>
        <v xml:space="preserve"> Herron Blue Ibuprofen Bottle Tabsules 60</v>
      </c>
      <c r="C5888" t="s">
        <v>483</v>
      </c>
      <c r="D5888">
        <v>0</v>
      </c>
    </row>
    <row r="5889" spans="1:4" x14ac:dyDescent="0.25">
      <c r="B5889" t="str">
        <f>HYPERLINK("https://www.chemistwarehouse.com.au/buy/55776/Herron-Paracetamol-Bottle-Tabsules-60"," Herron Paracetamol Bottle Tabsules 60")</f>
        <v xml:space="preserve"> Herron Paracetamol Bottle Tabsules 60</v>
      </c>
      <c r="C5889" t="s">
        <v>483</v>
      </c>
      <c r="D5889">
        <v>0</v>
      </c>
    </row>
    <row r="5890" spans="1:4" x14ac:dyDescent="0.25">
      <c r="B5890" t="str">
        <f>HYPERLINK("https://www.chemistwarehouse.com.au/buy/71880/Herron-Gold-Paracetamol-20-Capsules"," Herron Gold Paracetamol 20 Capsules")</f>
        <v xml:space="preserve"> Herron Gold Paracetamol 20 Capsules</v>
      </c>
      <c r="C5890" t="s">
        <v>775</v>
      </c>
      <c r="D5890" t="s">
        <v>371</v>
      </c>
    </row>
    <row r="5891" spans="1:4" x14ac:dyDescent="0.25">
      <c r="B5891" t="str">
        <f>HYPERLINK("https://www.chemistwarehouse.com.au/buy/55772/Herron-Blue-Ibuprofen-Bottle-Tabsules-36"," Herron Blue Ibuprofen Bottle Tabsules 36")</f>
        <v xml:space="preserve"> Herron Blue Ibuprofen Bottle Tabsules 36</v>
      </c>
      <c r="C5891" t="s">
        <v>104</v>
      </c>
      <c r="D5891">
        <v>0</v>
      </c>
    </row>
    <row r="5892" spans="1:4" x14ac:dyDescent="0.25">
      <c r="B5892" t="str">
        <f>HYPERLINK("https://www.chemistwarehouse.com.au/buy/82510/Herron-Blue-Ibuprofen-Bottle-25-Tabsules"," Herron Blue Ibuprofen Bottle 25 Tabsules")</f>
        <v xml:space="preserve"> Herron Blue Ibuprofen Bottle 25 Tabsules</v>
      </c>
      <c r="C5892" t="s">
        <v>483</v>
      </c>
      <c r="D5892">
        <v>0</v>
      </c>
    </row>
    <row r="5893" spans="1:4" x14ac:dyDescent="0.25">
      <c r="B5893" t="str">
        <f>HYPERLINK("https://www.chemistwarehouse.com.au/buy/82511/Herron-Gold-Paracetamol-20-Tubsules"," Herron Gold Paracetamol 20 Tubsules")</f>
        <v xml:space="preserve"> Herron Gold Paracetamol 20 Tubsules</v>
      </c>
      <c r="C5893" t="s">
        <v>775</v>
      </c>
      <c r="D5893">
        <v>0</v>
      </c>
    </row>
    <row r="5894" spans="1:4" x14ac:dyDescent="0.25">
      <c r="A5894" t="s">
        <v>1514</v>
      </c>
    </row>
    <row r="5895" spans="1:4" x14ac:dyDescent="0.25">
      <c r="B5895" t="str">
        <f>HYPERLINK("https://www.chemistwarehouse.com.au/buy/68069/Mersyndol-40-Caplets"," Mersyndol 40 Caplets")</f>
        <v xml:space="preserve"> Mersyndol 40 Caplets</v>
      </c>
      <c r="C5895" t="s">
        <v>32</v>
      </c>
      <c r="D5895">
        <v>0</v>
      </c>
    </row>
    <row r="5896" spans="1:4" x14ac:dyDescent="0.25">
      <c r="B5896" t="str">
        <f>HYPERLINK("https://www.chemistwarehouse.com.au/buy/68070/Mersyndol-40-Tablets"," Mersyndol 40 Tablets")</f>
        <v xml:space="preserve"> Mersyndol 40 Tablets</v>
      </c>
      <c r="C5896" t="s">
        <v>32</v>
      </c>
      <c r="D5896">
        <v>0</v>
      </c>
    </row>
    <row r="5897" spans="1:4" x14ac:dyDescent="0.25">
      <c r="B5897" t="str">
        <f>HYPERLINK("https://www.chemistwarehouse.com.au/buy/60527/Mersyndol-Day-Strength-Caplets-36"," Mersyndol Day Strength Caplets 36")</f>
        <v xml:space="preserve"> Mersyndol Day Strength Caplets 36</v>
      </c>
      <c r="C5897" t="s">
        <v>375</v>
      </c>
      <c r="D5897">
        <v>0</v>
      </c>
    </row>
    <row r="5898" spans="1:4" x14ac:dyDescent="0.25">
      <c r="B5898" t="str">
        <f>HYPERLINK("https://www.chemistwarehouse.com.au/buy/6207/Mersyndol-Day-Strength-Caplets-24"," Mersyndol Day Strength Caplets 24")</f>
        <v xml:space="preserve"> Mersyndol Day Strength Caplets 24</v>
      </c>
      <c r="C5898" t="s">
        <v>483</v>
      </c>
      <c r="D5898">
        <v>0</v>
      </c>
    </row>
    <row r="5899" spans="1:4" x14ac:dyDescent="0.25">
      <c r="B5899" t="str">
        <f>HYPERLINK("https://www.chemistwarehouse.com.au/buy/6209/Mersyndol-20-Tablets"," Mersyndol 20 Tablets")</f>
        <v xml:space="preserve"> Mersyndol 20 Tablets</v>
      </c>
      <c r="C5899" t="s">
        <v>556</v>
      </c>
      <c r="D5899">
        <v>0</v>
      </c>
    </row>
    <row r="5900" spans="1:4" x14ac:dyDescent="0.25">
      <c r="B5900" t="str">
        <f>HYPERLINK("https://www.chemistwarehouse.com.au/buy/6205/Mersyndol-20-Caplets"," Mersyndol 20 Caplets")</f>
        <v xml:space="preserve"> Mersyndol 20 Caplets</v>
      </c>
      <c r="C5900" t="s">
        <v>556</v>
      </c>
      <c r="D5900">
        <v>0</v>
      </c>
    </row>
    <row r="5901" spans="1:4" x14ac:dyDescent="0.25">
      <c r="A5901" t="s">
        <v>1515</v>
      </c>
    </row>
    <row r="5902" spans="1:4" x14ac:dyDescent="0.25">
      <c r="B5902" t="str">
        <f>HYPERLINK("https://www.chemistwarehouse.com.au/buy/31052/Nurofen-200mg-Tablets-96"," Nurofen 200mg Tablets 96")</f>
        <v xml:space="preserve"> Nurofen 200mg Tablets 96</v>
      </c>
      <c r="C5902" t="s">
        <v>58</v>
      </c>
      <c r="D5902">
        <v>0</v>
      </c>
    </row>
    <row r="5903" spans="1:4" x14ac:dyDescent="0.25">
      <c r="B5903" t="str">
        <f>HYPERLINK("https://www.chemistwarehouse.com.au/buy/73937/Nurofen-Zavance-200mg-Tablets-96"," Nurofen Zavance 200mg Tablets 96")</f>
        <v xml:space="preserve"> Nurofen Zavance 200mg Tablets 96</v>
      </c>
      <c r="C5903" t="s">
        <v>202</v>
      </c>
      <c r="D5903">
        <v>0</v>
      </c>
    </row>
    <row r="5904" spans="1:4" x14ac:dyDescent="0.25">
      <c r="B5904" t="str">
        <f>HYPERLINK("https://www.chemistwarehouse.com.au/buy/60159/Nurofen-Plus-Tablets-30"," Nurofen Plus Tablets 30")</f>
        <v xml:space="preserve"> Nurofen Plus Tablets 30</v>
      </c>
      <c r="C5904" t="s">
        <v>45</v>
      </c>
      <c r="D5904">
        <v>0</v>
      </c>
    </row>
    <row r="5905" spans="2:4" x14ac:dyDescent="0.25">
      <c r="B5905" t="str">
        <f>HYPERLINK("https://www.chemistwarehouse.com.au/buy/59212/Nurofen-Zavance-40-Liquid-Capsules"," Nurofen Zavance 40 Liquid Capsules")</f>
        <v xml:space="preserve"> Nurofen Zavance 40 Liquid Capsules</v>
      </c>
      <c r="C5905" t="s">
        <v>45</v>
      </c>
      <c r="D5905">
        <v>0</v>
      </c>
    </row>
    <row r="5906" spans="2:4" x14ac:dyDescent="0.25">
      <c r="B5906" t="str">
        <f>HYPERLINK("https://www.chemistwarehouse.com.au/buy/57505/Nurofen-Caplets-200mg-24"," Nurofen Caplets 200mg 24")</f>
        <v xml:space="preserve"> Nurofen Caplets 200mg 24</v>
      </c>
      <c r="C5906" t="s">
        <v>556</v>
      </c>
      <c r="D5906" t="s">
        <v>725</v>
      </c>
    </row>
    <row r="5907" spans="2:4" x14ac:dyDescent="0.25">
      <c r="B5907" t="str">
        <f>HYPERLINK("https://www.chemistwarehouse.com.au/buy/59911/Nurofen-for-Children-1-5-Years-Strawberry-200mL"," Nurofen for Children 1-5 Years Strawberry 200mL")</f>
        <v xml:space="preserve"> Nurofen for Children 1-5 Years Strawberry 200mL</v>
      </c>
      <c r="C5907" t="s">
        <v>187</v>
      </c>
      <c r="D5907">
        <v>0</v>
      </c>
    </row>
    <row r="5908" spans="2:4" x14ac:dyDescent="0.25">
      <c r="B5908" t="str">
        <f>HYPERLINK("https://www.chemistwarehouse.com.au/buy/56866/Nurofen-Zavance-24-Caplets"," Nurofen Zavance 24 Caplets")</f>
        <v xml:space="preserve"> Nurofen Zavance 24 Caplets</v>
      </c>
      <c r="C5908" t="s">
        <v>116</v>
      </c>
      <c r="D5908" t="s">
        <v>1472</v>
      </c>
    </row>
    <row r="5909" spans="2:4" x14ac:dyDescent="0.25">
      <c r="B5909" t="str">
        <f>HYPERLINK("https://www.chemistwarehouse.com.au/buy/59910/Nurofen-for-Children-1-5-Years-Orange-200mL"," Nurofen for Children 1-5 Years Orange 200mL")</f>
        <v xml:space="preserve"> Nurofen for Children 1-5 Years Orange 200mL</v>
      </c>
      <c r="C5909" t="s">
        <v>187</v>
      </c>
      <c r="D5909">
        <v>0</v>
      </c>
    </row>
    <row r="5910" spans="2:4" x14ac:dyDescent="0.25">
      <c r="B5910" t="str">
        <f>HYPERLINK("https://www.chemistwarehouse.com.au/buy/74131/Nurofen-for-Children-Baby-3-Months-100ml"," Nurofen for Children Baby 3 Months+ 100ml")</f>
        <v xml:space="preserve"> Nurofen for Children Baby 3 Months+ 100ml</v>
      </c>
      <c r="C5910" t="s">
        <v>61</v>
      </c>
      <c r="D5910">
        <v>0</v>
      </c>
    </row>
    <row r="5911" spans="2:4" x14ac:dyDescent="0.25">
      <c r="B5911" t="str">
        <f>HYPERLINK("https://www.chemistwarehouse.com.au/buy/6748/Nurofen-200mg-Tablets-48"," Nurofen 200mg Tablets 48")</f>
        <v xml:space="preserve"> Nurofen 200mg Tablets 48</v>
      </c>
      <c r="C5911" t="s">
        <v>32</v>
      </c>
      <c r="D5911">
        <v>0</v>
      </c>
    </row>
    <row r="5912" spans="2:4" x14ac:dyDescent="0.25">
      <c r="B5912" t="str">
        <f>HYPERLINK("https://www.chemistwarehouse.com.au/buy/79685/Nuromol-12-Tablets"," Nuromol 12 Tablets")</f>
        <v xml:space="preserve"> Nuromol 12 Tablets</v>
      </c>
      <c r="C5912" t="s">
        <v>92</v>
      </c>
      <c r="D5912">
        <v>0</v>
      </c>
    </row>
    <row r="5913" spans="2:4" x14ac:dyDescent="0.25">
      <c r="B5913" t="str">
        <f>HYPERLINK("https://www.chemistwarehouse.com.au/buy/62226/Nurofen-Zavance-Tablet-72"," Nurofen Zavance Tablet 72")</f>
        <v xml:space="preserve"> Nurofen Zavance Tablet 72</v>
      </c>
      <c r="C5913" t="s">
        <v>237</v>
      </c>
      <c r="D5913">
        <v>0</v>
      </c>
    </row>
    <row r="5914" spans="2:4" x14ac:dyDescent="0.25">
      <c r="B5914" t="str">
        <f>HYPERLINK("https://www.chemistwarehouse.com.au/buy/80324/Nuromol-6-Tablets"," Nuromol 6 Tablets")</f>
        <v xml:space="preserve"> Nuromol 6 Tablets</v>
      </c>
      <c r="C5914" t="s">
        <v>556</v>
      </c>
      <c r="D5914">
        <v>0</v>
      </c>
    </row>
    <row r="5915" spans="2:4" x14ac:dyDescent="0.25">
      <c r="B5915" t="str">
        <f>HYPERLINK("https://www.chemistwarehouse.com.au/buy/82111/Nurofen-for-Children-7-Orange-100mg-Chewable-12-Capsules"," Nurofen for Children 7+ Orange 100mg Chewable 12 Capsules")</f>
        <v xml:space="preserve"> Nurofen for Children 7+ Orange 100mg Chewable 12 Capsules</v>
      </c>
      <c r="C5915" t="s">
        <v>242</v>
      </c>
      <c r="D5915" t="s">
        <v>121</v>
      </c>
    </row>
    <row r="5916" spans="2:4" x14ac:dyDescent="0.25">
      <c r="B5916" t="str">
        <f>HYPERLINK("https://www.chemistwarehouse.com.au/buy/6747/Nurofen-200mg-Tablets-24"," Nurofen 200mg Tablets 24")</f>
        <v xml:space="preserve"> Nurofen 200mg Tablets 24</v>
      </c>
      <c r="C5916" t="s">
        <v>556</v>
      </c>
      <c r="D5916" t="s">
        <v>371</v>
      </c>
    </row>
    <row r="5917" spans="2:4" x14ac:dyDescent="0.25">
      <c r="B5917" t="str">
        <f>HYPERLINK("https://www.chemistwarehouse.com.au/buy/56351/Nurofen-Zavance-24-Tablets"," Nurofen Zavance 24 Tablets")</f>
        <v xml:space="preserve"> Nurofen Zavance 24 Tablets</v>
      </c>
      <c r="C5917" t="s">
        <v>116</v>
      </c>
      <c r="D5917" t="s">
        <v>1472</v>
      </c>
    </row>
    <row r="5918" spans="2:4" x14ac:dyDescent="0.25">
      <c r="B5918" t="str">
        <f>HYPERLINK("https://www.chemistwarehouse.com.au/buy/56352/Nurofen-Zavance-48-Tablets"," Nurofen Zavance 48 Tablets")</f>
        <v xml:space="preserve"> Nurofen Zavance 48 Tablets</v>
      </c>
      <c r="C5918" t="s">
        <v>45</v>
      </c>
      <c r="D5918">
        <v>0</v>
      </c>
    </row>
    <row r="5919" spans="2:4" x14ac:dyDescent="0.25">
      <c r="B5919" t="str">
        <f>HYPERLINK("https://www.chemistwarehouse.com.au/buy/77911/Nurofen-Zavance-80-Liquid-Capsules"," Nurofen Zavance 80 Liquid Capsules")</f>
        <v xml:space="preserve"> Nurofen Zavance 80 Liquid Capsules</v>
      </c>
      <c r="C5919" t="s">
        <v>1</v>
      </c>
      <c r="D5919">
        <v>0</v>
      </c>
    </row>
    <row r="5920" spans="2:4" x14ac:dyDescent="0.25">
      <c r="B5920" t="str">
        <f>HYPERLINK("https://www.chemistwarehouse.com.au/buy/78948/Nuromol-Tablets-24"," Nuromol Tablets 24")</f>
        <v xml:space="preserve"> Nuromol Tablets 24</v>
      </c>
      <c r="C5920" t="s">
        <v>237</v>
      </c>
      <c r="D5920">
        <v>0</v>
      </c>
    </row>
    <row r="5921" spans="1:4" x14ac:dyDescent="0.25">
      <c r="B5921" t="str">
        <f>HYPERLINK("https://www.chemistwarehouse.com.au/buy/59915/Nurofen-for-Children-Baby-3-Months-50mL"," Nurofen for Children Baby 3 Months+ 50mL")</f>
        <v xml:space="preserve"> Nurofen for Children Baby 3 Months+ 50mL</v>
      </c>
      <c r="C5921" t="s">
        <v>290</v>
      </c>
      <c r="D5921">
        <v>0</v>
      </c>
    </row>
    <row r="5922" spans="1:4" x14ac:dyDescent="0.25">
      <c r="B5922" t="str">
        <f>HYPERLINK("https://www.chemistwarehouse.com.au/buy/60694/Nurofen-Zavance-Liquid-Caps-20"," Nurofen Zavance Liquid Caps 20")</f>
        <v xml:space="preserve"> Nurofen Zavance Liquid Caps 20</v>
      </c>
      <c r="C5922" t="s">
        <v>610</v>
      </c>
      <c r="D5922" t="s">
        <v>1516</v>
      </c>
    </row>
    <row r="5923" spans="1:4" x14ac:dyDescent="0.25">
      <c r="B5923" t="str">
        <f>HYPERLINK("https://www.chemistwarehouse.com.au/buy/82112/Nurofen-for-Children-7-Orange-100mg-Chewable-24-Capsules"," Nurofen for Children 7+ Orange 100mg Chewable 24 Capsules")</f>
        <v xml:space="preserve"> Nurofen for Children 7+ Orange 100mg Chewable 24 Capsules</v>
      </c>
      <c r="C5923" t="s">
        <v>80</v>
      </c>
      <c r="D5923" t="s">
        <v>64</v>
      </c>
    </row>
    <row r="5924" spans="1:4" x14ac:dyDescent="0.25">
      <c r="A5924" t="s">
        <v>1517</v>
      </c>
    </row>
    <row r="5925" spans="1:4" x14ac:dyDescent="0.25">
      <c r="B5925" t="str">
        <f>HYPERLINK("https://www.chemistwarehouse.com.au/buy/6002/Painstop-Day-Time-Pain-Reliever-for-children-200mL"," Painstop Day-Time Pain Reliever for children 200mL")</f>
        <v xml:space="preserve"> Painstop Day-Time Pain Reliever for children 200mL</v>
      </c>
      <c r="C5925" t="s">
        <v>269</v>
      </c>
      <c r="D5925">
        <v>0</v>
      </c>
    </row>
    <row r="5926" spans="1:4" x14ac:dyDescent="0.25">
      <c r="A5926" t="s">
        <v>1518</v>
      </c>
    </row>
    <row r="5927" spans="1:4" x14ac:dyDescent="0.25">
      <c r="B5927" t="str">
        <f>HYPERLINK("https://www.chemistwarehouse.com.au/buy/69709/Panadeine-Extra-Caplets-40"," Panadeine Extra Caplets 40")</f>
        <v xml:space="preserve"> Panadeine Extra Caplets 40</v>
      </c>
      <c r="C5927" t="s">
        <v>187</v>
      </c>
      <c r="D5927">
        <v>0</v>
      </c>
    </row>
    <row r="5928" spans="1:4" x14ac:dyDescent="0.25">
      <c r="B5928" t="str">
        <f>HYPERLINK("https://www.chemistwarehouse.com.au/buy/6948/Panadeine-Tablets-24-Maximum-of-ONE-per-Order"," Panadeine Tablets 24 (Maximum of ONE per Order)")</f>
        <v xml:space="preserve"> Panadeine Tablets 24 (Maximum of ONE per Order)</v>
      </c>
      <c r="C5928" t="s">
        <v>782</v>
      </c>
      <c r="D5928">
        <v>0</v>
      </c>
    </row>
    <row r="5929" spans="1:4" x14ac:dyDescent="0.25">
      <c r="B5929" t="str">
        <f>HYPERLINK("https://www.chemistwarehouse.com.au/buy/60160/Panadeine-Tablets-40"," Panadeine Tablets 40")</f>
        <v xml:space="preserve"> Panadeine Tablets 40</v>
      </c>
      <c r="C5929" t="s">
        <v>45</v>
      </c>
      <c r="D5929">
        <v>0</v>
      </c>
    </row>
    <row r="5930" spans="1:4" x14ac:dyDescent="0.25">
      <c r="B5930" t="str">
        <f>HYPERLINK("https://www.chemistwarehouse.com.au/buy/60161/Panadeine-Caplets-40"," Panadeine Caplets 40")</f>
        <v xml:space="preserve"> Panadeine Caplets 40</v>
      </c>
      <c r="C5930" t="s">
        <v>290</v>
      </c>
      <c r="D5930">
        <v>0</v>
      </c>
    </row>
    <row r="5931" spans="1:4" x14ac:dyDescent="0.25">
      <c r="B5931" t="str">
        <f>HYPERLINK("https://www.chemistwarehouse.com.au/buy/61353/Panadeine-Extra-Caplet-24-Limit-of-ONE-pack-per-order"," Panadeine Extra Caplet 24 (Limit of ONE pack per order)")</f>
        <v xml:space="preserve"> Panadeine Extra Caplet 24 (Limit of ONE pack per order)</v>
      </c>
      <c r="C5931" t="s">
        <v>237</v>
      </c>
      <c r="D5931">
        <v>0</v>
      </c>
    </row>
    <row r="5932" spans="1:4" x14ac:dyDescent="0.25">
      <c r="B5932" t="str">
        <f>HYPERLINK("https://www.chemistwarehouse.com.au/buy/39719/Panadeine-Caplets-24-Maximum-of-ONE-per-Order"," Panadeine Caplets 24 (Maximum of ONE per Order)")</f>
        <v xml:space="preserve"> Panadeine Caplets 24 (Maximum of ONE per Order)</v>
      </c>
      <c r="C5932" t="s">
        <v>782</v>
      </c>
      <c r="D5932">
        <v>0</v>
      </c>
    </row>
    <row r="5933" spans="1:4" x14ac:dyDescent="0.25">
      <c r="B5933" t="str">
        <f>HYPERLINK("https://www.chemistwarehouse.com.au/buy/6943/Panadeine-Rapid-Soluble-20-Tablets"," Panadeine Rapid Soluble 20 Tablets")</f>
        <v xml:space="preserve"> Panadeine Rapid Soluble 20 Tablets</v>
      </c>
      <c r="C5933" t="s">
        <v>103</v>
      </c>
      <c r="D5933">
        <v>0</v>
      </c>
    </row>
    <row r="5934" spans="1:4" x14ac:dyDescent="0.25">
      <c r="A5934" t="s">
        <v>1519</v>
      </c>
    </row>
    <row r="5935" spans="1:4" x14ac:dyDescent="0.25">
      <c r="B5935" t="str">
        <f>HYPERLINK("https://www.chemistwarehouse.com.au/buy/68222/Panadol-Children-39-s-1-5-Years-Orange-200ml"," Panadol Children's 1-5 Years Orange 200ml")</f>
        <v xml:space="preserve"> Panadol Children's 1-5 Years Orange 200ml</v>
      </c>
      <c r="C5935" t="s">
        <v>80</v>
      </c>
      <c r="D5935">
        <v>0</v>
      </c>
    </row>
    <row r="5936" spans="1:4" x14ac:dyDescent="0.25">
      <c r="B5936" t="str">
        <f>HYPERLINK("https://www.chemistwarehouse.com.au/buy/68225/Panadol-Children-39-s-5-12-Years-Strawberry-200ml"," Panadol Children's 5-12 Years Strawberry 200ml")</f>
        <v xml:space="preserve"> Panadol Children's 5-12 Years Strawberry 200ml</v>
      </c>
      <c r="C5936" t="s">
        <v>187</v>
      </c>
      <c r="D5936">
        <v>0</v>
      </c>
    </row>
    <row r="5937" spans="1:4" x14ac:dyDescent="0.25">
      <c r="B5937" t="str">
        <f>HYPERLINK("https://www.chemistwarehouse.com.au/buy/42570/Panadol-Children-39-s-1-Month-2-years-Cherry-and-Vanilla-with-Oral-Dosing-Device-20ml"," Panadol Children's 1 Month - 2 years Cherry and Vanilla with Oral Dosing Device 20ml")</f>
        <v xml:space="preserve"> Panadol Children's 1 Month - 2 years Cherry and Vanilla with Oral Dosing Device 20ml</v>
      </c>
      <c r="C5937" t="s">
        <v>116</v>
      </c>
      <c r="D5937">
        <v>0</v>
      </c>
    </row>
    <row r="5938" spans="1:4" x14ac:dyDescent="0.25">
      <c r="B5938" t="str">
        <f>HYPERLINK("https://www.chemistwarehouse.com.au/buy/68223/Panadol-Children-39-s-1-5-Years-Strawberry-200ml"," Panadol Children's 1-5 Years Strawberry 200ml")</f>
        <v xml:space="preserve"> Panadol Children's 1-5 Years Strawberry 200ml</v>
      </c>
      <c r="C5938" t="s">
        <v>80</v>
      </c>
      <c r="D5938">
        <v>0</v>
      </c>
    </row>
    <row r="5939" spans="1:4" x14ac:dyDescent="0.25">
      <c r="B5939" t="str">
        <f>HYPERLINK("https://www.chemistwarehouse.com.au/buy/50463/Panadol-Children-39-s-7-Years-Soluble-Colourfree16-Tablets"," Panadol Children's 7+ Years Soluble Colourfree16 Tablets")</f>
        <v xml:space="preserve"> Panadol Children's 7+ Years Soluble Colourfree16 Tablets</v>
      </c>
      <c r="C5939" t="s">
        <v>483</v>
      </c>
      <c r="D5939">
        <v>0</v>
      </c>
    </row>
    <row r="5940" spans="1:4" x14ac:dyDescent="0.25">
      <c r="B5940" t="str">
        <f>HYPERLINK("https://www.chemistwarehouse.com.au/buy/68224/Panadol-Children-39-s-5-12-Years-Orange-200ml"," Panadol Children's 5-12 Years Orange 200ml")</f>
        <v xml:space="preserve"> Panadol Children's 5-12 Years Orange 200ml</v>
      </c>
      <c r="C5940" t="s">
        <v>187</v>
      </c>
      <c r="D5940">
        <v>0</v>
      </c>
    </row>
    <row r="5941" spans="1:4" x14ac:dyDescent="0.25">
      <c r="B5941" t="str">
        <f>HYPERLINK("https://www.chemistwarehouse.com.au/buy/20474/Panadol-Children-39-s-1-Month-2-years-Cherry-and-Vanilla-with-Dropper-20ml"," Panadol Children's 1 Month - 2 years Cherry and Vanilla with Dropper 20ml")</f>
        <v xml:space="preserve"> Panadol Children's 1 Month - 2 years Cherry and Vanilla with Dropper 20ml</v>
      </c>
      <c r="C5941" t="s">
        <v>116</v>
      </c>
      <c r="D5941">
        <v>0</v>
      </c>
    </row>
    <row r="5942" spans="1:4" x14ac:dyDescent="0.25">
      <c r="A5942" t="s">
        <v>1520</v>
      </c>
    </row>
    <row r="5943" spans="1:4" x14ac:dyDescent="0.25">
      <c r="B5943" t="str">
        <f>HYPERLINK("https://www.chemistwarehouse.com.au/buy/65955/Panadol-Tablets-with-Optizorb-100"," Panadol Tablets with Optizorb 100")</f>
        <v xml:space="preserve"> Panadol Tablets with Optizorb 100</v>
      </c>
      <c r="C5943" t="s">
        <v>80</v>
      </c>
      <c r="D5943">
        <v>0</v>
      </c>
    </row>
    <row r="5944" spans="1:4" x14ac:dyDescent="0.25">
      <c r="B5944" t="str">
        <f>HYPERLINK("https://www.chemistwarehouse.com.au/buy/82481/Panadol-Optizorb-96-Caplets"," Panadol Optizorb 96 Caplets")</f>
        <v xml:space="preserve"> Panadol Optizorb 96 Caplets</v>
      </c>
      <c r="C5944" t="s">
        <v>80</v>
      </c>
      <c r="D5944">
        <v>0</v>
      </c>
    </row>
    <row r="5945" spans="1:4" x14ac:dyDescent="0.25">
      <c r="B5945" t="str">
        <f>HYPERLINK("https://www.chemistwarehouse.com.au/buy/68706/Panadol-Optizorb-20-Tablet"," Panadol Optizorb 20 Tablet")</f>
        <v xml:space="preserve"> Panadol Optizorb 20 Tablet</v>
      </c>
      <c r="C5945" t="s">
        <v>728</v>
      </c>
      <c r="D5945" t="s">
        <v>561</v>
      </c>
    </row>
    <row r="5946" spans="1:4" x14ac:dyDescent="0.25">
      <c r="B5946" t="str">
        <f>HYPERLINK("https://www.chemistwarehouse.com.au/buy/69139/Panadol-Extra-Optizorb-Capsules-20"," Panadol Extra Optizorb Capsules 20")</f>
        <v xml:space="preserve"> Panadol Extra Optizorb Capsules 20</v>
      </c>
      <c r="C5946" t="s">
        <v>116</v>
      </c>
      <c r="D5946">
        <v>0</v>
      </c>
    </row>
    <row r="5947" spans="1:4" x14ac:dyDescent="0.25">
      <c r="B5947" t="str">
        <f>HYPERLINK("https://www.chemistwarehouse.com.au/buy/69140/Panadol-Extra-Optizorb-40-Caplets"," Panadol Extra Optizorb 40 Caplets")</f>
        <v xml:space="preserve"> Panadol Extra Optizorb 40 Caplets</v>
      </c>
      <c r="C5947" t="s">
        <v>45</v>
      </c>
      <c r="D5947">
        <v>0</v>
      </c>
    </row>
    <row r="5948" spans="1:4" x14ac:dyDescent="0.25">
      <c r="B5948" t="str">
        <f>HYPERLINK("https://www.chemistwarehouse.com.au/buy/65989/Panadol-Tablets-with-Optizorb-50"," Panadol Tablets with Optizorb 50")</f>
        <v xml:space="preserve"> Panadol Tablets with Optizorb 50</v>
      </c>
      <c r="C5948" t="s">
        <v>103</v>
      </c>
      <c r="D5948">
        <v>0</v>
      </c>
    </row>
    <row r="5949" spans="1:4" x14ac:dyDescent="0.25">
      <c r="B5949" t="str">
        <f>HYPERLINK("https://www.chemistwarehouse.com.au/buy/68705/Panadol-Optizorb-20-Caplets"," Panadol Optizorb 20 Caplets")</f>
        <v xml:space="preserve"> Panadol Optizorb 20 Caplets</v>
      </c>
      <c r="C5949" t="s">
        <v>728</v>
      </c>
      <c r="D5949" t="s">
        <v>561</v>
      </c>
    </row>
    <row r="5950" spans="1:4" x14ac:dyDescent="0.25">
      <c r="B5950" t="str">
        <f>HYPERLINK("https://www.chemistwarehouse.com.au/buy/59136/Panadol-Caplets-with-Optizorb-48"," Panadol Caplets with Optizorb 48")</f>
        <v xml:space="preserve"> Panadol Caplets with Optizorb 48</v>
      </c>
      <c r="C5950" t="s">
        <v>103</v>
      </c>
      <c r="D5950">
        <v>0</v>
      </c>
    </row>
    <row r="5951" spans="1:4" x14ac:dyDescent="0.25">
      <c r="A5951" t="s">
        <v>1521</v>
      </c>
    </row>
    <row r="5952" spans="1:4" x14ac:dyDescent="0.25">
      <c r="B5952" t="str">
        <f>HYPERLINK("https://www.chemistwarehouse.com.au/buy/41147/Panamax-500mg-100-Tablets"," Panamax 500mg 100 Tablets")</f>
        <v xml:space="preserve"> Panamax 500mg 100 Tablets</v>
      </c>
      <c r="C5952" t="s">
        <v>635</v>
      </c>
      <c r="D5952">
        <v>0</v>
      </c>
    </row>
    <row r="5953" spans="1:4" x14ac:dyDescent="0.25">
      <c r="B5953" t="str">
        <f>HYPERLINK("https://www.chemistwarehouse.com.au/buy/43191/Panamax-240-Elixir-200mL"," Panamax 240 Elixir 200mL")</f>
        <v xml:space="preserve"> Panamax 240 Elixir 200mL</v>
      </c>
      <c r="C5953" t="s">
        <v>556</v>
      </c>
      <c r="D5953">
        <v>0</v>
      </c>
    </row>
    <row r="5954" spans="1:4" x14ac:dyDescent="0.25">
      <c r="B5954" t="str">
        <f>HYPERLINK("https://www.chemistwarehouse.com.au/buy/61906/Panamax-Co-40-Tablets-Limit-of-ONE-Pack-Per-Person-Per-Order"," Panamax Co 40 Tablets (Limit of ONE Pack Per Person Per Order)")</f>
        <v xml:space="preserve"> Panamax Co 40 Tablets (Limit of ONE Pack Per Person Per Order)</v>
      </c>
      <c r="C5954" t="s">
        <v>556</v>
      </c>
      <c r="D5954">
        <v>0</v>
      </c>
    </row>
    <row r="5955" spans="1:4" x14ac:dyDescent="0.25">
      <c r="A5955" t="s">
        <v>1522</v>
      </c>
    </row>
    <row r="5956" spans="1:4" x14ac:dyDescent="0.25">
      <c r="B5956" t="str">
        <f>HYPERLINK("https://www.chemistwarehouse.com.au/buy/62223/Voltaren-Emulgel-180g"," Voltaren Emulgel 180g")</f>
        <v xml:space="preserve"> Voltaren Emulgel 180g</v>
      </c>
      <c r="C5956" t="s">
        <v>161</v>
      </c>
      <c r="D5956" t="s">
        <v>115</v>
      </c>
    </row>
    <row r="5957" spans="1:4" x14ac:dyDescent="0.25">
      <c r="B5957" t="str">
        <f>HYPERLINK("https://www.chemistwarehouse.com.au/buy/50345/Voltaren-Rapid-12-5mg-Tablets-20"," Voltaren Rapid 12.5mg Tablets 20")</f>
        <v xml:space="preserve"> Voltaren Rapid 12.5mg Tablets 20</v>
      </c>
      <c r="C5957" t="s">
        <v>32</v>
      </c>
      <c r="D5957">
        <v>0</v>
      </c>
    </row>
    <row r="5958" spans="1:4" x14ac:dyDescent="0.25">
      <c r="B5958" t="str">
        <f>HYPERLINK("https://www.chemistwarehouse.com.au/buy/72600/Voltaren-Osteo-12-Hour-Gel-150g"," Voltaren Osteo 12 Hour Gel 150g")</f>
        <v xml:space="preserve"> Voltaren Osteo 12 Hour Gel 150g</v>
      </c>
      <c r="C5958" t="s">
        <v>123</v>
      </c>
      <c r="D5958">
        <v>0</v>
      </c>
    </row>
    <row r="5959" spans="1:4" x14ac:dyDescent="0.25">
      <c r="B5959" t="str">
        <f>HYPERLINK("https://www.chemistwarehouse.com.au/buy/72601/Voltaren-Osteo-12-Hour-Gel-100g"," Voltaren Osteo 12 Hour Gel 100g")</f>
        <v xml:space="preserve"> Voltaren Osteo 12 Hour Gel 100g</v>
      </c>
      <c r="C5959" t="s">
        <v>125</v>
      </c>
      <c r="D5959">
        <v>0</v>
      </c>
    </row>
    <row r="5960" spans="1:4" x14ac:dyDescent="0.25">
      <c r="B5960" t="str">
        <f>HYPERLINK("https://www.chemistwarehouse.com.au/buy/50358/Voltaren-Rapid-12-5mg-Tablets-10"," Voltaren Rapid 12.5mg Tablets 10")</f>
        <v xml:space="preserve"> Voltaren Rapid 12.5mg Tablets 10</v>
      </c>
      <c r="C5960" t="s">
        <v>326</v>
      </c>
      <c r="D5960">
        <v>0</v>
      </c>
    </row>
    <row r="5961" spans="1:4" x14ac:dyDescent="0.25">
      <c r="A5961" t="s">
        <v>1523</v>
      </c>
    </row>
    <row r="5962" spans="1:4" x14ac:dyDescent="0.25">
      <c r="B5962" t="str">
        <f>HYPERLINK("https://www.chemistwarehouse.com.au/buy/42509/Nicabate-Lozenges-4mg-72"," Nicabate Lozenges 4mg 72")</f>
        <v xml:space="preserve"> Nicabate Lozenges 4mg 72</v>
      </c>
      <c r="C5962" t="s">
        <v>123</v>
      </c>
      <c r="D5962" t="s">
        <v>164</v>
      </c>
    </row>
    <row r="5963" spans="1:4" x14ac:dyDescent="0.25">
      <c r="B5963" t="str">
        <f>HYPERLINK("https://www.chemistwarehouse.com.au/buy/57005/Nicabate-Minis-1-5mg-60"," Nicabate Minis 1.5mg 60")</f>
        <v xml:space="preserve"> Nicabate Minis 1.5mg 60</v>
      </c>
      <c r="C5963" t="s">
        <v>450</v>
      </c>
      <c r="D5963" t="s">
        <v>1524</v>
      </c>
    </row>
    <row r="5964" spans="1:4" x14ac:dyDescent="0.25">
      <c r="B5964" t="str">
        <f>HYPERLINK("https://www.chemistwarehouse.com.au/buy/65714/Nicabate-P-Patch-21mg-Patches-28"," Nicabate P Patch 21mg Patches 28")</f>
        <v xml:space="preserve"> Nicabate P Patch 21mg Patches 28</v>
      </c>
      <c r="C5964" t="s">
        <v>514</v>
      </c>
      <c r="D5964" t="s">
        <v>162</v>
      </c>
    </row>
    <row r="5965" spans="1:4" x14ac:dyDescent="0.25">
      <c r="B5965" t="str">
        <f>HYPERLINK("https://www.chemistwarehouse.com.au/buy/31777/Nicabate-Patch-Clear-21mg-14-Value-Pack"," Nicabate Patch Clear 21mg 14 Value Pack")</f>
        <v xml:space="preserve"> Nicabate Patch Clear 21mg 14 Value Pack</v>
      </c>
      <c r="C5965" t="s">
        <v>1187</v>
      </c>
      <c r="D5965" t="s">
        <v>104</v>
      </c>
    </row>
    <row r="5966" spans="1:4" x14ac:dyDescent="0.25">
      <c r="B5966" t="str">
        <f>HYPERLINK("https://www.chemistwarehouse.com.au/buy/42510/Nicabate-Lozenges-2mg-72"," Nicabate Lozenges 2mg 72")</f>
        <v xml:space="preserve"> Nicabate Lozenges 2mg 72</v>
      </c>
      <c r="C5966" t="s">
        <v>123</v>
      </c>
      <c r="D5966" t="s">
        <v>164</v>
      </c>
    </row>
    <row r="5967" spans="1:4" x14ac:dyDescent="0.25">
      <c r="B5967" t="str">
        <f>HYPERLINK("https://www.chemistwarehouse.com.au/buy/39999/Nicabate-Patch-Clear-14mg-7"," Nicabate Patch Clear 14mg 7")</f>
        <v xml:space="preserve"> Nicabate Patch Clear 14mg 7</v>
      </c>
      <c r="C5967" t="s">
        <v>667</v>
      </c>
      <c r="D5967" t="s">
        <v>104</v>
      </c>
    </row>
    <row r="5968" spans="1:4" x14ac:dyDescent="0.25">
      <c r="B5968" t="str">
        <f>HYPERLINK("https://www.chemistwarehouse.com.au/buy/57007/Nicabate-Minis-4mg-60"," Nicabate Minis 4mg 60")</f>
        <v xml:space="preserve"> Nicabate Minis 4mg 60</v>
      </c>
      <c r="C5968" t="s">
        <v>450</v>
      </c>
      <c r="D5968" t="s">
        <v>1524</v>
      </c>
    </row>
    <row r="5969" spans="1:4" x14ac:dyDescent="0.25">
      <c r="B5969" t="str">
        <f>HYPERLINK("https://www.chemistwarehouse.com.au/buy/80564/Nicabate-Gum-4mg-Extra-Fresh-100-Pieces"," Nicabate Gum 4mg Extra Fresh 100 Pieces")</f>
        <v xml:space="preserve"> Nicabate Gum 4mg Extra Fresh 100 Pieces</v>
      </c>
      <c r="C5969" t="s">
        <v>6</v>
      </c>
      <c r="D5969" t="s">
        <v>115</v>
      </c>
    </row>
    <row r="5970" spans="1:4" x14ac:dyDescent="0.25">
      <c r="B5970" t="str">
        <f>HYPERLINK("https://www.chemistwarehouse.com.au/buy/80565/Nicabate-Gum-4mg-Extra-Fresh-30-Pieces"," Nicabate Gum 4mg Extra Fresh 30 Pieces")</f>
        <v xml:space="preserve"> Nicabate Gum 4mg Extra Fresh 30 Pieces</v>
      </c>
      <c r="C5970" t="s">
        <v>80</v>
      </c>
      <c r="D5970" t="s">
        <v>371</v>
      </c>
    </row>
    <row r="5971" spans="1:4" x14ac:dyDescent="0.25">
      <c r="B5971" t="str">
        <f>HYPERLINK("https://www.chemistwarehouse.com.au/buy/42512/Nicabate-Lozenges-4mg-36"," Nicabate Lozenges 4mg 36")</f>
        <v xml:space="preserve"> Nicabate Lozenges 4mg 36</v>
      </c>
      <c r="C5971" t="s">
        <v>61</v>
      </c>
      <c r="D5971" t="s">
        <v>104</v>
      </c>
    </row>
    <row r="5972" spans="1:4" x14ac:dyDescent="0.25">
      <c r="B5972" t="str">
        <f>HYPERLINK("https://www.chemistwarehouse.com.au/buy/54722/Nicabate-Lozenges-2mg-36"," Nicabate Lozenges 2mg 36")</f>
        <v xml:space="preserve"> Nicabate Lozenges 2mg 36</v>
      </c>
      <c r="C5972" t="s">
        <v>61</v>
      </c>
      <c r="D5972" t="s">
        <v>104</v>
      </c>
    </row>
    <row r="5973" spans="1:4" x14ac:dyDescent="0.25">
      <c r="B5973" t="str">
        <f>HYPERLINK("https://www.chemistwarehouse.com.au/buy/57004/Nicabate-Minis-1-5mg-20"," Nicabate Minis 1.5mg 20")</f>
        <v xml:space="preserve"> Nicabate Minis 1.5mg 20</v>
      </c>
      <c r="C5973" t="s">
        <v>98</v>
      </c>
      <c r="D5973" t="s">
        <v>593</v>
      </c>
    </row>
    <row r="5974" spans="1:4" x14ac:dyDescent="0.25">
      <c r="B5974" t="str">
        <f>HYPERLINK("https://www.chemistwarehouse.com.au/buy/39829/Nicabate-Patch-Clear-21mg-7"," Nicabate Patch Clear 21mg 7")</f>
        <v xml:space="preserve"> Nicabate Patch Clear 21mg 7</v>
      </c>
      <c r="C5974" t="s">
        <v>667</v>
      </c>
      <c r="D5974" t="s">
        <v>104</v>
      </c>
    </row>
    <row r="5975" spans="1:4" x14ac:dyDescent="0.25">
      <c r="B5975" t="str">
        <f>HYPERLINK("https://www.chemistwarehouse.com.au/buy/39998/Nicabate-Patch-Clear-7mg-7"," Nicabate Patch Clear 7mg 7")</f>
        <v xml:space="preserve"> Nicabate Patch Clear 7mg 7</v>
      </c>
      <c r="C5975" t="s">
        <v>667</v>
      </c>
      <c r="D5975" t="s">
        <v>104</v>
      </c>
    </row>
    <row r="5976" spans="1:4" x14ac:dyDescent="0.25">
      <c r="B5976" t="str">
        <f>HYPERLINK("https://www.chemistwarehouse.com.au/buy/57006/Nicabate-Minis-4mg-20"," Nicabate Minis 4mg 20")</f>
        <v xml:space="preserve"> Nicabate Minis 4mg 20</v>
      </c>
      <c r="C5976" t="s">
        <v>98</v>
      </c>
      <c r="D5976" t="s">
        <v>593</v>
      </c>
    </row>
    <row r="5977" spans="1:4" x14ac:dyDescent="0.25">
      <c r="B5977" t="str">
        <f>HYPERLINK("https://www.chemistwarehouse.com.au/buy/80562/Nicabate-Gum-2mg-Extra-Fresh-100-Pieces"," Nicabate Gum 2mg Extra Fresh 100 Pieces")</f>
        <v xml:space="preserve"> Nicabate Gum 2mg Extra Fresh 100 Pieces</v>
      </c>
      <c r="C5977" t="s">
        <v>6</v>
      </c>
      <c r="D5977" t="s">
        <v>115</v>
      </c>
    </row>
    <row r="5978" spans="1:4" x14ac:dyDescent="0.25">
      <c r="B5978" t="str">
        <f>HYPERLINK("https://www.chemistwarehouse.com.au/buy/80563/Nicabate-Gum-2mg-Extra-Fresh-30-Pieces"," Nicabate Gum 2mg Extra Fresh 30 Pieces")</f>
        <v xml:space="preserve"> Nicabate Gum 2mg Extra Fresh 30 Pieces</v>
      </c>
      <c r="C5978" t="s">
        <v>80</v>
      </c>
      <c r="D5978" t="s">
        <v>371</v>
      </c>
    </row>
    <row r="5979" spans="1:4" x14ac:dyDescent="0.25">
      <c r="A5979" t="s">
        <v>1525</v>
      </c>
    </row>
    <row r="5980" spans="1:4" x14ac:dyDescent="0.25">
      <c r="B5980" t="str">
        <f>HYPERLINK("https://www.chemistwarehouse.com.au/buy/57616/Nicorette-Gum-Extra-Strength-4mg-Classic-210-Chewing-Gum"," Nicorette Gum Extra Strength 4mg Classic 210 Chewing Gum")</f>
        <v xml:space="preserve"> Nicorette Gum Extra Strength 4mg Classic 210 Chewing Gum</v>
      </c>
      <c r="C5980" t="s">
        <v>168</v>
      </c>
      <c r="D5980" t="s">
        <v>169</v>
      </c>
    </row>
    <row r="5981" spans="1:4" x14ac:dyDescent="0.25">
      <c r="B5981" t="str">
        <f>HYPERLINK("https://www.chemistwarehouse.com.au/buy/57961/Nicorette-Gum-2mg-Classic-210-Pieces"," Nicorette Gum 2mg Classic 210 Pieces")</f>
        <v xml:space="preserve"> Nicorette Gum 2mg Classic 210 Pieces</v>
      </c>
      <c r="C5981" t="s">
        <v>168</v>
      </c>
      <c r="D5981" t="s">
        <v>169</v>
      </c>
    </row>
    <row r="5982" spans="1:4" x14ac:dyDescent="0.25">
      <c r="B5982" t="str">
        <f>HYPERLINK("https://www.chemistwarehouse.com.au/buy/68944/Nicorette-Gum-2mg-Icy-Mint-210-Pieces"," Nicorette Gum 2mg Icy Mint 210 Pieces")</f>
        <v xml:space="preserve"> Nicorette Gum 2mg Icy Mint 210 Pieces</v>
      </c>
      <c r="C5982" t="s">
        <v>168</v>
      </c>
      <c r="D5982" t="s">
        <v>169</v>
      </c>
    </row>
    <row r="5983" spans="1:4" x14ac:dyDescent="0.25">
      <c r="B5983" t="str">
        <f>HYPERLINK("https://www.chemistwarehouse.com.au/buy/49578/Nicorette-Regular-Strength-2mg-Freshmint-105-Chewing-Gum"," Nicorette Regular Strength (2mg) Freshmint 105 Chewing Gum")</f>
        <v xml:space="preserve"> Nicorette Regular Strength (2mg) Freshmint 105 Chewing Gum</v>
      </c>
      <c r="C5983" t="s">
        <v>111</v>
      </c>
      <c r="D5983" t="s">
        <v>217</v>
      </c>
    </row>
    <row r="5984" spans="1:4" x14ac:dyDescent="0.25">
      <c r="B5984" t="str">
        <f>HYPERLINK("https://www.chemistwarehouse.com.au/buy/68943/Nicorette-Gum-4mg-Icy-Mint-210-Pieces"," Nicorette Gum 4mg Icy Mint 210 Pieces")</f>
        <v xml:space="preserve"> Nicorette Gum 4mg Icy Mint 210 Pieces</v>
      </c>
      <c r="C5984" t="s">
        <v>168</v>
      </c>
      <c r="D5984" t="s">
        <v>169</v>
      </c>
    </row>
    <row r="5985" spans="1:4" x14ac:dyDescent="0.25">
      <c r="B5985" t="str">
        <f>HYPERLINK("https://www.chemistwarehouse.com.au/buy/60239/Nicorette-Icy-Mint-Gum-2mg-105"," Nicorette Icy Mint Gum 2mg 105")</f>
        <v xml:space="preserve"> Nicorette Icy Mint Gum 2mg 105</v>
      </c>
      <c r="C5985" t="s">
        <v>111</v>
      </c>
      <c r="D5985" t="s">
        <v>217</v>
      </c>
    </row>
    <row r="5986" spans="1:4" x14ac:dyDescent="0.25">
      <c r="B5986" t="str">
        <f>HYPERLINK("https://www.chemistwarehouse.com.au/buy/63456/Nicorette-Gum-4mg-Fresh-Fruit-Pieces-30"," Nicorette Gum 4mg Fresh Fruit Pieces 30")</f>
        <v xml:space="preserve"> Nicorette Gum 4mg Fresh Fruit Pieces 30</v>
      </c>
      <c r="C5986" t="s">
        <v>80</v>
      </c>
      <c r="D5986" t="s">
        <v>104</v>
      </c>
    </row>
    <row r="5987" spans="1:4" x14ac:dyDescent="0.25">
      <c r="B5987" t="str">
        <f>HYPERLINK("https://www.chemistwarehouse.com.au/buy/63457/Nicorette-Gum-4mg-Classic-30-Pieces"," Nicorette Gum 4mg Classic 30 Pieces")</f>
        <v xml:space="preserve"> Nicorette Gum 4mg Classic 30 Pieces</v>
      </c>
      <c r="C5987" t="s">
        <v>80</v>
      </c>
      <c r="D5987" t="s">
        <v>104</v>
      </c>
    </row>
    <row r="5988" spans="1:4" x14ac:dyDescent="0.25">
      <c r="B5988" t="str">
        <f>HYPERLINK("https://www.chemistwarehouse.com.au/buy/49579/Nicorette-Regular-Strength-2mg-Freshmint-30-Chewing-Gum"," Nicorette Regular Strength (2mg) Freshmint 30 Chewing Gum")</f>
        <v xml:space="preserve"> Nicorette Regular Strength (2mg) Freshmint 30 Chewing Gum</v>
      </c>
      <c r="C5988" t="s">
        <v>80</v>
      </c>
      <c r="D5988" t="s">
        <v>104</v>
      </c>
    </row>
    <row r="5989" spans="1:4" x14ac:dyDescent="0.25">
      <c r="B5989" t="str">
        <f>HYPERLINK("https://www.chemistwarehouse.com.au/buy/57339/Nicorette-Regular-Strength-2mg-Classic-105-Chewing-Gum"," Nicorette Regular Strength (2mg) Classic 105 Chewing Gum")</f>
        <v xml:space="preserve"> Nicorette Regular Strength (2mg) Classic 105 Chewing Gum</v>
      </c>
      <c r="C5989" t="s">
        <v>111</v>
      </c>
      <c r="D5989" t="s">
        <v>217</v>
      </c>
    </row>
    <row r="5990" spans="1:4" x14ac:dyDescent="0.25">
      <c r="B5990" t="str">
        <f>HYPERLINK("https://www.chemistwarehouse.com.au/buy/58584/Nicorette-Gum-2mg-Fresh-Fruit-30-Pieces"," Nicorette Gum 2mg Fresh Fruit 30 Pieces")</f>
        <v xml:space="preserve"> Nicorette Gum 2mg Fresh Fruit 30 Pieces</v>
      </c>
      <c r="C5990" t="s">
        <v>80</v>
      </c>
      <c r="D5990" t="s">
        <v>104</v>
      </c>
    </row>
    <row r="5991" spans="1:4" x14ac:dyDescent="0.25">
      <c r="B5991" t="str">
        <f>HYPERLINK("https://www.chemistwarehouse.com.au/buy/58585/Nicorette-Gum-2mg-Fresh-Fruit-105-Pieces"," Nicorette Gum 2mg Fresh Fruit 105 Pieces")</f>
        <v xml:space="preserve"> Nicorette Gum 2mg Fresh Fruit 105 Pieces</v>
      </c>
      <c r="C5991" t="s">
        <v>111</v>
      </c>
      <c r="D5991" t="s">
        <v>217</v>
      </c>
    </row>
    <row r="5992" spans="1:4" x14ac:dyDescent="0.25">
      <c r="B5992" t="str">
        <f>HYPERLINK("https://www.chemistwarehouse.com.au/buy/58587/Nicorette-Gum-4mg-Fresh-Fruit-105-Pieces"," Nicorette Gum 4mg Fresh Fruit 105 Pieces")</f>
        <v xml:space="preserve"> Nicorette Gum 4mg Fresh Fruit 105 Pieces</v>
      </c>
      <c r="C5992" t="s">
        <v>111</v>
      </c>
      <c r="D5992" t="s">
        <v>217</v>
      </c>
    </row>
    <row r="5993" spans="1:4" x14ac:dyDescent="0.25">
      <c r="B5993" t="str">
        <f>HYPERLINK("https://www.chemistwarehouse.com.au/buy/60238/Nicorette-Icy-Mint-Gum-4mg-105"," Nicorette Icy Mint Gum 4mg 105")</f>
        <v xml:space="preserve"> Nicorette Icy Mint Gum 4mg 105</v>
      </c>
      <c r="C5993" t="s">
        <v>111</v>
      </c>
      <c r="D5993" t="s">
        <v>217</v>
      </c>
    </row>
    <row r="5994" spans="1:4" x14ac:dyDescent="0.25">
      <c r="B5994" t="str">
        <f>HYPERLINK("https://www.chemistwarehouse.com.au/buy/6578/Nicorette-Regular-Strength-2mg-Classic-30-Chewing-Gum"," Nicorette Regular Strength (2mg) Classic 30 Chewing Gum")</f>
        <v xml:space="preserve"> Nicorette Regular Strength (2mg) Classic 30 Chewing Gum</v>
      </c>
      <c r="C5994" t="s">
        <v>80</v>
      </c>
      <c r="D5994" t="s">
        <v>104</v>
      </c>
    </row>
    <row r="5995" spans="1:4" x14ac:dyDescent="0.25">
      <c r="B5995" t="str">
        <f>HYPERLINK("https://www.chemistwarehouse.com.au/buy/6581/Nicorette-Extra-Strength-4mg-Classic-105-Chewing-Gum"," Nicorette Extra Strength (4mg) Classic 105 Chewing Gum")</f>
        <v xml:space="preserve"> Nicorette Extra Strength (4mg) Classic 105 Chewing Gum</v>
      </c>
      <c r="C5995" t="s">
        <v>111</v>
      </c>
      <c r="D5995" t="s">
        <v>217</v>
      </c>
    </row>
    <row r="5996" spans="1:4" x14ac:dyDescent="0.25">
      <c r="B5996" t="str">
        <f>HYPERLINK("https://www.chemistwarehouse.com.au/buy/49246/Nicorette-Extra-Strength-4mg-Freshmint-30-Chewing-Gum"," Nicorette Extra Strength (4mg) Freshmint 30 Chewing Gum")</f>
        <v xml:space="preserve"> Nicorette Extra Strength (4mg) Freshmint 30 Chewing Gum</v>
      </c>
      <c r="C5996" t="s">
        <v>80</v>
      </c>
      <c r="D5996" t="s">
        <v>104</v>
      </c>
    </row>
    <row r="5997" spans="1:4" x14ac:dyDescent="0.25">
      <c r="B5997" t="str">
        <f>HYPERLINK("https://www.chemistwarehouse.com.au/buy/49247/Nicorette-Extra-Strength-4mg-Freshmint-105-Chewing-Gum"," Nicorette Extra Strength (4mg) Freshmint 105 Chewing Gum")</f>
        <v xml:space="preserve"> Nicorette Extra Strength (4mg) Freshmint 105 Chewing Gum</v>
      </c>
      <c r="C5997" t="s">
        <v>111</v>
      </c>
      <c r="D5997" t="s">
        <v>217</v>
      </c>
    </row>
    <row r="5998" spans="1:4" x14ac:dyDescent="0.25">
      <c r="A5998" t="s">
        <v>1526</v>
      </c>
    </row>
    <row r="5999" spans="1:4" x14ac:dyDescent="0.25">
      <c r="B5999" t="str">
        <f>HYPERLINK("https://www.chemistwarehouse.com.au/buy/72287/Nicorette-Invispatch-25mg-28-Pack"," Nicorette Invispatch 25mg 28 Pack")</f>
        <v xml:space="preserve"> Nicorette Invispatch 25mg 28 Pack</v>
      </c>
      <c r="C5999" t="s">
        <v>345</v>
      </c>
      <c r="D5999">
        <v>0</v>
      </c>
    </row>
    <row r="6000" spans="1:4" x14ac:dyDescent="0.25">
      <c r="B6000" t="str">
        <f>HYPERLINK("https://www.chemistwarehouse.com.au/buy/68717/Nicorette-Invispatch-25mg-14-Pack"," Nicorette Invispatch 25mg 14 Pack")</f>
        <v xml:space="preserve"> Nicorette Invispatch 25mg 14 Pack</v>
      </c>
      <c r="C6000" t="s">
        <v>258</v>
      </c>
      <c r="D6000" t="s">
        <v>167</v>
      </c>
    </row>
    <row r="6001" spans="1:4" x14ac:dyDescent="0.25">
      <c r="B6001" t="str">
        <f>HYPERLINK("https://www.chemistwarehouse.com.au/buy/68090/Nicorette-Invispatch-15mg-7-Pack"," Nicorette Invispatch 15mg 7 Pack")</f>
        <v xml:space="preserve"> Nicorette Invispatch 15mg 7 Pack</v>
      </c>
      <c r="C6001" t="s">
        <v>109</v>
      </c>
      <c r="D6001" t="s">
        <v>283</v>
      </c>
    </row>
    <row r="6002" spans="1:4" x14ac:dyDescent="0.25">
      <c r="B6002" t="str">
        <f>HYPERLINK("https://www.chemistwarehouse.com.au/buy/68091/Nicorette-Invispatch-10mg-7-Pack"," Nicorette Invispatch 10mg 7 Pack")</f>
        <v xml:space="preserve"> Nicorette Invispatch 10mg 7 Pack</v>
      </c>
      <c r="C6002" t="s">
        <v>109</v>
      </c>
      <c r="D6002" t="s">
        <v>283</v>
      </c>
    </row>
    <row r="6003" spans="1:4" x14ac:dyDescent="0.25">
      <c r="B6003" t="str">
        <f>HYPERLINK("https://www.chemistwarehouse.com.au/buy/68092/Nicorette-Invispatch-25mg-7-Pack"," Nicorette Invispatch 25mg 7 Pack")</f>
        <v xml:space="preserve"> Nicorette Invispatch 25mg 7 Pack</v>
      </c>
      <c r="C6003" t="s">
        <v>109</v>
      </c>
      <c r="D6003" t="s">
        <v>283</v>
      </c>
    </row>
    <row r="6004" spans="1:4" x14ac:dyDescent="0.25">
      <c r="A6004" t="s">
        <v>1527</v>
      </c>
    </row>
    <row r="6005" spans="1:4" x14ac:dyDescent="0.25">
      <c r="B6005" t="str">
        <f>HYPERLINK("https://www.chemistwarehouse.com.au/buy/76214/Nicorette-Quick-Mist-Spray-Triple-Pack"," Nicorette Quick Mist Spray Triple Pack")</f>
        <v xml:space="preserve"> Nicorette Quick Mist Spray Triple Pack</v>
      </c>
      <c r="C6005" t="s">
        <v>276</v>
      </c>
      <c r="D6005" t="s">
        <v>303</v>
      </c>
    </row>
    <row r="6006" spans="1:4" x14ac:dyDescent="0.25">
      <c r="B6006" t="str">
        <f>HYPERLINK("https://www.chemistwarehouse.com.au/buy/67194/Nicorette-Quick-Mist-Spray-Duo-2x150-27-2ml"," Nicorette Quick Mist Spray Duo 2x150 27.2ml")</f>
        <v xml:space="preserve"> Nicorette Quick Mist Spray Duo 2x150 27.2ml</v>
      </c>
      <c r="C6006" t="s">
        <v>113</v>
      </c>
      <c r="D6006" t="s">
        <v>1528</v>
      </c>
    </row>
    <row r="6007" spans="1:4" x14ac:dyDescent="0.25">
      <c r="B6007" t="str">
        <f>HYPERLINK("https://www.chemistwarehouse.com.au/buy/67195/Nicorette-Quick-Mist-Spray-150-13-6ml"," Nicorette Quick Mist Spray 150 13.6ml")</f>
        <v xml:space="preserve"> Nicorette Quick Mist Spray 150 13.6ml</v>
      </c>
      <c r="C6007" t="s">
        <v>123</v>
      </c>
      <c r="D6007" t="s">
        <v>299</v>
      </c>
    </row>
    <row r="6008" spans="1:4" x14ac:dyDescent="0.25">
      <c r="A6008" t="s">
        <v>1529</v>
      </c>
    </row>
    <row r="6009" spans="1:4" x14ac:dyDescent="0.25">
      <c r="B6009" t="str">
        <f>HYPERLINK("https://www.chemistwarehouse.com.au/buy/67160/Nicorette-Inhalator-15mg-20"," Nicorette Inhalator 15mg 20")</f>
        <v xml:space="preserve"> Nicorette Inhalator 15mg 20</v>
      </c>
      <c r="C6009" t="s">
        <v>125</v>
      </c>
      <c r="D6009" t="s">
        <v>217</v>
      </c>
    </row>
    <row r="6010" spans="1:4" x14ac:dyDescent="0.25">
      <c r="B6010" t="str">
        <f>HYPERLINK("https://www.chemistwarehouse.com.au/buy/67614/Nicorette-Inhalator-15mg-4-Cartridges"," Nicorette Inhalator 15mg 4 Cartridges")</f>
        <v xml:space="preserve"> Nicorette Inhalator 15mg 4 Cartridges</v>
      </c>
      <c r="C6010" t="s">
        <v>32</v>
      </c>
      <c r="D6010" t="s">
        <v>371</v>
      </c>
    </row>
    <row r="6011" spans="1:4" x14ac:dyDescent="0.25">
      <c r="A6011" t="s">
        <v>1530</v>
      </c>
    </row>
    <row r="6012" spans="1:4" x14ac:dyDescent="0.25">
      <c r="B6012" t="str">
        <f>HYPERLINK("https://www.chemistwarehouse.com.au/buy/71000/Nicorette-Cooldrops-Lozenge-2mg-80"," Nicorette Cooldrops Lozenge 2mg 80")</f>
        <v xml:space="preserve"> Nicorette Cooldrops Lozenge 2mg 80</v>
      </c>
      <c r="C6012" t="s">
        <v>10</v>
      </c>
      <c r="D6012" t="s">
        <v>274</v>
      </c>
    </row>
    <row r="6013" spans="1:4" x14ac:dyDescent="0.25">
      <c r="B6013" t="str">
        <f>HYPERLINK("https://www.chemistwarehouse.com.au/buy/80466/Nicorette-Cooldrops-Lozenge-2mg-120"," Nicorette Cooldrops Lozenge 2mg 120")</f>
        <v xml:space="preserve"> Nicorette Cooldrops Lozenge 2mg 120</v>
      </c>
      <c r="C6013" t="s">
        <v>163</v>
      </c>
      <c r="D6013" t="s">
        <v>1531</v>
      </c>
    </row>
    <row r="6014" spans="1:4" x14ac:dyDescent="0.25">
      <c r="B6014" t="str">
        <f>HYPERLINK("https://www.chemistwarehouse.com.au/buy/80467/Nicorette-Cooldrops-Lozenge-4mg-120"," Nicorette Cooldrops Lozenge 4mg 120")</f>
        <v xml:space="preserve"> Nicorette Cooldrops Lozenge 4mg 120</v>
      </c>
      <c r="C6014" t="s">
        <v>163</v>
      </c>
      <c r="D6014" t="s">
        <v>1531</v>
      </c>
    </row>
    <row r="6015" spans="1:4" x14ac:dyDescent="0.25">
      <c r="B6015" t="str">
        <f>HYPERLINK("https://www.chemistwarehouse.com.au/buy/70999/Nicorette-Cooldrops-Lozenge-2mg-20"," Nicorette Cooldrops Lozenge 2mg 20 ")</f>
        <v xml:space="preserve"> Nicorette Cooldrops Lozenge 2mg 20 </v>
      </c>
      <c r="C6015" t="s">
        <v>32</v>
      </c>
      <c r="D6015" t="s">
        <v>115</v>
      </c>
    </row>
    <row r="6016" spans="1:4" x14ac:dyDescent="0.25">
      <c r="B6016" t="str">
        <f>HYPERLINK("https://www.chemistwarehouse.com.au/buy/71001/Nicorette-Cooldrops-Lozenge-4mg-20"," Nicorette Cooldrops Lozenge 4mg 20")</f>
        <v xml:space="preserve"> Nicorette Cooldrops Lozenge 4mg 20</v>
      </c>
      <c r="C6016" t="s">
        <v>32</v>
      </c>
      <c r="D6016" t="s">
        <v>115</v>
      </c>
    </row>
    <row r="6017" spans="1:4" x14ac:dyDescent="0.25">
      <c r="B6017" t="str">
        <f>HYPERLINK("https://www.chemistwarehouse.com.au/buy/71002/Nicorette-Cooldrops-Lozenge-4mg-80"," Nicorette Cooldrops Lozenge 4mg 80")</f>
        <v xml:space="preserve"> Nicorette Cooldrops Lozenge 4mg 80</v>
      </c>
      <c r="C6017" t="s">
        <v>10</v>
      </c>
      <c r="D6017" t="s">
        <v>274</v>
      </c>
    </row>
    <row r="6018" spans="1:4" x14ac:dyDescent="0.25">
      <c r="A6018" t="s">
        <v>1532</v>
      </c>
    </row>
    <row r="6019" spans="1:4" x14ac:dyDescent="0.25">
      <c r="B6019" t="str">
        <f>HYPERLINK("https://www.chemistwarehouse.com.au/buy/6593/Nicotinell-Chewing-Gum-2mg-Mint-96"," Nicotinell Chewing Gum 2mg Mint 96")</f>
        <v xml:space="preserve"> Nicotinell Chewing Gum 2mg Mint 96</v>
      </c>
      <c r="C6019" t="s">
        <v>153</v>
      </c>
      <c r="D6019" t="s">
        <v>164</v>
      </c>
    </row>
    <row r="6020" spans="1:4" x14ac:dyDescent="0.25">
      <c r="B6020" t="str">
        <f>HYPERLINK("https://www.chemistwarehouse.com.au/buy/6594/Nicotinell-Chewing-Gum-2mg-Fruit-96"," Nicotinell Chewing Gum 2mg Fruit 96")</f>
        <v xml:space="preserve"> Nicotinell Chewing Gum 2mg Fruit 96</v>
      </c>
      <c r="C6020" t="s">
        <v>153</v>
      </c>
      <c r="D6020" t="s">
        <v>164</v>
      </c>
    </row>
    <row r="6021" spans="1:4" x14ac:dyDescent="0.25">
      <c r="B6021" t="str">
        <f>HYPERLINK("https://www.chemistwarehouse.com.au/buy/6597/Nicotinell-Chewing-Gum-4mg-Mint-96"," Nicotinell Chewing Gum 4mg Mint 96")</f>
        <v xml:space="preserve"> Nicotinell Chewing Gum 4mg Mint 96</v>
      </c>
      <c r="C6021" t="s">
        <v>125</v>
      </c>
      <c r="D6021" t="s">
        <v>164</v>
      </c>
    </row>
    <row r="6022" spans="1:4" x14ac:dyDescent="0.25">
      <c r="B6022" t="str">
        <f>HYPERLINK("https://www.chemistwarehouse.com.au/buy/6598/Nicotinell-Chewing-Gum-4mg-Fruit-96"," Nicotinell Chewing Gum 4mg Fruit 96")</f>
        <v xml:space="preserve"> Nicotinell Chewing Gum 4mg Fruit 96</v>
      </c>
      <c r="C6022" t="s">
        <v>125</v>
      </c>
      <c r="D6022" t="s">
        <v>164</v>
      </c>
    </row>
    <row r="6023" spans="1:4" x14ac:dyDescent="0.25">
      <c r="B6023" t="str">
        <f>HYPERLINK("https://www.chemistwarehouse.com.au/buy/54257/Nicotinell-Patch-21mg-7-Patches"," Nicotinell Patch 21mg 7 Patches")</f>
        <v xml:space="preserve"> Nicotinell Patch 21mg 7 Patches</v>
      </c>
      <c r="C6023" t="s">
        <v>1</v>
      </c>
      <c r="D6023" t="s">
        <v>46</v>
      </c>
    </row>
    <row r="6024" spans="1:4" x14ac:dyDescent="0.25">
      <c r="B6024" t="str">
        <f>HYPERLINK("https://www.chemistwarehouse.com.au/buy/60735/Nicotinell-10-7mg-Patches-7"," Nicotinell 10 7mg Patches 7")</f>
        <v xml:space="preserve"> Nicotinell 10 7mg Patches 7</v>
      </c>
      <c r="C6024" t="s">
        <v>61</v>
      </c>
      <c r="D6024" t="s">
        <v>283</v>
      </c>
    </row>
    <row r="6025" spans="1:4" x14ac:dyDescent="0.25">
      <c r="B6025" t="str">
        <f>HYPERLINK("https://www.chemistwarehouse.com.au/buy/60736/Nicotinell-20-14mg-Patches-7"," Nicotinell 20 14mg Patches 7")</f>
        <v xml:space="preserve"> Nicotinell 20 14mg Patches 7</v>
      </c>
      <c r="C6025" t="s">
        <v>63</v>
      </c>
      <c r="D6025" t="s">
        <v>283</v>
      </c>
    </row>
    <row r="6026" spans="1:4" x14ac:dyDescent="0.25">
      <c r="B6026" t="str">
        <f>HYPERLINK("https://www.chemistwarehouse.com.au/buy/65516/Nicotinell-Patch-14mg-28day"," Nicotinell Patch 14mg 28day")</f>
        <v xml:space="preserve"> Nicotinell Patch 14mg 28day</v>
      </c>
      <c r="C6026" t="s">
        <v>514</v>
      </c>
      <c r="D6026" t="s">
        <v>162</v>
      </c>
    </row>
    <row r="6027" spans="1:4" x14ac:dyDescent="0.25">
      <c r="B6027" t="str">
        <f>HYPERLINK("https://www.chemistwarehouse.com.au/buy/65517/Nicotinell-Patch-7mg-28-Day"," Nicotinell Patch 7mg 28 Day")</f>
        <v xml:space="preserve"> Nicotinell Patch 7mg 28 Day</v>
      </c>
      <c r="C6027" t="s">
        <v>514</v>
      </c>
      <c r="D6027" t="s">
        <v>162</v>
      </c>
    </row>
    <row r="6028" spans="1:4" x14ac:dyDescent="0.25">
      <c r="B6028" t="str">
        <f>HYPERLINK("https://www.chemistwarehouse.com.au/buy/82027/Nicotinell-Lozenges-Mint-2mg-144-Exclusive-Size"," Nicotinell Lozenges Mint 2mg 144 Exclusive Size")</f>
        <v xml:space="preserve"> Nicotinell Lozenges Mint 2mg 144 Exclusive Size</v>
      </c>
      <c r="C6028" t="s">
        <v>113</v>
      </c>
      <c r="D6028">
        <v>0</v>
      </c>
    </row>
    <row r="6029" spans="1:4" x14ac:dyDescent="0.25">
      <c r="B6029" t="str">
        <f>HYPERLINK("https://www.chemistwarehouse.com.au/buy/82028/Nicotinell-Lozenges-Mint-4mg-144-Exclusive-Size"," Nicotinell Lozenges Mint 4mg 144 Exclusive Size")</f>
        <v xml:space="preserve"> Nicotinell Lozenges Mint 4mg 144 Exclusive Size</v>
      </c>
      <c r="C6029" t="s">
        <v>113</v>
      </c>
      <c r="D6029">
        <v>0</v>
      </c>
    </row>
    <row r="6030" spans="1:4" x14ac:dyDescent="0.25">
      <c r="A6030" t="s">
        <v>1533</v>
      </c>
    </row>
    <row r="6031" spans="1:4" x14ac:dyDescent="0.25">
      <c r="B6031" t="str">
        <f>HYPERLINK("https://www.chemistwarehouse.com.au/buy/40672/QuitX-Gum-4mg-Classic-100"," QuitX Gum 4mg Classic 100")</f>
        <v xml:space="preserve"> QuitX Gum 4mg Classic 100</v>
      </c>
      <c r="C6031" t="s">
        <v>173</v>
      </c>
      <c r="D6031" t="s">
        <v>159</v>
      </c>
    </row>
    <row r="6032" spans="1:4" x14ac:dyDescent="0.25">
      <c r="B6032" t="str">
        <f>HYPERLINK("https://www.chemistwarehouse.com.au/buy/40923/QuitX-Patches-Step-3-7x-24hr-7mg-patch"," QuitX Patches Step 3 - 7x 24hr 7mg patch")</f>
        <v xml:space="preserve"> QuitX Patches Step 3 - 7x 24hr 7mg patch</v>
      </c>
      <c r="C6032" t="s">
        <v>58</v>
      </c>
      <c r="D6032" t="s">
        <v>145</v>
      </c>
    </row>
    <row r="6033" spans="1:4" x14ac:dyDescent="0.25">
      <c r="B6033" t="str">
        <f>HYPERLINK("https://www.chemistwarehouse.com.au/buy/40925/QuitX-Patches-Step-1-7x-24hr-21mg-patch"," QuitX Patches Step 1 - 7x 24hr 21mg patch")</f>
        <v xml:space="preserve"> QuitX Patches Step 1 - 7x 24hr 21mg patch</v>
      </c>
      <c r="C6033" t="s">
        <v>1</v>
      </c>
      <c r="D6033" t="s">
        <v>165</v>
      </c>
    </row>
    <row r="6034" spans="1:4" x14ac:dyDescent="0.25">
      <c r="B6034" t="str">
        <f>HYPERLINK("https://www.chemistwarehouse.com.au/buy/40957/QuitX-Gum-2mg-Classic-100"," QuitX Gum 2mg Classic 100")</f>
        <v xml:space="preserve"> QuitX Gum 2mg Classic 100</v>
      </c>
      <c r="C6034" t="s">
        <v>8</v>
      </c>
      <c r="D6034" t="s">
        <v>64</v>
      </c>
    </row>
    <row r="6035" spans="1:4" x14ac:dyDescent="0.25">
      <c r="B6035" t="str">
        <f>HYPERLINK("https://www.chemistwarehouse.com.au/buy/40943/QuitX-Gum-4mg-Mint-100"," QuitX Gum 4mg Mint 100")</f>
        <v xml:space="preserve"> QuitX Gum 4mg Mint 100</v>
      </c>
      <c r="C6035" t="s">
        <v>173</v>
      </c>
      <c r="D6035" t="s">
        <v>159</v>
      </c>
    </row>
    <row r="6036" spans="1:4" x14ac:dyDescent="0.25">
      <c r="B6036" t="str">
        <f>HYPERLINK("https://www.chemistwarehouse.com.au/buy/40924/QuitX-Patches-Step-2-7x-24hr-14mg-patch"," QuitX Patches Step 2 - 7x 24hr 14mg patch")</f>
        <v xml:space="preserve"> QuitX Patches Step 2 - 7x 24hr 14mg patch</v>
      </c>
      <c r="C6036" t="s">
        <v>8</v>
      </c>
      <c r="D6036" t="s">
        <v>165</v>
      </c>
    </row>
    <row r="6037" spans="1:4" x14ac:dyDescent="0.25">
      <c r="A6037" t="s">
        <v>1534</v>
      </c>
    </row>
    <row r="6038" spans="1:4" x14ac:dyDescent="0.25">
      <c r="B6038" t="str">
        <f>HYPERLINK("https://www.chemistwarehouse.com.au/buy/42685/Ego-Resolve-Plus-0-5-30g-Tube"," Ego Resolve Plus 0.5% 30g Tube")</f>
        <v xml:space="preserve"> Ego Resolve Plus 0.5% 30g Tube</v>
      </c>
      <c r="C6038" t="s">
        <v>430</v>
      </c>
      <c r="D6038">
        <v>0</v>
      </c>
    </row>
    <row r="6039" spans="1:4" x14ac:dyDescent="0.25">
      <c r="B6039" t="str">
        <f>HYPERLINK("https://www.chemistwarehouse.com.au/buy/43075/Ego-Resolve-Jock-Itch-25g"," Ego Resolve Jock Itch 25g")</f>
        <v xml:space="preserve"> Ego Resolve Jock Itch 25g</v>
      </c>
      <c r="C6039" t="s">
        <v>116</v>
      </c>
      <c r="D6039">
        <v>0</v>
      </c>
    </row>
    <row r="6040" spans="1:4" x14ac:dyDescent="0.25">
      <c r="B6040" t="str">
        <f>HYPERLINK("https://www.chemistwarehouse.com.au/buy/74136/Ego-Resolve-Tinea-Powder-20g-Bottle"," Ego Resolve Tinea Powder 20g Bottle")</f>
        <v xml:space="preserve"> Ego Resolve Tinea Powder 20g Bottle</v>
      </c>
      <c r="C6040" t="s">
        <v>554</v>
      </c>
      <c r="D6040">
        <v>0</v>
      </c>
    </row>
    <row r="6041" spans="1:4" x14ac:dyDescent="0.25">
      <c r="B6041" t="str">
        <f>HYPERLINK("https://www.chemistwarehouse.com.au/buy/58575/Ego-Resolve-Solution-25ml"," Ego Resolve Solution 25ml")</f>
        <v xml:space="preserve"> Ego Resolve Solution 25ml</v>
      </c>
      <c r="C6041" t="s">
        <v>242</v>
      </c>
      <c r="D6041">
        <v>0</v>
      </c>
    </row>
    <row r="6042" spans="1:4" x14ac:dyDescent="0.25">
      <c r="A6042" t="s">
        <v>1535</v>
      </c>
    </row>
    <row r="6043" spans="1:4" x14ac:dyDescent="0.25">
      <c r="B6043" t="str">
        <f>HYPERLINK("https://www.chemistwarehouse.com.au/buy/71860/Medi-Freeze-Skin-Tag-Remover"," Medi Freeze Skin Tag Remover")</f>
        <v xml:space="preserve"> Medi Freeze Skin Tag Remover</v>
      </c>
      <c r="C6043" t="s">
        <v>10</v>
      </c>
      <c r="D6043" t="s">
        <v>165</v>
      </c>
    </row>
    <row r="6044" spans="1:4" x14ac:dyDescent="0.25">
      <c r="B6044" t="str">
        <f>HYPERLINK("https://www.chemistwarehouse.com.au/buy/55352/Wartner-Wart-Removal-System-50ml"," Wartner Wart Removal System 50ml")</f>
        <v xml:space="preserve"> Wartner Wart Removal System 50ml</v>
      </c>
      <c r="C6044" t="s">
        <v>10</v>
      </c>
      <c r="D6044" t="s">
        <v>165</v>
      </c>
    </row>
    <row r="6045" spans="1:4" x14ac:dyDescent="0.25">
      <c r="B6045" t="str">
        <f>HYPERLINK("https://www.chemistwarehouse.com.au/buy/55914/Scholl-Wart-Removal-System-Washproof"," Scholl Wart Removal System Washproof")</f>
        <v xml:space="preserve"> Scholl Wart Removal System Washproof</v>
      </c>
      <c r="C6045" t="s">
        <v>187</v>
      </c>
      <c r="D6045" t="s">
        <v>147</v>
      </c>
    </row>
    <row r="6046" spans="1:4" x14ac:dyDescent="0.25">
      <c r="B6046" t="str">
        <f>HYPERLINK("https://www.chemistwarehouse.com.au/buy/51525/Wart-Off-Stick-5g"," Wart Off Stick 5g")</f>
        <v xml:space="preserve"> Wart Off Stick 5g</v>
      </c>
      <c r="C6046" t="s">
        <v>45</v>
      </c>
      <c r="D6046">
        <v>0</v>
      </c>
    </row>
    <row r="6047" spans="1:4" x14ac:dyDescent="0.25">
      <c r="B6047" t="str">
        <f>HYPERLINK("https://www.chemistwarehouse.com.au/buy/55708/Wartner-Plantar-Wart-Remover-50-ml"," Wartner Plantar Wart Remover 50 ml")</f>
        <v xml:space="preserve"> Wartner Plantar Wart Remover 50 ml</v>
      </c>
      <c r="C6047" t="s">
        <v>10</v>
      </c>
      <c r="D6047" t="s">
        <v>165</v>
      </c>
    </row>
    <row r="6048" spans="1:4" x14ac:dyDescent="0.25">
      <c r="B6048" t="str">
        <f>HYPERLINK("https://www.chemistwarehouse.com.au/buy/3697/Duofilm-Solution-15ml"," Duofilm Solution 15ml")</f>
        <v xml:space="preserve"> Duofilm Solution 15ml</v>
      </c>
      <c r="C6048" t="s">
        <v>98</v>
      </c>
      <c r="D6048">
        <v>0</v>
      </c>
    </row>
    <row r="6049" spans="1:4" x14ac:dyDescent="0.25">
      <c r="B6049" t="str">
        <f>HYPERLINK("https://www.chemistwarehouse.com.au/buy/8359/Wart-Off-Paint-6ml"," Wart Off Paint 6ml")</f>
        <v xml:space="preserve"> Wart Off Paint 6ml</v>
      </c>
      <c r="C6049" t="s">
        <v>107</v>
      </c>
      <c r="D6049">
        <v>0</v>
      </c>
    </row>
    <row r="6050" spans="1:4" x14ac:dyDescent="0.25">
      <c r="B6050" t="str">
        <f>HYPERLINK("https://www.chemistwarehouse.com.au/buy/51260/Scholl-Freeze-Verruca-amp-Wart-Remover-80ml"," Scholl Freeze Verruca &amp; Wart Remover 80ml")</f>
        <v xml:space="preserve"> Scholl Freeze Verruca &amp; Wart Remover 80ml</v>
      </c>
      <c r="C6050" t="s">
        <v>109</v>
      </c>
      <c r="D6050" t="s">
        <v>145</v>
      </c>
    </row>
    <row r="6051" spans="1:4" x14ac:dyDescent="0.25">
      <c r="A6051" t="s">
        <v>1536</v>
      </c>
    </row>
    <row r="6052" spans="1:4" x14ac:dyDescent="0.25">
      <c r="B6052" t="str">
        <f>HYPERLINK("https://www.chemistwarehouse.com.au/buy/5875/Lamisil-Cream-15g-Limit-of-ONE-Per-Order"," Lamisil Cream 15g (Limit of ONE Per Order)")</f>
        <v xml:space="preserve"> Lamisil Cream 15g (Limit of ONE Per Order)</v>
      </c>
      <c r="C6052" t="s">
        <v>187</v>
      </c>
      <c r="D6052">
        <v>0</v>
      </c>
    </row>
    <row r="6053" spans="1:4" x14ac:dyDescent="0.25">
      <c r="B6053" t="str">
        <f>HYPERLINK("https://www.chemistwarehouse.com.au/buy/1878/Canesten-Clotrimazole-Antifungal-Cream-20g"," Canesten Clotrimazole Antifungal Cream 20g")</f>
        <v xml:space="preserve"> Canesten Clotrimazole Antifungal Cream 20g</v>
      </c>
      <c r="C6053" t="s">
        <v>242</v>
      </c>
      <c r="D6053">
        <v>0</v>
      </c>
    </row>
    <row r="6054" spans="1:4" x14ac:dyDescent="0.25">
      <c r="B6054" t="str">
        <f>HYPERLINK("https://www.chemistwarehouse.com.au/buy/1879/Canesten-Cream-1-50g-Topical"," Canesten Cream 1% 50g Topical")</f>
        <v xml:space="preserve"> Canesten Cream 1% 50g Topical</v>
      </c>
      <c r="C6054" t="s">
        <v>45</v>
      </c>
      <c r="D6054">
        <v>0</v>
      </c>
    </row>
    <row r="6055" spans="1:4" x14ac:dyDescent="0.25">
      <c r="B6055" t="str">
        <f>HYPERLINK("https://www.chemistwarehouse.com.au/buy/2512/Clonea-Antifungal-Skin-Cream-50g"," Clonea Antifungal Skin Cream 50g")</f>
        <v xml:space="preserve"> Clonea Antifungal Skin Cream 50g</v>
      </c>
      <c r="C6055" t="s">
        <v>116</v>
      </c>
      <c r="D6055">
        <v>0</v>
      </c>
    </row>
    <row r="6056" spans="1:4" x14ac:dyDescent="0.25">
      <c r="B6056" t="str">
        <f>HYPERLINK("https://www.chemistwarehouse.com.au/buy/32603/Canesten-Once-Daily-Anti-Fungal-Body-Cream-30g"," Canesten Once Daily Anti-Fungal Body Cream 30g")</f>
        <v xml:space="preserve"> Canesten Once Daily Anti-Fungal Body Cream 30g</v>
      </c>
      <c r="C6056" t="s">
        <v>58</v>
      </c>
      <c r="D6056">
        <v>0</v>
      </c>
    </row>
    <row r="6057" spans="1:4" x14ac:dyDescent="0.25">
      <c r="B6057" t="str">
        <f>HYPERLINK("https://www.chemistwarehouse.com.au/buy/7104/Pevaryl-Foaming-Solution-1-3x10g-Sachets"," Pevaryl Foaming Solution 1% 3x10g Sachets")</f>
        <v xml:space="preserve"> Pevaryl Foaming Solution 1% 3x10g Sachets</v>
      </c>
      <c r="C6057" t="s">
        <v>202</v>
      </c>
      <c r="D6057">
        <v>0</v>
      </c>
    </row>
    <row r="6058" spans="1:4" x14ac:dyDescent="0.25">
      <c r="B6058" t="str">
        <f>HYPERLINK("https://www.chemistwarehouse.com.au/buy/52019/Nilstat-Oral-Drops-24mL"," Nilstat Oral Drops 24mL")</f>
        <v xml:space="preserve"> Nilstat Oral Drops 24mL</v>
      </c>
      <c r="C6058" t="s">
        <v>98</v>
      </c>
      <c r="D6058">
        <v>0</v>
      </c>
    </row>
    <row r="6059" spans="1:4" x14ac:dyDescent="0.25">
      <c r="B6059" t="str">
        <f>HYPERLINK("https://www.chemistwarehouse.com.au/buy/64588/Tinaderm-Spray-Powder-1-100g"," Tinaderm Spray Powder 1% 100g")</f>
        <v xml:space="preserve"> Tinaderm Spray Powder 1% 100g</v>
      </c>
      <c r="C6059" t="s">
        <v>107</v>
      </c>
      <c r="D6059" t="s">
        <v>755</v>
      </c>
    </row>
    <row r="6060" spans="1:4" x14ac:dyDescent="0.25">
      <c r="B6060" t="str">
        <f>HYPERLINK("https://www.chemistwarehouse.com.au/buy/5876/Lamisil-Dermgel-15g-Limit-of-ONE-Per-Order"," Lamisil Dermgel 15g (Limit of ONE Per Order)")</f>
        <v xml:space="preserve"> Lamisil Dermgel 15g (Limit of ONE Per Order)</v>
      </c>
      <c r="C6060" t="s">
        <v>187</v>
      </c>
      <c r="D6060">
        <v>0</v>
      </c>
    </row>
    <row r="6061" spans="1:4" x14ac:dyDescent="0.25">
      <c r="B6061" t="str">
        <f>HYPERLINK("https://www.chemistwarehouse.com.au/buy/6360/Mycospor-Cream-15g"," Mycospor Cream 15g")</f>
        <v xml:space="preserve"> Mycospor Cream 15g</v>
      </c>
      <c r="C6061" t="s">
        <v>404</v>
      </c>
      <c r="D6061">
        <v>0</v>
      </c>
    </row>
    <row r="6062" spans="1:4" x14ac:dyDescent="0.25">
      <c r="B6062" t="str">
        <f>HYPERLINK("https://www.chemistwarehouse.com.au/buy/6362/Mycostatin-Antifungal-Cream-15g"," Mycostatin Antifungal Cream 15g")</f>
        <v xml:space="preserve"> Mycostatin Antifungal Cream 15g</v>
      </c>
      <c r="C6062" t="s">
        <v>782</v>
      </c>
      <c r="D6062">
        <v>0</v>
      </c>
    </row>
    <row r="6063" spans="1:4" x14ac:dyDescent="0.25">
      <c r="B6063" t="str">
        <f>HYPERLINK("https://www.chemistwarehouse.com.au/buy/7103/Pevaryl-Cream-1-20G"," Pevaryl Cream 1% 20G")</f>
        <v xml:space="preserve"> Pevaryl Cream 1% 20G</v>
      </c>
      <c r="C6063" t="s">
        <v>116</v>
      </c>
      <c r="D6063">
        <v>0</v>
      </c>
    </row>
    <row r="6064" spans="1:4" x14ac:dyDescent="0.25">
      <c r="B6064" t="str">
        <f>HYPERLINK("https://www.chemistwarehouse.com.au/buy/47993/Lamisil-Spray-15mL-Limit-of-ONE-Per-Order"," Lamisil Spray 15mL (Limit of ONE Per Order)")</f>
        <v xml:space="preserve"> Lamisil Spray 15mL (Limit of ONE Per Order)</v>
      </c>
      <c r="C6064" t="s">
        <v>269</v>
      </c>
      <c r="D6064">
        <v>0</v>
      </c>
    </row>
    <row r="6065" spans="1:4" x14ac:dyDescent="0.25">
      <c r="B6065" t="str">
        <f>HYPERLINK("https://www.chemistwarehouse.com.au/buy/50356/Lamisil-Once-Film-Forming-Solution-4g"," Lamisil Once Film Forming Solution 4g")</f>
        <v xml:space="preserve"> Lamisil Once Film Forming Solution 4g</v>
      </c>
      <c r="C6065" t="s">
        <v>173</v>
      </c>
      <c r="D6065">
        <v>0</v>
      </c>
    </row>
    <row r="6066" spans="1:4" x14ac:dyDescent="0.25">
      <c r="B6066" t="str">
        <f>HYPERLINK("https://www.chemistwarehouse.com.au/buy/3110/Daktarin-Cream-for-Athletes-Foot-30g"," Daktarin Cream for Athletes Foot 30g")</f>
        <v xml:space="preserve"> Daktarin Cream for Athletes Foot 30g</v>
      </c>
      <c r="C6066" t="s">
        <v>45</v>
      </c>
      <c r="D6066">
        <v>0</v>
      </c>
    </row>
    <row r="6067" spans="1:4" x14ac:dyDescent="0.25">
      <c r="B6067" t="str">
        <f>HYPERLINK("https://www.chemistwarehouse.com.au/buy/3111/Daktarin-Cream-for-Athletes-Foot-70g"," Daktarin Cream for Athletes Foot 70g")</f>
        <v xml:space="preserve"> Daktarin Cream for Athletes Foot 70g</v>
      </c>
      <c r="C6067" t="s">
        <v>80</v>
      </c>
      <c r="D6067">
        <v>0</v>
      </c>
    </row>
    <row r="6068" spans="1:4" x14ac:dyDescent="0.25">
      <c r="B6068" t="str">
        <f>HYPERLINK("https://www.chemistwarehouse.com.au/buy/3978/Egoderm-Cream-50g"," Egoderm Cream 50g")</f>
        <v xml:space="preserve"> Egoderm Cream 50g</v>
      </c>
      <c r="C6068" t="s">
        <v>80</v>
      </c>
      <c r="D6068" t="s">
        <v>1537</v>
      </c>
    </row>
    <row r="6069" spans="1:4" x14ac:dyDescent="0.25">
      <c r="B6069" t="str">
        <f>HYPERLINK("https://www.chemistwarehouse.com.au/buy/3980/Egoderm-Ointment-50g"," Egoderm Ointment 50g")</f>
        <v xml:space="preserve"> Egoderm Ointment 50g</v>
      </c>
      <c r="C6069" t="s">
        <v>80</v>
      </c>
      <c r="D6069" t="s">
        <v>1537</v>
      </c>
    </row>
    <row r="6070" spans="1:4" x14ac:dyDescent="0.25">
      <c r="B6070" t="str">
        <f>HYPERLINK("https://www.chemistwarehouse.com.au/buy/4014/EgoPsoryl-TA-Tube-30g"," EgoPsoryl TA Tube 30g")</f>
        <v xml:space="preserve"> EgoPsoryl TA Tube 30g</v>
      </c>
      <c r="C6070" t="s">
        <v>107</v>
      </c>
      <c r="D6070" t="s">
        <v>594</v>
      </c>
    </row>
    <row r="6071" spans="1:4" x14ac:dyDescent="0.25">
      <c r="B6071" t="str">
        <f>HYPERLINK("https://www.chemistwarehouse.com.au/buy/4044/Ego-Soov-Prickly-Heat-Powder-50g"," Ego Soov Prickly Heat Powder 50g")</f>
        <v xml:space="preserve"> Ego Soov Prickly Heat Powder 50g</v>
      </c>
      <c r="C6071" t="s">
        <v>107</v>
      </c>
      <c r="D6071" t="s">
        <v>1029</v>
      </c>
    </row>
    <row r="6072" spans="1:4" x14ac:dyDescent="0.25">
      <c r="B6072" t="str">
        <f>HYPERLINK("https://www.chemistwarehouse.com.au/buy/1885/Canesten-Antifungal-Topical-Solution-20mL"," Canesten Antifungal Topical Solution 20mL")</f>
        <v xml:space="preserve"> Canesten Antifungal Topical Solution 20mL</v>
      </c>
      <c r="C6072" t="s">
        <v>242</v>
      </c>
      <c r="D6072">
        <v>0</v>
      </c>
    </row>
    <row r="6073" spans="1:4" x14ac:dyDescent="0.25">
      <c r="B6073" t="str">
        <f>HYPERLINK("https://www.chemistwarehouse.com.au/buy/2511/Clonea-Antifungal-Skin-Cream-20g"," Clonea Antifungal Skin Cream 20g")</f>
        <v xml:space="preserve"> Clonea Antifungal Skin Cream 20g</v>
      </c>
      <c r="C6073" t="s">
        <v>483</v>
      </c>
      <c r="D6073">
        <v>0</v>
      </c>
    </row>
    <row r="6074" spans="1:4" x14ac:dyDescent="0.25">
      <c r="B6074" t="str">
        <f>HYPERLINK("https://www.chemistwarehouse.com.au/buy/58582/Egoderm-Cream-25g"," Egoderm Cream 25g")</f>
        <v xml:space="preserve"> Egoderm Cream 25g</v>
      </c>
      <c r="C6074" t="s">
        <v>103</v>
      </c>
      <c r="D6074" t="s">
        <v>804</v>
      </c>
    </row>
    <row r="6075" spans="1:4" x14ac:dyDescent="0.25">
      <c r="B6075" t="str">
        <f>HYPERLINK("https://www.chemistwarehouse.com.au/buy/61058/Canesten-Once-Daily-Bifonazole-20g"," Canesten Once Daily Bifonazole 20g")</f>
        <v xml:space="preserve"> Canesten Once Daily Bifonazole 20g</v>
      </c>
      <c r="C6075" t="s">
        <v>551</v>
      </c>
      <c r="D6075">
        <v>0</v>
      </c>
    </row>
    <row r="6076" spans="1:4" x14ac:dyDescent="0.25">
      <c r="A6076" t="s">
        <v>1538</v>
      </c>
    </row>
    <row r="6077" spans="1:4" x14ac:dyDescent="0.25">
      <c r="B6077" t="str">
        <f>HYPERLINK("https://www.chemistwarehouse.com.au/buy/60228/Ego-SolvEasy-Once-Daily-Tinea-Treatment-Cream-30g"," Ego SolvEasy Once Daily Tinea Treatment Cream 30g")</f>
        <v xml:space="preserve"> Ego SolvEasy Once Daily Tinea Treatment Cream 30g</v>
      </c>
      <c r="C6077" t="s">
        <v>443</v>
      </c>
      <c r="D6077" t="s">
        <v>325</v>
      </c>
    </row>
    <row r="6078" spans="1:4" x14ac:dyDescent="0.25">
      <c r="B6078" t="str">
        <f>HYPERLINK("https://www.chemistwarehouse.com.au/buy/78712/Excilor-Fungal-Nail-Solution-3-3ml"," Excilor Fungal Nail Solution 3.3ml")</f>
        <v xml:space="preserve"> Excilor Fungal Nail Solution 3.3ml</v>
      </c>
      <c r="C6078" t="s">
        <v>161</v>
      </c>
      <c r="D6078">
        <v>0</v>
      </c>
    </row>
    <row r="6079" spans="1:4" x14ac:dyDescent="0.25">
      <c r="B6079" t="str">
        <f>HYPERLINK("https://www.chemistwarehouse.com.au/buy/39694/Loceryl-Nail-Lacquer-Kit"," Loceryl Nail Lacquer Kit")</f>
        <v xml:space="preserve"> Loceryl Nail Lacquer Kit</v>
      </c>
      <c r="C6079" t="s">
        <v>334</v>
      </c>
      <c r="D6079">
        <v>0</v>
      </c>
    </row>
    <row r="6080" spans="1:4" x14ac:dyDescent="0.25">
      <c r="B6080" t="str">
        <f>HYPERLINK("https://www.chemistwarehouse.com.au/buy/3115/Daktarin-Powder-for-Athlete-39-s-Foot-2-30g"," Daktarin Powder for Athlete's Foot 2% 30g")</f>
        <v xml:space="preserve"> Daktarin Powder for Athlete's Foot 2% 30g</v>
      </c>
      <c r="C6080" t="s">
        <v>98</v>
      </c>
      <c r="D6080">
        <v>0</v>
      </c>
    </row>
    <row r="6081" spans="1:4" x14ac:dyDescent="0.25">
      <c r="B6081" t="str">
        <f>HYPERLINK("https://www.chemistwarehouse.com.au/buy/78711/Excilor-Fungal-Nail-Pen"," Excilor Fungal Nail Pen")</f>
        <v xml:space="preserve"> Excilor Fungal Nail Pen</v>
      </c>
      <c r="C6081" t="s">
        <v>161</v>
      </c>
      <c r="D6081">
        <v>0</v>
      </c>
    </row>
    <row r="6082" spans="1:4" x14ac:dyDescent="0.25">
      <c r="B6082" t="str">
        <f>HYPERLINK("https://www.chemistwarehouse.com.au/buy/66989/Ego-SolvEasy-Tinea-Spray-16ml"," Ego SolvEasy Tinea Spray 16ml")</f>
        <v xml:space="preserve"> Ego SolvEasy Tinea Spray 16ml</v>
      </c>
      <c r="C6082" t="s">
        <v>92</v>
      </c>
      <c r="D6082" t="s">
        <v>867</v>
      </c>
    </row>
    <row r="6083" spans="1:4" x14ac:dyDescent="0.25">
      <c r="B6083" t="str">
        <f>HYPERLINK("https://www.chemistwarehouse.com.au/buy/78936/Ego-SolvEasy-Tinea-Gel-15g"," Ego SolvEasy Tinea Gel 15g")</f>
        <v xml:space="preserve"> Ego SolvEasy Tinea Gel 15g</v>
      </c>
      <c r="C6083" t="s">
        <v>92</v>
      </c>
      <c r="D6083" t="s">
        <v>165</v>
      </c>
    </row>
    <row r="6084" spans="1:4" x14ac:dyDescent="0.25">
      <c r="B6084" t="str">
        <f>HYPERLINK("https://www.chemistwarehouse.com.au/buy/78937/Ego-SolvEasy-Tinea-Gel-30g"," Ego SolvEasy Tinea Gel 30g")</f>
        <v xml:space="preserve"> Ego SolvEasy Tinea Gel 30g</v>
      </c>
      <c r="C6084" t="s">
        <v>443</v>
      </c>
      <c r="D6084" t="s">
        <v>325</v>
      </c>
    </row>
    <row r="6085" spans="1:4" x14ac:dyDescent="0.25">
      <c r="B6085" t="str">
        <f>HYPERLINK("https://www.chemistwarehouse.com.au/buy/3116/Daktarin-Spray-for-Athlete-39-s-Foot-100g"," Daktarin Spray for Athlete's Foot 100g")</f>
        <v xml:space="preserve"> Daktarin Spray for Athlete's Foot 100g</v>
      </c>
      <c r="C6085" t="s">
        <v>237</v>
      </c>
      <c r="D6085">
        <v>0</v>
      </c>
    </row>
    <row r="6086" spans="1:4" x14ac:dyDescent="0.25">
      <c r="B6086" t="str">
        <f>HYPERLINK("https://www.chemistwarehouse.com.au/buy/3117/Daktarin-Tincture-for-Fungal-Nail-Infections-30mL"," Daktarin Tincture for Fungal Nail Infections 30mL")</f>
        <v xml:space="preserve"> Daktarin Tincture for Fungal Nail Infections 30mL</v>
      </c>
      <c r="C6086" t="s">
        <v>202</v>
      </c>
      <c r="D6086">
        <v>0</v>
      </c>
    </row>
    <row r="6087" spans="1:4" x14ac:dyDescent="0.25">
      <c r="B6087" t="str">
        <f>HYPERLINK("https://www.chemistwarehouse.com.au/buy/39288/DaktaGold-Once-Daily-Cream-for-Athlete-39-s-Foot-30g"," DaktaGold Once Daily Cream for Athlete's Foot 30g")</f>
        <v xml:space="preserve"> DaktaGold Once Daily Cream for Athlete's Foot 30g</v>
      </c>
      <c r="C6087" t="s">
        <v>173</v>
      </c>
      <c r="D6087">
        <v>0</v>
      </c>
    </row>
    <row r="6088" spans="1:4" x14ac:dyDescent="0.25">
      <c r="B6088" t="str">
        <f>HYPERLINK("https://www.chemistwarehouse.com.au/buy/42682/Ego-Resolve-Tinea-Cream-50g"," Ego Resolve Tinea Cream 50g")</f>
        <v xml:space="preserve"> Ego Resolve Tinea Cream 50g</v>
      </c>
      <c r="C6088" t="s">
        <v>782</v>
      </c>
      <c r="D6088">
        <v>0</v>
      </c>
    </row>
    <row r="6089" spans="1:4" x14ac:dyDescent="0.25">
      <c r="B6089" t="str">
        <f>HYPERLINK("https://www.chemistwarehouse.com.au/buy/49736/Ego-SolvEasy-Once-Daily-Tinea-Treatment-Cream-15g"," Ego SolvEasy Once Daily Tinea Treatment Cream 15g")</f>
        <v xml:space="preserve"> Ego SolvEasy Once Daily Tinea Treatment Cream 15g</v>
      </c>
      <c r="C6089" t="s">
        <v>92</v>
      </c>
      <c r="D6089" t="s">
        <v>165</v>
      </c>
    </row>
    <row r="6090" spans="1:4" x14ac:dyDescent="0.25">
      <c r="B6090" t="str">
        <f>HYPERLINK("https://www.chemistwarehouse.com.au/buy/66266/Canesten-Fungal-Nail-Treatment-Set"," Canesten Fungal Nail Treatment Set")</f>
        <v xml:space="preserve"> Canesten Fungal Nail Treatment Set</v>
      </c>
      <c r="C6090" t="s">
        <v>273</v>
      </c>
      <c r="D6090">
        <v>0</v>
      </c>
    </row>
    <row r="6091" spans="1:4" x14ac:dyDescent="0.25">
      <c r="B6091" t="str">
        <f>HYPERLINK("https://www.chemistwarehouse.com.au/buy/82534/Canesten-Extra-Cream-30g"," Canesten Extra Cream 30g")</f>
        <v xml:space="preserve"> Canesten Extra Cream 30g</v>
      </c>
      <c r="C6091" t="s">
        <v>98</v>
      </c>
      <c r="D6091">
        <v>0</v>
      </c>
    </row>
    <row r="6092" spans="1:4" x14ac:dyDescent="0.25">
      <c r="A6092" t="s">
        <v>1539</v>
      </c>
    </row>
    <row r="6093" spans="1:4" x14ac:dyDescent="0.25">
      <c r="B6093" t="str">
        <f>HYPERLINK("https://www.chemistwarehouse.com.au/buy/1886/Canesten-Clotrimazole-Thrush-Treatment-6-Day-Cream-1-S3"," Canesten Clotrimazole Thrush Treatment 6 Day Cream 1% (S3)")</f>
        <v xml:space="preserve"> Canesten Clotrimazole Thrush Treatment 6 Day Cream 1% (S3)</v>
      </c>
      <c r="C6093" t="s">
        <v>202</v>
      </c>
      <c r="D6093">
        <v>0</v>
      </c>
    </row>
    <row r="6094" spans="1:4" x14ac:dyDescent="0.25">
      <c r="B6094" t="str">
        <f>HYPERLINK("https://www.chemistwarehouse.com.au/buy/1887/Canesten-Clotrimazole-Thrush-Treatment-6-Day-Pessary-S3"," Canesten Clotrimazole Thrush Treatment 6 Day Pessary (S3)")</f>
        <v xml:space="preserve"> Canesten Clotrimazole Thrush Treatment 6 Day Pessary (S3)</v>
      </c>
      <c r="C6094" t="s">
        <v>202</v>
      </c>
      <c r="D6094">
        <v>0</v>
      </c>
    </row>
    <row r="6095" spans="1:4" x14ac:dyDescent="0.25">
      <c r="B6095" t="str">
        <f>HYPERLINK("https://www.chemistwarehouse.com.au/buy/1889/Canesten-Clotrimazole-Thrush-Treatment-3-Day-Cream-2-S3"," Canesten Clotrimazole Thrush Treatment 3 Day Cream 2% (S3)")</f>
        <v xml:space="preserve"> Canesten Clotrimazole Thrush Treatment 3 Day Cream 2% (S3)</v>
      </c>
      <c r="C6095" t="s">
        <v>187</v>
      </c>
      <c r="D6095">
        <v>0</v>
      </c>
    </row>
    <row r="6096" spans="1:4" x14ac:dyDescent="0.25">
      <c r="B6096" t="str">
        <f>HYPERLINK("https://www.chemistwarehouse.com.au/buy/20123/Canesten-Once-Cream-Clotrimazole-Thrush-Treatment-S3"," Canesten Once Cream Clotrimazole Thrush Treatment (S3)")</f>
        <v xml:space="preserve"> Canesten Once Cream Clotrimazole Thrush Treatment (S3)</v>
      </c>
      <c r="C6096" t="s">
        <v>58</v>
      </c>
      <c r="D6096">
        <v>0</v>
      </c>
    </row>
    <row r="6097" spans="1:4" x14ac:dyDescent="0.25">
      <c r="A6097" t="s">
        <v>1540</v>
      </c>
    </row>
    <row r="6098" spans="1:4" x14ac:dyDescent="0.25">
      <c r="B6098" t="str">
        <f>HYPERLINK("https://www.chemistwarehouse.com.au/buy/73286/Pregaine-Clear-Gel-Shampoo-400mL"," Pregaine Clear Gel Shampoo 400mL")</f>
        <v xml:space="preserve"> Pregaine Clear Gel Shampoo 400mL</v>
      </c>
      <c r="C6098" t="s">
        <v>187</v>
      </c>
      <c r="D6098" t="s">
        <v>397</v>
      </c>
    </row>
    <row r="6099" spans="1:4" x14ac:dyDescent="0.25">
      <c r="A6099" t="s">
        <v>1541</v>
      </c>
    </row>
    <row r="6100" spans="1:4" x14ac:dyDescent="0.25">
      <c r="B6100" t="str">
        <f>HYPERLINK("https://www.chemistwarehouse.com.au/buy/78689/Regaine-Womens-Extra-Strength-Foam-2-Months"," Regaine Womens Extra Strength Foam 2 Months")</f>
        <v xml:space="preserve"> Regaine Womens Extra Strength Foam 2 Months</v>
      </c>
      <c r="C6100" t="s">
        <v>276</v>
      </c>
      <c r="D6100">
        <v>0</v>
      </c>
    </row>
    <row r="6101" spans="1:4" x14ac:dyDescent="0.25">
      <c r="B6101" t="str">
        <f>HYPERLINK("https://www.chemistwarehouse.com.au/buy/78690/Regaine-Womens-Extra-Strength-Foam-4-Months"," Regaine Womens Extra Strength Foam 4 Months")</f>
        <v xml:space="preserve"> Regaine Womens Extra Strength Foam 4 Months</v>
      </c>
      <c r="C6101" t="s">
        <v>1542</v>
      </c>
      <c r="D6101">
        <v>0</v>
      </c>
    </row>
    <row r="6102" spans="1:4" x14ac:dyDescent="0.25">
      <c r="B6102" t="str">
        <f>HYPERLINK("https://www.chemistwarehouse.com.au/buy/72616/Regaine-Womens-Regular-Strength-3-Months"," Regaine Womens Regular Strength 3 Months")</f>
        <v xml:space="preserve"> Regaine Womens Regular Strength 3 Months</v>
      </c>
      <c r="C6102" t="s">
        <v>1543</v>
      </c>
      <c r="D6102">
        <v>0</v>
      </c>
    </row>
    <row r="6103" spans="1:4" x14ac:dyDescent="0.25">
      <c r="A6103" t="s">
        <v>1544</v>
      </c>
    </row>
    <row r="6104" spans="1:4" x14ac:dyDescent="0.25">
      <c r="B6104" t="str">
        <f>HYPERLINK("https://www.chemistwarehouse.com.au/buy/49592/Hair-Assist-All-Natural-Hair-Loss-Treatment-Spray-125mL"," Hair Assist All Natural Hair Loss Treatment Spray 125mL")</f>
        <v xml:space="preserve"> Hair Assist All Natural Hair Loss Treatment Spray 125mL</v>
      </c>
      <c r="C6104" t="s">
        <v>493</v>
      </c>
      <c r="D6104" t="s">
        <v>152</v>
      </c>
    </row>
    <row r="6105" spans="1:4" x14ac:dyDescent="0.25">
      <c r="B6105" t="str">
        <f>HYPERLINK("https://www.chemistwarehouse.com.au/buy/49593/Hair-Assist-All-Natural-Shampoo-250mL"," Hair Assist All Natural Shampoo 250mL")</f>
        <v xml:space="preserve"> Hair Assist All Natural Shampoo 250mL</v>
      </c>
      <c r="C6105" t="s">
        <v>237</v>
      </c>
      <c r="D6105" t="s">
        <v>150</v>
      </c>
    </row>
    <row r="6106" spans="1:4" x14ac:dyDescent="0.25">
      <c r="B6106" t="str">
        <f>HYPERLINK("https://www.chemistwarehouse.com.au/buy/49594/Hair-Assist-All-Natural-Conditioner-250mL"," Hair Assist All Natural Conditioner 250mL")</f>
        <v xml:space="preserve"> Hair Assist All Natural Conditioner 250mL</v>
      </c>
      <c r="C6106" t="s">
        <v>237</v>
      </c>
      <c r="D6106" t="s">
        <v>150</v>
      </c>
    </row>
    <row r="6107" spans="1:4" x14ac:dyDescent="0.25">
      <c r="A6107" t="s">
        <v>1545</v>
      </c>
    </row>
    <row r="6108" spans="1:4" x14ac:dyDescent="0.25">
      <c r="B6108" t="str">
        <f>HYPERLINK("https://www.chemistwarehouse.com.au/buy/40664/Hair-A-Gain-5-x-60ml-5-months-supply"," Hair A Gain 5 x 60ml (5 months supply)")</f>
        <v xml:space="preserve"> Hair A Gain 5 x 60ml (5 months supply)</v>
      </c>
      <c r="C6108" t="s">
        <v>1546</v>
      </c>
      <c r="D6108">
        <v>0</v>
      </c>
    </row>
    <row r="6109" spans="1:4" x14ac:dyDescent="0.25">
      <c r="A6109" t="s">
        <v>1547</v>
      </c>
    </row>
    <row r="6110" spans="1:4" x14ac:dyDescent="0.25">
      <c r="B6110" t="str">
        <f>HYPERLINK("https://www.chemistwarehouse.com.au/buy/76569/Viviscal-Man-Supplement-for-Men-60"," Viviscal Man Supplement for Men 60")</f>
        <v xml:space="preserve"> Viviscal Man Supplement for Men 60</v>
      </c>
      <c r="C6110" t="s">
        <v>566</v>
      </c>
      <c r="D6110" t="s">
        <v>159</v>
      </c>
    </row>
    <row r="6111" spans="1:4" x14ac:dyDescent="0.25">
      <c r="B6111" t="str">
        <f>HYPERLINK("https://www.chemistwarehouse.com.au/buy/76570/Viviscal-Maximum-Strength-Supplement-for-Women-60"," Viviscal Maximum Strength Supplement for Women 60")</f>
        <v xml:space="preserve"> Viviscal Maximum Strength Supplement for Women 60</v>
      </c>
      <c r="C6111" t="s">
        <v>566</v>
      </c>
      <c r="D6111" t="s">
        <v>159</v>
      </c>
    </row>
    <row r="6112" spans="1:4" x14ac:dyDescent="0.25">
      <c r="A6112" t="s">
        <v>1548</v>
      </c>
    </row>
    <row r="6113" spans="1:4" x14ac:dyDescent="0.25">
      <c r="B6113" t="str">
        <f>HYPERLINK("https://www.chemistwarehouse.com.au/buy/54690/Hydrodol-16-Capsules"," Hydrodol 16 Capsules")</f>
        <v xml:space="preserve"> Hydrodol 16 Capsules</v>
      </c>
      <c r="C6113" t="s">
        <v>58</v>
      </c>
      <c r="D6113" t="s">
        <v>145</v>
      </c>
    </row>
    <row r="6114" spans="1:4" x14ac:dyDescent="0.25">
      <c r="B6114" t="str">
        <f>HYPERLINK("https://www.chemistwarehouse.com.au/buy/77328/Hydrodol-Value-Pack-40-Capsules"," Hydrodol Value Pack 40 Capsules")</f>
        <v xml:space="preserve"> Hydrodol Value Pack 40 Capsules</v>
      </c>
      <c r="C6114" t="s">
        <v>111</v>
      </c>
      <c r="D6114">
        <v>0</v>
      </c>
    </row>
    <row r="6115" spans="1:4" x14ac:dyDescent="0.25">
      <c r="A6115" t="s">
        <v>1549</v>
      </c>
    </row>
    <row r="6116" spans="1:4" x14ac:dyDescent="0.25">
      <c r="B6116" t="str">
        <f>HYPERLINK("https://www.chemistwarehouse.com.au/buy/3981/Ego-Dermaid-0-5-Cream-30g"," Ego Dermaid 0.5% Cream 30g")</f>
        <v xml:space="preserve"> Ego Dermaid 0.5% Cream 30g</v>
      </c>
      <c r="C6116" t="s">
        <v>556</v>
      </c>
      <c r="D6116">
        <v>0</v>
      </c>
    </row>
    <row r="6117" spans="1:4" x14ac:dyDescent="0.25">
      <c r="B6117" t="str">
        <f>HYPERLINK("https://www.chemistwarehouse.com.au/buy/33328/Dermeze-Ointment-500g"," Dermeze Ointment 500g")</f>
        <v xml:space="preserve"> Dermeze Ointment 500g</v>
      </c>
      <c r="C6117" t="s">
        <v>290</v>
      </c>
      <c r="D6117" t="s">
        <v>253</v>
      </c>
    </row>
    <row r="6118" spans="1:4" x14ac:dyDescent="0.25">
      <c r="B6118" t="str">
        <f>HYPERLINK("https://www.chemistwarehouse.com.au/buy/42796/Ego-Dermaid-1-Cream-30g-S3"," Ego Dermaid 1% Cream 30g (S3)")</f>
        <v xml:space="preserve"> Ego Dermaid 1% Cream 30g (S3)</v>
      </c>
      <c r="C6118" t="s">
        <v>556</v>
      </c>
      <c r="D6118">
        <v>0</v>
      </c>
    </row>
    <row r="6119" spans="1:4" x14ac:dyDescent="0.25">
      <c r="B6119" t="str">
        <f>HYPERLINK("https://www.chemistwarehouse.com.au/buy/44825/Ego-Dermaid-0-5-Soft-Cream-30g"," Ego Dermaid 0.5% Soft Cream 30g")</f>
        <v xml:space="preserve"> Ego Dermaid 0.5% Soft Cream 30g</v>
      </c>
      <c r="C6119" t="s">
        <v>116</v>
      </c>
      <c r="D6119">
        <v>0</v>
      </c>
    </row>
    <row r="6120" spans="1:4" x14ac:dyDescent="0.25">
      <c r="B6120" t="str">
        <f>HYPERLINK("https://www.chemistwarehouse.com.au/buy/44844/Ego-Dermaid-1-Soft-Cream-30g-S3"," Ego Dermaid 1% Soft Cream 30g (S3)")</f>
        <v xml:space="preserve"> Ego Dermaid 1% Soft Cream 30g (S3)</v>
      </c>
      <c r="C6120" t="s">
        <v>556</v>
      </c>
      <c r="D6120">
        <v>0</v>
      </c>
    </row>
    <row r="6121" spans="1:4" x14ac:dyDescent="0.25">
      <c r="B6121" t="str">
        <f>HYPERLINK("https://www.chemistwarehouse.com.au/buy/57476/Ego-Resolve-Plus-Cream-1-0-30g-Tube"," Ego Resolve Plus Cream 1.0% 30g Tube")</f>
        <v xml:space="preserve"> Ego Resolve Plus Cream 1.0% 30g Tube</v>
      </c>
      <c r="C6121" t="s">
        <v>32</v>
      </c>
      <c r="D6121">
        <v>0</v>
      </c>
    </row>
    <row r="6122" spans="1:4" x14ac:dyDescent="0.25">
      <c r="B6122" t="str">
        <f>HYPERLINK("https://www.chemistwarehouse.com.au/buy/60559/Zovirax-Invisiseal-Patch-12"," Zovirax Invisiseal Patch 12")</f>
        <v xml:space="preserve"> Zovirax Invisiseal Patch 12</v>
      </c>
      <c r="C6122" t="s">
        <v>237</v>
      </c>
      <c r="D6122" t="s">
        <v>593</v>
      </c>
    </row>
    <row r="6123" spans="1:4" x14ac:dyDescent="0.25">
      <c r="B6123" t="str">
        <f>HYPERLINK("https://www.chemistwarehouse.com.au/buy/7729/Sigmacort-1-Cream-30g-S3"," Sigmacort 1% Cream 30g (S3)")</f>
        <v xml:space="preserve"> Sigmacort 1% Cream 30g (S3)</v>
      </c>
      <c r="C6123" t="s">
        <v>107</v>
      </c>
      <c r="D6123">
        <v>0</v>
      </c>
    </row>
    <row r="6124" spans="1:4" x14ac:dyDescent="0.25">
      <c r="B6124" t="str">
        <f>HYPERLINK("https://www.chemistwarehouse.com.au/buy/82123/Ego-Dermaid-1-Solution-30ml"," Ego Dermaid 1% Solution 30ml")</f>
        <v xml:space="preserve"> Ego Dermaid 1% Solution 30ml</v>
      </c>
      <c r="C6124" t="s">
        <v>45</v>
      </c>
      <c r="D6124">
        <v>0</v>
      </c>
    </row>
    <row r="6125" spans="1:4" x14ac:dyDescent="0.25">
      <c r="A6125" t="s">
        <v>1550</v>
      </c>
    </row>
    <row r="6126" spans="1:4" x14ac:dyDescent="0.25">
      <c r="B6126" t="str">
        <f>HYPERLINK("https://www.chemistwarehouse.com.au/buy/68715/Imodium-2mg-8-Capsules"," Imodium 2mg 8 Capsules")</f>
        <v xml:space="preserve"> Imodium 2mg 8 Capsules</v>
      </c>
      <c r="C6126" t="s">
        <v>430</v>
      </c>
      <c r="D6126" t="s">
        <v>325</v>
      </c>
    </row>
    <row r="6127" spans="1:4" x14ac:dyDescent="0.25">
      <c r="A6127" t="s">
        <v>1551</v>
      </c>
    </row>
    <row r="6128" spans="1:4" x14ac:dyDescent="0.25">
      <c r="B6128" t="str">
        <f>HYPERLINK("https://www.chemistwarehouse.com.au/buy/61436/Aquatabs-Water-Purification-50-Tablets"," Aquatabs Water Purification 50 Tablets")</f>
        <v xml:space="preserve"> Aquatabs Water Purification 50 Tablets</v>
      </c>
      <c r="C6128" t="s">
        <v>45</v>
      </c>
      <c r="D6128" t="s">
        <v>1552</v>
      </c>
    </row>
    <row r="6129" spans="1:4" x14ac:dyDescent="0.25">
      <c r="B6129" t="str">
        <f>HYPERLINK("https://www.chemistwarehouse.com.au/buy/72631/Ocean-Sickness-Bags-3-Pack"," Ocean Sickness Bags 3 Pack")</f>
        <v xml:space="preserve"> Ocean Sickness Bags 3 Pack</v>
      </c>
      <c r="C6129" t="s">
        <v>146</v>
      </c>
      <c r="D6129" t="s">
        <v>1497</v>
      </c>
    </row>
    <row r="6130" spans="1:4" x14ac:dyDescent="0.25">
      <c r="A6130" t="s">
        <v>1553</v>
      </c>
    </row>
    <row r="6131" spans="1:4" x14ac:dyDescent="0.25">
      <c r="B6131" t="str">
        <f>HYPERLINK("https://www.chemistwarehouse.com.au/buy/56711/Travel-Minis-For-Men-4-Piece"," Travel Minis For Men 4 Piece")</f>
        <v xml:space="preserve"> Travel Minis For Men 4 Piece</v>
      </c>
      <c r="C6131" t="s">
        <v>45</v>
      </c>
      <c r="D6131" t="s">
        <v>312</v>
      </c>
    </row>
    <row r="6132" spans="1:4" x14ac:dyDescent="0.25">
      <c r="B6132" t="str">
        <f>HYPERLINK("https://www.chemistwarehouse.com.au/buy/56712/Travel-Minis-For-Women-5-Piece"," Travel Minis For Women 5 Piece")</f>
        <v xml:space="preserve"> Travel Minis For Women 5 Piece</v>
      </c>
      <c r="C6132" t="s">
        <v>45</v>
      </c>
      <c r="D6132" t="s">
        <v>312</v>
      </c>
    </row>
    <row r="6133" spans="1:4" x14ac:dyDescent="0.25">
      <c r="B6133" t="str">
        <f>HYPERLINK("https://www.chemistwarehouse.com.au/buy/59638/Manicare-Travel-Boarding-Set"," Manicare Travel Boarding Set")</f>
        <v xml:space="preserve"> Manicare Travel Boarding Set</v>
      </c>
      <c r="C6133" t="s">
        <v>212</v>
      </c>
      <c r="D6133" t="s">
        <v>318</v>
      </c>
    </row>
    <row r="6134" spans="1:4" x14ac:dyDescent="0.25">
      <c r="B6134" t="str">
        <f>HYPERLINK("https://www.chemistwarehouse.com.au/buy/59639/Manicare-Travel-Cosmetic-Jars-Pack-2"," Manicare Travel Cosmetic Jars Pack 2 ")</f>
        <v xml:space="preserve"> Manicare Travel Cosmetic Jars Pack 2 </v>
      </c>
      <c r="C6134" t="s">
        <v>556</v>
      </c>
      <c r="D6134" t="s">
        <v>371</v>
      </c>
    </row>
    <row r="6135" spans="1:4" x14ac:dyDescent="0.25">
      <c r="B6135" t="str">
        <f>HYPERLINK("https://www.chemistwarehouse.com.au/buy/59640/Manicare-Travel-Tubes-2-Pck"," Manicare Travel Tubes 2 Pck")</f>
        <v xml:space="preserve"> Manicare Travel Tubes 2 Pck</v>
      </c>
      <c r="C6135" t="s">
        <v>92</v>
      </c>
      <c r="D6135" t="s">
        <v>593</v>
      </c>
    </row>
    <row r="6136" spans="1:4" x14ac:dyDescent="0.25">
      <c r="B6136" t="str">
        <f>HYPERLINK("https://www.chemistwarehouse.com.au/buy/59641/Manicare-Travel-Bottles-2-Pack"," Manicare Travel Bottles 2 Pack")</f>
        <v xml:space="preserve"> Manicare Travel Bottles 2 Pack</v>
      </c>
      <c r="C6136" t="s">
        <v>556</v>
      </c>
      <c r="D6136" t="s">
        <v>371</v>
      </c>
    </row>
    <row r="6137" spans="1:4" x14ac:dyDescent="0.25">
      <c r="B6137" t="str">
        <f>HYPERLINK("https://www.chemistwarehouse.com.au/buy/72655/Gillette-Series-Mini-Gel-and-Gillette-Sensor-3-Disposable-Razor"," Gillette Series Mini Gel and Gillette Sensor 3 Disposable Razor ")</f>
        <v xml:space="preserve"> Gillette Series Mini Gel and Gillette Sensor 3 Disposable Razor </v>
      </c>
      <c r="C6137" t="s">
        <v>775</v>
      </c>
      <c r="D6137" t="s">
        <v>785</v>
      </c>
    </row>
    <row r="6138" spans="1:4" x14ac:dyDescent="0.25">
      <c r="A6138" t="s">
        <v>1554</v>
      </c>
    </row>
    <row r="6139" spans="1:4" x14ac:dyDescent="0.25">
      <c r="B6139" t="str">
        <f>HYPERLINK("https://www.chemistwarehouse.com.au/buy/79658/Korjo-4-Port-USB-Adaptor-With-International-Heads"," Korjo 4 Port USB Adaptor With International Heads")</f>
        <v xml:space="preserve"> Korjo 4 Port USB Adaptor With International Heads</v>
      </c>
      <c r="C6139" t="s">
        <v>6</v>
      </c>
      <c r="D6139" t="s">
        <v>162</v>
      </c>
    </row>
    <row r="6140" spans="1:4" x14ac:dyDescent="0.25">
      <c r="B6140" t="str">
        <f>HYPERLINK("https://www.chemistwarehouse.com.au/buy/79659/Korjo-Adaptor-Europe"," Korjo Adaptor Europe")</f>
        <v xml:space="preserve"> Korjo Adaptor Europe</v>
      </c>
      <c r="C6140" t="s">
        <v>45</v>
      </c>
      <c r="D6140" t="s">
        <v>641</v>
      </c>
    </row>
    <row r="6141" spans="1:4" x14ac:dyDescent="0.25">
      <c r="B6141" t="str">
        <f>HYPERLINK("https://www.chemistwarehouse.com.au/buy/79660/Korjo-Adaptor-Great-Britain"," Korjo Adaptor Great Britain")</f>
        <v xml:space="preserve"> Korjo Adaptor Great Britain</v>
      </c>
      <c r="C6141" t="s">
        <v>45</v>
      </c>
      <c r="D6141" t="s">
        <v>641</v>
      </c>
    </row>
    <row r="6142" spans="1:4" x14ac:dyDescent="0.25">
      <c r="B6142" t="str">
        <f>HYPERLINK("https://www.chemistwarehouse.com.au/buy/79661/Korjo-Adaptor-Italy-and-Switzerland"," Korjo Adaptor Italy and Switzerland")</f>
        <v xml:space="preserve"> Korjo Adaptor Italy and Switzerland</v>
      </c>
      <c r="C6142" t="s">
        <v>45</v>
      </c>
      <c r="D6142" t="s">
        <v>641</v>
      </c>
    </row>
    <row r="6143" spans="1:4" x14ac:dyDescent="0.25">
      <c r="B6143" t="str">
        <f>HYPERLINK("https://www.chemistwarehouse.com.au/buy/79662/Korjo-Adaptor-Japan"," Korjo Adaptor Japan")</f>
        <v xml:space="preserve"> Korjo Adaptor Japan</v>
      </c>
      <c r="C6143" t="s">
        <v>45</v>
      </c>
      <c r="D6143" t="s">
        <v>641</v>
      </c>
    </row>
    <row r="6144" spans="1:4" x14ac:dyDescent="0.25">
      <c r="B6144" t="str">
        <f>HYPERLINK("https://www.chemistwarehouse.com.au/buy/79663/Korjo-Adaptor-Multi-Reverse-Worldwide-To-Australia"," Korjo Adaptor Multi Reverse Worldwide To Australia")</f>
        <v xml:space="preserve"> Korjo Adaptor Multi Reverse Worldwide To Australia</v>
      </c>
      <c r="C6144" t="s">
        <v>237</v>
      </c>
      <c r="D6144" t="s">
        <v>371</v>
      </c>
    </row>
    <row r="6145" spans="2:4" x14ac:dyDescent="0.25">
      <c r="B6145" t="str">
        <f>HYPERLINK("https://www.chemistwarehouse.com.au/buy/79664/Korjo-Adaptor-USA"," Korjo Adaptor USA")</f>
        <v xml:space="preserve"> Korjo Adaptor USA</v>
      </c>
      <c r="C6145" t="s">
        <v>45</v>
      </c>
      <c r="D6145" t="s">
        <v>641</v>
      </c>
    </row>
    <row r="6146" spans="2:4" x14ac:dyDescent="0.25">
      <c r="B6146" t="str">
        <f>HYPERLINK("https://www.chemistwarehouse.com.au/buy/79666/Korjo-Compression-Travel-Bags-3-Pack"," Korjo Compression Travel Bags 3 Pack")</f>
        <v xml:space="preserve"> Korjo Compression Travel Bags 3 Pack</v>
      </c>
      <c r="C6146" t="s">
        <v>63</v>
      </c>
      <c r="D6146" t="s">
        <v>371</v>
      </c>
    </row>
    <row r="6147" spans="2:4" x14ac:dyDescent="0.25">
      <c r="B6147" t="str">
        <f>HYPERLINK("https://www.chemistwarehouse.com.au/buy/79667/Korjo-Ear-Buds-Travel-Kit"," Korjo Ear Buds Travel Kit")</f>
        <v xml:space="preserve"> Korjo Ear Buds Travel Kit</v>
      </c>
      <c r="C6147" t="s">
        <v>10</v>
      </c>
      <c r="D6147" t="s">
        <v>162</v>
      </c>
    </row>
    <row r="6148" spans="2:4" x14ac:dyDescent="0.25">
      <c r="B6148" t="str">
        <f>HYPERLINK("https://www.chemistwarehouse.com.au/buy/79668/Korjo-Foldaway-Travel-Bag"," Korjo Foldaway Travel Bag")</f>
        <v xml:space="preserve"> Korjo Foldaway Travel Bag</v>
      </c>
      <c r="C6148" t="s">
        <v>63</v>
      </c>
      <c r="D6148" t="s">
        <v>371</v>
      </c>
    </row>
    <row r="6149" spans="2:4" x14ac:dyDescent="0.25">
      <c r="B6149" t="str">
        <f>HYPERLINK("https://www.chemistwarehouse.com.au/buy/79669/Korjo-Headphone-Adaptor"," Korjo Headphone Adaptor")</f>
        <v xml:space="preserve"> Korjo Headphone Adaptor</v>
      </c>
      <c r="C6149" t="s">
        <v>32</v>
      </c>
      <c r="D6149" t="s">
        <v>371</v>
      </c>
    </row>
    <row r="6150" spans="2:4" x14ac:dyDescent="0.25">
      <c r="B6150" t="str">
        <f>HYPERLINK("https://www.chemistwarehouse.com.au/buy/79670/Korjo-ID-Baggage-Set-With-Luggage-Tag-and-2-Keyed-Locks"," Korjo ID Baggage Set With Luggage Tag and 2 Keyed Locks")</f>
        <v xml:space="preserve"> Korjo ID Baggage Set With Luggage Tag and 2 Keyed Locks</v>
      </c>
      <c r="C6150" t="s">
        <v>237</v>
      </c>
      <c r="D6150" t="s">
        <v>371</v>
      </c>
    </row>
    <row r="6151" spans="2:4" x14ac:dyDescent="0.25">
      <c r="B6151" t="str">
        <f>HYPERLINK("https://www.chemistwarehouse.com.au/buy/79671/Korjo-In-Car-USB-Charger"," Korjo In Car USB Charger")</f>
        <v xml:space="preserve"> Korjo In Car USB Charger</v>
      </c>
      <c r="C6151" t="s">
        <v>8</v>
      </c>
      <c r="D6151" t="s">
        <v>312</v>
      </c>
    </row>
    <row r="6152" spans="2:4" x14ac:dyDescent="0.25">
      <c r="B6152" t="str">
        <f>HYPERLINK("https://www.chemistwarehouse.com.au/buy/79673/Korjo-Luggage-Strap-Standard"," Korjo Luggage Strap Standard")</f>
        <v xml:space="preserve"> Korjo Luggage Strap Standard</v>
      </c>
      <c r="C6152" t="s">
        <v>98</v>
      </c>
      <c r="D6152" t="s">
        <v>641</v>
      </c>
    </row>
    <row r="6153" spans="2:4" x14ac:dyDescent="0.25">
      <c r="B6153" t="str">
        <f>HYPERLINK("https://www.chemistwarehouse.com.au/buy/79674/Korjo-RFID-Credit-Card-Defender"," Korjo RFID Credit Card Defender")</f>
        <v xml:space="preserve"> Korjo RFID Credit Card Defender</v>
      </c>
      <c r="C6153" t="s">
        <v>103</v>
      </c>
      <c r="D6153" t="s">
        <v>371</v>
      </c>
    </row>
    <row r="6154" spans="2:4" x14ac:dyDescent="0.25">
      <c r="B6154" t="str">
        <f>HYPERLINK("https://www.chemistwarehouse.com.au/buy/79675/Korjo-RFID-Passport-Defender"," Korjo RFID Passport Defender")</f>
        <v xml:space="preserve"> Korjo RFID Passport Defender</v>
      </c>
      <c r="C6154" t="s">
        <v>92</v>
      </c>
      <c r="D6154" t="s">
        <v>371</v>
      </c>
    </row>
    <row r="6155" spans="2:4" x14ac:dyDescent="0.25">
      <c r="B6155" t="str">
        <f>HYPERLINK("https://www.chemistwarehouse.com.au/buy/79676/Korjo-RFID-Protected-Money-Belt"," Korjo RFID Protected Money Belt")</f>
        <v xml:space="preserve"> Korjo RFID Protected Money Belt</v>
      </c>
      <c r="C6155" t="s">
        <v>161</v>
      </c>
      <c r="D6155" t="s">
        <v>312</v>
      </c>
    </row>
    <row r="6156" spans="2:4" x14ac:dyDescent="0.25">
      <c r="B6156" t="str">
        <f>HYPERLINK("https://www.chemistwarehouse.com.au/buy/79677/Korjo-Toilet-Seat-Covers-10-Pack"," Korjo Toilet Seat Covers 10 Pack")</f>
        <v xml:space="preserve"> Korjo Toilet Seat Covers 10 Pack</v>
      </c>
      <c r="C6156" t="s">
        <v>92</v>
      </c>
      <c r="D6156" t="s">
        <v>371</v>
      </c>
    </row>
    <row r="6157" spans="2:4" x14ac:dyDescent="0.25">
      <c r="B6157" t="str">
        <f>HYPERLINK("https://www.chemistwarehouse.com.au/buy/79678/Korjo-TSA-Compliant-Lock"," Korjo TSA Compliant Lock")</f>
        <v xml:space="preserve"> Korjo TSA Compliant Lock</v>
      </c>
      <c r="C6157" t="s">
        <v>58</v>
      </c>
      <c r="D6157" t="s">
        <v>312</v>
      </c>
    </row>
    <row r="6158" spans="2:4" x14ac:dyDescent="0.25">
      <c r="B6158" t="str">
        <f>HYPERLINK("https://www.chemistwarehouse.com.au/buy/79679/Korjo-TSA-Flexi-Cable-Lock"," Korjo TSA Flexi Cable Lock")</f>
        <v xml:space="preserve"> Korjo TSA Flexi Cable Lock</v>
      </c>
      <c r="C6158" t="s">
        <v>58</v>
      </c>
      <c r="D6158" t="s">
        <v>312</v>
      </c>
    </row>
    <row r="6159" spans="2:4" x14ac:dyDescent="0.25">
      <c r="B6159" t="str">
        <f>HYPERLINK("https://www.chemistwarehouse.com.au/buy/79680/Korjo-TSA-Key-Complaint-Lock-With-Indicator-2-Pack"," Korjo TSA Key Complaint Lock With Indicator 2 Pack")</f>
        <v xml:space="preserve"> Korjo TSA Key Complaint Lock With Indicator 2 Pack</v>
      </c>
      <c r="C6159" t="s">
        <v>63</v>
      </c>
      <c r="D6159" t="s">
        <v>371</v>
      </c>
    </row>
    <row r="6160" spans="2:4" x14ac:dyDescent="0.25">
      <c r="B6160" t="str">
        <f>HYPERLINK("https://www.chemistwarehouse.com.au/buy/79681/Korjo-USB-and-Power-Adaptor"," Korjo USB and Power Adaptor")</f>
        <v xml:space="preserve"> Korjo USB and Power Adaptor</v>
      </c>
      <c r="C6160" t="s">
        <v>1</v>
      </c>
      <c r="D6160" t="s">
        <v>115</v>
      </c>
    </row>
    <row r="6161" spans="1:4" x14ac:dyDescent="0.25">
      <c r="B6161" t="str">
        <f>HYPERLINK("https://www.chemistwarehouse.com.au/buy/79682/Korjo-USB-and-Power-Adaptor-Home-and-Europe"," Korjo USB and Power Adaptor Home and Europe")</f>
        <v xml:space="preserve"> Korjo USB and Power Adaptor Home and Europe</v>
      </c>
      <c r="C6161" t="s">
        <v>10</v>
      </c>
      <c r="D6161" t="s">
        <v>162</v>
      </c>
    </row>
    <row r="6162" spans="1:4" x14ac:dyDescent="0.25">
      <c r="B6162" t="str">
        <f>HYPERLINK("https://www.chemistwarehouse.com.au/buy/79683/Korjo-USB-and-Power-Adaptor-Home-and-UK"," Korjo USB and Power Adaptor Home and UK")</f>
        <v xml:space="preserve"> Korjo USB and Power Adaptor Home and UK</v>
      </c>
      <c r="C6162" t="s">
        <v>10</v>
      </c>
      <c r="D6162" t="s">
        <v>162</v>
      </c>
    </row>
    <row r="6163" spans="1:4" x14ac:dyDescent="0.25">
      <c r="A6163" t="s">
        <v>1555</v>
      </c>
    </row>
    <row r="6164" spans="1:4" x14ac:dyDescent="0.25">
      <c r="B6164" t="str">
        <f>HYPERLINK("https://www.chemistwarehouse.com.au/buy/65066/Mayne-Aspirin-100mg-112-Tablets"," Mayne Aspirin 100mg 112 Tablets")</f>
        <v xml:space="preserve"> Mayne Aspirin 100mg 112 Tablets</v>
      </c>
      <c r="C6164" t="s">
        <v>146</v>
      </c>
      <c r="D6164">
        <v>0</v>
      </c>
    </row>
    <row r="6165" spans="1:4" x14ac:dyDescent="0.25">
      <c r="B6165" t="str">
        <f>HYPERLINK("https://www.chemistwarehouse.com.au/buy/2014/Cartia-100mg-Tablets-168"," Cartia 100mg Tablets 168")</f>
        <v xml:space="preserve"> Cartia 100mg Tablets 168</v>
      </c>
      <c r="C6165" t="s">
        <v>98</v>
      </c>
      <c r="D6165">
        <v>0</v>
      </c>
    </row>
    <row r="6166" spans="1:4" x14ac:dyDescent="0.25">
      <c r="B6166" t="str">
        <f>HYPERLINK("https://www.chemistwarehouse.com.au/buy/48168/Astrix-100mg-Tablets-112"," Astrix 100mg Tablets 112")</f>
        <v xml:space="preserve"> Astrix 100mg Tablets 112</v>
      </c>
      <c r="C6166" t="s">
        <v>775</v>
      </c>
      <c r="D6166">
        <v>0</v>
      </c>
    </row>
    <row r="6167" spans="1:4" x14ac:dyDescent="0.25">
      <c r="B6167" t="str">
        <f>HYPERLINK("https://www.chemistwarehouse.com.au/buy/55684/Cartia-100mg-Tablets-28"," Cartia 100mg Tablets 28")</f>
        <v xml:space="preserve"> Cartia 100mg Tablets 28</v>
      </c>
      <c r="C6167" t="s">
        <v>483</v>
      </c>
      <c r="D6167">
        <v>0</v>
      </c>
    </row>
    <row r="6168" spans="1:4" x14ac:dyDescent="0.25">
      <c r="B6168" t="str">
        <f>HYPERLINK("https://www.chemistwarehouse.com.au/buy/55709/Cardiprin-Tablets-100mg-180"," Cardiprin Tablets 100mg 180")</f>
        <v xml:space="preserve"> Cardiprin Tablets 100mg 180</v>
      </c>
      <c r="C6168" t="s">
        <v>202</v>
      </c>
      <c r="D6168">
        <v>0</v>
      </c>
    </row>
    <row r="6169" spans="1:4" x14ac:dyDescent="0.25">
      <c r="B6169" t="str">
        <f>HYPERLINK("https://www.chemistwarehouse.com.au/buy/48167/Astrix-100mg-Capsules-84"," Astrix 100mg Capsules 84")</f>
        <v xml:space="preserve"> Astrix 100mg Capsules 84</v>
      </c>
      <c r="C6169" t="s">
        <v>430</v>
      </c>
      <c r="D6169">
        <v>0</v>
      </c>
    </row>
    <row r="6170" spans="1:4" x14ac:dyDescent="0.25">
      <c r="B6170" t="str">
        <f>HYPERLINK("https://www.chemistwarehouse.com.au/buy/2015/Cartia-100mg-Tablets-84"," Cartia 100mg Tablets 84")</f>
        <v xml:space="preserve"> Cartia 100mg Tablets 84</v>
      </c>
      <c r="C6170" t="s">
        <v>32</v>
      </c>
      <c r="D6170" t="s">
        <v>312</v>
      </c>
    </row>
    <row r="6171" spans="1:4" x14ac:dyDescent="0.25">
      <c r="A6171" t="s">
        <v>1556</v>
      </c>
    </row>
    <row r="6172" spans="1:4" x14ac:dyDescent="0.25">
      <c r="B6172" t="str">
        <f>HYPERLINK("https://www.chemistwarehouse.com.au/buy/49591/Metamucil-Fibre-Supplement-Smooth-Orange-114-Dose-673g"," Metamucil Fibre Supplement Smooth Orange 114 Dose 673g")</f>
        <v xml:space="preserve"> Metamucil Fibre Supplement Smooth Orange 114 Dose 673g</v>
      </c>
      <c r="C6172" t="s">
        <v>1</v>
      </c>
      <c r="D6172" t="s">
        <v>430</v>
      </c>
    </row>
    <row r="6173" spans="1:4" x14ac:dyDescent="0.25">
      <c r="B6173" t="str">
        <f>HYPERLINK("https://www.chemistwarehouse.com.au/buy/49520/Metamucil-Fibre-Supplement-FibreCaps-160-Capsules"," Metamucil Fibre Supplement FibreCaps 160 Capsules")</f>
        <v xml:space="preserve"> Metamucil Fibre Supplement FibreCaps 160 Capsules</v>
      </c>
      <c r="C6173" t="s">
        <v>123</v>
      </c>
      <c r="D6173" t="s">
        <v>104</v>
      </c>
    </row>
    <row r="6174" spans="1:4" x14ac:dyDescent="0.25">
      <c r="B6174" t="str">
        <f>HYPERLINK("https://www.chemistwarehouse.com.au/buy/71877/Metamucil-Fibre-Supplement-Smooth-Orange-180-Dose"," Metamucil Fibre Supplement Smooth Orange 180 Dose")</f>
        <v xml:space="preserve"> Metamucil Fibre Supplement Smooth Orange 180 Dose</v>
      </c>
      <c r="C6174" t="s">
        <v>111</v>
      </c>
      <c r="D6174">
        <v>0</v>
      </c>
    </row>
    <row r="6175" spans="1:4" x14ac:dyDescent="0.25">
      <c r="B6175" t="str">
        <f>HYPERLINK("https://www.chemistwarehouse.com.au/buy/80518/Metamucil-Capsules-300"," Metamucil Capsules 300")</f>
        <v xml:space="preserve"> Metamucil Capsules 300</v>
      </c>
      <c r="C6175" t="s">
        <v>113</v>
      </c>
      <c r="D6175" t="s">
        <v>46</v>
      </c>
    </row>
    <row r="6176" spans="1:4" x14ac:dyDescent="0.25">
      <c r="B6176" t="str">
        <f>HYPERLINK("https://www.chemistwarehouse.com.au/buy/6216/Metamucil-Fibre-Supplement-Regular-72-Dose-504g"," Metamucil Fibre Supplement Regular 72 Dose 504g")</f>
        <v xml:space="preserve"> Metamucil Fibre Supplement Regular 72 Dose 504g</v>
      </c>
      <c r="C6176" t="s">
        <v>61</v>
      </c>
      <c r="D6176" t="s">
        <v>1557</v>
      </c>
    </row>
    <row r="6177" spans="1:4" x14ac:dyDescent="0.25">
      <c r="B6177" t="str">
        <f>HYPERLINK("https://www.chemistwarehouse.com.au/buy/6217/Metamucil-Fibre-Supplement-Smooth-Orange-48-Dose-283g"," Metamucil Fibre Supplement Smooth Orange 48 Dose 283g")</f>
        <v xml:space="preserve"> Metamucil Fibre Supplement Smooth Orange 48 Dose 283g</v>
      </c>
      <c r="C6177" t="s">
        <v>237</v>
      </c>
      <c r="D6177" t="s">
        <v>588</v>
      </c>
    </row>
    <row r="6178" spans="1:4" x14ac:dyDescent="0.25">
      <c r="B6178" t="str">
        <f>HYPERLINK("https://www.chemistwarehouse.com.au/buy/50444/Metamucil-Fibre-Supplement-Capsules-100"," Metamucil Fibre Supplement Capsules 100")</f>
        <v xml:space="preserve"> Metamucil Fibre Supplement Capsules 100</v>
      </c>
      <c r="C6178" t="s">
        <v>1</v>
      </c>
      <c r="D6178" t="s">
        <v>1558</v>
      </c>
    </row>
    <row r="6179" spans="1:4" x14ac:dyDescent="0.25">
      <c r="B6179" t="str">
        <f>HYPERLINK("https://www.chemistwarehouse.com.au/buy/56437/Metamucil-Fibre-Supplement-Smooth-Wild-Berry-72-Doses"," Metamucil Fibre Supplement Smooth Wild Berry 72 Doses")</f>
        <v xml:space="preserve"> Metamucil Fibre Supplement Smooth Wild Berry 72 Doses</v>
      </c>
      <c r="C6179" t="s">
        <v>61</v>
      </c>
      <c r="D6179" t="s">
        <v>1557</v>
      </c>
    </row>
    <row r="6180" spans="1:4" x14ac:dyDescent="0.25">
      <c r="B6180" t="str">
        <f>HYPERLINK("https://www.chemistwarehouse.com.au/buy/6214/Metamucil-Fibre-Supplement-Orange-48-Dose-528g"," Metamucil Fibre Supplement Orange 48 Dose 528g")</f>
        <v xml:space="preserve"> Metamucil Fibre Supplement Orange 48 Dose 528g</v>
      </c>
      <c r="C6180" t="s">
        <v>237</v>
      </c>
      <c r="D6180" t="s">
        <v>588</v>
      </c>
    </row>
    <row r="6181" spans="1:4" x14ac:dyDescent="0.25">
      <c r="B6181" t="str">
        <f>HYPERLINK("https://www.chemistwarehouse.com.au/buy/46125/Metamucil-Fibre-Supplement-Smooth-Orange-72-Dose-425g"," Metamucil Fibre Supplement Smooth Orange 72 Dose 425g")</f>
        <v xml:space="preserve"> Metamucil Fibre Supplement Smooth Orange 72 Dose 425g</v>
      </c>
      <c r="C6181" t="s">
        <v>61</v>
      </c>
      <c r="D6181" t="s">
        <v>1557</v>
      </c>
    </row>
    <row r="6182" spans="1:4" x14ac:dyDescent="0.25">
      <c r="B6182" t="str">
        <f>HYPERLINK("https://www.chemistwarehouse.com.au/buy/50202/Metamucil-Fibre-Supplement-Smooth-Texture-Lemon-Lime-Flavour-72-doses-425g"," Metamucil Fibre Supplement Smooth Texture Lemon-Lime Flavour 72 doses 425g")</f>
        <v xml:space="preserve"> Metamucil Fibre Supplement Smooth Texture Lemon-Lime Flavour 72 doses 425g</v>
      </c>
      <c r="C6182" t="s">
        <v>61</v>
      </c>
      <c r="D6182" t="s">
        <v>1557</v>
      </c>
    </row>
    <row r="6183" spans="1:4" x14ac:dyDescent="0.25">
      <c r="B6183" t="str">
        <f>HYPERLINK("https://www.chemistwarehouse.com.au/buy/80519/Metamucil-Smooth-Wild-Berry-114-Dose-673g"," Metamucil Smooth Wild Berry 114 Dose 673g")</f>
        <v xml:space="preserve"> Metamucil Smooth Wild Berry 114 Dose 673g</v>
      </c>
      <c r="C6183" t="s">
        <v>1</v>
      </c>
      <c r="D6183" t="s">
        <v>430</v>
      </c>
    </row>
    <row r="6184" spans="1:4" x14ac:dyDescent="0.25">
      <c r="B6184" t="str">
        <f>HYPERLINK("https://www.chemistwarehouse.com.au/buy/80520/Metamucil-Smooth-Lemon-Lime-114-Doses-673g"," Metamucil Smooth Lemon Lime 114 Doses 673g")</f>
        <v xml:space="preserve"> Metamucil Smooth Lemon Lime 114 Doses 673g</v>
      </c>
      <c r="C6184" t="s">
        <v>1</v>
      </c>
      <c r="D6184" t="s">
        <v>430</v>
      </c>
    </row>
    <row r="6185" spans="1:4" x14ac:dyDescent="0.25">
      <c r="B6185" t="str">
        <f>HYPERLINK("https://www.chemistwarehouse.com.au/buy/80521/Metamucil-Granular-Natural-114-Doses-798g"," Metamucil Granular Natural 114 Doses 798g")</f>
        <v xml:space="preserve"> Metamucil Granular Natural 114 Doses 798g</v>
      </c>
      <c r="C6185" t="s">
        <v>109</v>
      </c>
      <c r="D6185" t="s">
        <v>691</v>
      </c>
    </row>
    <row r="6186" spans="1:4" x14ac:dyDescent="0.25">
      <c r="A6186" t="s">
        <v>1559</v>
      </c>
    </row>
    <row r="6187" spans="1:4" x14ac:dyDescent="0.25">
      <c r="B6187" t="str">
        <f>HYPERLINK("https://www.chemistwarehouse.com.au/buy/63464/Aerius-5mg-45-Tablets"," Aerius 5mg 45 Tablets")</f>
        <v xml:space="preserve"> Aerius 5mg 45 Tablets</v>
      </c>
      <c r="C6187" t="s">
        <v>266</v>
      </c>
      <c r="D6187">
        <v>0</v>
      </c>
    </row>
    <row r="6188" spans="1:4" x14ac:dyDescent="0.25">
      <c r="B6188" t="str">
        <f>HYPERLINK("https://www.chemistwarehouse.com.au/buy/63600/Aerius-5mg-10-Tablets"," Aerius 5mg 10 Tablets")</f>
        <v xml:space="preserve"> Aerius 5mg 10 Tablets</v>
      </c>
      <c r="C6188" t="s">
        <v>98</v>
      </c>
      <c r="D6188">
        <v>0</v>
      </c>
    </row>
    <row r="6189" spans="1:4" x14ac:dyDescent="0.25">
      <c r="B6189" t="str">
        <f>HYPERLINK("https://www.chemistwarehouse.com.au/buy/56150/Aerius-Syrup-100mL"," Aerius Syrup 100mL")</f>
        <v xml:space="preserve"> Aerius Syrup 100mL</v>
      </c>
      <c r="C6189" t="s">
        <v>237</v>
      </c>
      <c r="D6189">
        <v>0</v>
      </c>
    </row>
    <row r="6190" spans="1:4" x14ac:dyDescent="0.25">
      <c r="A6190" t="s">
        <v>1560</v>
      </c>
    </row>
    <row r="6191" spans="1:4" x14ac:dyDescent="0.25">
      <c r="B6191" t="str">
        <f>HYPERLINK("https://www.chemistwarehouse.com.au/buy/39166/Atrovent-Aqueous-Nasal-Spray-Forte-44mcg-15mL"," Atrovent Aqueous Nasal Spray Forte 44mcg 15mL")</f>
        <v xml:space="preserve"> Atrovent Aqueous Nasal Spray Forte 44mcg 15mL</v>
      </c>
      <c r="C6191" t="s">
        <v>248</v>
      </c>
      <c r="D6191">
        <v>0</v>
      </c>
    </row>
    <row r="6192" spans="1:4" x14ac:dyDescent="0.25">
      <c r="B6192" t="str">
        <f>HYPERLINK("https://www.chemistwarehouse.com.au/buy/740/Atrovent-Aqueous-Nasal-Spray-22mcg-15mL"," Atrovent Aqueous Nasal Spray 22mcg 15mL")</f>
        <v xml:space="preserve"> Atrovent Aqueous Nasal Spray 22mcg 15mL</v>
      </c>
      <c r="C6192" t="s">
        <v>58</v>
      </c>
      <c r="D6192">
        <v>0</v>
      </c>
    </row>
    <row r="6193" spans="1:4" x14ac:dyDescent="0.25">
      <c r="A6193" t="s">
        <v>1561</v>
      </c>
    </row>
    <row r="6194" spans="1:4" x14ac:dyDescent="0.25">
      <c r="B6194" t="str">
        <f>HYPERLINK("https://www.chemistwarehouse.com.au/buy/1062/Beconase-Hayfever-Nasal-Spray-200-Doses"," Beconase Hayfever Nasal Spray 200 Doses")</f>
        <v xml:space="preserve"> Beconase Hayfever Nasal Spray 200 Doses</v>
      </c>
      <c r="C6194" t="s">
        <v>103</v>
      </c>
      <c r="D6194">
        <v>0</v>
      </c>
    </row>
    <row r="6195" spans="1:4" x14ac:dyDescent="0.25">
      <c r="A6195" t="s">
        <v>1562</v>
      </c>
    </row>
    <row r="6196" spans="1:4" x14ac:dyDescent="0.25">
      <c r="B6196" t="str">
        <f>HYPERLINK("https://www.chemistwarehouse.com.au/buy/59536/Breathe-Right-Nasal-Strips-Clear-Regular-Size-30-Strips"," Breathe Right Nasal Strips Clear Regular Size 30 Strips")</f>
        <v xml:space="preserve"> Breathe Right Nasal Strips Clear Regular Size 30 Strips</v>
      </c>
      <c r="C6196" t="s">
        <v>279</v>
      </c>
      <c r="D6196" t="s">
        <v>104</v>
      </c>
    </row>
    <row r="6197" spans="1:4" x14ac:dyDescent="0.25">
      <c r="B6197" t="str">
        <f>HYPERLINK("https://www.chemistwarehouse.com.au/buy/54402/Breathe-Right-Nasal-Strips-Clear-Large-30"," Breathe Right Nasal Strips Clear Large 30 ")</f>
        <v xml:space="preserve"> Breathe Right Nasal Strips Clear Large 30 </v>
      </c>
      <c r="C6197" t="s">
        <v>279</v>
      </c>
      <c r="D6197" t="s">
        <v>104</v>
      </c>
    </row>
    <row r="6198" spans="1:4" x14ac:dyDescent="0.25">
      <c r="B6198" t="str">
        <f>HYPERLINK("https://www.chemistwarehouse.com.au/buy/53889/Breathe-Right-Nasal-Strips-Clear-Large-10"," Breathe Right Nasal Strips Clear Large 10")</f>
        <v xml:space="preserve"> Breathe Right Nasal Strips Clear Large 10</v>
      </c>
      <c r="C6198" t="s">
        <v>80</v>
      </c>
      <c r="D6198" t="s">
        <v>264</v>
      </c>
    </row>
    <row r="6199" spans="1:4" x14ac:dyDescent="0.25">
      <c r="B6199" t="str">
        <f>HYPERLINK("https://www.chemistwarehouse.com.au/buy/60445/Breathe-Right-Nasal-Strips-Clear-Regular-Size-10-Strips"," Breathe Right Nasal Strips Clear Regular Size 10 Strips")</f>
        <v xml:space="preserve"> Breathe Right Nasal Strips Clear Regular Size 10 Strips</v>
      </c>
      <c r="C6199" t="s">
        <v>80</v>
      </c>
      <c r="D6199" t="s">
        <v>264</v>
      </c>
    </row>
    <row r="6200" spans="1:4" x14ac:dyDescent="0.25">
      <c r="A6200" t="s">
        <v>1563</v>
      </c>
    </row>
    <row r="6201" spans="1:4" x14ac:dyDescent="0.25">
      <c r="B6201" t="str">
        <f>HYPERLINK("https://www.chemistwarehouse.com.au/buy/66665/Claratyne-Non-Drowsy-Tablets-75"," Claratyne Non-Drowsy Tablets 75")</f>
        <v xml:space="preserve"> Claratyne Non-Drowsy Tablets 75</v>
      </c>
      <c r="C6201" t="s">
        <v>6</v>
      </c>
      <c r="D6201">
        <v>0</v>
      </c>
    </row>
    <row r="6202" spans="1:4" x14ac:dyDescent="0.25">
      <c r="B6202" t="str">
        <f>HYPERLINK("https://www.chemistwarehouse.com.au/buy/64639/Claratyne-Children-39-s-Chewable-10-Tablets"," Claratyne Children's Chewable 10 Tablets")</f>
        <v xml:space="preserve"> Claratyne Children's Chewable 10 Tablets</v>
      </c>
      <c r="C6202" t="s">
        <v>98</v>
      </c>
      <c r="D6202">
        <v>0</v>
      </c>
    </row>
    <row r="6203" spans="1:4" x14ac:dyDescent="0.25">
      <c r="B6203" t="str">
        <f>HYPERLINK("https://www.chemistwarehouse.com.au/buy/20164/Claratyne-Non-Drowsy-Tablets-30"," Claratyne Non-Drowsy Tablets 30")</f>
        <v xml:space="preserve"> Claratyne Non-Drowsy Tablets 30</v>
      </c>
      <c r="C6203" t="s">
        <v>313</v>
      </c>
      <c r="D6203">
        <v>0</v>
      </c>
    </row>
    <row r="6204" spans="1:4" x14ac:dyDescent="0.25">
      <c r="B6204" t="str">
        <f>HYPERLINK("https://www.chemistwarehouse.com.au/buy/20163/Claratyne-Non-Drowsy-Tablets-10"," Claratyne Non-Drowsy Tablets 10")</f>
        <v xml:space="preserve"> Claratyne Non-Drowsy Tablets 10</v>
      </c>
      <c r="C6204" t="s">
        <v>98</v>
      </c>
      <c r="D6204">
        <v>0</v>
      </c>
    </row>
    <row r="6205" spans="1:4" x14ac:dyDescent="0.25">
      <c r="B6205" t="str">
        <f>HYPERLINK("https://www.chemistwarehouse.com.au/buy/55514/Claratyne-Syrup-Peach-Flavour-150mL"," Claratyne Syrup Peach Flavour 150mL")</f>
        <v xml:space="preserve"> Claratyne Syrup Peach Flavour 150mL</v>
      </c>
      <c r="C6205" t="s">
        <v>58</v>
      </c>
      <c r="D6205">
        <v>0</v>
      </c>
    </row>
    <row r="6206" spans="1:4" x14ac:dyDescent="0.25">
      <c r="B6206" t="str">
        <f>HYPERLINK("https://www.chemistwarehouse.com.au/buy/58633/Claratyne-Syrup-Peach-Flavour-60mL"," Claratyne Syrup Peach Flavour 60mL")</f>
        <v xml:space="preserve"> Claratyne Syrup Peach Flavour 60mL</v>
      </c>
      <c r="C6206" t="s">
        <v>107</v>
      </c>
      <c r="D6206">
        <v>0</v>
      </c>
    </row>
    <row r="6207" spans="1:4" x14ac:dyDescent="0.25">
      <c r="B6207" t="str">
        <f>HYPERLINK("https://www.chemistwarehouse.com.au/buy/59054/Claratyne-Syrup-120ml-Grape"," Claratyne Syrup 120ml Grape")</f>
        <v xml:space="preserve"> Claratyne Syrup 120ml Grape</v>
      </c>
      <c r="C6207" t="s">
        <v>202</v>
      </c>
      <c r="D6207">
        <v>0</v>
      </c>
    </row>
    <row r="6208" spans="1:4" x14ac:dyDescent="0.25">
      <c r="B6208" t="str">
        <f>HYPERLINK("https://www.chemistwarehouse.com.au/buy/71273/Claratyne-Childrens-Chewable-30"," Claratyne Childrens Chewable 30")</f>
        <v xml:space="preserve"> Claratyne Childrens Chewable 30</v>
      </c>
      <c r="C6208" t="s">
        <v>1</v>
      </c>
      <c r="D6208">
        <v>0</v>
      </c>
    </row>
    <row r="6209" spans="1:4" x14ac:dyDescent="0.25">
      <c r="B6209" t="str">
        <f>HYPERLINK("https://www.chemistwarehouse.com.au/buy/82178/Claratyne-Childrens-Bubblegum-30-Chewable-Tablets"," Claratyne Childrens Bubblegum 30 Chewable Tablets")</f>
        <v xml:space="preserve"> Claratyne Childrens Bubblegum 30 Chewable Tablets</v>
      </c>
      <c r="C6209" t="s">
        <v>1</v>
      </c>
      <c r="D6209" t="s">
        <v>46</v>
      </c>
    </row>
    <row r="6210" spans="1:4" x14ac:dyDescent="0.25">
      <c r="A6210" t="s">
        <v>1564</v>
      </c>
    </row>
    <row r="6211" spans="1:4" x14ac:dyDescent="0.25">
      <c r="B6211" t="str">
        <f>HYPERLINK("https://www.chemistwarehouse.com.au/buy/54911/Dimetapp-12-Hour-Nasal-Spray-Refill-20mL"," Dimetapp 12 Hour Nasal Spray Refill 20mL")</f>
        <v xml:space="preserve"> Dimetapp 12 Hour Nasal Spray Refill 20mL</v>
      </c>
      <c r="C6211" t="s">
        <v>103</v>
      </c>
      <c r="D6211">
        <v>0</v>
      </c>
    </row>
    <row r="6212" spans="1:4" x14ac:dyDescent="0.25">
      <c r="B6212" t="str">
        <f>HYPERLINK("https://www.chemistwarehouse.com.au/buy/3483/Dimetapp-12-Hour-Nasal-Spray-20ml"," Dimetapp 12 Hour Nasal Spray 20ml")</f>
        <v xml:space="preserve"> Dimetapp 12 Hour Nasal Spray 20ml</v>
      </c>
      <c r="C6212" t="s">
        <v>32</v>
      </c>
      <c r="D6212">
        <v>0</v>
      </c>
    </row>
    <row r="6213" spans="1:4" x14ac:dyDescent="0.25">
      <c r="B6213" t="str">
        <f>HYPERLINK("https://www.chemistwarehouse.com.au/buy/75130/Dimetapp-Allergic-Rhinitis-Colour-Free-Kids-2-5"," Dimetapp Allergic Rhinitis Colour Free Kids 2-5")</f>
        <v xml:space="preserve"> Dimetapp Allergic Rhinitis Colour Free Kids 2-5</v>
      </c>
      <c r="C6213" t="s">
        <v>202</v>
      </c>
      <c r="D6213">
        <v>0</v>
      </c>
    </row>
    <row r="6214" spans="1:4" x14ac:dyDescent="0.25">
      <c r="B6214" t="str">
        <f>HYPERLINK("https://www.chemistwarehouse.com.au/buy/75131/Dimetapp-Allergic-Rhinitis-Kids-2-5"," Dimetapp Allergic Rhinitis Kids 2-5")</f>
        <v xml:space="preserve"> Dimetapp Allergic Rhinitis Kids 2-5</v>
      </c>
      <c r="C6214" t="s">
        <v>202</v>
      </c>
      <c r="D6214">
        <v>0</v>
      </c>
    </row>
    <row r="6215" spans="1:4" x14ac:dyDescent="0.25">
      <c r="A6215" t="s">
        <v>1565</v>
      </c>
    </row>
    <row r="6216" spans="1:4" x14ac:dyDescent="0.25">
      <c r="B6216" t="str">
        <f>HYPERLINK("https://www.chemistwarehouse.com.au/buy/3654/Drixine-Nasal-Spray-15mL"," Drixine Nasal Spray 15mL")</f>
        <v xml:space="preserve"> Drixine Nasal Spray 15mL</v>
      </c>
      <c r="C6216" t="s">
        <v>45</v>
      </c>
      <c r="D6216">
        <v>0</v>
      </c>
    </row>
    <row r="6217" spans="1:4" x14ac:dyDescent="0.25">
      <c r="B6217" t="str">
        <f>HYPERLINK("https://www.chemistwarehouse.com.au/buy/61253/Drixine-Original-No-Drip-Spray-15mL"," Drixine Original No Drip Spray 15mL")</f>
        <v xml:space="preserve"> Drixine Original No Drip Spray 15mL</v>
      </c>
      <c r="C6217" t="s">
        <v>45</v>
      </c>
      <c r="D6217">
        <v>0</v>
      </c>
    </row>
    <row r="6218" spans="1:4" x14ac:dyDescent="0.25">
      <c r="B6218" t="str">
        <f>HYPERLINK("https://www.chemistwarehouse.com.au/buy/64715/Drixine-Moisturising-No-Drip-Nasal-Spray-15ml"," Drixine Moisturising No Drip Nasal Spray 15ml")</f>
        <v xml:space="preserve"> Drixine Moisturising No Drip Nasal Spray 15ml</v>
      </c>
      <c r="C6218" t="s">
        <v>45</v>
      </c>
      <c r="D6218">
        <v>0</v>
      </c>
    </row>
    <row r="6219" spans="1:4" x14ac:dyDescent="0.25">
      <c r="B6219" t="str">
        <f>HYPERLINK("https://www.chemistwarehouse.com.au/buy/66105/Drixine-No-Drip-Nasal-Spray-Menthol-15ml"," Drixine No Drip Nasal Spray Menthol 15ml")</f>
        <v xml:space="preserve"> Drixine No Drip Nasal Spray Menthol 15ml</v>
      </c>
      <c r="C6219" t="s">
        <v>45</v>
      </c>
      <c r="D6219">
        <v>0</v>
      </c>
    </row>
    <row r="6220" spans="1:4" x14ac:dyDescent="0.25">
      <c r="A6220" t="s">
        <v>1566</v>
      </c>
    </row>
    <row r="6221" spans="1:4" x14ac:dyDescent="0.25">
      <c r="B6221" t="str">
        <f>HYPERLINK("https://www.chemistwarehouse.com.au/buy/63684/Fess-Sinu-Cleanse-Refills-25-Pack"," Fess Sinu Cleanse Refills 25 Pack")</f>
        <v xml:space="preserve"> Fess Sinu Cleanse Refills 25 Pack</v>
      </c>
      <c r="C6221" t="s">
        <v>237</v>
      </c>
      <c r="D6221" t="s">
        <v>150</v>
      </c>
    </row>
    <row r="6222" spans="1:4" x14ac:dyDescent="0.25">
      <c r="B6222" t="str">
        <f>HYPERLINK("https://www.chemistwarehouse.com.au/buy/53784/Fess-Nasal-Spray-Twin-Pack-150ml-2-x-75mL"," Fess Nasal Spray Twin Pack 150ml (2 x 75mL)")</f>
        <v xml:space="preserve"> Fess Nasal Spray Twin Pack 150ml (2 x 75mL)</v>
      </c>
      <c r="C6222" t="s">
        <v>58</v>
      </c>
      <c r="D6222" t="s">
        <v>150</v>
      </c>
    </row>
    <row r="6223" spans="1:4" x14ac:dyDescent="0.25">
      <c r="B6223" t="str">
        <f>HYPERLINK("https://www.chemistwarehouse.com.au/buy/63694/Fess-Eucalyptus-Nasal-Spray-30ml"," Fess Eucalyptus Nasal Spray 30ml")</f>
        <v xml:space="preserve"> Fess Eucalyptus Nasal Spray 30ml</v>
      </c>
      <c r="C6223" t="s">
        <v>45</v>
      </c>
      <c r="D6223" t="s">
        <v>397</v>
      </c>
    </row>
    <row r="6224" spans="1:4" x14ac:dyDescent="0.25">
      <c r="B6224" t="str">
        <f>HYPERLINK("https://www.chemistwarehouse.com.au/buy/41641/Fess-Nasal-Spray-30ml"," Fess Nasal Spray 30ml")</f>
        <v xml:space="preserve"> Fess Nasal Spray 30ml</v>
      </c>
      <c r="C6224" t="s">
        <v>317</v>
      </c>
      <c r="D6224" t="s">
        <v>325</v>
      </c>
    </row>
    <row r="6225" spans="1:4" x14ac:dyDescent="0.25">
      <c r="B6225" t="str">
        <f>HYPERLINK("https://www.chemistwarehouse.com.au/buy/47717/Fess-Little-Noses-Saline-Nose-Spray-Aspirator-15ml"," Fess Little Noses Saline Nose Spray + Aspirator 15ml")</f>
        <v xml:space="preserve"> Fess Little Noses Saline Nose Spray + Aspirator 15ml</v>
      </c>
      <c r="C6225" t="s">
        <v>32</v>
      </c>
      <c r="D6225" t="s">
        <v>145</v>
      </c>
    </row>
    <row r="6226" spans="1:4" x14ac:dyDescent="0.25">
      <c r="B6226" t="str">
        <f>HYPERLINK("https://www.chemistwarehouse.com.au/buy/50372/Fess-Frequent-Flyer-Nasal-Spray-Saline-30ml"," Fess Frequent Flyer Nasal Spray Saline 30ml")</f>
        <v xml:space="preserve"> Fess Frequent Flyer Nasal Spray Saline 30ml</v>
      </c>
      <c r="C6226" t="s">
        <v>98</v>
      </c>
      <c r="D6226" t="s">
        <v>150</v>
      </c>
    </row>
    <row r="6227" spans="1:4" x14ac:dyDescent="0.25">
      <c r="B6227" t="str">
        <f>HYPERLINK("https://www.chemistwarehouse.com.au/buy/58178/Fess-Sinu-Cleanse-Nasal-Irrigation-Spray-100ml"," Fess Sinu Cleanse Nasal Irrigation Spray 100ml")</f>
        <v xml:space="preserve"> Fess Sinu Cleanse Nasal Irrigation Spray 100ml</v>
      </c>
      <c r="C6227" t="s">
        <v>187</v>
      </c>
      <c r="D6227" t="s">
        <v>150</v>
      </c>
    </row>
    <row r="6228" spans="1:4" x14ac:dyDescent="0.25">
      <c r="B6228" t="str">
        <f>HYPERLINK("https://www.chemistwarehouse.com.au/buy/63634/Fess-Sensitive-Noses-Saline-Nasal-Spray-30ml"," Fess Sensitive Noses Saline Nasal Spray 30ml")</f>
        <v xml:space="preserve"> Fess Sensitive Noses Saline Nasal Spray 30ml</v>
      </c>
      <c r="C6228" t="s">
        <v>45</v>
      </c>
      <c r="D6228" t="s">
        <v>397</v>
      </c>
    </row>
    <row r="6229" spans="1:4" x14ac:dyDescent="0.25">
      <c r="B6229" t="str">
        <f>HYPERLINK("https://www.chemistwarehouse.com.au/buy/64716/Fess-Dry-Nose-Oil-Nasal-Spray-10ml"," Fess Dry Nose Oil Nasal Spray 10ml")</f>
        <v xml:space="preserve"> Fess Dry Nose Oil Nasal Spray 10ml</v>
      </c>
      <c r="C6229" t="s">
        <v>244</v>
      </c>
      <c r="D6229" t="s">
        <v>682</v>
      </c>
    </row>
    <row r="6230" spans="1:4" x14ac:dyDescent="0.25">
      <c r="B6230" t="str">
        <f>HYPERLINK("https://www.chemistwarehouse.com.au/buy/4779/Fess-Nasal-Spray-75ml"," Fess Nasal Spray 75ml")</f>
        <v xml:space="preserve"> Fess Nasal Spray 75ml</v>
      </c>
      <c r="C6230" t="s">
        <v>290</v>
      </c>
      <c r="D6230" t="s">
        <v>376</v>
      </c>
    </row>
    <row r="6231" spans="1:4" x14ac:dyDescent="0.25">
      <c r="B6231" t="str">
        <f>HYPERLINK("https://www.chemistwarehouse.com.au/buy/81828/Fess-Sinu-Cleanse-Gentle-Cleansing-Daily-Wash-Kit"," Fess Sinu Cleanse Gentle Cleansing Daily Wash Kit")</f>
        <v xml:space="preserve"> Fess Sinu Cleanse Gentle Cleansing Daily Wash Kit</v>
      </c>
      <c r="C6231" t="s">
        <v>45</v>
      </c>
      <c r="D6231" t="s">
        <v>165</v>
      </c>
    </row>
    <row r="6232" spans="1:4" x14ac:dyDescent="0.25">
      <c r="B6232" t="str">
        <f>HYPERLINK("https://www.chemistwarehouse.com.au/buy/63773/Fess-Little-Noses-Saline-Nose-Spray-Single-15ml"," Fess Little Noses Saline Nose Spray Single 15ml ")</f>
        <v xml:space="preserve"> Fess Little Noses Saline Nose Spray Single 15ml </v>
      </c>
      <c r="C6232" t="s">
        <v>92</v>
      </c>
      <c r="D6232" t="s">
        <v>397</v>
      </c>
    </row>
    <row r="6233" spans="1:4" x14ac:dyDescent="0.25">
      <c r="B6233" t="str">
        <f>HYPERLINK("https://www.chemistwarehouse.com.au/buy/64131/Fess-Nasal-Gel-15g"," Fess Nasal Gel 15g")</f>
        <v xml:space="preserve"> Fess Nasal Gel 15g</v>
      </c>
      <c r="C6233" t="s">
        <v>107</v>
      </c>
      <c r="D6233" t="s">
        <v>604</v>
      </c>
    </row>
    <row r="6234" spans="1:4" x14ac:dyDescent="0.25">
      <c r="B6234" t="str">
        <f>HYPERLINK("https://www.chemistwarehouse.com.au/buy/64132/Fess-Little-Noses-Saline-Nose-Drops-Aspirator-25ml"," Fess Little Noses Saline Nose Drops +Aspirator 25ml")</f>
        <v xml:space="preserve"> Fess Little Noses Saline Nose Drops +Aspirator 25ml</v>
      </c>
      <c r="C6234" t="s">
        <v>32</v>
      </c>
      <c r="D6234" t="s">
        <v>145</v>
      </c>
    </row>
    <row r="6235" spans="1:4" x14ac:dyDescent="0.25">
      <c r="B6235" t="str">
        <f>HYPERLINK("https://www.chemistwarehouse.com.au/buy/63687/Fess-Children-39-s-Nasal-Spray-20ml"," Fess Children's Nasal Spray 20ml")</f>
        <v xml:space="preserve"> Fess Children's Nasal Spray 20ml</v>
      </c>
      <c r="C6235" t="s">
        <v>103</v>
      </c>
      <c r="D6235" t="s">
        <v>145</v>
      </c>
    </row>
    <row r="6236" spans="1:4" x14ac:dyDescent="0.25">
      <c r="B6236" t="str">
        <f>HYPERLINK("https://www.chemistwarehouse.com.au/buy/56761/Fess-Sinu-Cleanse-Starter-Kit"," Fess Sinu Cleanse Starter Kit")</f>
        <v xml:space="preserve"> Fess Sinu Cleanse Starter Kit</v>
      </c>
      <c r="C6236" t="s">
        <v>430</v>
      </c>
      <c r="D6236" t="s">
        <v>325</v>
      </c>
    </row>
    <row r="6237" spans="1:4" x14ac:dyDescent="0.25">
      <c r="A6237" t="s">
        <v>1567</v>
      </c>
    </row>
    <row r="6238" spans="1:4" x14ac:dyDescent="0.25">
      <c r="B6238" t="str">
        <f>HYPERLINK("https://www.chemistwarehouse.com.au/buy/79829/Flixonase-Allergy-and-Hayfever-24-Hour-Nasal-Spray-120-Doses"," Flixonase Allergy and Hayfever 24 Hour Nasal Spray 120 Doses")</f>
        <v xml:space="preserve"> Flixonase Allergy and Hayfever 24 Hour Nasal Spray 120 Doses</v>
      </c>
      <c r="C6238" t="s">
        <v>125</v>
      </c>
      <c r="D6238">
        <v>0</v>
      </c>
    </row>
    <row r="6239" spans="1:4" x14ac:dyDescent="0.25">
      <c r="B6239" t="str">
        <f>HYPERLINK("https://www.chemistwarehouse.com.au/buy/79830/Flixonase-Allergy-and-Hayfever-24-Hour-Nasal-Spray-60-Doses"," Flixonase Allergy and Hayfever 24 Hour Nasal Spray 60 Doses")</f>
        <v xml:space="preserve"> Flixonase Allergy and Hayfever 24 Hour Nasal Spray 60 Doses</v>
      </c>
      <c r="C6239" t="s">
        <v>187</v>
      </c>
      <c r="D6239">
        <v>0</v>
      </c>
    </row>
    <row r="6240" spans="1:4" x14ac:dyDescent="0.25">
      <c r="A6240" t="s">
        <v>1568</v>
      </c>
    </row>
    <row r="6241" spans="1:4" x14ac:dyDescent="0.25">
      <c r="B6241" t="str">
        <f>HYPERLINK("https://www.chemistwarehouse.com.au/buy/54095/Nozoil-Sesame-Seed-Oil-Spray-15ml"," Nozoil Sesame Seed Oil Spray 15ml")</f>
        <v xml:space="preserve"> Nozoil Sesame Seed Oil Spray 15ml</v>
      </c>
      <c r="C6241" t="s">
        <v>244</v>
      </c>
      <c r="D6241">
        <v>0</v>
      </c>
    </row>
    <row r="6242" spans="1:4" x14ac:dyDescent="0.25">
      <c r="B6242" t="str">
        <f>HYPERLINK("https://www.chemistwarehouse.com.au/buy/64860/FLO-Sinus-Care-Refill-Sachets-100"," FLO Sinus Care Refill Sachets 100")</f>
        <v xml:space="preserve"> FLO Sinus Care Refill Sachets 100</v>
      </c>
      <c r="C6242" t="s">
        <v>125</v>
      </c>
      <c r="D6242" t="s">
        <v>157</v>
      </c>
    </row>
    <row r="6243" spans="1:4" x14ac:dyDescent="0.25">
      <c r="B6243" t="str">
        <f>HYPERLINK("https://www.chemistwarehouse.com.au/buy/66104/Flo-Kids-Saline-Spray-15ml"," Flo Kids Saline Spray 15ml")</f>
        <v xml:space="preserve"> Flo Kids Saline Spray 15ml</v>
      </c>
      <c r="C6243" t="s">
        <v>32</v>
      </c>
      <c r="D6243" t="s">
        <v>397</v>
      </c>
    </row>
    <row r="6244" spans="1:4" x14ac:dyDescent="0.25">
      <c r="B6244" t="str">
        <f>HYPERLINK("https://www.chemistwarehouse.com.au/buy/53787/FLO-Sinus-Care-Starter-Kit-12-Sachets"," FLO Sinus Care Starter Kit 12 Sachets")</f>
        <v xml:space="preserve"> FLO Sinus Care Starter Kit 12 Sachets</v>
      </c>
      <c r="C6244" t="s">
        <v>324</v>
      </c>
      <c r="D6244" t="s">
        <v>799</v>
      </c>
    </row>
    <row r="6245" spans="1:4" x14ac:dyDescent="0.25">
      <c r="B6245" t="str">
        <f>HYPERLINK("https://www.chemistwarehouse.com.au/buy/55069/FLO-Sinus-Care-Refill-50-Sachets"," FLO Sinus Care Refill 50 Sachets")</f>
        <v xml:space="preserve"> FLO Sinus Care Refill 50 Sachets</v>
      </c>
      <c r="C6245" t="s">
        <v>187</v>
      </c>
      <c r="D6245" t="s">
        <v>165</v>
      </c>
    </row>
    <row r="6246" spans="1:4" x14ac:dyDescent="0.25">
      <c r="B6246" t="str">
        <f>HYPERLINK("https://www.chemistwarehouse.com.au/buy/63635/FLO-Baby-Saline-Nasal-Drops-15ml"," FLO Baby Saline + Nasal Drops 15ml")</f>
        <v xml:space="preserve"> FLO Baby Saline + Nasal Drops 15ml</v>
      </c>
      <c r="C6246" t="s">
        <v>107</v>
      </c>
      <c r="D6246" t="s">
        <v>329</v>
      </c>
    </row>
    <row r="6247" spans="1:4" x14ac:dyDescent="0.25">
      <c r="B6247" t="str">
        <f>HYPERLINK("https://www.chemistwarehouse.com.au/buy/54094/FLO-Saline-Plus-Nasal-Spray-30ml"," FLO Saline + Plus Nasal Spray 30ml")</f>
        <v xml:space="preserve"> FLO Saline + Plus Nasal Spray 30ml</v>
      </c>
      <c r="C6247" t="s">
        <v>45</v>
      </c>
      <c r="D6247" t="s">
        <v>150</v>
      </c>
    </row>
    <row r="6248" spans="1:4" x14ac:dyDescent="0.25">
      <c r="B6248" t="str">
        <f>HYPERLINK("https://www.chemistwarehouse.com.au/buy/54097/FLO-Post-Op-Nasal-Sachet-70"," FLO Post Op Nasal Sachet 70")</f>
        <v xml:space="preserve"> FLO Post Op Nasal Sachet 70</v>
      </c>
      <c r="C6248" t="s">
        <v>6</v>
      </c>
      <c r="D6248" t="s">
        <v>165</v>
      </c>
    </row>
    <row r="6249" spans="1:4" x14ac:dyDescent="0.25">
      <c r="B6249" t="str">
        <f>HYPERLINK("https://www.chemistwarehouse.com.au/buy/54098/FLO-Rapid-Relief-Nasal-Decongestant-15mL"," FLO Rapid Relief Nasal Decongestant 15mL")</f>
        <v xml:space="preserve"> FLO Rapid Relief Nasal Decongestant 15mL</v>
      </c>
      <c r="C6249" t="s">
        <v>45</v>
      </c>
      <c r="D6249">
        <v>0</v>
      </c>
    </row>
    <row r="6250" spans="1:4" x14ac:dyDescent="0.25">
      <c r="B6250" t="str">
        <f>HYPERLINK("https://www.chemistwarehouse.com.au/buy/54099/Nozoil-Drops-15ml"," Nozoil Drops 15ml")</f>
        <v xml:space="preserve"> Nozoil Drops 15ml</v>
      </c>
      <c r="C6250" t="s">
        <v>244</v>
      </c>
      <c r="D6250" t="s">
        <v>152</v>
      </c>
    </row>
    <row r="6251" spans="1:4" x14ac:dyDescent="0.25">
      <c r="B6251" t="str">
        <f>HYPERLINK("https://www.chemistwarehouse.com.au/buy/66574/Flo-CRS-Refill-50"," Flo CRS Refill 50")</f>
        <v xml:space="preserve"> Flo CRS Refill 50</v>
      </c>
      <c r="C6251" t="s">
        <v>173</v>
      </c>
      <c r="D6251" t="s">
        <v>145</v>
      </c>
    </row>
    <row r="6252" spans="1:4" x14ac:dyDescent="0.25">
      <c r="B6252" t="str">
        <f>HYPERLINK("https://www.chemistwarehouse.com.au/buy/66575/Flo-CRS-Kit-4"," Flo CRS Kit 4")</f>
        <v xml:space="preserve"> Flo CRS Kit 4</v>
      </c>
      <c r="C6252" t="s">
        <v>430</v>
      </c>
      <c r="D6252" t="s">
        <v>325</v>
      </c>
    </row>
    <row r="6253" spans="1:4" x14ac:dyDescent="0.25">
      <c r="B6253" t="str">
        <f>HYPERLINK("https://www.chemistwarehouse.com.au/buy/78707/FLO-Travel-Nasal-Spray-20ml"," FLO Travel Nasal Spray 20ml")</f>
        <v xml:space="preserve"> FLO Travel Nasal Spray 20ml</v>
      </c>
      <c r="C6253" t="s">
        <v>98</v>
      </c>
      <c r="D6253" t="s">
        <v>397</v>
      </c>
    </row>
    <row r="6254" spans="1:4" x14ac:dyDescent="0.25">
      <c r="A6254" t="s">
        <v>1569</v>
      </c>
    </row>
    <row r="6255" spans="1:4" x14ac:dyDescent="0.25">
      <c r="B6255" t="str">
        <f>HYPERLINK("https://www.chemistwarehouse.com.au/buy/6035/Logicin-Nasal-Spray-Refill-18mL"," Logicin Nasal Spray Refill 18mL")</f>
        <v xml:space="preserve"> Logicin Nasal Spray Refill 18mL</v>
      </c>
      <c r="C6255" t="s">
        <v>92</v>
      </c>
      <c r="D6255">
        <v>0</v>
      </c>
    </row>
    <row r="6256" spans="1:4" x14ac:dyDescent="0.25">
      <c r="B6256" t="str">
        <f>HYPERLINK("https://www.chemistwarehouse.com.au/buy/6036/Logicin-Nasal-Spray-18mL"," Logicin Nasal Spray 18mL")</f>
        <v xml:space="preserve"> Logicin Nasal Spray 18mL</v>
      </c>
      <c r="C6256" t="s">
        <v>92</v>
      </c>
      <c r="D6256">
        <v>0</v>
      </c>
    </row>
    <row r="6257" spans="1:4" x14ac:dyDescent="0.25">
      <c r="A6257" t="s">
        <v>1570</v>
      </c>
    </row>
    <row r="6258" spans="1:4" x14ac:dyDescent="0.25">
      <c r="B6258" t="str">
        <f>HYPERLINK("https://www.chemistwarehouse.com.au/buy/6473/Narium-Natural-Mist-100mL"," Narium Natural Mist 100mL")</f>
        <v xml:space="preserve"> Narium Natural Mist 100mL</v>
      </c>
      <c r="C6258" t="s">
        <v>212</v>
      </c>
      <c r="D6258" t="s">
        <v>1571</v>
      </c>
    </row>
    <row r="6259" spans="1:4" x14ac:dyDescent="0.25">
      <c r="A6259" t="s">
        <v>1572</v>
      </c>
    </row>
    <row r="6260" spans="1:4" x14ac:dyDescent="0.25">
      <c r="B6260" t="str">
        <f>HYPERLINK("https://www.chemistwarehouse.com.au/buy/6921/Otrivin-Metered-Dose-Nasal-Mist-Adult-10mL"," Otrivin Metered Dose Nasal Mist Adult 10mL")</f>
        <v xml:space="preserve"> Otrivin Metered Dose Nasal Mist Adult 10mL</v>
      </c>
      <c r="C6260" t="s">
        <v>45</v>
      </c>
      <c r="D6260">
        <v>0</v>
      </c>
    </row>
    <row r="6261" spans="1:4" x14ac:dyDescent="0.25">
      <c r="B6261" t="str">
        <f>HYPERLINK("https://www.chemistwarehouse.com.au/buy/64076/Otrivin-Adult-Plus-Nasal-Spray-10mL"," Otrivin Adult Plus Nasal Spray 10mL")</f>
        <v xml:space="preserve"> Otrivin Adult Plus Nasal Spray 10mL</v>
      </c>
      <c r="C6261" t="s">
        <v>98</v>
      </c>
      <c r="D6261">
        <v>0</v>
      </c>
    </row>
    <row r="6262" spans="1:4" x14ac:dyDescent="0.25">
      <c r="B6262" t="str">
        <f>HYPERLINK("https://www.chemistwarehouse.com.au/buy/73959/Otrivin-Clear-Sea-Water-amp-Eucalyptus-20ml"," Otrivin Clear Sea Water &amp; Eucalyptus 20ml")</f>
        <v xml:space="preserve"> Otrivin Clear Sea Water &amp; Eucalyptus 20ml</v>
      </c>
      <c r="C6262" t="s">
        <v>554</v>
      </c>
      <c r="D6262" t="s">
        <v>611</v>
      </c>
    </row>
    <row r="6263" spans="1:4" x14ac:dyDescent="0.25">
      <c r="B6263" t="str">
        <f>HYPERLINK("https://www.chemistwarehouse.com.au/buy/6922/Otrivin-Metered-Dose-Nasal-Mist-Junior-10mL"," Otrivin Metered Dose Nasal Mist Junior 10mL")</f>
        <v xml:space="preserve"> Otrivin Metered Dose Nasal Mist Junior 10mL</v>
      </c>
      <c r="C6263" t="s">
        <v>45</v>
      </c>
      <c r="D6263">
        <v>0</v>
      </c>
    </row>
    <row r="6264" spans="1:4" x14ac:dyDescent="0.25">
      <c r="B6264" t="str">
        <f>HYPERLINK("https://www.chemistwarehouse.com.au/buy/6923/Otrivin-Nasal-Drops-Adult-10mL"," Otrivin Nasal Drops Adult 10mL")</f>
        <v xml:space="preserve"> Otrivin Nasal Drops Adult 10mL</v>
      </c>
      <c r="C6264" t="s">
        <v>782</v>
      </c>
      <c r="D6264">
        <v>0</v>
      </c>
    </row>
    <row r="6265" spans="1:4" x14ac:dyDescent="0.25">
      <c r="B6265" t="str">
        <f>HYPERLINK("https://www.chemistwarehouse.com.au/buy/6924/Otrivin-Nasal-Drops-Child-10mL"," Otrivin Nasal Drops Child 10mL")</f>
        <v xml:space="preserve"> Otrivin Nasal Drops Child 10mL</v>
      </c>
      <c r="C6265" t="s">
        <v>782</v>
      </c>
      <c r="D6265">
        <v>0</v>
      </c>
    </row>
    <row r="6266" spans="1:4" x14ac:dyDescent="0.25">
      <c r="B6266" t="str">
        <f>HYPERLINK("https://www.chemistwarehouse.com.au/buy/57020/Otrivin-Nasal-Spray-Menthol-10mL"," Otrivin Nasal Spray Menthol 10mL")</f>
        <v xml:space="preserve"> Otrivin Nasal Spray Menthol 10mL</v>
      </c>
      <c r="C6266" t="s">
        <v>45</v>
      </c>
      <c r="D6266">
        <v>0</v>
      </c>
    </row>
    <row r="6267" spans="1:4" x14ac:dyDescent="0.25">
      <c r="B6267" t="str">
        <f>HYPERLINK("https://www.chemistwarehouse.com.au/buy/61252/Otrivin-Saline-Plus-20ml"," Otrivin Saline Plus 20ml")</f>
        <v xml:space="preserve"> Otrivin Saline Plus 20ml</v>
      </c>
      <c r="C6267" t="s">
        <v>116</v>
      </c>
      <c r="D6267" t="s">
        <v>371</v>
      </c>
    </row>
    <row r="6268" spans="1:4" x14ac:dyDescent="0.25">
      <c r="A6268" t="s">
        <v>1573</v>
      </c>
    </row>
    <row r="6269" spans="1:4" x14ac:dyDescent="0.25">
      <c r="B6269" t="str">
        <f>HYPERLINK("https://www.chemistwarehouse.com.au/buy/64718/Sinoclear-20ml"," Sinoclear 20ml")</f>
        <v xml:space="preserve"> Sinoclear 20ml</v>
      </c>
      <c r="C6269" t="s">
        <v>116</v>
      </c>
      <c r="D6269" t="s">
        <v>397</v>
      </c>
    </row>
    <row r="6270" spans="1:4" x14ac:dyDescent="0.25">
      <c r="B6270" t="str">
        <f>HYPERLINK("https://www.chemistwarehouse.com.au/buy/55707/Sinoclear-Nasal-amp-Sinus-Congestion-Relief-135ml"," Sinoclear Nasal &amp; Sinus Congestion Relief 135ml")</f>
        <v xml:space="preserve"> Sinoclear Nasal &amp; Sinus Congestion Relief 135ml</v>
      </c>
      <c r="C6270" t="s">
        <v>317</v>
      </c>
      <c r="D6270" t="s">
        <v>150</v>
      </c>
    </row>
    <row r="6271" spans="1:4" x14ac:dyDescent="0.25">
      <c r="A6271" t="s">
        <v>1574</v>
      </c>
    </row>
    <row r="6272" spans="1:4" x14ac:dyDescent="0.25">
      <c r="B6272" t="str">
        <f>HYPERLINK("https://www.chemistwarehouse.com.au/buy/44696/Spray-Tish-Nasal-Decongestant-Spray-15mL"," Spray Tish Nasal Decongestant Spray 15mL")</f>
        <v xml:space="preserve"> Spray Tish Nasal Decongestant Spray 15mL</v>
      </c>
      <c r="C6272" t="s">
        <v>45</v>
      </c>
      <c r="D6272">
        <v>0</v>
      </c>
    </row>
    <row r="6273" spans="1:4" x14ac:dyDescent="0.25">
      <c r="B6273" t="str">
        <f>HYPERLINK("https://www.chemistwarehouse.com.au/buy/39417/Spray-Tish-Menthol-Metered-Dose-Nasal-Mist-10mL"," Spray Tish Menthol Metered Dose Nasal Mist 10mL")</f>
        <v xml:space="preserve"> Spray Tish Menthol Metered Dose Nasal Mist 10mL</v>
      </c>
      <c r="C6273" t="s">
        <v>32</v>
      </c>
      <c r="D6273">
        <v>0</v>
      </c>
    </row>
    <row r="6274" spans="1:4" x14ac:dyDescent="0.25">
      <c r="A6274" t="s">
        <v>1575</v>
      </c>
    </row>
    <row r="6275" spans="1:4" x14ac:dyDescent="0.25">
      <c r="B6275" t="str">
        <f>HYPERLINK("https://www.chemistwarehouse.com.au/buy/49882/Sudafed-PE-Sinus-and-Nasal-Decongestant-48-Tablets"," Sudafed PE Sinus and Nasal Decongestant 48 Tablets")</f>
        <v xml:space="preserve"> Sudafed PE Sinus and Nasal Decongestant 48 Tablets</v>
      </c>
      <c r="C6275" t="s">
        <v>237</v>
      </c>
      <c r="D6275">
        <v>0</v>
      </c>
    </row>
    <row r="6276" spans="1:4" x14ac:dyDescent="0.25">
      <c r="B6276" t="str">
        <f>HYPERLINK("https://www.chemistwarehouse.com.au/buy/79169/Sudafed-Nasal-Spray-Pump-Twin-Pack"," Sudafed Nasal Spray Pump Twin Pack")</f>
        <v xml:space="preserve"> Sudafed Nasal Spray Pump Twin Pack</v>
      </c>
      <c r="C6276" t="s">
        <v>187</v>
      </c>
      <c r="D6276">
        <v>0</v>
      </c>
    </row>
    <row r="6277" spans="1:4" x14ac:dyDescent="0.25">
      <c r="B6277" t="str">
        <f>HYPERLINK("https://www.chemistwarehouse.com.au/buy/49885/Sudafed-PE-Sinus-and-Allergy-Pain-Relief-48-Tablets"," Sudafed PE Sinus and Allergy Pain Relief 48 Tablets")</f>
        <v xml:space="preserve"> Sudafed PE Sinus and Allergy Pain Relief 48 Tablets</v>
      </c>
      <c r="C6277" t="s">
        <v>61</v>
      </c>
      <c r="D6277">
        <v>0</v>
      </c>
    </row>
    <row r="6278" spans="1:4" x14ac:dyDescent="0.25">
      <c r="B6278" t="str">
        <f>HYPERLINK("https://www.chemistwarehouse.com.au/buy/64652/Sudafed-Nasal-Spray-Refill-20ml"," Sudafed Nasal Spray Refill 20ml")</f>
        <v xml:space="preserve"> Sudafed Nasal Spray Refill 20ml</v>
      </c>
      <c r="C6278" t="s">
        <v>92</v>
      </c>
      <c r="D6278">
        <v>0</v>
      </c>
    </row>
    <row r="6279" spans="1:4" x14ac:dyDescent="0.25">
      <c r="B6279" t="str">
        <f>HYPERLINK("https://www.chemistwarehouse.com.au/buy/75132/Sudafed-PE-Night-24"," Sudafed PE Night 24")</f>
        <v xml:space="preserve"> Sudafed PE Night 24</v>
      </c>
      <c r="C6279" t="s">
        <v>237</v>
      </c>
      <c r="D6279">
        <v>0</v>
      </c>
    </row>
    <row r="6280" spans="1:4" x14ac:dyDescent="0.25">
      <c r="B6280" t="str">
        <f>HYPERLINK("https://www.chemistwarehouse.com.au/buy/49886/Sudafed-PE-Sinus-and-Pain-Relief-24-Tablets"," Sudafed PE Sinus and Pain Relief 24 Tablets")</f>
        <v xml:space="preserve"> Sudafed PE Sinus and Pain Relief 24 Tablets</v>
      </c>
      <c r="C6280" t="s">
        <v>98</v>
      </c>
      <c r="D6280">
        <v>0</v>
      </c>
    </row>
    <row r="6281" spans="1:4" x14ac:dyDescent="0.25">
      <c r="B6281" t="str">
        <f>HYPERLINK("https://www.chemistwarehouse.com.au/buy/49887/Sudafed-PE-Sinus-and-Pain-Relief-48-Tablets"," Sudafed PE Sinus and Pain Relief 48 Tablets")</f>
        <v xml:space="preserve"> Sudafed PE Sinus and Pain Relief 48 Tablets</v>
      </c>
      <c r="C6281" t="s">
        <v>202</v>
      </c>
      <c r="D6281">
        <v>0</v>
      </c>
    </row>
    <row r="6282" spans="1:4" x14ac:dyDescent="0.25">
      <c r="B6282" t="str">
        <f>HYPERLINK("https://www.chemistwarehouse.com.au/buy/54963/Sudafed-Nasal-Decongestant-Spray-20ml"," Sudafed Nasal Decongestant Spray 20ml")</f>
        <v xml:space="preserve"> Sudafed Nasal Decongestant Spray 20ml</v>
      </c>
      <c r="C6282" t="s">
        <v>32</v>
      </c>
      <c r="D6282">
        <v>0</v>
      </c>
    </row>
    <row r="6283" spans="1:4" x14ac:dyDescent="0.25">
      <c r="B6283" t="str">
        <f>HYPERLINK("https://www.chemistwarehouse.com.au/buy/58872/Sudafed-Daytime-Nightime-Relief-Tablets-24"," Sudafed Daytime/Nightime Relief Tablets 24")</f>
        <v xml:space="preserve"> Sudafed Daytime/Nightime Relief Tablets 24</v>
      </c>
      <c r="C6283" t="s">
        <v>187</v>
      </c>
      <c r="D6283">
        <v>0</v>
      </c>
    </row>
    <row r="6284" spans="1:4" x14ac:dyDescent="0.25">
      <c r="B6284" t="str">
        <f>HYPERLINK("https://www.chemistwarehouse.com.au/buy/61178/Sudafed-PE-Sinus-Anti-Inflammatory-48-Tablets"," Sudafed PE Sinus Anti-Inflammatory 48 Tablets")</f>
        <v xml:space="preserve"> Sudafed PE Sinus Anti-Inflammatory 48 Tablets</v>
      </c>
      <c r="C6284" t="s">
        <v>61</v>
      </c>
      <c r="D6284">
        <v>0</v>
      </c>
    </row>
    <row r="6285" spans="1:4" x14ac:dyDescent="0.25">
      <c r="B6285" t="str">
        <f>HYPERLINK("https://www.chemistwarehouse.com.au/buy/64504/Sudafed-PE-Sinus-Anti-Inflammatory-Tablets-24"," Sudafed PE Sinus/Anti-Inflammatory Tablets 24")</f>
        <v xml:space="preserve"> Sudafed PE Sinus/Anti-Inflammatory Tablets 24</v>
      </c>
      <c r="C6285" t="s">
        <v>187</v>
      </c>
      <c r="D6285">
        <v>0</v>
      </c>
    </row>
    <row r="6286" spans="1:4" x14ac:dyDescent="0.25">
      <c r="B6286" t="str">
        <f>HYPERLINK("https://www.chemistwarehouse.com.au/buy/49883/Sudafed-PE-Sinus-Day-and-Night-Relief-24-Tablets"," Sudafed PE Sinus Day and Night Relief 24 Tablets")</f>
        <v xml:space="preserve"> Sudafed PE Sinus Day and Night Relief 24 Tablets</v>
      </c>
      <c r="C6286" t="s">
        <v>237</v>
      </c>
      <c r="D6286">
        <v>0</v>
      </c>
    </row>
    <row r="6287" spans="1:4" x14ac:dyDescent="0.25">
      <c r="B6287" t="str">
        <f>HYPERLINK("https://www.chemistwarehouse.com.au/buy/49884/Sudafed-PE-Sinus-and-Allergy-Pain-Relief-24-Tablets"," Sudafed PE Sinus and Allergy Pain Relief 24 Tablets")</f>
        <v xml:space="preserve"> Sudafed PE Sinus and Allergy Pain Relief 24 Tablets</v>
      </c>
      <c r="C6287" t="s">
        <v>187</v>
      </c>
      <c r="D6287">
        <v>0</v>
      </c>
    </row>
    <row r="6288" spans="1:4" x14ac:dyDescent="0.25">
      <c r="B6288" t="str">
        <f>HYPERLINK("https://www.chemistwarehouse.com.au/buy/49368/Sudafed-PE-Nasal-Decongestant-24-Tablets"," Sudafed PE Nasal Decongestant 24 Tablets")</f>
        <v xml:space="preserve"> Sudafed PE Nasal Decongestant 24 Tablets</v>
      </c>
      <c r="C6288" t="s">
        <v>45</v>
      </c>
      <c r="D6288">
        <v>0</v>
      </c>
    </row>
    <row r="6289" spans="1:4" x14ac:dyDescent="0.25">
      <c r="B6289" t="str">
        <f>HYPERLINK("https://www.chemistwarehouse.com.au/buy/49876/Sudafed-PE-Sinus-Day-and-Night-Relief-48-Tablets"," Sudafed PE Sinus Day and Night Relief 48 Tablets")</f>
        <v xml:space="preserve"> Sudafed PE Sinus Day and Night Relief 48 Tablets</v>
      </c>
      <c r="C6289" t="s">
        <v>61</v>
      </c>
      <c r="D6289">
        <v>0</v>
      </c>
    </row>
    <row r="6290" spans="1:4" x14ac:dyDescent="0.25">
      <c r="A6290" t="s">
        <v>1576</v>
      </c>
    </row>
    <row r="6291" spans="1:4" x14ac:dyDescent="0.25">
      <c r="B6291" t="str">
        <f>HYPERLINK("https://www.chemistwarehouse.com.au/buy/60981/Telfast-180mg-70-tablets"," Telfast 180mg 70 tablets")</f>
        <v xml:space="preserve"> Telfast 180mg 70 tablets</v>
      </c>
      <c r="C6291" t="s">
        <v>6</v>
      </c>
      <c r="D6291">
        <v>0</v>
      </c>
    </row>
    <row r="6292" spans="1:4" x14ac:dyDescent="0.25">
      <c r="B6292" t="str">
        <f>HYPERLINK("https://www.chemistwarehouse.com.au/buy/20528/Telfast-180mg-30-Tablets"," Telfast 180mg 30 Tablets")</f>
        <v xml:space="preserve"> Telfast 180mg 30 Tablets</v>
      </c>
      <c r="C6292" t="s">
        <v>8</v>
      </c>
      <c r="D6292">
        <v>0</v>
      </c>
    </row>
    <row r="6293" spans="1:4" x14ac:dyDescent="0.25">
      <c r="B6293" t="str">
        <f>HYPERLINK("https://www.chemistwarehouse.com.au/buy/48192/Telnase-Nasal-Spray-120"," Telnase Nasal Spray 120")</f>
        <v xml:space="preserve"> Telnase Nasal Spray 120</v>
      </c>
      <c r="C6293" t="s">
        <v>98</v>
      </c>
      <c r="D6293">
        <v>0</v>
      </c>
    </row>
    <row r="6294" spans="1:4" x14ac:dyDescent="0.25">
      <c r="B6294" t="str">
        <f>HYPERLINK("https://www.chemistwarehouse.com.au/buy/20526/Telfast-120mg-30-Tablets"," Telfast 120mg 30 Tablets")</f>
        <v xml:space="preserve"> Telfast 120mg 30 Tablets</v>
      </c>
      <c r="C6294" t="s">
        <v>63</v>
      </c>
      <c r="D6294">
        <v>0</v>
      </c>
    </row>
    <row r="6295" spans="1:4" x14ac:dyDescent="0.25">
      <c r="B6295" t="str">
        <f>HYPERLINK("https://www.chemistwarehouse.com.au/buy/20529/Telfast-60mg-20-Tablets"," Telfast 60mg 20 Tablets")</f>
        <v xml:space="preserve"> Telfast 60mg 20 Tablets</v>
      </c>
      <c r="C6295" t="s">
        <v>430</v>
      </c>
      <c r="D6295">
        <v>0</v>
      </c>
    </row>
    <row r="6296" spans="1:4" x14ac:dyDescent="0.25">
      <c r="B6296" t="str">
        <f>HYPERLINK("https://www.chemistwarehouse.com.au/buy/58106/Telfast-Children-39-s-Elixir-150mL"," Telfast Children's Elixir 150mL")</f>
        <v xml:space="preserve"> Telfast Children's Elixir 150mL</v>
      </c>
      <c r="C6296" t="s">
        <v>32</v>
      </c>
      <c r="D6296">
        <v>0</v>
      </c>
    </row>
    <row r="6297" spans="1:4" x14ac:dyDescent="0.25">
      <c r="B6297" t="str">
        <f>HYPERLINK("https://www.chemistwarehouse.com.au/buy/20525/Telfast-120mg-10-Tablets"," Telfast 120mg 10 Tablets")</f>
        <v xml:space="preserve"> Telfast 120mg 10 Tablets</v>
      </c>
      <c r="C6297" t="s">
        <v>32</v>
      </c>
      <c r="D6297">
        <v>0</v>
      </c>
    </row>
    <row r="6298" spans="1:4" x14ac:dyDescent="0.25">
      <c r="B6298" t="str">
        <f>HYPERLINK("https://www.chemistwarehouse.com.au/buy/20527/Telfast-180mg-10-Tablets"," Telfast 180mg 10 Tablets")</f>
        <v xml:space="preserve"> Telfast 180mg 10 Tablets</v>
      </c>
      <c r="C6298" t="s">
        <v>98</v>
      </c>
      <c r="D6298">
        <v>0</v>
      </c>
    </row>
    <row r="6299" spans="1:4" x14ac:dyDescent="0.25">
      <c r="A6299" t="s">
        <v>1577</v>
      </c>
    </row>
    <row r="6300" spans="1:4" x14ac:dyDescent="0.25">
      <c r="B6300" t="str">
        <f>HYPERLINK("https://www.chemistwarehouse.com.au/buy/50111/Zyrtec-10mg-70-Tablets"," Zyrtec 10mg 70 Tablets")</f>
        <v xml:space="preserve"> Zyrtec 10mg 70 Tablets</v>
      </c>
      <c r="C6300" t="s">
        <v>166</v>
      </c>
      <c r="D6300">
        <v>0</v>
      </c>
    </row>
    <row r="6301" spans="1:4" x14ac:dyDescent="0.25">
      <c r="B6301" t="str">
        <f>HYPERLINK("https://www.chemistwarehouse.com.au/buy/20560/Zyrtec-10mg-30-Tablets"," Zyrtec 10mg 30 Tablets")</f>
        <v xml:space="preserve"> Zyrtec 10mg 30 Tablets</v>
      </c>
      <c r="C6301" t="s">
        <v>173</v>
      </c>
      <c r="D6301">
        <v>0</v>
      </c>
    </row>
    <row r="6302" spans="1:4" x14ac:dyDescent="0.25">
      <c r="B6302" t="str">
        <f>HYPERLINK("https://www.chemistwarehouse.com.au/buy/20559/Zyrtec-10mg-10-Tablets"," Zyrtec 10mg 10 Tablets")</f>
        <v xml:space="preserve"> Zyrtec 10mg 10 Tablets</v>
      </c>
      <c r="C6302" t="s">
        <v>32</v>
      </c>
      <c r="D6302">
        <v>0</v>
      </c>
    </row>
    <row r="6303" spans="1:4" x14ac:dyDescent="0.25">
      <c r="B6303" t="str">
        <f>HYPERLINK("https://www.chemistwarehouse.com.au/buy/58280/Zyrtec-Kids-Oral-Liquid-200mL"," Zyrtec Kids Oral Liquid 200mL")</f>
        <v xml:space="preserve"> Zyrtec Kids Oral Liquid 200mL</v>
      </c>
      <c r="C6303" t="s">
        <v>58</v>
      </c>
      <c r="D6303">
        <v>0</v>
      </c>
    </row>
    <row r="6304" spans="1:4" x14ac:dyDescent="0.25">
      <c r="B6304" t="str">
        <f>HYPERLINK("https://www.chemistwarehouse.com.au/buy/64640/Zyrtec-Kids-Oral-Liquid-75mL"," Zyrtec Kids Oral Liquid 75mL")</f>
        <v xml:space="preserve"> Zyrtec Kids Oral Liquid 75mL</v>
      </c>
      <c r="C6304" t="s">
        <v>32</v>
      </c>
      <c r="D6304">
        <v>0</v>
      </c>
    </row>
    <row r="6305" spans="1:4" x14ac:dyDescent="0.25">
      <c r="B6305" t="str">
        <f>HYPERLINK("https://www.chemistwarehouse.com.au/buy/69697/Zyrtec-Kids-Oral-Drops-20ml"," Zyrtec Kids Oral Drops 20ml ")</f>
        <v xml:space="preserve"> Zyrtec Kids Oral Drops 20ml </v>
      </c>
      <c r="C6305" t="s">
        <v>202</v>
      </c>
      <c r="D6305">
        <v>0</v>
      </c>
    </row>
    <row r="6306" spans="1:4" x14ac:dyDescent="0.25">
      <c r="B6306" t="str">
        <f>HYPERLINK("https://www.chemistwarehouse.com.au/buy/76427/Zyrtec-Eye-Drops-4ml"," Zyrtec Eye Drops 4ml")</f>
        <v xml:space="preserve"> Zyrtec Eye Drops 4ml</v>
      </c>
      <c r="C6306" t="s">
        <v>45</v>
      </c>
      <c r="D6306">
        <v>0</v>
      </c>
    </row>
    <row r="6307" spans="1:4" x14ac:dyDescent="0.25">
      <c r="B6307" t="str">
        <f>HYPERLINK("https://www.chemistwarehouse.com.au/buy/76428/Zyrtec-Liquid-Capsules-14"," Zyrtec Liquid Capsules 14")</f>
        <v xml:space="preserve"> Zyrtec Liquid Capsules 14</v>
      </c>
      <c r="C6307" t="s">
        <v>187</v>
      </c>
      <c r="D6307">
        <v>0</v>
      </c>
    </row>
    <row r="6308" spans="1:4" x14ac:dyDescent="0.25">
      <c r="B6308" t="str">
        <f>HYPERLINK("https://www.chemistwarehouse.com.au/buy/76429/Zyrtec-Liquid-Capsules-42"," Zyrtec Liquid Capsules 42")</f>
        <v xml:space="preserve"> Zyrtec Liquid Capsules 42</v>
      </c>
      <c r="C6308" t="s">
        <v>6</v>
      </c>
      <c r="D6308">
        <v>0</v>
      </c>
    </row>
    <row r="6309" spans="1:4" x14ac:dyDescent="0.25">
      <c r="B6309" t="str">
        <f>HYPERLINK("https://www.chemistwarehouse.com.au/buy/76430/Zyrtec-Nasal-Spray-10mL"," Zyrtec Nasal Spray 10mL")</f>
        <v xml:space="preserve"> Zyrtec Nasal Spray 10mL</v>
      </c>
      <c r="C6309" t="s">
        <v>98</v>
      </c>
      <c r="D6309">
        <v>0</v>
      </c>
    </row>
    <row r="6310" spans="1:4" x14ac:dyDescent="0.25">
      <c r="A6310" t="s">
        <v>1578</v>
      </c>
    </row>
    <row r="6311" spans="1:4" x14ac:dyDescent="0.25">
      <c r="B6311" t="str">
        <f>HYPERLINK("https://www.chemistwarehouse.com.au/buy/42585/Rhinocort-Hayfever-Aqueous-32mcg-120-Doses"," Rhinocort Hayfever Aqueous 32mcg 120 Doses")</f>
        <v xml:space="preserve"> Rhinocort Hayfever Aqueous 32mcg 120 Doses</v>
      </c>
      <c r="C6311" t="s">
        <v>61</v>
      </c>
      <c r="D6311">
        <v>0</v>
      </c>
    </row>
    <row r="6312" spans="1:4" x14ac:dyDescent="0.25">
      <c r="B6312" t="str">
        <f>HYPERLINK("https://www.chemistwarehouse.com.au/buy/78704/Nasonex-Allergy-280-Dose"," Nasonex Allergy 280 Dose")</f>
        <v xml:space="preserve"> Nasonex Allergy 280 Dose</v>
      </c>
      <c r="C6312" t="s">
        <v>279</v>
      </c>
      <c r="D6312">
        <v>0</v>
      </c>
    </row>
    <row r="6313" spans="1:4" x14ac:dyDescent="0.25">
      <c r="B6313" t="str">
        <f>HYPERLINK("https://www.chemistwarehouse.com.au/buy/20488/Phenergan-25mg-50-Tablets"," Phenergan 25mg 50 Tablets")</f>
        <v xml:space="preserve"> Phenergan 25mg 50 Tablets</v>
      </c>
      <c r="C6313" t="s">
        <v>244</v>
      </c>
      <c r="D6313">
        <v>0</v>
      </c>
    </row>
    <row r="6314" spans="1:4" x14ac:dyDescent="0.25">
      <c r="B6314" t="str">
        <f>HYPERLINK("https://www.chemistwarehouse.com.au/buy/76669/Azonaire-Hayfever-50mcg-140-Dose-Spray"," Azonaire Hayfever 50mcg 140 Dose Spray")</f>
        <v xml:space="preserve"> Azonaire Hayfever 50mcg 140 Dose Spray</v>
      </c>
      <c r="C6314" t="s">
        <v>80</v>
      </c>
      <c r="D6314">
        <v>0</v>
      </c>
    </row>
    <row r="6315" spans="1:4" x14ac:dyDescent="0.25">
      <c r="B6315" t="str">
        <f>HYPERLINK("https://www.chemistwarehouse.com.au/buy/72678/Nasonex-Allergy-140-Dose"," Nasonex Allergy 140 Dose")</f>
        <v xml:space="preserve"> Nasonex Allergy 140 Dose</v>
      </c>
      <c r="C6315" t="s">
        <v>187</v>
      </c>
      <c r="D6315">
        <v>0</v>
      </c>
    </row>
    <row r="6316" spans="1:4" x14ac:dyDescent="0.25">
      <c r="B6316" t="str">
        <f>HYPERLINK("https://www.chemistwarehouse.com.au/buy/72679/Nasonex-Allergy-65-Dose"," Nasonex Allergy 65 Dose")</f>
        <v xml:space="preserve"> Nasonex Allergy 65 Dose</v>
      </c>
      <c r="C6316" t="s">
        <v>32</v>
      </c>
      <c r="D6316">
        <v>0</v>
      </c>
    </row>
    <row r="6317" spans="1:4" x14ac:dyDescent="0.25">
      <c r="B6317" t="str">
        <f>HYPERLINK("https://www.chemistwarehouse.com.au/buy/20496/Polaramine-Syrup-100mL"," Polaramine Syrup 100mL")</f>
        <v xml:space="preserve"> Polaramine Syrup 100mL</v>
      </c>
      <c r="C6317" t="s">
        <v>187</v>
      </c>
      <c r="D6317">
        <v>0</v>
      </c>
    </row>
    <row r="6318" spans="1:4" x14ac:dyDescent="0.25">
      <c r="B6318" t="str">
        <f>HYPERLINK("https://www.chemistwarehouse.com.au/buy/54915/Azep-Hayfever-Relief-Nasal-Spray-5ml"," Azep Hayfever Relief Nasal Spray 5ml")</f>
        <v xml:space="preserve"> Azep Hayfever Relief Nasal Spray 5ml</v>
      </c>
      <c r="C6318" t="s">
        <v>80</v>
      </c>
      <c r="D6318">
        <v>0</v>
      </c>
    </row>
    <row r="6319" spans="1:4" x14ac:dyDescent="0.25">
      <c r="B6319" t="str">
        <f>HYPERLINK("https://www.chemistwarehouse.com.au/buy/57512/Polaramine-2mg-20-Tablets"," Polaramine 2mg 20 Tablets")</f>
        <v xml:space="preserve"> Polaramine 2mg 20 Tablets</v>
      </c>
      <c r="C6319" t="s">
        <v>782</v>
      </c>
      <c r="D6319">
        <v>0</v>
      </c>
    </row>
    <row r="6320" spans="1:4" x14ac:dyDescent="0.25">
      <c r="B6320" t="str">
        <f>HYPERLINK("https://www.chemistwarehouse.com.au/buy/57513/Polaramine-2mg-Tablets-40"," Polaramine 2mg Tablets 40")</f>
        <v xml:space="preserve"> Polaramine 2mg Tablets 40</v>
      </c>
      <c r="C6320" t="s">
        <v>290</v>
      </c>
      <c r="D6320">
        <v>0</v>
      </c>
    </row>
    <row r="6321" spans="1:4" x14ac:dyDescent="0.25">
      <c r="B6321" t="str">
        <f>HYPERLINK("https://www.chemistwarehouse.com.au/buy/61358/Periactin-4mg-100-Tablets"," Periactin 4mg 100 Tablets")</f>
        <v xml:space="preserve"> Periactin 4mg 100 Tablets</v>
      </c>
      <c r="C6321" t="s">
        <v>317</v>
      </c>
      <c r="D6321">
        <v>0</v>
      </c>
    </row>
    <row r="6322" spans="1:4" x14ac:dyDescent="0.25">
      <c r="B6322" t="str">
        <f>HYPERLINK("https://www.chemistwarehouse.com.au/buy/834/Avomine-25mg-Tablets-30"," Avomine 25mg Tablets 30")</f>
        <v xml:space="preserve"> Avomine 25mg Tablets 30</v>
      </c>
      <c r="C6322" t="s">
        <v>98</v>
      </c>
      <c r="D6322">
        <v>0</v>
      </c>
    </row>
    <row r="6323" spans="1:4" x14ac:dyDescent="0.25">
      <c r="B6323" t="str">
        <f>HYPERLINK("https://www.chemistwarehouse.com.au/buy/6152/Lemsip-Medic-Vapour-Room-Spray-125g"," Lemsip Medic Vapour Room Spray 125g")</f>
        <v xml:space="preserve"> Lemsip Medic Vapour Room Spray 125g</v>
      </c>
      <c r="C6323" t="s">
        <v>242</v>
      </c>
      <c r="D6323" t="s">
        <v>1312</v>
      </c>
    </row>
    <row r="6324" spans="1:4" x14ac:dyDescent="0.25">
      <c r="B6324" t="str">
        <f>HYPERLINK("https://www.chemistwarehouse.com.au/buy/6938/Paedamin-Decongestant-Antihistamine-Liquid-200mL"," Paedamin Decongestant Antihistamine Liquid 200mL")</f>
        <v xml:space="preserve"> Paedamin Decongestant Antihistamine Liquid 200mL</v>
      </c>
      <c r="C6324" t="s">
        <v>187</v>
      </c>
      <c r="D6324">
        <v>0</v>
      </c>
    </row>
    <row r="6325" spans="1:4" x14ac:dyDescent="0.25">
      <c r="B6325" t="str">
        <f>HYPERLINK("https://www.chemistwarehouse.com.au/buy/20486/Phenergan-Elixir-100mL"," Phenergan Elixir 100mL")</f>
        <v xml:space="preserve"> Phenergan Elixir 100mL</v>
      </c>
      <c r="C6325" t="s">
        <v>107</v>
      </c>
      <c r="D6325">
        <v>0</v>
      </c>
    </row>
    <row r="6326" spans="1:4" x14ac:dyDescent="0.25">
      <c r="B6326" t="str">
        <f>HYPERLINK("https://www.chemistwarehouse.com.au/buy/20487/Phenergan-10mg-50-Tablets"," Phenergan 10mg 50 Tablets")</f>
        <v xml:space="preserve"> Phenergan 10mg 50 Tablets</v>
      </c>
      <c r="C6326" t="s">
        <v>107</v>
      </c>
      <c r="D6326">
        <v>0</v>
      </c>
    </row>
    <row r="6327" spans="1:4" x14ac:dyDescent="0.25">
      <c r="A6327" t="s">
        <v>1579</v>
      </c>
    </row>
    <row r="6328" spans="1:4" x14ac:dyDescent="0.25">
      <c r="B6328" t="str">
        <f>HYPERLINK("https://www.chemistwarehouse.com.au/buy/76247/Ki-Hayfever-Tablets-30"," Ki Hayfever Tablets 30")</f>
        <v xml:space="preserve"> Ki Hayfever Tablets 30</v>
      </c>
      <c r="C6328" t="s">
        <v>303</v>
      </c>
      <c r="D6328" t="s">
        <v>1580</v>
      </c>
    </row>
    <row r="6329" spans="1:4" x14ac:dyDescent="0.25">
      <c r="A6329" t="s">
        <v>1581</v>
      </c>
    </row>
    <row r="6330" spans="1:4" x14ac:dyDescent="0.25">
      <c r="B6330" t="str">
        <f>HYPERLINK("https://www.chemistwarehouse.com.au/buy/3265/Demazin-Cold-Relief-Clear-Syrup-Colour-Free-200ml-6-Years"," Demazin Cold Relief Clear Syrup Colour Free 200ml 6 Years +")</f>
        <v xml:space="preserve"> Demazin Cold Relief Clear Syrup Colour Free 200ml 6 Years +</v>
      </c>
      <c r="C6330" t="s">
        <v>237</v>
      </c>
      <c r="D6330">
        <v>0</v>
      </c>
    </row>
    <row r="6331" spans="1:4" x14ac:dyDescent="0.25">
      <c r="B6331" t="str">
        <f>HYPERLINK("https://www.chemistwarehouse.com.au/buy/64503/Sambucol-Liquid-250ml"," Sambucol Liquid 250ml")</f>
        <v xml:space="preserve"> Sambucol Liquid 250ml</v>
      </c>
      <c r="C6331" t="s">
        <v>279</v>
      </c>
      <c r="D6331" t="s">
        <v>165</v>
      </c>
    </row>
    <row r="6332" spans="1:4" x14ac:dyDescent="0.25">
      <c r="B6332" t="str">
        <f>HYPERLINK("https://www.chemistwarehouse.com.au/buy/3269/Demazin-Blue-Syrup-200ml-6-Years"," Demazin Blue Syrup 200ml 6 Years +")</f>
        <v xml:space="preserve"> Demazin Blue Syrup 200ml 6 Years +</v>
      </c>
      <c r="C6332" t="s">
        <v>237</v>
      </c>
      <c r="D6332">
        <v>0</v>
      </c>
    </row>
    <row r="6333" spans="1:4" x14ac:dyDescent="0.25">
      <c r="B6333" t="str">
        <f>HYPERLINK("https://www.chemistwarehouse.com.au/buy/3478/Dimetapp-Cold-and-Allergy-200mL"," Dimetapp Cold and Allergy 200mL ")</f>
        <v xml:space="preserve"> Dimetapp Cold and Allergy 200mL </v>
      </c>
      <c r="C6333" t="s">
        <v>187</v>
      </c>
      <c r="D6333">
        <v>0</v>
      </c>
    </row>
    <row r="6334" spans="1:4" x14ac:dyDescent="0.25">
      <c r="B6334" t="str">
        <f>HYPERLINK("https://www.chemistwarehouse.com.au/buy/3479/Dimetapp-Cold-and-Allergy-Colour-Free-200mL"," Dimetapp Cold and Allergy Colour Free 200mL")</f>
        <v xml:space="preserve"> Dimetapp Cold and Allergy Colour Free 200mL</v>
      </c>
      <c r="C6334" t="s">
        <v>187</v>
      </c>
      <c r="D6334">
        <v>0</v>
      </c>
    </row>
    <row r="6335" spans="1:4" x14ac:dyDescent="0.25">
      <c r="B6335" t="str">
        <f>HYPERLINK("https://www.chemistwarehouse.com.au/buy/7464/Rikodeine™-100ml-Prescription-Only-Medicine"," Rikodeine™ 100ml (Prescription Only Medicine)")</f>
        <v xml:space="preserve"> Rikodeine™ 100ml (Prescription Only Medicine)</v>
      </c>
      <c r="C6335" t="s">
        <v>80</v>
      </c>
      <c r="D6335">
        <v>0</v>
      </c>
    </row>
    <row r="6336" spans="1:4" x14ac:dyDescent="0.25">
      <c r="B6336" t="str">
        <f>HYPERLINK("https://www.chemistwarehouse.com.au/buy/7465/Rikodeine™-200ml-Prescription-Only"," Rikodeine™ 200ml (Prescription Only)")</f>
        <v xml:space="preserve"> Rikodeine™ 200ml (Prescription Only)</v>
      </c>
      <c r="C6336" t="s">
        <v>8</v>
      </c>
      <c r="D6336">
        <v>0</v>
      </c>
    </row>
    <row r="6337" spans="1:4" x14ac:dyDescent="0.25">
      <c r="B6337" t="str">
        <f>HYPERLINK("https://www.chemistwarehouse.com.au/buy/39853/Dimetapp-Cough-and-Cold-Colour-Free-200mL"," Dimetapp Cough and Cold Colour Free 200mL")</f>
        <v xml:space="preserve"> Dimetapp Cough and Cold Colour Free 200mL</v>
      </c>
      <c r="C6337" t="s">
        <v>187</v>
      </c>
      <c r="D6337">
        <v>0</v>
      </c>
    </row>
    <row r="6338" spans="1:4" x14ac:dyDescent="0.25">
      <c r="B6338" t="str">
        <f>HYPERLINK("https://www.chemistwarehouse.com.au/buy/3431/Difflam-Anti-inflammatory-Gargle-500ml"," Difflam Anti-inflammatory Gargle 500ml")</f>
        <v xml:space="preserve"> Difflam Anti-inflammatory Gargle 500ml</v>
      </c>
      <c r="C6338" t="s">
        <v>407</v>
      </c>
      <c r="D6338">
        <v>0</v>
      </c>
    </row>
    <row r="6339" spans="1:4" x14ac:dyDescent="0.25">
      <c r="B6339" t="str">
        <f>HYPERLINK("https://www.chemistwarehouse.com.au/buy/3475/Dimetapp-Cough-and-Cold-200mL"," Dimetapp Cough and Cold 200mL")</f>
        <v xml:space="preserve"> Dimetapp Cough and Cold 200mL</v>
      </c>
      <c r="C6339" t="s">
        <v>187</v>
      </c>
      <c r="D6339">
        <v>0</v>
      </c>
    </row>
    <row r="6340" spans="1:4" x14ac:dyDescent="0.25">
      <c r="B6340" t="str">
        <f>HYPERLINK("https://www.chemistwarehouse.com.au/buy/67744/Sambucol-Cold-amp-Flu-Syrup-120ml"," Sambucol Cold &amp; Flu Syrup 120ml")</f>
        <v xml:space="preserve"> Sambucol Cold &amp; Flu Syrup 120ml</v>
      </c>
      <c r="C6340" t="s">
        <v>58</v>
      </c>
      <c r="D6340" t="s">
        <v>150</v>
      </c>
    </row>
    <row r="6341" spans="1:4" x14ac:dyDescent="0.25">
      <c r="B6341" t="str">
        <f>HYPERLINK("https://www.chemistwarehouse.com.au/buy/68748/Sambucol-Cold-amp-Flu-Kids-Liquid-120ml"," Sambucol Cold &amp; Flu Kids Liquid 120ml")</f>
        <v xml:space="preserve"> Sambucol Cold &amp; Flu Kids Liquid 120ml</v>
      </c>
      <c r="C6341" t="s">
        <v>58</v>
      </c>
      <c r="D6341" t="s">
        <v>147</v>
      </c>
    </row>
    <row r="6342" spans="1:4" x14ac:dyDescent="0.25">
      <c r="A6342" t="s">
        <v>1582</v>
      </c>
    </row>
    <row r="6343" spans="1:4" x14ac:dyDescent="0.25">
      <c r="B6343" t="str">
        <f>HYPERLINK("https://www.chemistwarehouse.com.au/buy/78763/Codral-Honey-amp-Lemon-16-Lozenges"," Codral Honey &amp; Lemon 16 Lozenges")</f>
        <v xml:space="preserve"> Codral Honey &amp; Lemon 16 Lozenges</v>
      </c>
      <c r="C6343" t="s">
        <v>483</v>
      </c>
      <c r="D6343" t="s">
        <v>312</v>
      </c>
    </row>
    <row r="6344" spans="1:4" x14ac:dyDescent="0.25">
      <c r="B6344" t="str">
        <f>HYPERLINK("https://www.chemistwarehouse.com.au/buy/78764/Codral-Honey-amp-Lemon-36-Lozenges"," Codral Honey &amp; Lemon 36 Lozenges")</f>
        <v xml:space="preserve"> Codral Honey &amp; Lemon 36 Lozenges</v>
      </c>
      <c r="C6344" t="s">
        <v>116</v>
      </c>
      <c r="D6344" t="s">
        <v>238</v>
      </c>
    </row>
    <row r="6345" spans="1:4" x14ac:dyDescent="0.25">
      <c r="B6345" t="str">
        <f>HYPERLINK("https://www.chemistwarehouse.com.au/buy/78765/Codral-Lime-amp-Lemon-16-Lozenges"," Codral Lime &amp; Lemon 16 Lozenges")</f>
        <v xml:space="preserve"> Codral Lime &amp; Lemon 16 Lozenges</v>
      </c>
      <c r="C6345" t="s">
        <v>556</v>
      </c>
      <c r="D6345" t="s">
        <v>281</v>
      </c>
    </row>
    <row r="6346" spans="1:4" x14ac:dyDescent="0.25">
      <c r="B6346" t="str">
        <f>HYPERLINK("https://www.chemistwarehouse.com.au/buy/78766/Codral-Lime-amp-Lemon-36-Lozenges"," Codral Lime &amp; Lemon 36 Lozenges")</f>
        <v xml:space="preserve"> Codral Lime &amp; Lemon 36 Lozenges</v>
      </c>
      <c r="C6346" t="s">
        <v>32</v>
      </c>
      <c r="D6346" t="s">
        <v>162</v>
      </c>
    </row>
    <row r="6347" spans="1:4" x14ac:dyDescent="0.25">
      <c r="B6347" t="str">
        <f>HYPERLINK("https://www.chemistwarehouse.com.au/buy/78767/Codral-Menthol-16-Lozenges"," Codral Menthol 16 Lozenges")</f>
        <v xml:space="preserve"> Codral Menthol 16 Lozenges</v>
      </c>
      <c r="C6347" t="s">
        <v>556</v>
      </c>
      <c r="D6347" t="s">
        <v>371</v>
      </c>
    </row>
    <row r="6348" spans="1:4" x14ac:dyDescent="0.25">
      <c r="A6348" t="s">
        <v>1583</v>
      </c>
    </row>
    <row r="6349" spans="1:4" x14ac:dyDescent="0.25">
      <c r="B6349" t="str">
        <f>HYPERLINK("https://www.chemistwarehouse.com.au/buy/56168/Demazin-PE-Cold-amp-Flu-Tablets-48"," Demazin PE Cold &amp; Flu Tablets 48")</f>
        <v xml:space="preserve"> Demazin PE Cold &amp; Flu Tablets 48</v>
      </c>
      <c r="C6349" t="s">
        <v>80</v>
      </c>
      <c r="D6349">
        <v>0</v>
      </c>
    </row>
    <row r="6350" spans="1:4" x14ac:dyDescent="0.25">
      <c r="B6350" t="str">
        <f>HYPERLINK("https://www.chemistwarehouse.com.au/buy/78930/Demazin-Kids-Cold-and-Flu-Relief-200ml"," Demazin Kids Cold and Flu Relief 200ml")</f>
        <v xml:space="preserve"> Demazin Kids Cold and Flu Relief 200ml</v>
      </c>
      <c r="C6350" t="s">
        <v>8</v>
      </c>
      <c r="D6350" t="s">
        <v>371</v>
      </c>
    </row>
    <row r="6351" spans="1:4" x14ac:dyDescent="0.25">
      <c r="B6351" t="str">
        <f>HYPERLINK("https://www.chemistwarehouse.com.au/buy/49943/Demazin-6-Hour-Tablets-12"," Demazin 6 Hour Tablets 12")</f>
        <v xml:space="preserve"> Demazin 6 Hour Tablets 12</v>
      </c>
      <c r="C6351" t="s">
        <v>32</v>
      </c>
      <c r="D6351">
        <v>0</v>
      </c>
    </row>
    <row r="6352" spans="1:4" x14ac:dyDescent="0.25">
      <c r="B6352" t="str">
        <f>HYPERLINK("https://www.chemistwarehouse.com.au/buy/56167/Demazin-PE-Cold-amp-Flu-Tablets-24"," Demazin PE Cold &amp; Flu Tablets 24")</f>
        <v xml:space="preserve"> Demazin PE Cold &amp; Flu Tablets 24</v>
      </c>
      <c r="C6352" t="s">
        <v>45</v>
      </c>
      <c r="D6352">
        <v>0</v>
      </c>
    </row>
    <row r="6353" spans="1:4" x14ac:dyDescent="0.25">
      <c r="B6353" t="str">
        <f>HYPERLINK("https://www.chemistwarehouse.com.au/buy/57428/Demazin-PE-Cold-amp-Flu-Day-amp-Night-Relief-24-Tablets"," Demazin PE Cold &amp; Flu Day &amp; Night Relief 24 Tablets")</f>
        <v xml:space="preserve"> Demazin PE Cold &amp; Flu Day &amp; Night Relief 24 Tablets</v>
      </c>
      <c r="C6353" t="s">
        <v>45</v>
      </c>
      <c r="D6353">
        <v>0</v>
      </c>
    </row>
    <row r="6354" spans="1:4" x14ac:dyDescent="0.25">
      <c r="B6354" t="str">
        <f>HYPERLINK("https://www.chemistwarehouse.com.au/buy/57429/Demazin-PE-Cold-amp-Flu-Day-amp-Night-Relief-48-Tablets"," Demazin PE Cold &amp; Flu Day &amp; Night Relief 48 Tablets")</f>
        <v xml:space="preserve"> Demazin PE Cold &amp; Flu Day &amp; Night Relief 48 Tablets</v>
      </c>
      <c r="C6354" t="s">
        <v>80</v>
      </c>
      <c r="D6354">
        <v>0</v>
      </c>
    </row>
    <row r="6355" spans="1:4" x14ac:dyDescent="0.25">
      <c r="B6355" t="str">
        <f>HYPERLINK("https://www.chemistwarehouse.com.au/buy/57432/Demazin-Cough-Cold-amp-Flu-Tablets-24"," Demazin Cough Cold &amp; Flu Tablets 24")</f>
        <v xml:space="preserve"> Demazin Cough Cold &amp; Flu Tablets 24</v>
      </c>
      <c r="C6355" t="s">
        <v>237</v>
      </c>
      <c r="D6355">
        <v>0</v>
      </c>
    </row>
    <row r="6356" spans="1:4" x14ac:dyDescent="0.25">
      <c r="B6356" t="str">
        <f>HYPERLINK("https://www.chemistwarehouse.com.au/buy/72530/Demazin-12-Hour-Nasal-Spray-15ml"," Demazin 12 Hour Nasal Spray 15ml")</f>
        <v xml:space="preserve"> Demazin 12 Hour Nasal Spray 15ml</v>
      </c>
      <c r="C6356" t="s">
        <v>103</v>
      </c>
      <c r="D6356">
        <v>0</v>
      </c>
    </row>
    <row r="6357" spans="1:4" x14ac:dyDescent="0.25">
      <c r="B6357" t="str">
        <f>HYPERLINK("https://www.chemistwarehouse.com.au/buy/78929/Demazin-Kids-Cough-Relief-200ml"," Demazin Kids Cough Relief 200ml")</f>
        <v xml:space="preserve"> Demazin Kids Cough Relief 200ml</v>
      </c>
      <c r="C6357" t="s">
        <v>237</v>
      </c>
      <c r="D6357" t="s">
        <v>371</v>
      </c>
    </row>
    <row r="6358" spans="1:4" x14ac:dyDescent="0.25">
      <c r="A6358" t="s">
        <v>1584</v>
      </c>
    </row>
    <row r="6359" spans="1:4" x14ac:dyDescent="0.25">
      <c r="B6359" t="str">
        <f>HYPERLINK("https://www.chemistwarehouse.com.au/buy/67181/Ease-A-Cold-Cough-Cold-amp-Flu-Lozenge-24"," Ease A Cold Cough Cold &amp; Flu Lozenge 24")</f>
        <v xml:space="preserve"> Ease A Cold Cough Cold &amp; Flu Lozenge 24</v>
      </c>
      <c r="C6359" t="s">
        <v>326</v>
      </c>
      <c r="D6359" t="s">
        <v>781</v>
      </c>
    </row>
    <row r="6360" spans="1:4" x14ac:dyDescent="0.25">
      <c r="B6360" t="str">
        <f>HYPERLINK("https://www.chemistwarehouse.com.au/buy/63663/Ease-a-Cold-Kids-Cough-Cold-amp-Flu-Liquid-120ml"," Ease a Cold Kids Cough Cold &amp; Flu Liquid 120ml")</f>
        <v xml:space="preserve"> Ease a Cold Kids Cough Cold &amp; Flu Liquid 120ml</v>
      </c>
      <c r="C6360" t="s">
        <v>202</v>
      </c>
      <c r="D6360" t="s">
        <v>397</v>
      </c>
    </row>
    <row r="6361" spans="1:4" x14ac:dyDescent="0.25">
      <c r="B6361" t="str">
        <f>HYPERLINK("https://www.chemistwarehouse.com.au/buy/56819/Ease-a-Cold-Cough-Cold-amp-Flu-Day-amp-Night-24-Capsules"," Ease a Cold Cough Cold &amp; Flu Day &amp; Night 24 Capsules")</f>
        <v xml:space="preserve"> Ease a Cold Cough Cold &amp; Flu Day &amp; Night 24 Capsules</v>
      </c>
      <c r="C6361" t="s">
        <v>237</v>
      </c>
      <c r="D6361" t="s">
        <v>162</v>
      </c>
    </row>
    <row r="6362" spans="1:4" x14ac:dyDescent="0.25">
      <c r="B6362" t="str">
        <f>HYPERLINK("https://www.chemistwarehouse.com.au/buy/57148/Ease-a-Cold-Cold-amp-Flu-Day-amp-Night-24-Capsules"," Ease a Cold Cold &amp; Flu Day &amp; Night 24 Capsules")</f>
        <v xml:space="preserve"> Ease a Cold Cold &amp; Flu Day &amp; Night 24 Capsules</v>
      </c>
      <c r="C6362" t="s">
        <v>237</v>
      </c>
      <c r="D6362" t="s">
        <v>104</v>
      </c>
    </row>
    <row r="6363" spans="1:4" x14ac:dyDescent="0.25">
      <c r="B6363" t="str">
        <f>HYPERLINK("https://www.chemistwarehouse.com.au/buy/54253/Ease-a-Cold-Cold-amp-Congestion-Day-amp-Night-30-Capsules"," Ease a Cold Cold &amp; Congestion Day &amp; Night 30 Capsules")</f>
        <v xml:space="preserve"> Ease a Cold Cold &amp; Congestion Day &amp; Night 30 Capsules</v>
      </c>
      <c r="C6363" t="s">
        <v>80</v>
      </c>
      <c r="D6363" t="s">
        <v>104</v>
      </c>
    </row>
    <row r="6364" spans="1:4" x14ac:dyDescent="0.25">
      <c r="A6364" t="s">
        <v>1585</v>
      </c>
    </row>
    <row r="6365" spans="1:4" x14ac:dyDescent="0.25">
      <c r="B6365" t="str">
        <f>HYPERLINK("https://www.chemistwarehouse.com.au/buy/53667/Ki-Immune-Defence-amp-Energy-Formula-30-Tablets"," Ki Immune Defence &amp; Energy Formula 30 Tablets")</f>
        <v xml:space="preserve"> Ki Immune Defence &amp; Energy Formula 30 Tablets</v>
      </c>
      <c r="C6365" t="s">
        <v>125</v>
      </c>
      <c r="D6365" t="s">
        <v>668</v>
      </c>
    </row>
    <row r="6366" spans="1:4" x14ac:dyDescent="0.25">
      <c r="B6366" t="str">
        <f>HYPERLINK("https://www.chemistwarehouse.com.au/buy/53668/Ki-Immune-Defence-amp-Energy-Formula-60-Tablets"," Ki Immune Defence &amp; Energy Formula 60 Tablets")</f>
        <v xml:space="preserve"> Ki Immune Defence &amp; Energy Formula 60 Tablets</v>
      </c>
      <c r="C6366" t="s">
        <v>6</v>
      </c>
      <c r="D6366" t="s">
        <v>1586</v>
      </c>
    </row>
    <row r="6367" spans="1:4" x14ac:dyDescent="0.25">
      <c r="B6367" t="str">
        <f>HYPERLINK("https://www.chemistwarehouse.com.au/buy/63601/Ki-Cold-and-Flu-Attack-Formula-30-Tablets"," Ki Cold and Flu Attack Formula 30 Tablets")</f>
        <v xml:space="preserve"> Ki Cold and Flu Attack Formula 30 Tablets</v>
      </c>
      <c r="C6367" t="s">
        <v>61</v>
      </c>
      <c r="D6367" t="s">
        <v>1587</v>
      </c>
    </row>
    <row r="6368" spans="1:4" x14ac:dyDescent="0.25">
      <c r="B6368" t="str">
        <f>HYPERLINK("https://www.chemistwarehouse.com.au/buy/79531/Ki-Kids-Cough-amp-Cold-Liquid-200ml"," Ki Kids Cough &amp; Cold Liquid 200ml")</f>
        <v xml:space="preserve"> Ki Kids Cough &amp; Cold Liquid 200ml</v>
      </c>
      <c r="C6368" t="s">
        <v>202</v>
      </c>
      <c r="D6368" t="s">
        <v>165</v>
      </c>
    </row>
    <row r="6369" spans="1:4" x14ac:dyDescent="0.25">
      <c r="A6369" t="s">
        <v>1588</v>
      </c>
    </row>
    <row r="6370" spans="1:4" x14ac:dyDescent="0.25">
      <c r="B6370" t="str">
        <f>HYPERLINK("https://www.chemistwarehouse.com.au/buy/78938/Vicks-Action-Cold-and-Flu-Day-and-Night-Relief-24-Pack"," Vicks Action Cold and Flu Day and Night Relief 24 Pack")</f>
        <v xml:space="preserve"> Vicks Action Cold and Flu Day and Night Relief 24 Pack</v>
      </c>
      <c r="C6370" t="s">
        <v>45</v>
      </c>
      <c r="D6370">
        <v>0</v>
      </c>
    </row>
    <row r="6371" spans="1:4" x14ac:dyDescent="0.25">
      <c r="B6371" t="str">
        <f>HYPERLINK("https://www.chemistwarehouse.com.au/buy/78939/Vicks-Action-Cold-and-Flu-Day-Relief-24-Pack"," Vicks Action Cold and Flu Day Relief 24 Pack")</f>
        <v xml:space="preserve"> Vicks Action Cold and Flu Day Relief 24 Pack</v>
      </c>
      <c r="C6371" t="s">
        <v>45</v>
      </c>
      <c r="D6371">
        <v>0</v>
      </c>
    </row>
    <row r="6372" spans="1:4" x14ac:dyDescent="0.25">
      <c r="B6372" t="str">
        <f>HYPERLINK("https://www.chemistwarehouse.com.au/buy/78940/Vicks-Action-Cold-and-Flu-Night-Relief-24-Pack"," Vicks Action Cold and Flu Night Relief 24 Pack")</f>
        <v xml:space="preserve"> Vicks Action Cold and Flu Night Relief 24 Pack</v>
      </c>
      <c r="C6372" t="s">
        <v>45</v>
      </c>
      <c r="D6372">
        <v>0</v>
      </c>
    </row>
    <row r="6373" spans="1:4" x14ac:dyDescent="0.25">
      <c r="B6373" t="str">
        <f>HYPERLINK("https://www.chemistwarehouse.com.au/buy/78941/Vicks-Action-Cold-Nasal-Relief-24-Pack"," Vicks Action Cold Nasal Relief 24 Pack")</f>
        <v xml:space="preserve"> Vicks Action Cold Nasal Relief 24 Pack</v>
      </c>
      <c r="C6373" t="s">
        <v>32</v>
      </c>
      <c r="D6373">
        <v>0</v>
      </c>
    </row>
    <row r="6374" spans="1:4" x14ac:dyDescent="0.25">
      <c r="A6374" t="s">
        <v>1589</v>
      </c>
    </row>
    <row r="6375" spans="1:4" x14ac:dyDescent="0.25">
      <c r="B6375" t="str">
        <f>HYPERLINK("https://www.chemistwarehouse.com.au/buy/80140/Allens-Buttermenthol-3x10-Lozenge-Multipack"," Allens Buttermenthol 3x10 Lozenge Multipack")</f>
        <v xml:space="preserve"> Allens Buttermenthol 3x10 Lozenge Multipack</v>
      </c>
      <c r="C6375" t="s">
        <v>483</v>
      </c>
      <c r="D6375">
        <v>0</v>
      </c>
    </row>
    <row r="6376" spans="1:4" x14ac:dyDescent="0.25">
      <c r="B6376" t="str">
        <f>HYPERLINK("https://www.chemistwarehouse.com.au/buy/53908/Butter-Menthol-10-Lozenges"," Butter-Menthol 10 Lozenges")</f>
        <v xml:space="preserve"> Butter-Menthol 10 Lozenges</v>
      </c>
      <c r="C6376" t="s">
        <v>635</v>
      </c>
      <c r="D6376">
        <v>0</v>
      </c>
    </row>
    <row r="6377" spans="1:4" x14ac:dyDescent="0.25">
      <c r="B6377" t="str">
        <f>HYPERLINK("https://www.chemistwarehouse.com.au/buy/55737/Allens-Buttermenthol-Honey-10-Lozenges"," Allens Buttermenthol Honey 10 Lozenges")</f>
        <v xml:space="preserve"> Allens Buttermenthol Honey 10 Lozenges</v>
      </c>
      <c r="C6377" t="s">
        <v>635</v>
      </c>
      <c r="D6377">
        <v>0</v>
      </c>
    </row>
    <row r="6378" spans="1:4" x14ac:dyDescent="0.25">
      <c r="A6378" t="s">
        <v>1590</v>
      </c>
    </row>
    <row r="6379" spans="1:4" x14ac:dyDescent="0.25">
      <c r="B6379" t="str">
        <f>HYPERLINK("https://www.chemistwarehouse.com.au/buy/71854/Benadryl-Dry-Tickly-Forte-200ml"," Benadryl Dry Tickly Forte 200ml")</f>
        <v xml:space="preserve"> Benadryl Dry Tickly Forte 200ml</v>
      </c>
      <c r="C6379" t="s">
        <v>237</v>
      </c>
      <c r="D6379">
        <v>0</v>
      </c>
    </row>
    <row r="6380" spans="1:4" x14ac:dyDescent="0.25">
      <c r="B6380" t="str">
        <f>HYPERLINK("https://www.chemistwarehouse.com.au/buy/72379/Benadryl-Mucus-Relief-Double-Action-Forte-200mL"," Benadryl Mucus Relief Double Action Forte 200mL")</f>
        <v xml:space="preserve"> Benadryl Mucus Relief Double Action Forte 200mL</v>
      </c>
      <c r="C6380" t="s">
        <v>237</v>
      </c>
      <c r="D6380">
        <v>0</v>
      </c>
    </row>
    <row r="6381" spans="1:4" x14ac:dyDescent="0.25">
      <c r="B6381" t="str">
        <f>HYPERLINK("https://www.chemistwarehouse.com.au/buy/75521/Benadryl-Childrens-Cough-Liquid-200ml"," Benadryl Childrens Cough Liquid 200ml")</f>
        <v xml:space="preserve"> Benadryl Childrens Cough Liquid 200ml</v>
      </c>
      <c r="C6381" t="s">
        <v>237</v>
      </c>
      <c r="D6381" t="s">
        <v>808</v>
      </c>
    </row>
    <row r="6382" spans="1:4" x14ac:dyDescent="0.25">
      <c r="B6382" t="str">
        <f>HYPERLINK("https://www.chemistwarehouse.com.au/buy/49825/Benadryl-Chesty-Forte-Cough-200ml"," Benadryl Chesty Forte Cough 200ml")</f>
        <v xml:space="preserve"> Benadryl Chesty Forte Cough 200ml</v>
      </c>
      <c r="C6382" t="s">
        <v>237</v>
      </c>
      <c r="D6382">
        <v>0</v>
      </c>
    </row>
    <row r="6383" spans="1:4" x14ac:dyDescent="0.25">
      <c r="B6383" t="str">
        <f>HYPERLINK("https://www.chemistwarehouse.com.au/buy/54742/Benadryl-PE-Dry-Cough-amp-Nasal-Congestion-200ml"," Benadryl PE Dry Cough &amp; Nasal Congestion 200ml")</f>
        <v xml:space="preserve"> Benadryl PE Dry Cough &amp; Nasal Congestion 200ml</v>
      </c>
      <c r="C6383" t="s">
        <v>237</v>
      </c>
      <c r="D6383">
        <v>0</v>
      </c>
    </row>
    <row r="6384" spans="1:4" x14ac:dyDescent="0.25">
      <c r="B6384" t="str">
        <f>HYPERLINK("https://www.chemistwarehouse.com.au/buy/54743/Benadryl-PE-Chesty-Cough-amp-Nasal-Congestion-200ml"," Benadryl PE Chesty Cough &amp; Nasal Congestion 200ml")</f>
        <v xml:space="preserve"> Benadryl PE Chesty Cough &amp; Nasal Congestion 200ml</v>
      </c>
      <c r="C6384" t="s">
        <v>237</v>
      </c>
      <c r="D6384">
        <v>0</v>
      </c>
    </row>
    <row r="6385" spans="1:4" x14ac:dyDescent="0.25">
      <c r="B6385" t="str">
        <f>HYPERLINK("https://www.chemistwarehouse.com.au/buy/59963/Benadryl-Mucus-Relief-200mL"," Benadryl Mucus Relief 200mL")</f>
        <v xml:space="preserve"> Benadryl Mucus Relief 200mL</v>
      </c>
      <c r="C6385" t="s">
        <v>237</v>
      </c>
      <c r="D6385">
        <v>0</v>
      </c>
    </row>
    <row r="6386" spans="1:4" x14ac:dyDescent="0.25">
      <c r="B6386" t="str">
        <f>HYPERLINK("https://www.chemistwarehouse.com.au/buy/63281/Benadryl-Mucus-Relief-Plus-Decongestant-200ml"," Benadryl Mucus Relief Plus Decongestant 200ml")</f>
        <v xml:space="preserve"> Benadryl Mucus Relief Plus Decongestant 200ml</v>
      </c>
      <c r="C6386" t="s">
        <v>237</v>
      </c>
      <c r="D6386">
        <v>0</v>
      </c>
    </row>
    <row r="6387" spans="1:4" x14ac:dyDescent="0.25">
      <c r="A6387" t="s">
        <v>1591</v>
      </c>
    </row>
    <row r="6388" spans="1:4" x14ac:dyDescent="0.25">
      <c r="B6388" t="str">
        <f>HYPERLINK("https://www.chemistwarehouse.com.au/buy/75677/Betadine-Sore-Throat-Lozenges-Honey-amp-Lemon-36"," Betadine Sore Throat Lozenges Honey &amp; Lemon 36")</f>
        <v xml:space="preserve"> Betadine Sore Throat Lozenges Honey &amp; Lemon 36</v>
      </c>
      <c r="C6388" t="s">
        <v>782</v>
      </c>
      <c r="D6388" t="s">
        <v>318</v>
      </c>
    </row>
    <row r="6389" spans="1:4" x14ac:dyDescent="0.25">
      <c r="B6389" t="str">
        <f>HYPERLINK("https://www.chemistwarehouse.com.au/buy/75676/Betadine-Sore-Throat-Lozenges-Honey-amp-Lemon-16"," Betadine Sore Throat Lozenges Honey &amp; Lemon 16")</f>
        <v xml:space="preserve"> Betadine Sore Throat Lozenges Honey &amp; Lemon 16</v>
      </c>
      <c r="C6389" t="s">
        <v>556</v>
      </c>
      <c r="D6389" t="s">
        <v>611</v>
      </c>
    </row>
    <row r="6390" spans="1:4" x14ac:dyDescent="0.25">
      <c r="B6390" t="str">
        <f>HYPERLINK("https://www.chemistwarehouse.com.au/buy/75675/Betadine-Sore-Throat-Lozenges-Menthol-amp-Eucalyptus-16"," Betadine Sore Throat Lozenges Menthol &amp; Eucalyptus 16")</f>
        <v xml:space="preserve"> Betadine Sore Throat Lozenges Menthol &amp; Eucalyptus 16</v>
      </c>
      <c r="C6390" t="s">
        <v>556</v>
      </c>
      <c r="D6390" t="s">
        <v>611</v>
      </c>
    </row>
    <row r="6391" spans="1:4" x14ac:dyDescent="0.25">
      <c r="B6391" t="str">
        <f>HYPERLINK("https://www.chemistwarehouse.com.au/buy/75678/Betadine-Sore-Throat-Lozenges-Menthol-amp-Eucalyptus-36"," Betadine Sore Throat Lozenges Menthol &amp; Eucalyptus 36")</f>
        <v xml:space="preserve"> Betadine Sore Throat Lozenges Menthol &amp; Eucalyptus 36</v>
      </c>
      <c r="C6391" t="s">
        <v>782</v>
      </c>
      <c r="D6391" t="s">
        <v>318</v>
      </c>
    </row>
    <row r="6392" spans="1:4" x14ac:dyDescent="0.25">
      <c r="B6392" t="str">
        <f>HYPERLINK("https://www.chemistwarehouse.com.au/buy/75679/Betadine-Sore-Throat-Lozenges-Orange-16"," Betadine Sore Throat Lozenges Orange 16")</f>
        <v xml:space="preserve"> Betadine Sore Throat Lozenges Orange 16</v>
      </c>
      <c r="C6392" t="s">
        <v>556</v>
      </c>
      <c r="D6392" t="s">
        <v>611</v>
      </c>
    </row>
    <row r="6393" spans="1:4" x14ac:dyDescent="0.25">
      <c r="B6393" t="str">
        <f>HYPERLINK("https://www.chemistwarehouse.com.au/buy/75680/Betadine-Sore-Throat-Lozenges-Orange-36"," Betadine Sore Throat Lozenges Orange 36")</f>
        <v xml:space="preserve"> Betadine Sore Throat Lozenges Orange 36</v>
      </c>
      <c r="C6393" t="s">
        <v>782</v>
      </c>
      <c r="D6393" t="s">
        <v>318</v>
      </c>
    </row>
    <row r="6394" spans="1:4" x14ac:dyDescent="0.25">
      <c r="A6394" t="s">
        <v>1592</v>
      </c>
    </row>
    <row r="6395" spans="1:4" x14ac:dyDescent="0.25">
      <c r="B6395" t="str">
        <f>HYPERLINK("https://www.chemistwarehouse.com.au/buy/51546/Bisolvon-Chesty-Forte-8mg-100-Tablets"," Bisolvon Chesty Forte 8mg 100 Tablets")</f>
        <v xml:space="preserve"> Bisolvon Chesty Forte 8mg 100 Tablets</v>
      </c>
      <c r="C6395" t="s">
        <v>8</v>
      </c>
      <c r="D6395">
        <v>0</v>
      </c>
    </row>
    <row r="6396" spans="1:4" x14ac:dyDescent="0.25">
      <c r="B6396" t="str">
        <f>HYPERLINK("https://www.chemistwarehouse.com.au/buy/51698/Bisolvon-Chesty-Forte-200ml"," Bisolvon Chesty Forte 200ml")</f>
        <v xml:space="preserve"> Bisolvon Chesty Forte 200ml</v>
      </c>
      <c r="C6396" t="s">
        <v>237</v>
      </c>
      <c r="D6396">
        <v>0</v>
      </c>
    </row>
    <row r="6397" spans="1:4" x14ac:dyDescent="0.25">
      <c r="B6397" t="str">
        <f>HYPERLINK("https://www.chemistwarehouse.com.au/buy/53952/Bisolvon-Chesty-Forte-8mg-50-Tablets"," Bisolvon Chesty Forte 8mg 50 Tablets")</f>
        <v xml:space="preserve"> Bisolvon Chesty Forte 8mg 50 Tablets</v>
      </c>
      <c r="C6397" t="s">
        <v>80</v>
      </c>
      <c r="D6397">
        <v>0</v>
      </c>
    </row>
    <row r="6398" spans="1:4" x14ac:dyDescent="0.25">
      <c r="B6398" t="str">
        <f>HYPERLINK("https://www.chemistwarehouse.com.au/buy/66014/Bisolvon-Chesty-Kids-Strawberry-200mL-6-Years-and-Older"," Bisolvon Chesty Kids Strawberry 200mL 6 Years and Older")</f>
        <v xml:space="preserve"> Bisolvon Chesty Kids Strawberry 200mL 6 Years and Older</v>
      </c>
      <c r="C6398" t="s">
        <v>237</v>
      </c>
      <c r="D6398">
        <v>0</v>
      </c>
    </row>
    <row r="6399" spans="1:4" x14ac:dyDescent="0.25">
      <c r="B6399" t="str">
        <f>HYPERLINK("https://www.chemistwarehouse.com.au/buy/1323/Bisolvon-Chesty-Liquid-250ml"," Bisolvon Chesty Liquid 250ml")</f>
        <v xml:space="preserve"> Bisolvon Chesty Liquid 250ml</v>
      </c>
      <c r="C6399" t="s">
        <v>237</v>
      </c>
      <c r="D6399">
        <v>0</v>
      </c>
    </row>
    <row r="6400" spans="1:4" x14ac:dyDescent="0.25">
      <c r="B6400" t="str">
        <f>HYPERLINK("https://www.chemistwarehouse.com.au/buy/31691/Bisolvon-Dry-Cough-Liquid-200mL"," Bisolvon Dry Cough Liquid 200mL")</f>
        <v xml:space="preserve"> Bisolvon Dry Cough Liquid 200mL</v>
      </c>
      <c r="C6400" t="s">
        <v>237</v>
      </c>
      <c r="D6400">
        <v>0</v>
      </c>
    </row>
    <row r="6401" spans="1:4" x14ac:dyDescent="0.25">
      <c r="B6401" t="str">
        <f>HYPERLINK("https://www.chemistwarehouse.com.au/buy/79509/Bisolvon-Pholcodine-Dry-Forte-200ml"," Bisolvon Pholcodine Dry Forte 200ml")</f>
        <v xml:space="preserve"> Bisolvon Pholcodine Dry Forte 200ml</v>
      </c>
      <c r="C6401" t="s">
        <v>237</v>
      </c>
      <c r="D6401">
        <v>0</v>
      </c>
    </row>
    <row r="6402" spans="1:4" x14ac:dyDescent="0.25">
      <c r="B6402" t="str">
        <f>HYPERLINK("https://www.chemistwarehouse.com.au/buy/79510/Bisolvon-Chesty-Kids-Natural-200ml"," Bisolvon Chesty Kids Natural 200ml")</f>
        <v xml:space="preserve"> Bisolvon Chesty Kids Natural 200ml</v>
      </c>
      <c r="C6402" t="s">
        <v>237</v>
      </c>
      <c r="D6402">
        <v>0</v>
      </c>
    </row>
    <row r="6403" spans="1:4" x14ac:dyDescent="0.25">
      <c r="B6403" t="str">
        <f>HYPERLINK("https://www.chemistwarehouse.com.au/buy/66089/Bisolvon-Dry-Honey-Lime-Pastilles-20-Pack"," Bisolvon Dry Honey Lime Pastilles 20 Pack")</f>
        <v xml:space="preserve"> Bisolvon Dry Honey Lime Pastilles 20 Pack</v>
      </c>
      <c r="C6403" t="s">
        <v>92</v>
      </c>
      <c r="D6403" t="s">
        <v>312</v>
      </c>
    </row>
    <row r="6404" spans="1:4" x14ac:dyDescent="0.25">
      <c r="A6404" t="s">
        <v>1593</v>
      </c>
    </row>
    <row r="6405" spans="1:4" x14ac:dyDescent="0.25">
      <c r="B6405" t="str">
        <f>HYPERLINK("https://www.chemistwarehouse.com.au/buy/2147/Cepacol-Mouthwash-Mint-500mL"," Cepacol Mouthwash Mint 500mL")</f>
        <v xml:space="preserve"> Cepacol Mouthwash Mint 500mL</v>
      </c>
      <c r="C6405" t="s">
        <v>211</v>
      </c>
      <c r="D6405" t="s">
        <v>119</v>
      </c>
    </row>
    <row r="6406" spans="1:4" x14ac:dyDescent="0.25">
      <c r="B6406" t="str">
        <f>HYPERLINK("https://www.chemistwarehouse.com.au/buy/2149/Cepacol-Mouthwash-Original-500mL"," Cepacol Mouthwash Original 500mL")</f>
        <v xml:space="preserve"> Cepacol Mouthwash Original 500mL</v>
      </c>
      <c r="C6406" t="s">
        <v>211</v>
      </c>
      <c r="D6406" t="s">
        <v>119</v>
      </c>
    </row>
    <row r="6407" spans="1:4" x14ac:dyDescent="0.25">
      <c r="A6407" t="s">
        <v>1594</v>
      </c>
    </row>
    <row r="6408" spans="1:4" x14ac:dyDescent="0.25">
      <c r="B6408" t="str">
        <f>HYPERLINK("https://www.chemistwarehouse.com.au/buy/51940/Difflam-PLUS-Menthol-And-Eucalyptus-Lozenge-16"," Difflam PLUS Menthol And Eucalyptus Lozenge 16")</f>
        <v xml:space="preserve"> Difflam PLUS Menthol And Eucalyptus Lozenge 16</v>
      </c>
      <c r="C6408" t="s">
        <v>242</v>
      </c>
      <c r="D6408" t="s">
        <v>108</v>
      </c>
    </row>
    <row r="6409" spans="1:4" x14ac:dyDescent="0.25">
      <c r="B6409" t="str">
        <f>HYPERLINK("https://www.chemistwarehouse.com.au/buy/3446/Difflam-Anti-inflammatory-Throat-Spray-30ml"," Difflam Anti-inflammatory Throat Spray 30ml")</f>
        <v xml:space="preserve"> Difflam Anti-inflammatory Throat Spray 30ml</v>
      </c>
      <c r="C6409" t="s">
        <v>80</v>
      </c>
      <c r="D6409" t="s">
        <v>1595</v>
      </c>
    </row>
    <row r="6410" spans="1:4" x14ac:dyDescent="0.25">
      <c r="B6410" t="str">
        <f>HYPERLINK("https://www.chemistwarehouse.com.au/buy/3437/Difflam-Plus-Sugar-Free-Blackcurrant-24-Lozenges"," Difflam Plus Sugar Free Blackcurrant 24 Lozenges")</f>
        <v xml:space="preserve"> Difflam Plus Sugar Free Blackcurrant 24 Lozenges</v>
      </c>
      <c r="C6410" t="s">
        <v>103</v>
      </c>
      <c r="D6410">
        <v>0</v>
      </c>
    </row>
    <row r="6411" spans="1:4" x14ac:dyDescent="0.25">
      <c r="B6411" t="str">
        <f>HYPERLINK("https://www.chemistwarehouse.com.au/buy/53267/Difflam-Forte-Throat-Spray-15mL"," Difflam Forte Throat Spray 15mL")</f>
        <v xml:space="preserve"> Difflam Forte Throat Spray 15mL</v>
      </c>
      <c r="C6411" t="s">
        <v>212</v>
      </c>
      <c r="D6411" t="s">
        <v>175</v>
      </c>
    </row>
    <row r="6412" spans="1:4" x14ac:dyDescent="0.25">
      <c r="B6412" t="str">
        <f>HYPERLINK("https://www.chemistwarehouse.com.au/buy/63633/Difflam-Gargle-Iodine-15ml"," Difflam Gargle Iodine 15ml")</f>
        <v xml:space="preserve"> Difflam Gargle Iodine 15ml</v>
      </c>
      <c r="C6412" t="s">
        <v>242</v>
      </c>
      <c r="D6412" t="s">
        <v>121</v>
      </c>
    </row>
    <row r="6413" spans="1:4" x14ac:dyDescent="0.25">
      <c r="B6413" t="str">
        <f>HYPERLINK("https://www.chemistwarehouse.com.au/buy/71757/Difflam-PLUS-Lozenges-Blackcurrant-16"," Difflam PLUS Lozenges Blackcurrant 16")</f>
        <v xml:space="preserve"> Difflam PLUS Lozenges Blackcurrant 16</v>
      </c>
      <c r="C6413" t="s">
        <v>242</v>
      </c>
      <c r="D6413" t="s">
        <v>108</v>
      </c>
    </row>
    <row r="6414" spans="1:4" x14ac:dyDescent="0.25">
      <c r="B6414" t="str">
        <f>HYPERLINK("https://www.chemistwarehouse.com.au/buy/71758/Difflam-PLUS-Lozenges-Honey-And-Lemon-16"," Difflam PLUS Lozenges Honey And Lemon 16")</f>
        <v xml:space="preserve"> Difflam PLUS Lozenges Honey And Lemon 16</v>
      </c>
      <c r="C6414" t="s">
        <v>242</v>
      </c>
      <c r="D6414" t="s">
        <v>108</v>
      </c>
    </row>
    <row r="6415" spans="1:4" x14ac:dyDescent="0.25">
      <c r="B6415" t="str">
        <f>HYPERLINK("https://www.chemistwarehouse.com.au/buy/3448/Difflam-C-Anti-inflammatory-Antiseptic-Solution-200ml"," Difflam-C Anti-inflammatory Antiseptic Solution 200ml")</f>
        <v xml:space="preserve"> Difflam-C Anti-inflammatory Antiseptic Solution 200ml</v>
      </c>
      <c r="C6415" t="s">
        <v>45</v>
      </c>
      <c r="D6415" t="s">
        <v>64</v>
      </c>
    </row>
    <row r="6416" spans="1:4" x14ac:dyDescent="0.25">
      <c r="B6416" t="str">
        <f>HYPERLINK("https://www.chemistwarehouse.com.au/buy/31694/Difflam-Sugar-Free-Orange-16-Lozenges"," Difflam Sugar Free Orange 16 Lozenges")</f>
        <v xml:space="preserve"> Difflam Sugar Free Orange 16 Lozenges</v>
      </c>
      <c r="C6416" t="s">
        <v>92</v>
      </c>
      <c r="D6416" t="s">
        <v>813</v>
      </c>
    </row>
    <row r="6417" spans="1:4" x14ac:dyDescent="0.25">
      <c r="B6417" t="str">
        <f>HYPERLINK("https://www.chemistwarehouse.com.au/buy/41060/Difflam-Sugar-Free-Honey-amp-Lemon-16-Lozenges"," Difflam Sugar Free Honey &amp; Lemon 16 Lozenges")</f>
        <v xml:space="preserve"> Difflam Sugar Free Honey &amp; Lemon 16 Lozenges</v>
      </c>
      <c r="C6417" t="s">
        <v>92</v>
      </c>
      <c r="D6417" t="s">
        <v>785</v>
      </c>
    </row>
    <row r="6418" spans="1:4" x14ac:dyDescent="0.25">
      <c r="B6418" t="str">
        <f>HYPERLINK("https://www.chemistwarehouse.com.au/buy/51939/Difflam-PLUS-Berry-Sugarfree-Lozenge-16"," Difflam PLUS Berry Sugarfree Lozenge 16")</f>
        <v xml:space="preserve"> Difflam PLUS Berry Sugarfree Lozenge 16</v>
      </c>
      <c r="C6418" t="s">
        <v>242</v>
      </c>
      <c r="D6418" t="s">
        <v>108</v>
      </c>
    </row>
    <row r="6419" spans="1:4" x14ac:dyDescent="0.25">
      <c r="B6419" t="str">
        <f>HYPERLINK("https://www.chemistwarehouse.com.au/buy/3441/Difflam-Sugar-Free-Eucalyptus-amp-Menthol-16-Lozenges"," Difflam Sugar Free Eucalyptus &amp; Menthol 16 Lozenges")</f>
        <v xml:space="preserve"> Difflam Sugar Free Eucalyptus &amp; Menthol 16 Lozenges</v>
      </c>
      <c r="C6419" t="s">
        <v>92</v>
      </c>
      <c r="D6419" t="s">
        <v>785</v>
      </c>
    </row>
    <row r="6420" spans="1:4" x14ac:dyDescent="0.25">
      <c r="B6420" t="str">
        <f>HYPERLINK("https://www.chemistwarehouse.com.au/buy/3445/Difflam-Sugar-Free-Raspberry-16-Lozenges"," Difflam Sugar Free Raspberry 16 Lozenges")</f>
        <v xml:space="preserve"> Difflam Sugar Free Raspberry 16 Lozenges</v>
      </c>
      <c r="C6420" t="s">
        <v>92</v>
      </c>
      <c r="D6420" t="s">
        <v>785</v>
      </c>
    </row>
    <row r="6421" spans="1:4" x14ac:dyDescent="0.25">
      <c r="A6421" t="s">
        <v>1596</v>
      </c>
    </row>
    <row r="6422" spans="1:4" x14ac:dyDescent="0.25">
      <c r="B6422" t="str">
        <f>HYPERLINK("https://www.chemistwarehouse.com.au/buy/78650/Durotuss-Childrens-Cold-and-Flu-Liquid-200ml"," Durotuss Childrens Cold and Flu Liquid 200ml")</f>
        <v xml:space="preserve"> Durotuss Childrens Cold and Flu Liquid 200ml</v>
      </c>
      <c r="C6422" t="s">
        <v>80</v>
      </c>
      <c r="D6422" t="s">
        <v>1587</v>
      </c>
    </row>
    <row r="6423" spans="1:4" x14ac:dyDescent="0.25">
      <c r="B6423" t="str">
        <f>HYPERLINK("https://www.chemistwarehouse.com.au/buy/3786/Duro-Tuss-Expectorant-Cough-Mixture-200ml"," Duro-Tuss Expectorant Cough Mixture 200ml")</f>
        <v xml:space="preserve"> Duro-Tuss Expectorant Cough Mixture 200ml</v>
      </c>
      <c r="C6423" t="s">
        <v>80</v>
      </c>
      <c r="D6423">
        <v>0</v>
      </c>
    </row>
    <row r="6424" spans="1:4" x14ac:dyDescent="0.25">
      <c r="B6424" t="str">
        <f>HYPERLINK("https://www.chemistwarehouse.com.au/buy/3787/Duro-Tuss-Dry-Cough-Forte-Liquid-200ml"," Duro-Tuss Dry Cough Forte Liquid 200ml")</f>
        <v xml:space="preserve"> Duro-Tuss Dry Cough Forte Liquid 200ml</v>
      </c>
      <c r="C6424" t="s">
        <v>80</v>
      </c>
      <c r="D6424">
        <v>0</v>
      </c>
    </row>
    <row r="6425" spans="1:4" x14ac:dyDescent="0.25">
      <c r="B6425" t="str">
        <f>HYPERLINK("https://www.chemistwarehouse.com.au/buy/3788/Duro-Tuss-Cough-Lozenges-Lemon-SugarFree-24"," Duro-Tuss Cough Lozenges Lemon SugarFree 24")</f>
        <v xml:space="preserve"> Duro-Tuss Cough Lozenges Lemon SugarFree 24</v>
      </c>
      <c r="C6425" t="s">
        <v>92</v>
      </c>
      <c r="D6425">
        <v>0</v>
      </c>
    </row>
    <row r="6426" spans="1:4" x14ac:dyDescent="0.25">
      <c r="B6426" t="str">
        <f>HYPERLINK("https://www.chemistwarehouse.com.au/buy/3789/Duro-Tuss-Cough-Lozenges-Orange-24-SugarFree-Lozenges"," Duro-Tuss Cough Lozenges Orange 24 SugarFree Lozenges")</f>
        <v xml:space="preserve"> Duro-Tuss Cough Lozenges Orange 24 SugarFree Lozenges</v>
      </c>
      <c r="C6426" t="s">
        <v>92</v>
      </c>
      <c r="D6426">
        <v>0</v>
      </c>
    </row>
    <row r="6427" spans="1:4" x14ac:dyDescent="0.25">
      <c r="B6427" t="str">
        <f>HYPERLINK("https://www.chemistwarehouse.com.au/buy/31660/Duro-Tuss-Dry-Cough-Regular-Liquid-100ml"," Duro-Tuss Dry Cough Regular Liquid 100ml")</f>
        <v xml:space="preserve"> Duro-Tuss Dry Cough Regular Liquid 100ml</v>
      </c>
      <c r="C6427" t="s">
        <v>103</v>
      </c>
      <c r="D6427">
        <v>0</v>
      </c>
    </row>
    <row r="6428" spans="1:4" x14ac:dyDescent="0.25">
      <c r="B6428" t="str">
        <f>HYPERLINK("https://www.chemistwarehouse.com.au/buy/31676/Duro-Tuss-Dry-Cough-Regular-Liquid-200ml"," Duro-Tuss Dry Cough Regular Liquid 200ml")</f>
        <v xml:space="preserve"> Duro-Tuss Dry Cough Regular Liquid 200ml</v>
      </c>
      <c r="C6428" t="s">
        <v>80</v>
      </c>
      <c r="D6428">
        <v>0</v>
      </c>
    </row>
    <row r="6429" spans="1:4" x14ac:dyDescent="0.25">
      <c r="B6429" t="str">
        <f>HYPERLINK("https://www.chemistwarehouse.com.au/buy/54403/Duro-Tuss-Chesty-Cough-Liquid-Forte-200ml"," Duro-Tuss Chesty Cough Liquid Forte 200ml")</f>
        <v xml:space="preserve"> Duro-Tuss Chesty Cough Liquid Forte 200ml</v>
      </c>
      <c r="C6429" t="s">
        <v>80</v>
      </c>
      <c r="D6429">
        <v>0</v>
      </c>
    </row>
    <row r="6430" spans="1:4" x14ac:dyDescent="0.25">
      <c r="B6430" t="str">
        <f>HYPERLINK("https://www.chemistwarehouse.com.au/buy/57034/Duro-Tuss-Chesty-Cough-Lozenges-Lemon-24"," Duro-Tuss Chesty Cough Lozenges Lemon 24")</f>
        <v xml:space="preserve"> Duro-Tuss Chesty Cough Lozenges Lemon 24</v>
      </c>
      <c r="C6430" t="s">
        <v>103</v>
      </c>
      <c r="D6430">
        <v>0</v>
      </c>
    </row>
    <row r="6431" spans="1:4" x14ac:dyDescent="0.25">
      <c r="B6431" t="str">
        <f>HYPERLINK("https://www.chemistwarehouse.com.au/buy/57151/Duro-Tuss-Dry-Cough-Plus-PE-Decongestant-Mixture-200ml"," Duro-Tuss Dry Cough Plus PE Decongestant Mixture 200ml")</f>
        <v xml:space="preserve"> Duro-Tuss Dry Cough Plus PE Decongestant Mixture 200ml</v>
      </c>
      <c r="C6431" t="s">
        <v>80</v>
      </c>
      <c r="D6431">
        <v>0</v>
      </c>
    </row>
    <row r="6432" spans="1:4" x14ac:dyDescent="0.25">
      <c r="B6432" t="str">
        <f>HYPERLINK("https://www.chemistwarehouse.com.au/buy/64130/Duro-Tuss-PE-Chesty-amp-Nasal-Decongestant-200ml"," Duro-Tuss PE Chesty &amp; Nasal Decongestant 200ml")</f>
        <v xml:space="preserve"> Duro-Tuss PE Chesty &amp; Nasal Decongestant 200ml</v>
      </c>
      <c r="C6432" t="s">
        <v>80</v>
      </c>
      <c r="D6432">
        <v>0</v>
      </c>
    </row>
    <row r="6433" spans="1:4" x14ac:dyDescent="0.25">
      <c r="B6433" t="str">
        <f>HYPERLINK("https://www.chemistwarehouse.com.au/buy/71886/Duro-Tuss-Chesty-Forte-60-Tablets"," Duro-Tuss Chesty Forte 60 Tablets")</f>
        <v xml:space="preserve"> Duro-Tuss Chesty Forte 60 Tablets</v>
      </c>
      <c r="C6433" t="s">
        <v>80</v>
      </c>
      <c r="D6433">
        <v>0</v>
      </c>
    </row>
    <row r="6434" spans="1:4" x14ac:dyDescent="0.25">
      <c r="B6434" t="str">
        <f>HYPERLINK("https://www.chemistwarehouse.com.au/buy/71887/Duro-Tuss-Chesty-Forte-96-Tablets"," Duro-Tuss Chesty Forte 96 Tablets")</f>
        <v xml:space="preserve"> Duro-Tuss Chesty Forte 96 Tablets</v>
      </c>
      <c r="C6434" t="s">
        <v>274</v>
      </c>
      <c r="D6434">
        <v>0</v>
      </c>
    </row>
    <row r="6435" spans="1:4" x14ac:dyDescent="0.25">
      <c r="B6435" t="str">
        <f>HYPERLINK("https://www.chemistwarehouse.com.au/buy/71914/Duro-Tuss-Childrens-Cough-Liquid-Honey-amp-Lemon-200ml"," Duro-Tuss Childrens Cough Liquid Honey &amp; Lemon 200ml")</f>
        <v xml:space="preserve"> Duro-Tuss Childrens Cough Liquid Honey &amp; Lemon 200ml</v>
      </c>
      <c r="C6435" t="s">
        <v>80</v>
      </c>
      <c r="D6435">
        <v>0</v>
      </c>
    </row>
    <row r="6436" spans="1:4" x14ac:dyDescent="0.25">
      <c r="B6436" t="str">
        <f>HYPERLINK("https://www.chemistwarehouse.com.au/buy/75105/Duro-Tuss-Childrens-Cough-Liquid-Strawberry-200ml"," Duro-Tuss Childrens Cough Liquid Strawberry 200ml")</f>
        <v xml:space="preserve"> Duro-Tuss Childrens Cough Liquid Strawberry 200ml</v>
      </c>
      <c r="C6436" t="s">
        <v>80</v>
      </c>
      <c r="D6436" t="s">
        <v>1587</v>
      </c>
    </row>
    <row r="6437" spans="1:4" x14ac:dyDescent="0.25">
      <c r="B6437" t="str">
        <f>HYPERLINK("https://www.chemistwarehouse.com.au/buy/78652/Durotuss-Chesty-Cough-Liquid-Double-Strength-200ml"," Durotuss Chesty Cough Liquid Double Strength 200ml")</f>
        <v xml:space="preserve"> Durotuss Chesty Cough Liquid Double Strength 200ml</v>
      </c>
      <c r="C6437" t="s">
        <v>80</v>
      </c>
      <c r="D6437" t="s">
        <v>1587</v>
      </c>
    </row>
    <row r="6438" spans="1:4" x14ac:dyDescent="0.25">
      <c r="B6438" t="str">
        <f>HYPERLINK("https://www.chemistwarehouse.com.au/buy/3702/Duro-Tuss-Chesty-Regular-Liquid-200ml"," Duro-Tuss Chesty Regular Liquid 200ml")</f>
        <v xml:space="preserve"> Duro-Tuss Chesty Regular Liquid 200ml</v>
      </c>
      <c r="C6438" t="s">
        <v>80</v>
      </c>
      <c r="D6438">
        <v>0</v>
      </c>
    </row>
    <row r="6439" spans="1:4" x14ac:dyDescent="0.25">
      <c r="A6439" t="s">
        <v>1597</v>
      </c>
    </row>
    <row r="6440" spans="1:4" x14ac:dyDescent="0.25">
      <c r="B6440" t="str">
        <f>HYPERLINK("https://www.chemistwarehouse.com.au/buy/79189/Robitussin-Chesty-Cough-Forte-250ml-Exclusive-Size"," Robitussin Chesty Cough Forte 250ml Exclusive Size")</f>
        <v xml:space="preserve"> Robitussin Chesty Cough Forte 250ml Exclusive Size</v>
      </c>
      <c r="C6440" t="s">
        <v>237</v>
      </c>
      <c r="D6440">
        <v>0</v>
      </c>
    </row>
    <row r="6441" spans="1:4" x14ac:dyDescent="0.25">
      <c r="B6441" t="str">
        <f>HYPERLINK("https://www.chemistwarehouse.com.au/buy/79190/Robitussin-Cough-amp-Chest-Congestion-250ml-Exclusive-Size"," Robitussin Cough &amp; Chest Congestion 250ml Exclusive Size")</f>
        <v xml:space="preserve"> Robitussin Cough &amp; Chest Congestion 250ml Exclusive Size</v>
      </c>
      <c r="C6441" t="s">
        <v>237</v>
      </c>
      <c r="D6441">
        <v>0</v>
      </c>
    </row>
    <row r="6442" spans="1:4" x14ac:dyDescent="0.25">
      <c r="B6442" t="str">
        <f>HYPERLINK("https://www.chemistwarehouse.com.au/buy/79191/Robitussin-Dry-Cough-Forte-250ml-Exclusive-Size"," Robitussin Dry Cough Forte 250ml Exclusive Size")</f>
        <v xml:space="preserve"> Robitussin Dry Cough Forte 250ml Exclusive Size</v>
      </c>
      <c r="C6442" t="s">
        <v>237</v>
      </c>
      <c r="D6442">
        <v>0</v>
      </c>
    </row>
    <row r="6443" spans="1:4" x14ac:dyDescent="0.25">
      <c r="B6443" t="str">
        <f>HYPERLINK("https://www.chemistwarehouse.com.au/buy/79192/Robitussin-Mucus-Relief-Double-Action-250ml-Exclusive-Size"," Robitussin Mucus Relief Double Action 250ml Exclusive Size")</f>
        <v xml:space="preserve"> Robitussin Mucus Relief Double Action 250ml Exclusive Size</v>
      </c>
      <c r="C6443" t="s">
        <v>237</v>
      </c>
      <c r="D6443">
        <v>0</v>
      </c>
    </row>
    <row r="6444" spans="1:4" x14ac:dyDescent="0.25">
      <c r="A6444" t="s">
        <v>1598</v>
      </c>
    </row>
    <row r="6445" spans="1:4" x14ac:dyDescent="0.25">
      <c r="B6445" t="str">
        <f>HYPERLINK("https://www.chemistwarehouse.com.au/buy/53910/Soothers-Eucalyptus-Menthol-Lozenges-10"," Soothers Eucalyptus/Menthol Lozenges 10")</f>
        <v xml:space="preserve"> Soothers Eucalyptus/Menthol Lozenges 10</v>
      </c>
      <c r="C6445" t="s">
        <v>635</v>
      </c>
      <c r="D6445">
        <v>0</v>
      </c>
    </row>
    <row r="6446" spans="1:4" x14ac:dyDescent="0.25">
      <c r="B6446" t="str">
        <f>HYPERLINK("https://www.chemistwarehouse.com.au/buy/53911/Soothers-Blackcurrant-Lozenges-10"," Soothers Blackcurrant Lozenges 10")</f>
        <v xml:space="preserve"> Soothers Blackcurrant Lozenges 10</v>
      </c>
      <c r="C6446" t="s">
        <v>635</v>
      </c>
      <c r="D6446">
        <v>0</v>
      </c>
    </row>
    <row r="6447" spans="1:4" x14ac:dyDescent="0.25">
      <c r="B6447" t="str">
        <f>HYPERLINK("https://www.chemistwarehouse.com.au/buy/53912/Allens-Soothers-Honey-Lemon-Lozenges-10"," Allens Soothers Honey/Lemon Lozenges 10")</f>
        <v xml:space="preserve"> Allens Soothers Honey/Lemon Lozenges 10</v>
      </c>
      <c r="C6447" t="s">
        <v>635</v>
      </c>
      <c r="D6447">
        <v>0</v>
      </c>
    </row>
    <row r="6448" spans="1:4" x14ac:dyDescent="0.25">
      <c r="B6448" t="str">
        <f>HYPERLINK("https://www.chemistwarehouse.com.au/buy/80141/Allens-Soothers-Eucalyptus-amp-Menthol-3x10-Lozenge-Multipack"," Allens Soothers Eucalyptus &amp; Menthol 3x10 Lozenge Multipack")</f>
        <v xml:space="preserve"> Allens Soothers Eucalyptus &amp; Menthol 3x10 Lozenge Multipack</v>
      </c>
      <c r="C6448" t="s">
        <v>483</v>
      </c>
      <c r="D6448">
        <v>0</v>
      </c>
    </row>
    <row r="6449" spans="1:4" x14ac:dyDescent="0.25">
      <c r="B6449" t="str">
        <f>HYPERLINK("https://www.chemistwarehouse.com.au/buy/80142/Allens-Soothers-Honey-amp-Lemon-3x10-Lozenge-Multipack"," Allens Soothers Honey &amp; Lemon 3x10 Lozenge Multipack")</f>
        <v xml:space="preserve"> Allens Soothers Honey &amp; Lemon 3x10 Lozenge Multipack</v>
      </c>
      <c r="C6449" t="s">
        <v>483</v>
      </c>
      <c r="D6449">
        <v>0</v>
      </c>
    </row>
    <row r="6450" spans="1:4" x14ac:dyDescent="0.25">
      <c r="A6450" t="s">
        <v>1599</v>
      </c>
    </row>
    <row r="6451" spans="1:4" x14ac:dyDescent="0.25">
      <c r="B6451" t="str">
        <f>HYPERLINK("https://www.chemistwarehouse.com.au/buy/48969/Strepfen-Lozenges-Anti-Inflammatory-Orange-Sugar-Free-16"," Strepfen Lozenges Anti-Inflammatory Orange Sugar Free 16")</f>
        <v xml:space="preserve"> Strepfen Lozenges Anti-Inflammatory Orange Sugar Free 16</v>
      </c>
      <c r="C6451" t="s">
        <v>242</v>
      </c>
      <c r="D6451">
        <v>0</v>
      </c>
    </row>
    <row r="6452" spans="1:4" x14ac:dyDescent="0.25">
      <c r="B6452" t="str">
        <f>HYPERLINK("https://www.chemistwarehouse.com.au/buy/51699/Strepfen-Intensive-Honey-amp-Lemon-Lozenges-16"," Strepfen Intensive Honey &amp; Lemon Lozenges 16")</f>
        <v xml:space="preserve"> Strepfen Intensive Honey &amp; Lemon Lozenges 16</v>
      </c>
      <c r="C6452" t="s">
        <v>242</v>
      </c>
      <c r="D6452">
        <v>0</v>
      </c>
    </row>
    <row r="6453" spans="1:4" x14ac:dyDescent="0.25">
      <c r="B6453" t="str">
        <f>HYPERLINK("https://www.chemistwarehouse.com.au/buy/79135/Strepfen-Throat-Spray-15ml"," Strepfen Throat Spray 15ml")</f>
        <v xml:space="preserve"> Strepfen Throat Spray 15ml</v>
      </c>
      <c r="C6453" t="s">
        <v>61</v>
      </c>
      <c r="D6453" t="s">
        <v>115</v>
      </c>
    </row>
    <row r="6454" spans="1:4" x14ac:dyDescent="0.25">
      <c r="A6454" t="s">
        <v>1600</v>
      </c>
    </row>
    <row r="6455" spans="1:4" x14ac:dyDescent="0.25">
      <c r="B6455" t="str">
        <f>HYPERLINK("https://www.chemistwarehouse.com.au/buy/53953/Strepsils-Lozenges-Honey-amp-Lemon-36"," Strepsils Lozenges Honey &amp; Lemon 36")</f>
        <v xml:space="preserve"> Strepsils Lozenges Honey &amp; Lemon 36</v>
      </c>
      <c r="C6455" t="s">
        <v>782</v>
      </c>
      <c r="D6455" t="s">
        <v>611</v>
      </c>
    </row>
    <row r="6456" spans="1:4" x14ac:dyDescent="0.25">
      <c r="B6456" t="str">
        <f>HYPERLINK("https://www.chemistwarehouse.com.au/buy/60495/Strepsils-Lozenges-Sore-Throat-Blocked-Nose-36"," Strepsils Lozenges Sore Throat Blocked Nose 36")</f>
        <v xml:space="preserve"> Strepsils Lozenges Sore Throat Blocked Nose 36</v>
      </c>
      <c r="C6456" t="s">
        <v>782</v>
      </c>
      <c r="D6456" t="s">
        <v>318</v>
      </c>
    </row>
    <row r="6457" spans="1:4" x14ac:dyDescent="0.25">
      <c r="B6457" t="str">
        <f>HYPERLINK("https://www.chemistwarehouse.com.au/buy/68153/Strepsils-Plus-36-Lozenges"," Strepsils Plus 36 Lozenges")</f>
        <v xml:space="preserve"> Strepsils Plus 36 Lozenges</v>
      </c>
      <c r="C6457" t="s">
        <v>202</v>
      </c>
      <c r="D6457" t="s">
        <v>312</v>
      </c>
    </row>
    <row r="6458" spans="1:4" x14ac:dyDescent="0.25">
      <c r="B6458" t="str">
        <f>HYPERLINK("https://www.chemistwarehouse.com.au/buy/68865/Strepsils-Children-6-Orange-16-Lozenges"," Strepsils Children 6+ Orange 16 Lozenges")</f>
        <v xml:space="preserve"> Strepsils Children 6+ Orange 16 Lozenges</v>
      </c>
      <c r="C6458" t="s">
        <v>556</v>
      </c>
      <c r="D6458" t="s">
        <v>611</v>
      </c>
    </row>
    <row r="6459" spans="1:4" x14ac:dyDescent="0.25">
      <c r="B6459" t="str">
        <f>HYPERLINK("https://www.chemistwarehouse.com.au/buy/68866/Strepsils-Children-6-Strawberry-16-Lozenges"," Strepsils Children 6+ Strawberry 16 Lozenges")</f>
        <v xml:space="preserve"> Strepsils Children 6+ Strawberry 16 Lozenges</v>
      </c>
      <c r="C6459" t="s">
        <v>556</v>
      </c>
      <c r="D6459" t="s">
        <v>611</v>
      </c>
    </row>
    <row r="6460" spans="1:4" x14ac:dyDescent="0.25">
      <c r="B6460" t="str">
        <f>HYPERLINK("https://www.chemistwarehouse.com.au/buy/68867/Strepsils-Plus-16-Lozenges"," Strepsils Plus 16 Lozenges")</f>
        <v xml:space="preserve"> Strepsils Plus 16 Lozenges</v>
      </c>
      <c r="C6460" t="s">
        <v>92</v>
      </c>
      <c r="D6460" t="s">
        <v>371</v>
      </c>
    </row>
    <row r="6461" spans="1:4" x14ac:dyDescent="0.25">
      <c r="B6461" t="str">
        <f>HYPERLINK("https://www.chemistwarehouse.com.au/buy/74643/Strepsils-Lozenges-Original-36"," Strepsils Lozenges Original 36")</f>
        <v xml:space="preserve"> Strepsils Lozenges Original 36</v>
      </c>
      <c r="C6461" t="s">
        <v>782</v>
      </c>
      <c r="D6461" t="s">
        <v>611</v>
      </c>
    </row>
    <row r="6462" spans="1:4" x14ac:dyDescent="0.25">
      <c r="B6462" t="str">
        <f>HYPERLINK("https://www.chemistwarehouse.com.au/buy/75770/Strepsils-Plus-Throat-Spray-20ml"," Strepsils Plus Throat Spray 20ml")</f>
        <v xml:space="preserve"> Strepsils Plus Throat Spray 20ml</v>
      </c>
      <c r="C6462" t="s">
        <v>237</v>
      </c>
      <c r="D6462">
        <v>0</v>
      </c>
    </row>
    <row r="6463" spans="1:4" x14ac:dyDescent="0.25">
      <c r="B6463" t="str">
        <f>HYPERLINK("https://www.chemistwarehouse.com.au/buy/78413/Strepsils-Extra-Blackcurrant-24-Lozenges"," Strepsils Extra Blackcurrant 24 Lozenges")</f>
        <v xml:space="preserve"> Strepsils Extra Blackcurrant 24 Lozenges</v>
      </c>
      <c r="C6463" t="s">
        <v>45</v>
      </c>
      <c r="D6463" t="s">
        <v>115</v>
      </c>
    </row>
    <row r="6464" spans="1:4" x14ac:dyDescent="0.25">
      <c r="B6464" t="str">
        <f>HYPERLINK("https://www.chemistwarehouse.com.au/buy/53954/Strepsils-Lozenges-Orange-36"," Strepsils Lozenges Orange 36")</f>
        <v xml:space="preserve"> Strepsils Lozenges Orange 36</v>
      </c>
      <c r="C6464" t="s">
        <v>782</v>
      </c>
      <c r="D6464" t="s">
        <v>611</v>
      </c>
    </row>
    <row r="6465" spans="1:4" x14ac:dyDescent="0.25">
      <c r="B6465" t="str">
        <f>HYPERLINK("https://www.chemistwarehouse.com.au/buy/59027/Strepsils-Lozenges-Honey-amp-Lemon-16"," Strepsils Lozenges Honey &amp; Lemon 16")</f>
        <v xml:space="preserve"> Strepsils Lozenges Honey &amp; Lemon 16</v>
      </c>
      <c r="C6465" t="s">
        <v>556</v>
      </c>
      <c r="D6465" t="s">
        <v>371</v>
      </c>
    </row>
    <row r="6466" spans="1:4" x14ac:dyDescent="0.25">
      <c r="B6466" t="str">
        <f>HYPERLINK("https://www.chemistwarehouse.com.au/buy/59028/Strepsils-Lozenges-Orange-16"," Strepsils Lozenges Orange 16")</f>
        <v xml:space="preserve"> Strepsils Lozenges Orange 16</v>
      </c>
      <c r="C6466" t="s">
        <v>556</v>
      </c>
      <c r="D6466" t="s">
        <v>371</v>
      </c>
    </row>
    <row r="6467" spans="1:4" x14ac:dyDescent="0.25">
      <c r="B6467" t="str">
        <f>HYPERLINK("https://www.chemistwarehouse.com.au/buy/59030/Strepsils-Lozenges-Sore-Throat-Blocked-Nose-16"," Strepsils Lozenges Sore Throat Blocked Nose 16")</f>
        <v xml:space="preserve"> Strepsils Lozenges Sore Throat Blocked Nose 16</v>
      </c>
      <c r="C6467" t="s">
        <v>556</v>
      </c>
      <c r="D6467" t="s">
        <v>611</v>
      </c>
    </row>
    <row r="6468" spans="1:4" x14ac:dyDescent="0.25">
      <c r="A6468" t="s">
        <v>1601</v>
      </c>
    </row>
    <row r="6469" spans="1:4" x14ac:dyDescent="0.25">
      <c r="B6469" t="str">
        <f>HYPERLINK("https://www.chemistwarehouse.com.au/buy/63279/Vicks-Vapodrops-Buttermenthol-24"," Vicks Vapodrops Buttermenthol 24")</f>
        <v xml:space="preserve"> Vicks Vapodrops Buttermenthol 24</v>
      </c>
      <c r="C6469" t="s">
        <v>775</v>
      </c>
      <c r="D6469" t="s">
        <v>727</v>
      </c>
    </row>
    <row r="6470" spans="1:4" x14ac:dyDescent="0.25">
      <c r="B6470" t="str">
        <f>HYPERLINK("https://www.chemistwarehouse.com.au/buy/63277/Vicks-Vapodrops-Blue-Cooling-Peppermint-Lozenges-24"," Vicks Vapodrops Blue Cooling Peppermint Lozenges 24")</f>
        <v xml:space="preserve"> Vicks Vapodrops Blue Cooling Peppermint Lozenges 24</v>
      </c>
      <c r="C6470" t="s">
        <v>775</v>
      </c>
      <c r="D6470" t="s">
        <v>727</v>
      </c>
    </row>
    <row r="6471" spans="1:4" x14ac:dyDescent="0.25">
      <c r="B6471" t="str">
        <f>HYPERLINK("https://www.chemistwarehouse.com.au/buy/63278/Vicks-Vapodrops-Original-24"," Vicks Vapodrops Original 24")</f>
        <v xml:space="preserve"> Vicks Vapodrops Original 24</v>
      </c>
      <c r="C6471" t="s">
        <v>775</v>
      </c>
      <c r="D6471" t="s">
        <v>727</v>
      </c>
    </row>
    <row r="6472" spans="1:4" x14ac:dyDescent="0.25">
      <c r="B6472" t="str">
        <f>HYPERLINK("https://www.chemistwarehouse.com.au/buy/63275/Vicks-Vapodrops-Liquicentre-22"," Vicks Vapodrops Liquicentre 22")</f>
        <v xml:space="preserve"> Vicks Vapodrops Liquicentre 22</v>
      </c>
      <c r="C6472" t="s">
        <v>775</v>
      </c>
      <c r="D6472" t="s">
        <v>727</v>
      </c>
    </row>
    <row r="6473" spans="1:4" x14ac:dyDescent="0.25">
      <c r="B6473" t="str">
        <f>HYPERLINK("https://www.chemistwarehouse.com.au/buy/82703/Vicks-VapoDrops-Cough-Berry-Menthol-16-Lozenges"," Vicks VapoDrops + Cough Berry Menthol 16 Lozenges")</f>
        <v xml:space="preserve"> Vicks VapoDrops + Cough Berry Menthol 16 Lozenges</v>
      </c>
      <c r="C6473" t="s">
        <v>556</v>
      </c>
      <c r="D6473" t="s">
        <v>371</v>
      </c>
    </row>
    <row r="6474" spans="1:4" x14ac:dyDescent="0.25">
      <c r="B6474" t="str">
        <f>HYPERLINK("https://www.chemistwarehouse.com.au/buy/82704/Vicks-VapoDrops-Cough-Berry-Menthol-36-Lozenges"," Vicks VapoDrops + Cough Berry Menthol 36 Lozenges")</f>
        <v xml:space="preserve"> Vicks VapoDrops + Cough Berry Menthol 36 Lozenges</v>
      </c>
      <c r="C6474" t="s">
        <v>92</v>
      </c>
      <c r="D6474" t="s">
        <v>312</v>
      </c>
    </row>
    <row r="6475" spans="1:4" x14ac:dyDescent="0.25">
      <c r="B6475" t="str">
        <f>HYPERLINK("https://www.chemistwarehouse.com.au/buy/82705/Vicks-VapoDrops-Cough-Honey-Lemon-Menthol-16-Lozenges"," Vicks VapoDrops + Cough Honey Lemon Menthol 16 Lozenges")</f>
        <v xml:space="preserve"> Vicks VapoDrops + Cough Honey Lemon Menthol 16 Lozenges</v>
      </c>
      <c r="C6475" t="s">
        <v>556</v>
      </c>
      <c r="D6475" t="s">
        <v>371</v>
      </c>
    </row>
    <row r="6476" spans="1:4" x14ac:dyDescent="0.25">
      <c r="B6476" t="str">
        <f>HYPERLINK("https://www.chemistwarehouse.com.au/buy/82706/Vicks-VapoDrops-Cough-Honey-Lemon-Menthol-36-Lozenges"," Vicks VapoDrops + Cough Honey Lemon Menthol 36 Lozenges")</f>
        <v xml:space="preserve"> Vicks VapoDrops + Cough Honey Lemon Menthol 36 Lozenges</v>
      </c>
      <c r="C6476" t="s">
        <v>92</v>
      </c>
      <c r="D6476" t="s">
        <v>312</v>
      </c>
    </row>
    <row r="6477" spans="1:4" x14ac:dyDescent="0.25">
      <c r="B6477" t="str">
        <f>HYPERLINK("https://www.chemistwarehouse.com.au/buy/82707/Vicks-VapoDrops-Cough-Orange-Menthol-16-Lozenges"," Vicks VapoDrops + Cough Orange Menthol 16 Lozenges")</f>
        <v xml:space="preserve"> Vicks VapoDrops + Cough Orange Menthol 16 Lozenges</v>
      </c>
      <c r="C6477" t="s">
        <v>556</v>
      </c>
      <c r="D6477" t="s">
        <v>371</v>
      </c>
    </row>
    <row r="6478" spans="1:4" x14ac:dyDescent="0.25">
      <c r="B6478" t="str">
        <f>HYPERLINK("https://www.chemistwarehouse.com.au/buy/82708/Vicks-VapoDrops-Cough-Orange-Menthol-36-Lozenges"," Vicks VapoDrops + Cough Orange Menthol 36 Lozenges")</f>
        <v xml:space="preserve"> Vicks VapoDrops + Cough Orange Menthol 36 Lozenges</v>
      </c>
      <c r="C6478" t="s">
        <v>92</v>
      </c>
      <c r="D6478" t="s">
        <v>312</v>
      </c>
    </row>
    <row r="6479" spans="1:4" x14ac:dyDescent="0.25">
      <c r="A6479" t="s">
        <v>1602</v>
      </c>
    </row>
    <row r="6480" spans="1:4" x14ac:dyDescent="0.25">
      <c r="B6480" t="str">
        <f>HYPERLINK("https://www.chemistwarehouse.com.au/buy/72632/Prospan-Kids-Cough-Syrup-200ml"," Prospan Kids Cough Syrup 200ml")</f>
        <v xml:space="preserve"> Prospan Kids Cough Syrup 200ml</v>
      </c>
      <c r="C6480" t="s">
        <v>58</v>
      </c>
      <c r="D6480" t="s">
        <v>165</v>
      </c>
    </row>
    <row r="6481" spans="1:4" x14ac:dyDescent="0.25">
      <c r="B6481" t="str">
        <f>HYPERLINK("https://www.chemistwarehouse.com.au/buy/80143/Allens-Anticol-3x10-Lozenge-Multipack"," Allens Anticol 3x10 Lozenge Multipack")</f>
        <v xml:space="preserve"> Allens Anticol 3x10 Lozenge Multipack</v>
      </c>
      <c r="C6481" t="s">
        <v>483</v>
      </c>
      <c r="D6481">
        <v>0</v>
      </c>
    </row>
    <row r="6482" spans="1:4" x14ac:dyDescent="0.25">
      <c r="B6482" t="str">
        <f>HYPERLINK("https://www.chemistwarehouse.com.au/buy/2137/Cepacaine-Mouth-Wash-Solution-200ml"," Cepacaine Mouth Wash Solution 200ml")</f>
        <v xml:space="preserve"> Cepacaine Mouth Wash Solution 200ml</v>
      </c>
      <c r="C6482" t="s">
        <v>228</v>
      </c>
      <c r="D6482">
        <v>0</v>
      </c>
    </row>
    <row r="6483" spans="1:4" x14ac:dyDescent="0.25">
      <c r="B6483" t="str">
        <f>HYPERLINK("https://www.chemistwarehouse.com.au/buy/41099/Gold-Cross-Senega-amp-Ammonia-200mL"," Gold Cross Senega &amp; Ammonia 200mL")</f>
        <v xml:space="preserve"> Gold Cross Senega &amp; Ammonia 200mL</v>
      </c>
      <c r="C6483" t="s">
        <v>483</v>
      </c>
      <c r="D6483" t="s">
        <v>371</v>
      </c>
    </row>
    <row r="6484" spans="1:4" x14ac:dyDescent="0.25">
      <c r="B6484" t="str">
        <f>HYPERLINK("https://www.chemistwarehouse.com.au/buy/63769/Sambucol-Throat-Lozenges-20"," Sambucol Throat Lozenges 20")</f>
        <v xml:space="preserve"> Sambucol Throat Lozenges 20</v>
      </c>
      <c r="C6484" t="s">
        <v>32</v>
      </c>
      <c r="D6484" t="s">
        <v>371</v>
      </c>
    </row>
    <row r="6485" spans="1:4" x14ac:dyDescent="0.25">
      <c r="B6485" t="str">
        <f>HYPERLINK("https://www.chemistwarehouse.com.au/buy/67838/Prospan-Cough-Syrup-200ml"," Prospan Cough Syrup 200ml")</f>
        <v xml:space="preserve"> Prospan Cough Syrup 200ml</v>
      </c>
      <c r="C6485" t="s">
        <v>58</v>
      </c>
      <c r="D6485" t="s">
        <v>165</v>
      </c>
    </row>
    <row r="6486" spans="1:4" x14ac:dyDescent="0.25">
      <c r="B6486" t="str">
        <f>HYPERLINK("https://www.chemistwarehouse.com.au/buy/68870/Gold-Cross-Senega-amp-Ammonia-Mixture-500ml"," Gold Cross Senega &amp; Ammonia Mixture 500ml")</f>
        <v xml:space="preserve"> Gold Cross Senega &amp; Ammonia Mixture 500ml</v>
      </c>
      <c r="C6486" t="s">
        <v>92</v>
      </c>
      <c r="D6486" t="s">
        <v>371</v>
      </c>
    </row>
    <row r="6487" spans="1:4" x14ac:dyDescent="0.25">
      <c r="B6487" t="str">
        <f>HYPERLINK("https://www.chemistwarehouse.com.au/buy/53909/Anticol-Vapour-Action-10-Lozenges"," Anticol Vapour Action 10 Lozenges")</f>
        <v xml:space="preserve"> Anticol Vapour Action 10 Lozenges</v>
      </c>
      <c r="C6487" t="s">
        <v>635</v>
      </c>
      <c r="D6487">
        <v>0</v>
      </c>
    </row>
    <row r="6488" spans="1:4" x14ac:dyDescent="0.25">
      <c r="B6488" t="str">
        <f>HYPERLINK("https://www.chemistwarehouse.com.au/buy/1870/Gold-Cross-Camphor-Linctus-Compound-APF-100mL"," Gold Cross Camphor Linctus Compound APF 100mL")</f>
        <v xml:space="preserve"> Gold Cross Camphor Linctus Compound APF 100mL</v>
      </c>
      <c r="C6488" t="s">
        <v>120</v>
      </c>
      <c r="D6488" t="s">
        <v>327</v>
      </c>
    </row>
    <row r="6489" spans="1:4" x14ac:dyDescent="0.25">
      <c r="A6489" t="s">
        <v>1603</v>
      </c>
    </row>
    <row r="6490" spans="1:4" x14ac:dyDescent="0.25">
      <c r="B6490" t="str">
        <f>HYPERLINK("https://www.chemistwarehouse.com.au/buy/6756/Nyal-Cold-Sore-Cream-10g"," Nyal Cold Sore Cream 10g")</f>
        <v xml:space="preserve"> Nyal Cold Sore Cream 10g</v>
      </c>
      <c r="C6490" t="s">
        <v>92</v>
      </c>
      <c r="D6490" t="s">
        <v>371</v>
      </c>
    </row>
    <row r="6491" spans="1:4" x14ac:dyDescent="0.25">
      <c r="B6491" t="str">
        <f>HYPERLINK("https://www.chemistwarehouse.com.au/buy/40000/Zovirax-Cold-Sore-Cream-Pump-2g"," Zovirax Cold Sore Cream Pump 2g")</f>
        <v xml:space="preserve"> Zovirax Cold Sore Cream Pump 2g</v>
      </c>
      <c r="C6491" t="s">
        <v>202</v>
      </c>
      <c r="D6491" t="s">
        <v>238</v>
      </c>
    </row>
    <row r="6492" spans="1:4" x14ac:dyDescent="0.25">
      <c r="B6492" t="str">
        <f>HYPERLINK("https://www.chemistwarehouse.com.au/buy/64702/Thursday-Plantation-Tea-Tree-Cold-Sore-Cream-10g"," Thursday Plantation Tea Tree Cold Sore Cream 10g")</f>
        <v xml:space="preserve"> Thursday Plantation Tea Tree Cold Sore Cream 10g</v>
      </c>
      <c r="C6492" t="s">
        <v>92</v>
      </c>
      <c r="D6492" t="s">
        <v>635</v>
      </c>
    </row>
    <row r="6493" spans="1:4" x14ac:dyDescent="0.25">
      <c r="B6493" t="str">
        <f>HYPERLINK("https://www.chemistwarehouse.com.au/buy/42858/Blistex-Lip-Antiviral-Cold-Sore-Cream-5g"," Blistex Lip Antiviral Cold Sore Cream 5g")</f>
        <v xml:space="preserve"> Blistex Lip Antiviral Cold Sore Cream 5g</v>
      </c>
      <c r="C6493" t="s">
        <v>32</v>
      </c>
      <c r="D6493" t="s">
        <v>150</v>
      </c>
    </row>
    <row r="6494" spans="1:4" x14ac:dyDescent="0.25">
      <c r="B6494" t="str">
        <f>HYPERLINK("https://www.chemistwarehouse.com.au/buy/59256/Compeed-Cold-Sore-15-Patches"," Compeed Cold Sore 15 Patches")</f>
        <v xml:space="preserve"> Compeed Cold Sore 15 Patches</v>
      </c>
      <c r="C6494" t="s">
        <v>187</v>
      </c>
      <c r="D6494" t="s">
        <v>150</v>
      </c>
    </row>
    <row r="6495" spans="1:4" x14ac:dyDescent="0.25">
      <c r="B6495" t="str">
        <f>HYPERLINK("https://www.chemistwarehouse.com.au/buy/8321/Virasolve-Cold-Sore-Cream"," Virasolve Cold Sore Cream")</f>
        <v xml:space="preserve"> Virasolve Cold Sore Cream</v>
      </c>
      <c r="C6495" t="s">
        <v>32</v>
      </c>
      <c r="D6495" t="s">
        <v>115</v>
      </c>
    </row>
    <row r="6496" spans="1:4" x14ac:dyDescent="0.25">
      <c r="B6496" t="str">
        <f>HYPERLINK("https://www.chemistwarehouse.com.au/buy/8506/Zovirax-Cold-Sore-Cream-Tube-2g"," Zovirax Cold Sore Cream Tube 2g")</f>
        <v xml:space="preserve"> Zovirax Cold Sore Cream Tube 2g</v>
      </c>
      <c r="C6496" t="s">
        <v>237</v>
      </c>
      <c r="D6496" t="s">
        <v>281</v>
      </c>
    </row>
    <row r="6497" spans="1:4" x14ac:dyDescent="0.25">
      <c r="B6497" t="str">
        <f>HYPERLINK("https://www.chemistwarehouse.com.au/buy/1168/Betadine-Cold-Sore-Ointment-7-5g"," Betadine Cold Sore Ointment 7.5g")</f>
        <v xml:space="preserve"> Betadine Cold Sore Ointment 7.5g</v>
      </c>
      <c r="C6497" t="s">
        <v>103</v>
      </c>
      <c r="D6497" t="s">
        <v>808</v>
      </c>
    </row>
    <row r="6498" spans="1:4" x14ac:dyDescent="0.25">
      <c r="B6498" t="str">
        <f>HYPERLINK("https://www.chemistwarehouse.com.au/buy/1169/Betadine-Cold-Sore-Pain-Relief-Paint-8ml"," Betadine Cold Sore Pain Relief Paint 8ml")</f>
        <v xml:space="preserve"> Betadine Cold Sore Pain Relief Paint 8ml</v>
      </c>
      <c r="C6498" t="s">
        <v>240</v>
      </c>
      <c r="D6498" t="s">
        <v>318</v>
      </c>
    </row>
    <row r="6499" spans="1:4" x14ac:dyDescent="0.25">
      <c r="B6499" t="str">
        <f>HYPERLINK("https://www.chemistwarehouse.com.au/buy/70186/Elovax-One-Dose-500mg-3-Tablets"," Elovax One Dose 500mg 3 Tablets")</f>
        <v xml:space="preserve"> Elovax One Dose 500mg 3 Tablets</v>
      </c>
      <c r="C6499" t="s">
        <v>187</v>
      </c>
      <c r="D6499">
        <v>0</v>
      </c>
    </row>
    <row r="6500" spans="1:4" x14ac:dyDescent="0.25">
      <c r="B6500" t="str">
        <f>HYPERLINK("https://www.chemistwarehouse.com.au/buy/75942/Viraprox-Lip-Balm-SPF30-15g"," Viraprox Lip Balm SPF30 15g")</f>
        <v xml:space="preserve"> Viraprox Lip Balm SPF30 15g</v>
      </c>
      <c r="C6500" t="s">
        <v>554</v>
      </c>
      <c r="D6500" t="s">
        <v>325</v>
      </c>
    </row>
    <row r="6501" spans="1:4" x14ac:dyDescent="0.25">
      <c r="B6501" t="str">
        <f>HYPERLINK("https://www.chemistwarehouse.com.au/buy/63707/Propovir-Cold-Sore-Ointment-2g"," Propovir Cold Sore Ointment 2g")</f>
        <v xml:space="preserve"> Propovir Cold Sore Ointment 2g</v>
      </c>
      <c r="C6501" t="s">
        <v>45</v>
      </c>
      <c r="D6501" t="s">
        <v>146</v>
      </c>
    </row>
    <row r="6502" spans="1:4" x14ac:dyDescent="0.25">
      <c r="A6502" t="s">
        <v>1604</v>
      </c>
    </row>
    <row r="6503" spans="1:4" x14ac:dyDescent="0.25">
      <c r="B6503" t="str">
        <f>HYPERLINK("https://www.chemistwarehouse.com.au/buy/74891/Thursday-Plantation-Eucalyptus-Oil-100-Pure-200ml"," Thursday Plantation Eucalyptus Oil 100% Pure 200ml")</f>
        <v xml:space="preserve"> Thursday Plantation Eucalyptus Oil 100% Pure 200ml</v>
      </c>
      <c r="C6503" t="s">
        <v>92</v>
      </c>
      <c r="D6503" t="s">
        <v>647</v>
      </c>
    </row>
    <row r="6504" spans="1:4" x14ac:dyDescent="0.25">
      <c r="B6504" t="str">
        <f>HYPERLINK("https://www.chemistwarehouse.com.au/buy/74893/Thursday-Plantation-Lavender-Oil-100-Pure-50ml"," Thursday Plantation Lavender Oil 100% Pure 50ml")</f>
        <v xml:space="preserve"> Thursday Plantation Lavender Oil 100% Pure 50ml</v>
      </c>
      <c r="C6504" t="s">
        <v>45</v>
      </c>
      <c r="D6504" t="s">
        <v>675</v>
      </c>
    </row>
    <row r="6505" spans="1:4" x14ac:dyDescent="0.25">
      <c r="B6505" t="str">
        <f>HYPERLINK("https://www.chemistwarehouse.com.au/buy/74892/Thursday-Plantation-Lavender-Oil-100-Pure-25ml"," Thursday Plantation Lavender Oil 100% Pure 25ml")</f>
        <v xml:space="preserve"> Thursday Plantation Lavender Oil 100% Pure 25ml</v>
      </c>
      <c r="C6505" t="s">
        <v>116</v>
      </c>
      <c r="D6505" t="s">
        <v>1587</v>
      </c>
    </row>
    <row r="6506" spans="1:4" x14ac:dyDescent="0.25">
      <c r="B6506" t="str">
        <f>HYPERLINK("https://www.chemistwarehouse.com.au/buy/72292/Thursday-Plantation-Lavender-Spray-140g"," Thursday Plantation Lavender Spray 140g")</f>
        <v xml:space="preserve"> Thursday Plantation Lavender Spray 140g</v>
      </c>
      <c r="C6506" t="s">
        <v>1449</v>
      </c>
      <c r="D6506" t="s">
        <v>1450</v>
      </c>
    </row>
    <row r="6507" spans="1:4" x14ac:dyDescent="0.25">
      <c r="B6507" t="str">
        <f>HYPERLINK("https://www.chemistwarehouse.com.au/buy/72293/Thursday-Plantation-Eucalyptus-Spray-225g"," Thursday Plantation Eucalyptus Spray 225g")</f>
        <v xml:space="preserve"> Thursday Plantation Eucalyptus Spray 225g</v>
      </c>
      <c r="C6507" t="s">
        <v>1605</v>
      </c>
      <c r="D6507" t="s">
        <v>1427</v>
      </c>
    </row>
    <row r="6508" spans="1:4" x14ac:dyDescent="0.25">
      <c r="B6508" t="str">
        <f>HYPERLINK("https://www.chemistwarehouse.com.au/buy/74890/Thursday-Plantation-Eucalyptus-Oil-100-Pure-100ml"," Thursday Plantation Eucalyptus Oil 100% Pure 100ml")</f>
        <v xml:space="preserve"> Thursday Plantation Eucalyptus Oil 100% Pure 100ml</v>
      </c>
      <c r="C6508" t="s">
        <v>775</v>
      </c>
      <c r="D6508" t="s">
        <v>1310</v>
      </c>
    </row>
    <row r="6509" spans="1:4" x14ac:dyDescent="0.25">
      <c r="B6509" t="str">
        <f>HYPERLINK("https://www.chemistwarehouse.com.au/buy/82460/Thursday-Plantation-Peppermint-Oil-25ml"," Thursday Plantation Peppermint Oil 25ml")</f>
        <v xml:space="preserve"> Thursday Plantation Peppermint Oil 25ml</v>
      </c>
      <c r="C6509" t="s">
        <v>32</v>
      </c>
      <c r="D6509" t="s">
        <v>145</v>
      </c>
    </row>
    <row r="6510" spans="1:4" x14ac:dyDescent="0.25">
      <c r="A6510" t="s">
        <v>1606</v>
      </c>
    </row>
    <row r="6511" spans="1:4" x14ac:dyDescent="0.25">
      <c r="B6511" t="str">
        <f>HYPERLINK("https://www.chemistwarehouse.com.au/buy/55887/Bosistos-Tea-Tree-Spray-100g"," Bosistos Tea Tree Spray 100g")</f>
        <v xml:space="preserve"> Bosistos Tea Tree Spray 100g</v>
      </c>
      <c r="C6511" t="s">
        <v>103</v>
      </c>
      <c r="D6511" t="s">
        <v>165</v>
      </c>
    </row>
    <row r="6512" spans="1:4" x14ac:dyDescent="0.25">
      <c r="B6512" t="str">
        <f>HYPERLINK("https://www.chemistwarehouse.com.au/buy/53948/Bosistos-Eucalyptus-Oil-200mL"," Bosistos Eucalyptus Oil 200mL")</f>
        <v xml:space="preserve"> Bosistos Eucalyptus Oil 200mL</v>
      </c>
      <c r="C6512" t="s">
        <v>1607</v>
      </c>
      <c r="D6512" t="s">
        <v>575</v>
      </c>
    </row>
    <row r="6513" spans="1:4" x14ac:dyDescent="0.25">
      <c r="B6513" t="str">
        <f>HYPERLINK("https://www.chemistwarehouse.com.au/buy/55886/Bosistos-Lavender-Spray-100g"," Bosistos Lavender Spray 100g")</f>
        <v xml:space="preserve"> Bosistos Lavender Spray 100g</v>
      </c>
      <c r="C6513" t="s">
        <v>103</v>
      </c>
      <c r="D6513" t="s">
        <v>165</v>
      </c>
    </row>
    <row r="6514" spans="1:4" x14ac:dyDescent="0.25">
      <c r="B6514" t="str">
        <f>HYPERLINK("https://www.chemistwarehouse.com.au/buy/75252/Bosistos-Eucalyptus-Spray-200g-and-Bonus-30g-Spray"," Bosistos Eucalyptus Spray 200g and Bonus 30g Spray")</f>
        <v xml:space="preserve"> Bosistos Eucalyptus Spray 200g and Bonus 30g Spray</v>
      </c>
      <c r="C6514" t="s">
        <v>103</v>
      </c>
      <c r="D6514" t="s">
        <v>371</v>
      </c>
    </row>
    <row r="6515" spans="1:4" x14ac:dyDescent="0.25">
      <c r="B6515" t="str">
        <f>HYPERLINK("https://www.chemistwarehouse.com.au/buy/78800/Bosistos-Peppermint-Spray-30g"," Bosistos Peppermint Spray 30g")</f>
        <v xml:space="preserve"> Bosistos Peppermint Spray 30g</v>
      </c>
      <c r="C6515" t="s">
        <v>157</v>
      </c>
      <c r="D6515" t="s">
        <v>635</v>
      </c>
    </row>
    <row r="6516" spans="1:4" x14ac:dyDescent="0.25">
      <c r="B6516" t="str">
        <f>HYPERLINK("https://www.chemistwarehouse.com.au/buy/82136/Bosistos-Tea-Tree-Oil-15ml"," Bosistos Tea Tree Oil 15ml")</f>
        <v xml:space="preserve"> Bosistos Tea Tree Oil 15ml</v>
      </c>
      <c r="C6516" t="s">
        <v>1608</v>
      </c>
      <c r="D6516" t="s">
        <v>1415</v>
      </c>
    </row>
    <row r="6517" spans="1:4" x14ac:dyDescent="0.25">
      <c r="B6517" t="str">
        <f>HYPERLINK("https://www.chemistwarehouse.com.au/buy/82508/Bosistos-Eucalyptus-Sugar-Free-Drops-50g"," Bosistos Eucalyptus Sugar Free Drops 50g")</f>
        <v xml:space="preserve"> Bosistos Eucalyptus Sugar Free Drops 50g</v>
      </c>
      <c r="C6517" t="s">
        <v>146</v>
      </c>
      <c r="D6517" t="s">
        <v>725</v>
      </c>
    </row>
    <row r="6518" spans="1:4" x14ac:dyDescent="0.25">
      <c r="B6518" t="str">
        <f>HYPERLINK("https://www.chemistwarehouse.com.au/buy/82527/Bosistos-Eucalyptus-Solution-500ml"," Bosistos Eucalyptus Solution 500ml")</f>
        <v xml:space="preserve"> Bosistos Eucalyptus Solution 500ml</v>
      </c>
      <c r="C6518" t="s">
        <v>98</v>
      </c>
      <c r="D6518" t="s">
        <v>397</v>
      </c>
    </row>
    <row r="6519" spans="1:4" x14ac:dyDescent="0.25">
      <c r="B6519" t="str">
        <f>HYPERLINK("https://www.chemistwarehouse.com.au/buy/82528/Bosistos-Lavender-Solution-250ml"," Bosistos Lavender Solution 250ml")</f>
        <v xml:space="preserve"> Bosistos Lavender Solution 250ml</v>
      </c>
      <c r="C6519" t="s">
        <v>237</v>
      </c>
      <c r="D6519" t="s">
        <v>397</v>
      </c>
    </row>
    <row r="6520" spans="1:4" x14ac:dyDescent="0.25">
      <c r="B6520" t="str">
        <f>HYPERLINK("https://www.chemistwarehouse.com.au/buy/82529/Bosistos-Tea-Tree-Solution-250ml"," Bosistos Tea Tree Solution 250ml")</f>
        <v xml:space="preserve"> Bosistos Tea Tree Solution 250ml</v>
      </c>
      <c r="C6520" t="s">
        <v>103</v>
      </c>
      <c r="D6520" t="s">
        <v>150</v>
      </c>
    </row>
    <row r="6521" spans="1:4" x14ac:dyDescent="0.25">
      <c r="B6521" t="str">
        <f>HYPERLINK("https://www.chemistwarehouse.com.au/buy/75070/Bosistos-Eucalyptus-Spray-200g-Twin-Pack"," Bosistos Eucalyptus Spray 200g Twin Pack")</f>
        <v xml:space="preserve"> Bosistos Eucalyptus Spray 200g Twin Pack</v>
      </c>
      <c r="C6521" t="s">
        <v>98</v>
      </c>
      <c r="D6521" t="s">
        <v>371</v>
      </c>
    </row>
    <row r="6522" spans="1:4" x14ac:dyDescent="0.25">
      <c r="B6522" t="str">
        <f>HYPERLINK("https://www.chemistwarehouse.com.au/buy/57309/Bosistos-Eucalyptus-Spray-200g"," Bosistos Eucalyptus Spray 200g")</f>
        <v xml:space="preserve"> Bosistos Eucalyptus Spray 200g</v>
      </c>
      <c r="C6522" t="s">
        <v>570</v>
      </c>
      <c r="D6522" t="s">
        <v>1609</v>
      </c>
    </row>
    <row r="6523" spans="1:4" x14ac:dyDescent="0.25">
      <c r="A6523" t="s">
        <v>1610</v>
      </c>
    </row>
    <row r="6524" spans="1:4" x14ac:dyDescent="0.25">
      <c r="B6524" t="str">
        <f>HYPERLINK("https://www.chemistwarehouse.com.au/buy/70092/Avent-Natural-Teat-Fast-Flow"," Avent Natural Teat Fast Flow")</f>
        <v xml:space="preserve"> Avent Natural Teat Fast Flow</v>
      </c>
      <c r="C6524" t="s">
        <v>32</v>
      </c>
      <c r="D6524" t="s">
        <v>150</v>
      </c>
    </row>
    <row r="6525" spans="1:4" x14ac:dyDescent="0.25">
      <c r="B6525" t="str">
        <f>HYPERLINK("https://www.chemistwarehouse.com.au/buy/70089/Avent-Natural-Teat-Medium-Flow"," Avent Natural Teat Medium Flow")</f>
        <v xml:space="preserve"> Avent Natural Teat Medium Flow</v>
      </c>
      <c r="C6525" t="s">
        <v>32</v>
      </c>
      <c r="D6525" t="s">
        <v>150</v>
      </c>
    </row>
    <row r="6526" spans="1:4" x14ac:dyDescent="0.25">
      <c r="B6526" t="str">
        <f>HYPERLINK("https://www.chemistwarehouse.com.au/buy/73753/Avent-Natural-240ml-Glass-Feeding-Bottle"," Avent Natural 240ml Glass Feeding Bottle")</f>
        <v xml:space="preserve"> Avent Natural 240ml Glass Feeding Bottle</v>
      </c>
      <c r="C6526" t="s">
        <v>61</v>
      </c>
      <c r="D6526" t="s">
        <v>397</v>
      </c>
    </row>
    <row r="6527" spans="1:4" x14ac:dyDescent="0.25">
      <c r="B6527" t="str">
        <f>HYPERLINK("https://www.chemistwarehouse.com.au/buy/70091/Avent-Natural-260ml-Feeding-bottle-2pk"," Avent Natural 260ml Feeding bottle 2pk")</f>
        <v xml:space="preserve"> Avent Natural 260ml Feeding bottle 2pk</v>
      </c>
      <c r="C6527" t="s">
        <v>1</v>
      </c>
      <c r="D6527" t="s">
        <v>145</v>
      </c>
    </row>
    <row r="6528" spans="1:4" x14ac:dyDescent="0.25">
      <c r="B6528" t="str">
        <f>HYPERLINK("https://www.chemistwarehouse.com.au/buy/73752/Avent-Natural-120ml-Glass-Feeding-Bottle"," Avent Natural 120ml Glass Feeding Bottle")</f>
        <v xml:space="preserve"> Avent Natural 120ml Glass Feeding Bottle</v>
      </c>
      <c r="C6528" t="s">
        <v>187</v>
      </c>
      <c r="D6528" t="s">
        <v>397</v>
      </c>
    </row>
    <row r="6529" spans="1:4" x14ac:dyDescent="0.25">
      <c r="B6529" t="str">
        <f>HYPERLINK("https://www.chemistwarehouse.com.au/buy/77313/Avent-Natural-Teat-3M-Variable-Flow-2-Pack"," Avent Natural Teat 3M+ Variable Flow 2 Pack")</f>
        <v xml:space="preserve"> Avent Natural Teat 3M+ Variable Flow 2 Pack</v>
      </c>
      <c r="C6529" t="s">
        <v>32</v>
      </c>
      <c r="D6529" t="s">
        <v>150</v>
      </c>
    </row>
    <row r="6530" spans="1:4" x14ac:dyDescent="0.25">
      <c r="B6530" t="str">
        <f>HYPERLINK("https://www.chemistwarehouse.com.au/buy/77314/Avent-Milk-Storage-Bags-25-Pack"," Avent Milk Storage Bags 25 Pack")</f>
        <v xml:space="preserve"> Avent Milk Storage Bags 25 Pack</v>
      </c>
      <c r="C6530" t="s">
        <v>1</v>
      </c>
      <c r="D6530" t="s">
        <v>165</v>
      </c>
    </row>
    <row r="6531" spans="1:4" x14ac:dyDescent="0.25">
      <c r="B6531" t="str">
        <f>HYPERLINK("https://www.chemistwarehouse.com.au/buy/70093/Avent-Natural-Teat-Newborn-flow"," Avent Natural Teat Newborn flow")</f>
        <v xml:space="preserve"> Avent Natural Teat Newborn flow</v>
      </c>
      <c r="C6531" t="s">
        <v>32</v>
      </c>
      <c r="D6531" t="s">
        <v>150</v>
      </c>
    </row>
    <row r="6532" spans="1:4" x14ac:dyDescent="0.25">
      <c r="B6532" t="str">
        <f>HYPERLINK("https://www.chemistwarehouse.com.au/buy/70094/Avent-Natural-125ml-Feeding-bottle-2pk"," Avent Natural 125ml Feeding bottle 2pk")</f>
        <v xml:space="preserve"> Avent Natural 125ml Feeding bottle 2pk</v>
      </c>
      <c r="C6532" t="s">
        <v>63</v>
      </c>
      <c r="D6532" t="s">
        <v>397</v>
      </c>
    </row>
    <row r="6533" spans="1:4" x14ac:dyDescent="0.25">
      <c r="B6533" t="str">
        <f>HYPERLINK("https://www.chemistwarehouse.com.au/buy/73574/Avent-Natural-260ml-Feeding-Bottle-Blue-2-Pack"," Avent Natural 260ml Feeding Bottle Blue 2 Pack")</f>
        <v xml:space="preserve"> Avent Natural 260ml Feeding Bottle Blue 2 Pack</v>
      </c>
      <c r="C6533" t="s">
        <v>1</v>
      </c>
      <c r="D6533" t="s">
        <v>145</v>
      </c>
    </row>
    <row r="6534" spans="1:4" x14ac:dyDescent="0.25">
      <c r="B6534" t="str">
        <f>HYPERLINK("https://www.chemistwarehouse.com.au/buy/73575/Avent-Natural-260ml-Feeding-Bottle-Pink-2-Pack"," Avent Natural 260ml Feeding Bottle Pink 2 Pack")</f>
        <v xml:space="preserve"> Avent Natural 260ml Feeding Bottle Pink 2 Pack</v>
      </c>
      <c r="C6534" t="s">
        <v>1</v>
      </c>
      <c r="D6534" t="s">
        <v>145</v>
      </c>
    </row>
    <row r="6535" spans="1:4" x14ac:dyDescent="0.25">
      <c r="B6535" t="str">
        <f>HYPERLINK("https://www.chemistwarehouse.com.au/buy/772/Avent-Bottle-amp-Teat-Brush"," Avent Bottle &amp; Teat Brush")</f>
        <v xml:space="preserve"> Avent Bottle &amp; Teat Brush</v>
      </c>
      <c r="C6535" t="s">
        <v>32</v>
      </c>
      <c r="D6535" t="s">
        <v>150</v>
      </c>
    </row>
    <row r="6536" spans="1:4" x14ac:dyDescent="0.25">
      <c r="B6536" t="str">
        <f>HYPERLINK("https://www.chemistwarehouse.com.au/buy/61596/Avent-Bottle-PP-125ml-Twin-Pack"," Avent Bottle PP 125ml Twin Pack")</f>
        <v xml:space="preserve"> Avent Bottle PP 125ml Twin Pack</v>
      </c>
      <c r="C6536" t="s">
        <v>61</v>
      </c>
      <c r="D6536" t="s">
        <v>150</v>
      </c>
    </row>
    <row r="6537" spans="1:4" x14ac:dyDescent="0.25">
      <c r="B6537" t="str">
        <f>HYPERLINK("https://www.chemistwarehouse.com.au/buy/61598/Avent-Bottle-PP-260Ml-Triple-Pack"," Avent Bottle PP 260Ml Triple Pack")</f>
        <v xml:space="preserve"> Avent Bottle PP 260Ml Triple Pack</v>
      </c>
      <c r="C6537" t="s">
        <v>109</v>
      </c>
      <c r="D6537" t="s">
        <v>145</v>
      </c>
    </row>
    <row r="6538" spans="1:4" x14ac:dyDescent="0.25">
      <c r="B6538" t="str">
        <f>HYPERLINK("https://www.chemistwarehouse.com.au/buy/61599/Avent-Bottle-PP-260Ml-Twin-Pack"," Avent Bottle PP 260Ml Twin Pack")</f>
        <v xml:space="preserve"> Avent Bottle PP 260Ml Twin Pack</v>
      </c>
      <c r="C6538" t="s">
        <v>8</v>
      </c>
      <c r="D6538" t="s">
        <v>397</v>
      </c>
    </row>
    <row r="6539" spans="1:4" x14ac:dyDescent="0.25">
      <c r="B6539" t="str">
        <f>HYPERLINK("https://www.chemistwarehouse.com.au/buy/68720/Avent-Bottle-Blue-260ml-2-Pack"," Avent Bottle Blue 260ml 2 Pack")</f>
        <v xml:space="preserve"> Avent Bottle Blue 260ml 2 Pack</v>
      </c>
      <c r="C6539" t="s">
        <v>8</v>
      </c>
      <c r="D6539" t="s">
        <v>397</v>
      </c>
    </row>
    <row r="6540" spans="1:4" x14ac:dyDescent="0.25">
      <c r="B6540" t="str">
        <f>HYPERLINK("https://www.chemistwarehouse.com.au/buy/68721/Avent-Bottle-Pink-260ml-2-Pack"," Avent Bottle Pink 260ml 2 Pack")</f>
        <v xml:space="preserve"> Avent Bottle Pink 260ml 2 Pack</v>
      </c>
      <c r="C6540" t="s">
        <v>8</v>
      </c>
      <c r="D6540" t="s">
        <v>397</v>
      </c>
    </row>
    <row r="6541" spans="1:4" x14ac:dyDescent="0.25">
      <c r="A6541" t="s">
        <v>1611</v>
      </c>
    </row>
    <row r="6542" spans="1:4" x14ac:dyDescent="0.25">
      <c r="B6542" t="str">
        <f>HYPERLINK("https://www.chemistwarehouse.com.au/buy/777/Avent-Breast-Pads-Washable-6"," Avent Breast Pads Washable 6")</f>
        <v xml:space="preserve"> Avent Breast Pads Washable 6</v>
      </c>
      <c r="C6542" t="s">
        <v>45</v>
      </c>
      <c r="D6542" t="s">
        <v>150</v>
      </c>
    </row>
    <row r="6543" spans="1:4" x14ac:dyDescent="0.25">
      <c r="B6543" t="str">
        <f>HYPERLINK("https://www.chemistwarehouse.com.au/buy/47245/Avent-Teat-Silicone-6M-Fast-Flow-2-Pack"," Avent Teat Silicone 6M+ Fast Flow 2 Pack")</f>
        <v xml:space="preserve"> Avent Teat Silicone 6M+ Fast Flow 2 Pack</v>
      </c>
      <c r="C6543" t="s">
        <v>103</v>
      </c>
      <c r="D6543" t="s">
        <v>150</v>
      </c>
    </row>
    <row r="6544" spans="1:4" x14ac:dyDescent="0.25">
      <c r="B6544" t="str">
        <f>HYPERLINK("https://www.chemistwarehouse.com.au/buy/54287/Avent-Nipple-Protector-2-Pack-Standard"," Avent Nipple Protector 2 Pack Standard")</f>
        <v xml:space="preserve"> Avent Nipple Protector 2 Pack Standard</v>
      </c>
      <c r="C6544" t="s">
        <v>237</v>
      </c>
      <c r="D6544" t="s">
        <v>150</v>
      </c>
    </row>
    <row r="6545" spans="1:4" x14ac:dyDescent="0.25">
      <c r="B6545" t="str">
        <f>HYPERLINK("https://www.chemistwarehouse.com.au/buy/54295/Avent-Via-Breast-Milk-Storage-Containers-180ml-x-10"," Avent Via Breast Milk Storage Containers 180ml x 10")</f>
        <v xml:space="preserve"> Avent Via Breast Milk Storage Containers 180ml x 10</v>
      </c>
      <c r="C6545" t="s">
        <v>61</v>
      </c>
      <c r="D6545" t="s">
        <v>397</v>
      </c>
    </row>
    <row r="6546" spans="1:4" x14ac:dyDescent="0.25">
      <c r="B6546" t="str">
        <f>HYPERLINK("https://www.chemistwarehouse.com.au/buy/61615/Avent-Comfort-Electric-Breast-Pump"," Avent Comfort Electric Breast Pump")</f>
        <v xml:space="preserve"> Avent Comfort Electric Breast Pump</v>
      </c>
      <c r="C6546" t="s">
        <v>1612</v>
      </c>
      <c r="D6546" t="s">
        <v>1613</v>
      </c>
    </row>
    <row r="6547" spans="1:4" x14ac:dyDescent="0.25">
      <c r="B6547" t="str">
        <f>HYPERLINK("https://www.chemistwarehouse.com.au/buy/69647/Avent-Disposable-Breast-Pads-Day-60-Pack"," Avent Disposable Breast Pads Day 60 Pack")</f>
        <v xml:space="preserve"> Avent Disposable Breast Pads Day 60 Pack</v>
      </c>
      <c r="C6547" t="s">
        <v>237</v>
      </c>
      <c r="D6547" t="s">
        <v>150</v>
      </c>
    </row>
    <row r="6548" spans="1:4" x14ac:dyDescent="0.25">
      <c r="B6548" t="str">
        <f>HYPERLINK("https://www.chemistwarehouse.com.au/buy/70086/Avent-Comfort-Manual-Breastpump"," Avent Comfort Manual Breastpump")</f>
        <v xml:space="preserve"> Avent Comfort Manual Breastpump</v>
      </c>
      <c r="C6548" t="s">
        <v>614</v>
      </c>
      <c r="D6548" t="s">
        <v>373</v>
      </c>
    </row>
    <row r="6549" spans="1:4" x14ac:dyDescent="0.25">
      <c r="A6549" t="s">
        <v>1614</v>
      </c>
    </row>
    <row r="6550" spans="1:4" x14ac:dyDescent="0.25">
      <c r="B6550" t="str">
        <f>HYPERLINK("https://www.chemistwarehouse.com.au/buy/67167/Avent-Electric-Sterilizer-3-in-1"," Avent Electric Sterilizer 3 in 1")</f>
        <v xml:space="preserve"> Avent Electric Sterilizer 3 in 1</v>
      </c>
      <c r="C6550" t="s">
        <v>564</v>
      </c>
      <c r="D6550" t="s">
        <v>124</v>
      </c>
    </row>
    <row r="6551" spans="1:4" x14ac:dyDescent="0.25">
      <c r="B6551" t="str">
        <f>HYPERLINK("https://www.chemistwarehouse.com.au/buy/32148/Avent-Express-Bottle-and-Food-Warmer-240V"," Avent Express Bottle and Food Warmer 240V")</f>
        <v xml:space="preserve"> Avent Express Bottle and Food Warmer 240V</v>
      </c>
      <c r="C6551" t="s">
        <v>514</v>
      </c>
      <c r="D6551" t="s">
        <v>373</v>
      </c>
    </row>
    <row r="6552" spans="1:4" x14ac:dyDescent="0.25">
      <c r="B6552" t="str">
        <f>HYPERLINK("https://www.chemistwarehouse.com.au/buy/54303/Avent-Express-Steriliser-Microwave"," Avent Express Steriliser Microwave")</f>
        <v xml:space="preserve"> Avent Express Steriliser Microwave</v>
      </c>
      <c r="C6552" t="s">
        <v>472</v>
      </c>
      <c r="D6552" t="s">
        <v>341</v>
      </c>
    </row>
    <row r="6553" spans="1:4" x14ac:dyDescent="0.25">
      <c r="A6553" t="s">
        <v>1615</v>
      </c>
    </row>
    <row r="6554" spans="1:4" x14ac:dyDescent="0.25">
      <c r="B6554" t="str">
        <f>HYPERLINK("https://www.chemistwarehouse.com.au/buy/68723/Avent-Straw-Cup-260ml"," Avent Straw Cup 260ml")</f>
        <v xml:space="preserve"> Avent Straw Cup 260ml</v>
      </c>
      <c r="C6554" t="s">
        <v>98</v>
      </c>
      <c r="D6554" t="s">
        <v>150</v>
      </c>
    </row>
    <row r="6555" spans="1:4" x14ac:dyDescent="0.25">
      <c r="B6555" t="str">
        <f>HYPERLINK("https://www.chemistwarehouse.com.au/buy/68724/Avent-Straw-Cup-340ml"," Avent Straw Cup 340ml")</f>
        <v xml:space="preserve"> Avent Straw Cup 340ml</v>
      </c>
      <c r="C6555" t="s">
        <v>80</v>
      </c>
      <c r="D6555" t="s">
        <v>150</v>
      </c>
    </row>
    <row r="6556" spans="1:4" x14ac:dyDescent="0.25">
      <c r="A6556" t="s">
        <v>1616</v>
      </c>
    </row>
    <row r="6557" spans="1:4" x14ac:dyDescent="0.25">
      <c r="B6557" t="str">
        <f>HYPERLINK("https://www.chemistwarehouse.com.au/buy/61614/Avent-Soother-Fashion-6-18Months-BPA-Free-2-Pack"," Avent Soother Fashion 6-18Months BPA Free 2 Pack")</f>
        <v xml:space="preserve"> Avent Soother Fashion 6-18Months BPA Free 2 Pack</v>
      </c>
      <c r="C6557" t="s">
        <v>98</v>
      </c>
      <c r="D6557" t="s">
        <v>150</v>
      </c>
    </row>
    <row r="6558" spans="1:4" x14ac:dyDescent="0.25">
      <c r="B6558" t="str">
        <f>HYPERLINK("https://www.chemistwarehouse.com.au/buy/64267/Avent-Soother-Animal-6-18months-BPA-Free-2-Pack"," Avent Soother Animal 6-18months BPA Free 2 Pack")</f>
        <v xml:space="preserve"> Avent Soother Animal 6-18months BPA Free 2 Pack</v>
      </c>
      <c r="C6558" t="s">
        <v>98</v>
      </c>
      <c r="D6558" t="s">
        <v>150</v>
      </c>
    </row>
    <row r="6559" spans="1:4" x14ac:dyDescent="0.25">
      <c r="B6559" t="str">
        <f>HYPERLINK("https://www.chemistwarehouse.com.au/buy/66674/Avent-Soother-Fashion-0-6-Months-BPA-Free-2-Pack"," Avent Soother Fashion 0-6 Months BPA Free 2 Pack")</f>
        <v xml:space="preserve"> Avent Soother Fashion 0-6 Months BPA Free 2 Pack</v>
      </c>
      <c r="C6559" t="s">
        <v>98</v>
      </c>
      <c r="D6559" t="s">
        <v>150</v>
      </c>
    </row>
    <row r="6560" spans="1:4" x14ac:dyDescent="0.25">
      <c r="B6560" t="str">
        <f>HYPERLINK("https://www.chemistwarehouse.com.au/buy/66675/Avent-Soother-Night-Time-0-6-Months-BPA-Free-2-Pack"," Avent Soother Night Time 0-6 Months BPA Free 2 Pack")</f>
        <v xml:space="preserve"> Avent Soother Night Time 0-6 Months BPA Free 2 Pack</v>
      </c>
      <c r="C6560" t="s">
        <v>98</v>
      </c>
      <c r="D6560" t="s">
        <v>150</v>
      </c>
    </row>
    <row r="6561" spans="1:4" x14ac:dyDescent="0.25">
      <c r="B6561" t="str">
        <f>HYPERLINK("https://www.chemistwarehouse.com.au/buy/66676/Avent-Soother-Translucent-0-6-Months-BPA-Free-2-Pack"," Avent Soother Translucent 0-6 Months BPA Free 2 Pack")</f>
        <v xml:space="preserve"> Avent Soother Translucent 0-6 Months BPA Free 2 Pack</v>
      </c>
      <c r="C6561" t="s">
        <v>98</v>
      </c>
      <c r="D6561" t="s">
        <v>150</v>
      </c>
    </row>
    <row r="6562" spans="1:4" x14ac:dyDescent="0.25">
      <c r="B6562" t="str">
        <f>HYPERLINK("https://www.chemistwarehouse.com.au/buy/64268/Avent-Soother-Animal-0-6months-BPA-Free-2-Pack"," Avent Soother Animal 0-6months BPA Free 2 Pack")</f>
        <v xml:space="preserve"> Avent Soother Animal 0-6months BPA Free 2 Pack</v>
      </c>
      <c r="C6562" t="s">
        <v>98</v>
      </c>
      <c r="D6562" t="s">
        <v>150</v>
      </c>
    </row>
    <row r="6563" spans="1:4" x14ac:dyDescent="0.25">
      <c r="B6563" t="str">
        <f>HYPERLINK("https://www.chemistwarehouse.com.au/buy/61612/Avent-Soother-Translucent-6-18Months-BPA-Free-2-Pack"," Avent Soother Translucent 6-18Months BPA Free 2 Pack")</f>
        <v xml:space="preserve"> Avent Soother Translucent 6-18Months BPA Free 2 Pack</v>
      </c>
      <c r="C6563" t="s">
        <v>98</v>
      </c>
      <c r="D6563" t="s">
        <v>150</v>
      </c>
    </row>
    <row r="6564" spans="1:4" x14ac:dyDescent="0.25">
      <c r="A6564" t="s">
        <v>1617</v>
      </c>
    </row>
    <row r="6565" spans="1:4" x14ac:dyDescent="0.25">
      <c r="B6565" t="str">
        <f>HYPERLINK("https://www.chemistwarehouse.com.au/buy/75495/Tommee-Tippee-Closer-To-Nature-Fast-Flow-Teats-2-Pack"," Tommee Tippee Closer To Nature Fast Flow Teats 2 Pack")</f>
        <v xml:space="preserve"> Tommee Tippee Closer To Nature Fast Flow Teats 2 Pack</v>
      </c>
      <c r="C6565" t="s">
        <v>1618</v>
      </c>
      <c r="D6565" t="s">
        <v>594</v>
      </c>
    </row>
    <row r="6566" spans="1:4" x14ac:dyDescent="0.25">
      <c r="B6566" t="str">
        <f>HYPERLINK("https://www.chemistwarehouse.com.au/buy/75487/Tommee-Tippee-Closer-To-Nature-Air-Style-Soothers-6-18-Months-2-Pack"," Tommee Tippee Closer To Nature Air Style Soothers 6-18 Months 2 Pack")</f>
        <v xml:space="preserve"> Tommee Tippee Closer To Nature Air Style Soothers 6-18 Months 2 Pack</v>
      </c>
      <c r="C6566" t="s">
        <v>782</v>
      </c>
      <c r="D6566" t="s">
        <v>1322</v>
      </c>
    </row>
    <row r="6567" spans="1:4" x14ac:dyDescent="0.25">
      <c r="B6567" t="str">
        <f>HYPERLINK("https://www.chemistwarehouse.com.au/buy/75496/Tommee-Tippee-Closer-To-Nature-Fun-Style-Soothers-0-6-Months-2-Pack"," Tommee Tippee Closer To Nature Fun Style Soothers 0-6 Months 2 Pack")</f>
        <v xml:space="preserve"> Tommee Tippee Closer To Nature Fun Style Soothers 0-6 Months 2 Pack</v>
      </c>
      <c r="C6567" t="s">
        <v>782</v>
      </c>
      <c r="D6567" t="s">
        <v>1322</v>
      </c>
    </row>
    <row r="6568" spans="1:4" x14ac:dyDescent="0.25">
      <c r="B6568" t="str">
        <f>HYPERLINK("https://www.chemistwarehouse.com.au/buy/75497/Tommee-Tippee-Closer-To-Nature-Fun-Style-Soothers-6-18-Months-2-Pack"," Tommee Tippee Closer To Nature Fun Style Soothers 6-18 Months 2 Pack")</f>
        <v xml:space="preserve"> Tommee Tippee Closer To Nature Fun Style Soothers 6-18 Months 2 Pack</v>
      </c>
      <c r="C6568" t="s">
        <v>782</v>
      </c>
      <c r="D6568" t="s">
        <v>1322</v>
      </c>
    </row>
    <row r="6569" spans="1:4" x14ac:dyDescent="0.25">
      <c r="B6569" t="str">
        <f>HYPERLINK("https://www.chemistwarehouse.com.au/buy/80589/Tommee-Tippee-Closer-to-Nature-Bottles-260ml-4-Pack"," Tommee Tippee Closer to Nature Bottles 260ml 4 Pack")</f>
        <v xml:space="preserve"> Tommee Tippee Closer to Nature Bottles 260ml 4 Pack</v>
      </c>
      <c r="C6569" t="s">
        <v>1619</v>
      </c>
      <c r="D6569" t="s">
        <v>1620</v>
      </c>
    </row>
    <row r="6570" spans="1:4" x14ac:dyDescent="0.25">
      <c r="B6570" t="str">
        <f>HYPERLINK("https://www.chemistwarehouse.com.au/buy/75494/Tommee-Tippee-Closer-To-Nature-Bottles-340ml-2-Pack"," Tommee Tippee Closer To Nature Bottles 340ml 2 Pack")</f>
        <v xml:space="preserve"> Tommee Tippee Closer To Nature Bottles 340ml 2 Pack</v>
      </c>
      <c r="C6570" t="s">
        <v>233</v>
      </c>
      <c r="D6570" t="s">
        <v>923</v>
      </c>
    </row>
    <row r="6571" spans="1:4" x14ac:dyDescent="0.25">
      <c r="B6571" t="str">
        <f>HYPERLINK("https://www.chemistwarehouse.com.au/buy/75499/Tommee-Tippee-Closer-To-Nature-Milk-Feeding-Bibs-2-Pack"," Tommee Tippee Closer To Nature Milk Feeding Bibs 2 Pack")</f>
        <v xml:space="preserve"> Tommee Tippee Closer To Nature Milk Feeding Bibs 2 Pack</v>
      </c>
      <c r="C6571" t="s">
        <v>1621</v>
      </c>
      <c r="D6571" t="s">
        <v>1622</v>
      </c>
    </row>
    <row r="6572" spans="1:4" x14ac:dyDescent="0.25">
      <c r="B6572" t="str">
        <f>HYPERLINK("https://www.chemistwarehouse.com.au/buy/75502/Tommee-Tippee-Closer-To-Nature-Night-Time-Soothers-6-18-Months-2-Pack"," Tommee Tippee Closer To Nature Night Time Soothers 6-18 Months 2 Pack")</f>
        <v xml:space="preserve"> Tommee Tippee Closer To Nature Night Time Soothers 6-18 Months 2 Pack</v>
      </c>
      <c r="C6572" t="s">
        <v>782</v>
      </c>
      <c r="D6572" t="s">
        <v>1322</v>
      </c>
    </row>
    <row r="6573" spans="1:4" x14ac:dyDescent="0.25">
      <c r="B6573" t="str">
        <f>HYPERLINK("https://www.chemistwarehouse.com.au/buy/75488/Tommee-Tippee-Closer-To-Nature-Air-Style-Soothers-0-6-Months-2-Pack"," Tommee Tippee Closer To Nature Air Style Soothers 0-6 Months 2 Pack")</f>
        <v xml:space="preserve"> Tommee Tippee Closer To Nature Air Style Soothers 0-6 Months 2 Pack</v>
      </c>
      <c r="C6573" t="s">
        <v>782</v>
      </c>
      <c r="D6573" t="s">
        <v>1322</v>
      </c>
    </row>
    <row r="6574" spans="1:4" x14ac:dyDescent="0.25">
      <c r="B6574" t="str">
        <f>HYPERLINK("https://www.chemistwarehouse.com.au/buy/75490/Tommee-Tippee-Closer-To-Nature-Any-Time-Soothers-6-18-Months-2-Pack"," Tommee Tippee Closer To Nature Any Time Soothers 6-18 Months 2 Pack")</f>
        <v xml:space="preserve"> Tommee Tippee Closer To Nature Any Time Soothers 6-18 Months 2 Pack</v>
      </c>
      <c r="C6574" t="s">
        <v>782</v>
      </c>
      <c r="D6574" t="s">
        <v>1322</v>
      </c>
    </row>
    <row r="6575" spans="1:4" x14ac:dyDescent="0.25">
      <c r="B6575" t="str">
        <f>HYPERLINK("https://www.chemistwarehouse.com.au/buy/75491/Tommee-Tippee-Closer-To-Nature-Bottle-and-Teat-Brush"," Tommee Tippee Closer To Nature Bottle and Teat Brush")</f>
        <v xml:space="preserve"> Tommee Tippee Closer To Nature Bottle and Teat Brush</v>
      </c>
      <c r="C6575" t="s">
        <v>92</v>
      </c>
      <c r="D6575" t="s">
        <v>1310</v>
      </c>
    </row>
    <row r="6576" spans="1:4" x14ac:dyDescent="0.25">
      <c r="B6576" t="str">
        <f>HYPERLINK("https://www.chemistwarehouse.com.au/buy/75498/Tommee-Tippee-Closer-To-Nature-Medium-Flow-Teats-2-Pack"," Tommee Tippee Closer To Nature Medium Flow Teats 2 Pack")</f>
        <v xml:space="preserve"> Tommee Tippee Closer To Nature Medium Flow Teats 2 Pack</v>
      </c>
      <c r="C6576" t="s">
        <v>1618</v>
      </c>
      <c r="D6576" t="s">
        <v>594</v>
      </c>
    </row>
    <row r="6577" spans="1:4" x14ac:dyDescent="0.25">
      <c r="B6577" t="str">
        <f>HYPERLINK("https://www.chemistwarehouse.com.au/buy/75489/Tommee-Tippee-Closer-To-Nature-Any-Time-Soothers-0-6-Months-2-Pack"," Tommee Tippee Closer To Nature Any Time Soothers 0-6 Months 2 Pack")</f>
        <v xml:space="preserve"> Tommee Tippee Closer To Nature Any Time Soothers 0-6 Months 2 Pack</v>
      </c>
      <c r="C6577" t="s">
        <v>782</v>
      </c>
      <c r="D6577" t="s">
        <v>1322</v>
      </c>
    </row>
    <row r="6578" spans="1:4" x14ac:dyDescent="0.25">
      <c r="B6578" t="str">
        <f>HYPERLINK("https://www.chemistwarehouse.com.au/buy/75501/Tommee-Tippee-Closer-To-Nature-Night-Time-Soothers-0-6-Months-2-Pack"," Tommee Tippee Closer To Nature Night Time Soothers 0-6 Months 2 Pack")</f>
        <v xml:space="preserve"> Tommee Tippee Closer To Nature Night Time Soothers 0-6 Months 2 Pack</v>
      </c>
      <c r="C6578" t="s">
        <v>782</v>
      </c>
      <c r="D6578" t="s">
        <v>1322</v>
      </c>
    </row>
    <row r="6579" spans="1:4" x14ac:dyDescent="0.25">
      <c r="B6579" t="str">
        <f>HYPERLINK("https://www.chemistwarehouse.com.au/buy/75492/Tommee-Tippee-Closer-To-Nature-Bottles-260ml-2-Pack"," Tommee Tippee Closer To Nature Bottles 260ml 2 Pack")</f>
        <v xml:space="preserve"> Tommee Tippee Closer To Nature Bottles 260ml 2 Pack</v>
      </c>
      <c r="C6579" t="s">
        <v>1623</v>
      </c>
      <c r="D6579" t="s">
        <v>1307</v>
      </c>
    </row>
    <row r="6580" spans="1:4" x14ac:dyDescent="0.25">
      <c r="B6580" t="str">
        <f>HYPERLINK("https://www.chemistwarehouse.com.au/buy/80590/Tommee-Tippee-Closer-to-Nature-Express-amp-Go-Pouches-20-Pack"," Tommee Tippee Closer to Nature Express &amp; Go Pouches 20 Pack")</f>
        <v xml:space="preserve"> Tommee Tippee Closer to Nature Express &amp; Go Pouches 20 Pack</v>
      </c>
      <c r="C6580" t="s">
        <v>1624</v>
      </c>
      <c r="D6580" t="s">
        <v>1625</v>
      </c>
    </row>
    <row r="6581" spans="1:4" x14ac:dyDescent="0.25">
      <c r="B6581" t="str">
        <f>HYPERLINK("https://www.chemistwarehouse.com.au/buy/80586/Tommee-Tippee-Closer-to-Nature-Express-amp-Go-Adaptor-Set"," Tommee Tippee Closer to Nature Express &amp; Go Adaptor Set")</f>
        <v xml:space="preserve"> Tommee Tippee Closer to Nature Express &amp; Go Adaptor Set</v>
      </c>
      <c r="C6581" t="s">
        <v>115</v>
      </c>
      <c r="D6581" t="s">
        <v>103</v>
      </c>
    </row>
    <row r="6582" spans="1:4" x14ac:dyDescent="0.25">
      <c r="B6582" t="str">
        <f>HYPERLINK("https://www.chemistwarehouse.com.au/buy/80588/Tommee-Tippee-Closer-to-Nature-Express-amp-Go-Pouch-Bottle"," Tommee Tippee Closer to Nature Express &amp; Go Pouch Bottle")</f>
        <v xml:space="preserve"> Tommee Tippee Closer to Nature Express &amp; Go Pouch Bottle</v>
      </c>
      <c r="C6582" t="s">
        <v>104</v>
      </c>
      <c r="D6582" t="s">
        <v>98</v>
      </c>
    </row>
    <row r="6583" spans="1:4" x14ac:dyDescent="0.25">
      <c r="A6583" t="s">
        <v>1626</v>
      </c>
    </row>
    <row r="6584" spans="1:4" x14ac:dyDescent="0.25">
      <c r="B6584" t="str">
        <f>HYPERLINK("https://www.chemistwarehouse.com.au/buy/55798/Tommee-Tippee-3060-Novelty-Hood-Bottle-250ml"," Tommee Tippee 3060 Novelty Hood Bottle 250ml")</f>
        <v xml:space="preserve"> Tommee Tippee 3060 Novelty Hood Bottle 250ml</v>
      </c>
      <c r="C6584" t="s">
        <v>1627</v>
      </c>
      <c r="D6584" t="s">
        <v>569</v>
      </c>
    </row>
    <row r="6585" spans="1:4" x14ac:dyDescent="0.25">
      <c r="A6585" t="s">
        <v>1628</v>
      </c>
    </row>
    <row r="6586" spans="1:4" x14ac:dyDescent="0.25">
      <c r="B6586" t="str">
        <f>HYPERLINK("https://www.chemistwarehouse.com.au/buy/55815/Tommee-Tippee-0024-Cool-Fish-Teether-3-Months"," Tommee Tippee 0024 Cool Fish Teether 3+Months")</f>
        <v xml:space="preserve"> Tommee Tippee 0024 Cool Fish Teether 3+Months</v>
      </c>
      <c r="C6586" t="s">
        <v>120</v>
      </c>
      <c r="D6586" t="s">
        <v>158</v>
      </c>
    </row>
    <row r="6587" spans="1:4" x14ac:dyDescent="0.25">
      <c r="B6587" t="str">
        <f>HYPERLINK("https://www.chemistwarehouse.com.au/buy/59024/Tommee-Tippee-Super-Soft-Soother-0-6months-3-Pack"," Tommee Tippee Super Soft Soother 0-6months 3 Pack")</f>
        <v xml:space="preserve"> Tommee Tippee Super Soft Soother 0-6months 3 Pack</v>
      </c>
      <c r="C6587" t="s">
        <v>1627</v>
      </c>
      <c r="D6587" t="s">
        <v>612</v>
      </c>
    </row>
    <row r="6588" spans="1:4" x14ac:dyDescent="0.25">
      <c r="B6588" t="str">
        <f>HYPERLINK("https://www.chemistwarehouse.com.au/buy/65737/Tommee-Tippee-Super-Soft-Soother-6-12months-3-Pack-BPA-Free"," Tommee Tippee Super Soft Soother 6-12months 3 Pack BPA Free")</f>
        <v xml:space="preserve"> Tommee Tippee Super Soft Soother 6-12months 3 Pack BPA Free</v>
      </c>
      <c r="C6588" t="s">
        <v>1627</v>
      </c>
      <c r="D6588" t="s">
        <v>612</v>
      </c>
    </row>
    <row r="6589" spans="1:4" x14ac:dyDescent="0.25">
      <c r="B6589" t="str">
        <f>HYPERLINK("https://www.chemistwarehouse.com.au/buy/65736/Tommee-Tippee-Super-Soft-Soother-12-months-3-Pack-BPA-Free"," Tommee Tippee Super Soft Soother 12+months 3 Pack BPA Free")</f>
        <v xml:space="preserve"> Tommee Tippee Super Soft Soother 12+months 3 Pack BPA Free</v>
      </c>
      <c r="C6589" t="s">
        <v>1627</v>
      </c>
      <c r="D6589" t="s">
        <v>612</v>
      </c>
    </row>
    <row r="6590" spans="1:4" x14ac:dyDescent="0.25">
      <c r="A6590" t="s">
        <v>1629</v>
      </c>
    </row>
    <row r="6591" spans="1:4" x14ac:dyDescent="0.25">
      <c r="B6591" t="str">
        <f>HYPERLINK("https://www.chemistwarehouse.com.au/buy/55814/Tommee-Tippee-3124-Fresh-Food-Feeder"," Tommee Tippee 3124 Fresh Food Feeder")</f>
        <v xml:space="preserve"> Tommee Tippee 3124 Fresh Food Feeder</v>
      </c>
      <c r="C6591" t="s">
        <v>174</v>
      </c>
      <c r="D6591" t="s">
        <v>594</v>
      </c>
    </row>
    <row r="6592" spans="1:4" x14ac:dyDescent="0.25">
      <c r="B6592" t="str">
        <f>HYPERLINK("https://www.chemistwarehouse.com.au/buy/82331/Tommee-Tippee-Closer-to-Nature-Ultra-Bottle-260ml-2-Pack"," Tommee Tippee Closer to Nature Ultra Bottle 260ml 2 Pack")</f>
        <v xml:space="preserve"> Tommee Tippee Closer to Nature Ultra Bottle 260ml 2 Pack</v>
      </c>
      <c r="C6592" t="s">
        <v>173</v>
      </c>
      <c r="D6592" t="s">
        <v>283</v>
      </c>
    </row>
    <row r="6593" spans="1:4" x14ac:dyDescent="0.25">
      <c r="B6593" t="str">
        <f>HYPERLINK("https://www.chemistwarehouse.com.au/buy/82332/Tommee-Tippee-Closer-to-Nature-Ultra-Teat-Fast-2-Pack"," Tommee Tippee Closer to Nature Ultra Teat Fast 2 Pack")</f>
        <v xml:space="preserve"> Tommee Tippee Closer to Nature Ultra Teat Fast 2 Pack</v>
      </c>
      <c r="C6593" t="s">
        <v>782</v>
      </c>
      <c r="D6593" t="s">
        <v>291</v>
      </c>
    </row>
    <row r="6594" spans="1:4" x14ac:dyDescent="0.25">
      <c r="B6594" t="str">
        <f>HYPERLINK("https://www.chemistwarehouse.com.au/buy/82333/Tommee-Tippee-Closer-to-Nature-Ultra-Teat-Medium-2-Pack"," Tommee Tippee Closer to Nature Ultra Teat Medium 2 Pack")</f>
        <v xml:space="preserve"> Tommee Tippee Closer to Nature Ultra Teat Medium 2 Pack</v>
      </c>
      <c r="C6594" t="s">
        <v>782</v>
      </c>
      <c r="D6594" t="s">
        <v>291</v>
      </c>
    </row>
    <row r="6595" spans="1:4" x14ac:dyDescent="0.25">
      <c r="A6595" t="s">
        <v>1630</v>
      </c>
    </row>
    <row r="6596" spans="1:4" x14ac:dyDescent="0.25">
      <c r="B6596" t="str">
        <f>HYPERLINK("https://www.chemistwarehouse.com.au/buy/68730/Tommee-Tippee-Discovera-Trainer-Cup-260ml"," Tommee Tippee Discovera Trainer Cup 260ml")</f>
        <v xml:space="preserve"> Tommee Tippee Discovera Trainer Cup 260ml</v>
      </c>
      <c r="C6596" t="s">
        <v>32</v>
      </c>
      <c r="D6596" t="s">
        <v>145</v>
      </c>
    </row>
    <row r="6597" spans="1:4" x14ac:dyDescent="0.25">
      <c r="B6597" t="str">
        <f>HYPERLINK("https://www.chemistwarehouse.com.au/buy/82330/Tommee-Tippee-Closer-to-Nature-Transition-Cup-150ml"," Tommee Tippee Closer to Nature Transition Cup 150ml")</f>
        <v xml:space="preserve"> Tommee Tippee Closer to Nature Transition Cup 150ml</v>
      </c>
      <c r="C6597" t="s">
        <v>240</v>
      </c>
      <c r="D6597" t="s">
        <v>1321</v>
      </c>
    </row>
    <row r="6598" spans="1:4" x14ac:dyDescent="0.25">
      <c r="B6598" t="str">
        <f>HYPERLINK("https://www.chemistwarehouse.com.au/buy/68728/Tommee-Tippee-Discovera-Active-Tipper-350ml"," Tommee Tippee Discovera Active Tipper 350ml")</f>
        <v xml:space="preserve"> Tommee Tippee Discovera Active Tipper 350ml</v>
      </c>
      <c r="C6598" t="s">
        <v>32</v>
      </c>
      <c r="D6598" t="s">
        <v>145</v>
      </c>
    </row>
    <row r="6599" spans="1:4" x14ac:dyDescent="0.25">
      <c r="B6599" t="str">
        <f>HYPERLINK("https://www.chemistwarehouse.com.au/buy/68731/Tommee-Tippee-Discovera-Two-Stage-Drinker-400ml"," Tommee Tippee Discovera Two Stage Drinker 400ml")</f>
        <v xml:space="preserve"> Tommee Tippee Discovera Two Stage Drinker 400ml</v>
      </c>
      <c r="C6599" t="s">
        <v>32</v>
      </c>
      <c r="D6599" t="s">
        <v>145</v>
      </c>
    </row>
    <row r="6600" spans="1:4" x14ac:dyDescent="0.25">
      <c r="A6600" t="s">
        <v>1631</v>
      </c>
    </row>
    <row r="6601" spans="1:4" x14ac:dyDescent="0.25">
      <c r="B6601" t="str">
        <f>HYPERLINK("https://www.chemistwarehouse.com.au/buy/80327/Tommee-Tippee-Closer-to-Nature-Electric-Breast-Pump"," Tommee Tippee Closer to Nature Electric Breast Pump")</f>
        <v xml:space="preserve"> Tommee Tippee Closer to Nature Electric Breast Pump</v>
      </c>
      <c r="C6601" t="s">
        <v>1632</v>
      </c>
      <c r="D6601" t="s">
        <v>1633</v>
      </c>
    </row>
    <row r="6602" spans="1:4" x14ac:dyDescent="0.25">
      <c r="B6602" t="str">
        <f>HYPERLINK("https://www.chemistwarehouse.com.au/buy/80328/Tommee-Tippee-Closer-to-Nature-Express-amp-Go-Starter-Kit"," Tommee Tippee Closer to Nature Express &amp; Go Starter Kit")</f>
        <v xml:space="preserve"> Tommee Tippee Closer to Nature Express &amp; Go Starter Kit</v>
      </c>
      <c r="C6602" t="s">
        <v>279</v>
      </c>
      <c r="D6602" t="s">
        <v>280</v>
      </c>
    </row>
    <row r="6603" spans="1:4" x14ac:dyDescent="0.25">
      <c r="B6603" t="str">
        <f>HYPERLINK("https://www.chemistwarehouse.com.au/buy/82327/Tommee-Tippee-Closer-to-Nature-Electric-Steam-Steriliser"," Tommee Tippee Closer to Nature Electric Steam Steriliser")</f>
        <v xml:space="preserve"> Tommee Tippee Closer to Nature Electric Steam Steriliser</v>
      </c>
      <c r="C6603" t="s">
        <v>1634</v>
      </c>
      <c r="D6603" t="s">
        <v>1240</v>
      </c>
    </row>
    <row r="6604" spans="1:4" x14ac:dyDescent="0.25">
      <c r="B6604" t="str">
        <f>HYPERLINK("https://www.chemistwarehouse.com.au/buy/82329/Tommee-Tippee-Closer-to-Nature-Microwave-Steam-Steriliser"," Tommee Tippee Closer to Nature Microwave Steam Steriliser")</f>
        <v xml:space="preserve"> Tommee Tippee Closer to Nature Microwave Steam Steriliser</v>
      </c>
      <c r="C6604" t="s">
        <v>746</v>
      </c>
      <c r="D6604" t="s">
        <v>1635</v>
      </c>
    </row>
    <row r="6605" spans="1:4" x14ac:dyDescent="0.25">
      <c r="B6605" t="str">
        <f>HYPERLINK("https://www.chemistwarehouse.com.au/buy/82328/Tommee-Tippee-Closer-to-Nature-Manual-Breast-Pump"," Tommee Tippee Closer to Nature Manual Breast Pump")</f>
        <v xml:space="preserve"> Tommee Tippee Closer to Nature Manual Breast Pump</v>
      </c>
      <c r="C6605" t="s">
        <v>746</v>
      </c>
      <c r="D6605" t="s">
        <v>453</v>
      </c>
    </row>
    <row r="6606" spans="1:4" x14ac:dyDescent="0.25">
      <c r="A6606" t="s">
        <v>1636</v>
      </c>
    </row>
    <row r="6607" spans="1:4" x14ac:dyDescent="0.25">
      <c r="B6607" t="str">
        <f>HYPERLINK("https://www.chemistwarehouse.com.au/buy/69142/Pigeon-SofTouch-Peristaltic-Plus-Wide-Neck-Bottle-PP-160ml"," Pigeon SofTouch Peristaltic Plus Wide Neck Bottle PP 160ml")</f>
        <v xml:space="preserve"> Pigeon SofTouch Peristaltic Plus Wide Neck Bottle PP 160ml</v>
      </c>
      <c r="C6607" t="s">
        <v>202</v>
      </c>
      <c r="D6607" t="s">
        <v>641</v>
      </c>
    </row>
    <row r="6608" spans="1:4" x14ac:dyDescent="0.25">
      <c r="B6608" t="str">
        <f>HYPERLINK("https://www.chemistwarehouse.com.au/buy/50006/Pigeon-Disposable-Nursing-Pads-Ultra-Slim-50"," Pigeon Disposable Nursing Pads Ultra Slim 50")</f>
        <v xml:space="preserve"> Pigeon Disposable Nursing Pads Ultra Slim 50</v>
      </c>
      <c r="C6608" t="s">
        <v>202</v>
      </c>
      <c r="D6608" t="s">
        <v>165</v>
      </c>
    </row>
    <row r="6609" spans="2:4" x14ac:dyDescent="0.25">
      <c r="B6609" t="str">
        <f>HYPERLINK("https://www.chemistwarehouse.com.au/buy/57275/Pigeon-Slim-Neck-Peristaltic-Nipple-L"," Pigeon Slim Neck Peristaltic Nipple L")</f>
        <v xml:space="preserve"> Pigeon Slim Neck Peristaltic Nipple L</v>
      </c>
      <c r="C6609" t="s">
        <v>103</v>
      </c>
      <c r="D6609" t="s">
        <v>813</v>
      </c>
    </row>
    <row r="6610" spans="2:4" x14ac:dyDescent="0.25">
      <c r="B6610" t="str">
        <f>HYPERLINK("https://www.chemistwarehouse.com.au/buy/57288/Pigeon-Training-Toothbrush-Step-3"," Pigeon Training Toothbrush Step 3")</f>
        <v xml:space="preserve"> Pigeon Training Toothbrush Step 3</v>
      </c>
      <c r="C6610" t="s">
        <v>556</v>
      </c>
      <c r="D6610" t="s">
        <v>147</v>
      </c>
    </row>
    <row r="6611" spans="2:4" x14ac:dyDescent="0.25">
      <c r="B6611" t="str">
        <f>HYPERLINK("https://www.chemistwarehouse.com.au/buy/59553/Pigeon-Nipple-Standard-Peristalic-Small-2"," Pigeon Nipple Standard Peristalic Small 2")</f>
        <v xml:space="preserve"> Pigeon Nipple Standard Peristalic Small 2</v>
      </c>
      <c r="C6611" t="s">
        <v>103</v>
      </c>
      <c r="D6611" t="s">
        <v>813</v>
      </c>
    </row>
    <row r="6612" spans="2:4" x14ac:dyDescent="0.25">
      <c r="B6612" t="str">
        <f>HYPERLINK("https://www.chemistwarehouse.com.au/buy/59554/Pigeon-Nipple-Standard-Peristalic-Medium-2"," Pigeon Nipple Standard Peristalic Medium 2")</f>
        <v xml:space="preserve"> Pigeon Nipple Standard Peristalic Medium 2</v>
      </c>
      <c r="C6612" t="s">
        <v>103</v>
      </c>
      <c r="D6612" t="s">
        <v>813</v>
      </c>
    </row>
    <row r="6613" spans="2:4" x14ac:dyDescent="0.25">
      <c r="B6613" t="str">
        <f>HYPERLINK("https://www.chemistwarehouse.com.au/buy/59555/Pigeon-Nipple-Standard-Peristalic-Y-Cut-2"," Pigeon Nipple Standard Peristalic Y-Cut 2")</f>
        <v xml:space="preserve"> Pigeon Nipple Standard Peristalic Y-Cut 2</v>
      </c>
      <c r="C6613" t="s">
        <v>103</v>
      </c>
      <c r="D6613" t="s">
        <v>813</v>
      </c>
    </row>
    <row r="6614" spans="2:4" x14ac:dyDescent="0.25">
      <c r="B6614" t="str">
        <f>HYPERLINK("https://www.chemistwarehouse.com.au/buy/63476/Pigeon-Peristaltic-Plus-Slim-Neck-Bottle-PPSU-160ml"," Pigeon Peristaltic Plus Slim Neck Bottle PPSU 160ml")</f>
        <v xml:space="preserve"> Pigeon Peristaltic Plus Slim Neck Bottle PPSU 160ml</v>
      </c>
      <c r="C6614" t="s">
        <v>202</v>
      </c>
      <c r="D6614" t="s">
        <v>1436</v>
      </c>
    </row>
    <row r="6615" spans="2:4" x14ac:dyDescent="0.25">
      <c r="B6615" t="str">
        <f>HYPERLINK("https://www.chemistwarehouse.com.au/buy/63478/Pigeon-Slim-Neck-Bottle-120ml-PP"," Pigeon Slim Neck Bottle 120ml PP")</f>
        <v xml:space="preserve"> Pigeon Slim Neck Bottle 120ml PP</v>
      </c>
      <c r="C6615" t="s">
        <v>92</v>
      </c>
      <c r="D6615" t="s">
        <v>576</v>
      </c>
    </row>
    <row r="6616" spans="2:4" x14ac:dyDescent="0.25">
      <c r="B6616" t="str">
        <f>HYPERLINK("https://www.chemistwarehouse.com.au/buy/63479/Pigeon-Silicone-Dummy-Step-2"," Pigeon Silicone Dummy Step 2")</f>
        <v xml:space="preserve"> Pigeon Silicone Dummy Step 2</v>
      </c>
      <c r="C6616" t="s">
        <v>104</v>
      </c>
      <c r="D6616" t="s">
        <v>1637</v>
      </c>
    </row>
    <row r="6617" spans="2:4" x14ac:dyDescent="0.25">
      <c r="B6617" t="str">
        <f>HYPERLINK("https://www.chemistwarehouse.com.au/buy/63482/Pigeon-Slim-Neck-Bottle-240ml-PP"," Pigeon Slim Neck Bottle 240ml PP")</f>
        <v xml:space="preserve"> Pigeon Slim Neck Bottle 240ml PP</v>
      </c>
      <c r="C6617" t="s">
        <v>103</v>
      </c>
      <c r="D6617" t="s">
        <v>150</v>
      </c>
    </row>
    <row r="6618" spans="2:4" x14ac:dyDescent="0.25">
      <c r="B6618" t="str">
        <f>HYPERLINK("https://www.chemistwarehouse.com.au/buy/63485/Pigeon-Silicone-Dummy-Step-1"," Pigeon Silicone Dummy Step 1")</f>
        <v xml:space="preserve"> Pigeon Silicone Dummy Step 1</v>
      </c>
      <c r="C6618" t="s">
        <v>104</v>
      </c>
      <c r="D6618" t="s">
        <v>1637</v>
      </c>
    </row>
    <row r="6619" spans="2:4" x14ac:dyDescent="0.25">
      <c r="B6619" t="str">
        <f>HYPERLINK("https://www.chemistwarehouse.com.au/buy/63863/Pigeon-Peristaltic-Plus-Slim-Neck-Bottle-PPSU-240ml"," Pigeon Peristaltic Plus Slim Neck Bottle PPSU 240ml")</f>
        <v xml:space="preserve"> Pigeon Peristaltic Plus Slim Neck Bottle PPSU 240ml</v>
      </c>
      <c r="C6619" t="s">
        <v>187</v>
      </c>
      <c r="D6619" t="s">
        <v>581</v>
      </c>
    </row>
    <row r="6620" spans="2:4" x14ac:dyDescent="0.25">
      <c r="B6620" t="str">
        <f>HYPERLINK("https://www.chemistwarehouse.com.au/buy/69143/Pigeon-SofTouch-Peristaltic-Plus-Wide-Neck-Bottle-PP-240ml"," Pigeon SofTouch Peristaltic Plus Wide Neck Bottle PP 240ml")</f>
        <v xml:space="preserve"> Pigeon SofTouch Peristaltic Plus Wide Neck Bottle PP 240ml</v>
      </c>
      <c r="C6620" t="s">
        <v>187</v>
      </c>
      <c r="D6620" t="s">
        <v>641</v>
      </c>
    </row>
    <row r="6621" spans="2:4" x14ac:dyDescent="0.25">
      <c r="B6621" t="str">
        <f>HYPERLINK("https://www.chemistwarehouse.com.au/buy/69148/Pigeon-SofTouch-Peristaltic-Plus-Wide-Neck-Teat-L-2-Piece"," Pigeon SofTouch Peristaltic Plus Wide Neck Teat L 2 Piece")</f>
        <v xml:space="preserve"> Pigeon SofTouch Peristaltic Plus Wide Neck Teat L 2 Piece</v>
      </c>
      <c r="C6621" t="s">
        <v>107</v>
      </c>
      <c r="D6621" t="s">
        <v>1638</v>
      </c>
    </row>
    <row r="6622" spans="2:4" x14ac:dyDescent="0.25">
      <c r="B6622" t="str">
        <f>HYPERLINK("https://www.chemistwarehouse.com.au/buy/69150/Pigeon-SofTouch-Peristaltic-Plus-Wide-Neck-Teat-M-2-Piece"," Pigeon SofTouch Peristaltic Plus Wide Neck Teat M 2 Piece")</f>
        <v xml:space="preserve"> Pigeon SofTouch Peristaltic Plus Wide Neck Teat M 2 Piece</v>
      </c>
      <c r="C6622" t="s">
        <v>107</v>
      </c>
      <c r="D6622" t="s">
        <v>1638</v>
      </c>
    </row>
    <row r="6623" spans="2:4" x14ac:dyDescent="0.25">
      <c r="B6623" t="str">
        <f>HYPERLINK("https://www.chemistwarehouse.com.au/buy/69151/Pigeon-SofTouch-Peristaltic-Plus-Wide-Neck-Teat-S-2-Piece"," Pigeon SofTouch Peristaltic Plus Wide Neck Teat S 2 Piece")</f>
        <v xml:space="preserve"> Pigeon SofTouch Peristaltic Plus Wide Neck Teat S 2 Piece</v>
      </c>
      <c r="C6623" t="s">
        <v>107</v>
      </c>
      <c r="D6623" t="s">
        <v>1638</v>
      </c>
    </row>
    <row r="6624" spans="2:4" x14ac:dyDescent="0.25">
      <c r="B6624" t="str">
        <f>HYPERLINK("https://www.chemistwarehouse.com.au/buy/76179/Pigeon-Slim-Neck-Bottle-Twin-Pack-Pre-Pack-240ml"," Pigeon Slim Neck Bottle Twin Pack Pre Pack 240ml")</f>
        <v xml:space="preserve"> Pigeon Slim Neck Bottle Twin Pack Pre Pack 240ml</v>
      </c>
      <c r="C6624" t="s">
        <v>202</v>
      </c>
      <c r="D6624" t="s">
        <v>1639</v>
      </c>
    </row>
    <row r="6625" spans="1:4" x14ac:dyDescent="0.25">
      <c r="B6625" t="str">
        <f>HYPERLINK("https://www.chemistwarehouse.com.au/buy/76180/Pigeon-SofTouch-Peristaltic-Plus-Wide-Neck-Bottle-Twin-Pack-PP-240ml"," Pigeon SofTouch Peristaltic Plus Wide Neck Bottle Twin Pack PP 240ml")</f>
        <v xml:space="preserve"> Pigeon SofTouch Peristaltic Plus Wide Neck Bottle Twin Pack PP 240ml</v>
      </c>
      <c r="C6625" t="s">
        <v>125</v>
      </c>
      <c r="D6625" t="s">
        <v>155</v>
      </c>
    </row>
    <row r="6626" spans="1:4" x14ac:dyDescent="0.25">
      <c r="B6626" t="str">
        <f>HYPERLINK("https://www.chemistwarehouse.com.au/buy/81555/Pigeon-Bottle-and-Teat-Brush"," Pigeon Bottle and Teat Brush")</f>
        <v xml:space="preserve"> Pigeon Bottle and Teat Brush</v>
      </c>
      <c r="C6626" t="s">
        <v>782</v>
      </c>
      <c r="D6626" t="s">
        <v>1640</v>
      </c>
    </row>
    <row r="6627" spans="1:4" x14ac:dyDescent="0.25">
      <c r="B6627" t="str">
        <f>HYPERLINK("https://www.chemistwarehouse.com.au/buy/7130/Pigeon-Powdered-Milk-Container-3-Pack"," Pigeon Powdered Milk Container 3 Pack")</f>
        <v xml:space="preserve"> Pigeon Powdered Milk Container 3 Pack</v>
      </c>
      <c r="C6627" t="s">
        <v>107</v>
      </c>
      <c r="D6627" t="s">
        <v>1638</v>
      </c>
    </row>
    <row r="6628" spans="1:4" x14ac:dyDescent="0.25">
      <c r="B6628" t="str">
        <f>HYPERLINK("https://www.chemistwarehouse.com.au/buy/36710/Pigeon-Training-Toothbrush-Set"," Pigeon Training Toothbrush Set")</f>
        <v xml:space="preserve"> Pigeon Training Toothbrush Set</v>
      </c>
      <c r="C6628" t="s">
        <v>45</v>
      </c>
      <c r="D6628" t="s">
        <v>150</v>
      </c>
    </row>
    <row r="6629" spans="1:4" x14ac:dyDescent="0.25">
      <c r="B6629" t="str">
        <f>HYPERLINK("https://www.chemistwarehouse.com.au/buy/81557/Pigeon-Wide-Neck-Bottle-PPSU-160ml"," Pigeon Wide Neck Bottle PPSU 160ml")</f>
        <v xml:space="preserve"> Pigeon Wide Neck Bottle PPSU 160ml</v>
      </c>
      <c r="C6629" t="s">
        <v>8</v>
      </c>
      <c r="D6629" t="s">
        <v>145</v>
      </c>
    </row>
    <row r="6630" spans="1:4" x14ac:dyDescent="0.25">
      <c r="B6630" t="str">
        <f>HYPERLINK("https://www.chemistwarehouse.com.au/buy/81558/Pigeon-Wide-Neck-Bottle-PPSU-240ml"," Pigeon Wide Neck Bottle PPSU 240ml")</f>
        <v xml:space="preserve"> Pigeon Wide Neck Bottle PPSU 240ml</v>
      </c>
      <c r="C6630" t="s">
        <v>1</v>
      </c>
      <c r="D6630" t="s">
        <v>1419</v>
      </c>
    </row>
    <row r="6631" spans="1:4" x14ac:dyDescent="0.25">
      <c r="A6631" t="s">
        <v>1641</v>
      </c>
    </row>
    <row r="6632" spans="1:4" x14ac:dyDescent="0.25">
      <c r="B6632" t="str">
        <f>HYPERLINK("https://www.chemistwarehouse.com.au/buy/57093/Medela-Pump-amp-Save-Breastmilk-Bags-20-Pack"," Medela Pump &amp; Save Breastmilk Bags 20 Pack")</f>
        <v xml:space="preserve"> Medela Pump &amp; Save Breastmilk Bags 20 Pack</v>
      </c>
      <c r="C6632" t="s">
        <v>153</v>
      </c>
      <c r="D6632" t="s">
        <v>154</v>
      </c>
    </row>
    <row r="6633" spans="1:4" x14ac:dyDescent="0.25">
      <c r="B6633" t="str">
        <f>HYPERLINK("https://www.chemistwarehouse.com.au/buy/74500/Medela-Swing-Maxi-Double-Electric-Breastpump"," Medela Swing Maxi Double Electric Breastpump")</f>
        <v xml:space="preserve"> Medela Swing Maxi Double Electric Breastpump</v>
      </c>
      <c r="C6633" t="s">
        <v>1642</v>
      </c>
      <c r="D6633" t="s">
        <v>1643</v>
      </c>
    </row>
    <row r="6634" spans="1:4" x14ac:dyDescent="0.25">
      <c r="B6634" t="str">
        <f>HYPERLINK("https://www.chemistwarehouse.com.au/buy/79519/Medela-Pump-and-Save-Bags-50-Pack-with-2-Adaptors"," Medela Pump and Save Bags 50 Pack with 2 Adaptors")</f>
        <v xml:space="preserve"> Medela Pump and Save Bags 50 Pack with 2 Adaptors</v>
      </c>
      <c r="C6634" t="s">
        <v>111</v>
      </c>
      <c r="D6634" t="s">
        <v>343</v>
      </c>
    </row>
    <row r="6635" spans="1:4" x14ac:dyDescent="0.25">
      <c r="B6635" t="str">
        <f>HYPERLINK("https://www.chemistwarehouse.com.au/buy/81551/Medela-Symphony-Double-Pump-Set"," Medela Symphony Double Pump Set")</f>
        <v xml:space="preserve"> Medela Symphony Double Pump Set</v>
      </c>
      <c r="C6635" t="s">
        <v>1644</v>
      </c>
      <c r="D6635" t="s">
        <v>543</v>
      </c>
    </row>
    <row r="6636" spans="1:4" x14ac:dyDescent="0.25">
      <c r="B6636" t="str">
        <f>HYPERLINK("https://www.chemistwarehouse.com.au/buy/82326/Medela-Freestyle-Double-Electric-Breastpump-Online-Only"," Medela Freestyle Double Electric Breastpump Online Only")</f>
        <v xml:space="preserve"> Medela Freestyle Double Electric Breastpump Online Only</v>
      </c>
      <c r="C6636" t="s">
        <v>1645</v>
      </c>
      <c r="D6636" t="s">
        <v>1646</v>
      </c>
    </row>
    <row r="6637" spans="1:4" x14ac:dyDescent="0.25">
      <c r="B6637" t="str">
        <f>HYPERLINK("https://www.chemistwarehouse.com.au/buy/49275/Medela-Breast-Pump-Harmony"," Medela Breast Pump Harmony")</f>
        <v xml:space="preserve"> Medela Breast Pump Harmony</v>
      </c>
      <c r="C6637" t="s">
        <v>1647</v>
      </c>
      <c r="D6637" t="s">
        <v>1648</v>
      </c>
    </row>
    <row r="6638" spans="1:4" x14ac:dyDescent="0.25">
      <c r="B6638" t="str">
        <f>HYPERLINK("https://www.chemistwarehouse.com.au/buy/50736/Medela-Swing-Breastpump"," Medela Swing Breastpump")</f>
        <v xml:space="preserve"> Medela Swing Breastpump</v>
      </c>
      <c r="C6638" t="s">
        <v>1649</v>
      </c>
      <c r="D6638" t="s">
        <v>1650</v>
      </c>
    </row>
    <row r="6639" spans="1:4" x14ac:dyDescent="0.25">
      <c r="A6639" t="s">
        <v>1651</v>
      </c>
    </row>
    <row r="6640" spans="1:4" x14ac:dyDescent="0.25">
      <c r="B6640" t="str">
        <f>HYPERLINK("https://www.chemistwarehouse.com.au/buy/60499/Medela-Valve-amp-Membrane-Retail-Pack"," Medela Valve &amp; Membrane Retail Pack")</f>
        <v xml:space="preserve"> Medela Valve &amp; Membrane Retail Pack</v>
      </c>
      <c r="C6640" t="s">
        <v>212</v>
      </c>
      <c r="D6640" t="s">
        <v>406</v>
      </c>
    </row>
    <row r="6641" spans="1:4" x14ac:dyDescent="0.25">
      <c r="B6641" t="str">
        <f>HYPERLINK("https://www.chemistwarehouse.com.au/buy/74933/Medela-Breastmilk-Store-amp-Feed-Set"," Medela Breastmilk Store &amp; Feed Set")</f>
        <v xml:space="preserve"> Medela Breastmilk Store &amp; Feed Set</v>
      </c>
      <c r="C6641" t="s">
        <v>1259</v>
      </c>
      <c r="D6641" t="s">
        <v>1652</v>
      </c>
    </row>
    <row r="6642" spans="1:4" x14ac:dyDescent="0.25">
      <c r="B6642" t="str">
        <f>HYPERLINK("https://www.chemistwarehouse.com.au/buy/74925/Medela-Breastfeeding-Starter-Kit"," Medela Breastfeeding Starter Kit")</f>
        <v xml:space="preserve"> Medela Breastfeeding Starter Kit</v>
      </c>
      <c r="C6642" t="s">
        <v>1259</v>
      </c>
      <c r="D6642" t="s">
        <v>521</v>
      </c>
    </row>
    <row r="6643" spans="1:4" x14ac:dyDescent="0.25">
      <c r="A6643" t="s">
        <v>1653</v>
      </c>
    </row>
    <row r="6644" spans="1:4" x14ac:dyDescent="0.25">
      <c r="B6644" t="str">
        <f>HYPERLINK("https://www.chemistwarehouse.com.au/buy/58505/Medela-Contact-Nipple-Shield-Medium"," Medela Contact Nipple Shield Medium")</f>
        <v xml:space="preserve"> Medela Contact Nipple Shield Medium</v>
      </c>
      <c r="C6644" t="s">
        <v>298</v>
      </c>
      <c r="D6644" t="s">
        <v>356</v>
      </c>
    </row>
    <row r="6645" spans="1:4" x14ac:dyDescent="0.25">
      <c r="B6645" t="str">
        <f>HYPERLINK("https://www.chemistwarehouse.com.au/buy/60497/Medela-Contact-Nipple-Shield-Large"," Medela Contact Nipple Shield Large")</f>
        <v xml:space="preserve"> Medela Contact Nipple Shield Large</v>
      </c>
      <c r="C6645" t="s">
        <v>298</v>
      </c>
      <c r="D6645" t="s">
        <v>1654</v>
      </c>
    </row>
    <row r="6646" spans="1:4" x14ac:dyDescent="0.25">
      <c r="B6646" t="str">
        <f>HYPERLINK("https://www.chemistwarehouse.com.au/buy/60498/Medela-Contact-Nipple-Shield-Small"," Medela Contact Nipple Shield Small")</f>
        <v xml:space="preserve"> Medela Contact Nipple Shield Small</v>
      </c>
      <c r="C6646" t="s">
        <v>298</v>
      </c>
      <c r="D6646" t="s">
        <v>356</v>
      </c>
    </row>
    <row r="6647" spans="1:4" x14ac:dyDescent="0.25">
      <c r="A6647" t="s">
        <v>1655</v>
      </c>
    </row>
    <row r="6648" spans="1:4" x14ac:dyDescent="0.25">
      <c r="B6648" t="str">
        <f>HYPERLINK("https://www.chemistwarehouse.com.au/buy/60505/Medela-Breastmilk-Bottle-with-Teat-150ml"," Medela Breastmilk Bottle with Teat 150ml")</f>
        <v xml:space="preserve"> Medela Breastmilk Bottle with Teat 150ml</v>
      </c>
      <c r="C6648" t="s">
        <v>1656</v>
      </c>
      <c r="D6648" t="s">
        <v>817</v>
      </c>
    </row>
    <row r="6649" spans="1:4" x14ac:dyDescent="0.25">
      <c r="B6649" t="str">
        <f>HYPERLINK("https://www.chemistwarehouse.com.au/buy/60506/Medela-Spare-Teats-Slow-Flow-2-Pack"," Medela Spare Teats Slow Flow 2 Pack")</f>
        <v xml:space="preserve"> Medela Spare Teats Slow Flow 2 Pack</v>
      </c>
      <c r="C6649" t="s">
        <v>242</v>
      </c>
      <c r="D6649" t="s">
        <v>329</v>
      </c>
    </row>
    <row r="6650" spans="1:4" x14ac:dyDescent="0.25">
      <c r="B6650" t="str">
        <f>HYPERLINK("https://www.chemistwarehouse.com.au/buy/60507/Medela-Spare-Teats-Medium-Flow-2-Pack"," Medela Spare Teats Medium Flow 2 Pack")</f>
        <v xml:space="preserve"> Medela Spare Teats Medium Flow 2 Pack</v>
      </c>
      <c r="C6650" t="s">
        <v>242</v>
      </c>
      <c r="D6650" t="s">
        <v>329</v>
      </c>
    </row>
    <row r="6651" spans="1:4" x14ac:dyDescent="0.25">
      <c r="B6651" t="str">
        <f>HYPERLINK("https://www.chemistwarehouse.com.au/buy/60508/Medela-Breastmilk-Bottle-with-Teat-250ml"," Medela Breastmilk Bottle with Teat 250ml")</f>
        <v xml:space="preserve"> Medela Breastmilk Bottle with Teat 250ml</v>
      </c>
      <c r="C6651" t="s">
        <v>1657</v>
      </c>
      <c r="D6651" t="s">
        <v>1212</v>
      </c>
    </row>
    <row r="6652" spans="1:4" x14ac:dyDescent="0.25">
      <c r="B6652" t="str">
        <f>HYPERLINK("https://www.chemistwarehouse.com.au/buy/62931/Medela-Calma-Bottle-150ml"," Medela Calma Bottle 150ml")</f>
        <v xml:space="preserve"> Medela Calma Bottle 150ml</v>
      </c>
      <c r="C6652" t="s">
        <v>298</v>
      </c>
      <c r="D6652" t="s">
        <v>356</v>
      </c>
    </row>
    <row r="6653" spans="1:4" x14ac:dyDescent="0.25">
      <c r="B6653" t="str">
        <f>HYPERLINK("https://www.chemistwarehouse.com.au/buy/62932/Medela-Calma-Teat-Single"," Medela Calma Teat Single")</f>
        <v xml:space="preserve"> Medela Calma Teat Single</v>
      </c>
      <c r="C6653" t="s">
        <v>404</v>
      </c>
      <c r="D6653" t="s">
        <v>496</v>
      </c>
    </row>
    <row r="6654" spans="1:4" x14ac:dyDescent="0.25">
      <c r="A6654" t="s">
        <v>1658</v>
      </c>
    </row>
    <row r="6655" spans="1:4" x14ac:dyDescent="0.25">
      <c r="B6655" t="str">
        <f>HYPERLINK("https://www.chemistwarehouse.com.au/buy/80022/Medela-PVC-Tubing-For-Swing-Breast-Pump"," Medela PVC Tubing For Swing Breast Pump")</f>
        <v xml:space="preserve"> Medela PVC Tubing For Swing Breast Pump</v>
      </c>
      <c r="C6655" t="s">
        <v>228</v>
      </c>
      <c r="D6655" t="s">
        <v>336</v>
      </c>
    </row>
    <row r="6656" spans="1:4" x14ac:dyDescent="0.25">
      <c r="B6656" t="str">
        <f>HYPERLINK("https://www.chemistwarehouse.com.au/buy/80024/Medela-Connector-Assembled-For-Swing-or-Swing-Maxi-Breast-Pump"," Medela Connector Assembled For Swing or Swing Maxi Breast Pump")</f>
        <v xml:space="preserve"> Medela Connector Assembled For Swing or Swing Maxi Breast Pump</v>
      </c>
      <c r="C6656" t="s">
        <v>1659</v>
      </c>
      <c r="D6656" t="s">
        <v>1660</v>
      </c>
    </row>
    <row r="6657" spans="1:4" x14ac:dyDescent="0.25">
      <c r="B6657" t="str">
        <f>HYPERLINK("https://www.chemistwarehouse.com.au/buy/80025/Medela-Two-Component-Connector-For-Swing-or-Harmony-Breast-Pump"," Medela Two Component Connector For Swing or Harmony Breast Pump")</f>
        <v xml:space="preserve"> Medela Two Component Connector For Swing or Harmony Breast Pump</v>
      </c>
      <c r="C6657" t="s">
        <v>151</v>
      </c>
      <c r="D6657" t="s">
        <v>867</v>
      </c>
    </row>
    <row r="6658" spans="1:4" x14ac:dyDescent="0.25">
      <c r="B6658" t="str">
        <f>HYPERLINK("https://www.chemistwarehouse.com.au/buy/80023/Medela-PVC-Tubing-For-Swing-Maxi-Breast-Pump"," Medela PVC Tubing For Swing Maxi Breast Pump")</f>
        <v xml:space="preserve"> Medela PVC Tubing For Swing Maxi Breast Pump</v>
      </c>
      <c r="C6658" t="s">
        <v>298</v>
      </c>
      <c r="D6658" t="s">
        <v>356</v>
      </c>
    </row>
    <row r="6659" spans="1:4" x14ac:dyDescent="0.25">
      <c r="B6659" t="str">
        <f>HYPERLINK("https://www.chemistwarehouse.com.au/buy/74501/Medela-Quick-Clean-Microwave-Bags-5-Pack"," Medela Quick Clean Microwave Bags 5 Pack")</f>
        <v xml:space="preserve"> Medela Quick Clean Microwave Bags 5 Pack</v>
      </c>
      <c r="C6659" t="s">
        <v>1</v>
      </c>
      <c r="D6659" t="s">
        <v>155</v>
      </c>
    </row>
    <row r="6660" spans="1:4" x14ac:dyDescent="0.25">
      <c r="A6660" t="s">
        <v>1661</v>
      </c>
    </row>
    <row r="6661" spans="1:4" x14ac:dyDescent="0.25">
      <c r="B6661" t="str">
        <f>HYPERLINK("https://www.chemistwarehouse.com.au/buy/68682/4-My-Baby-Nappy-Bags-250"," 4 My Baby Nappy Bags 250")</f>
        <v xml:space="preserve"> 4 My Baby Nappy Bags 250</v>
      </c>
      <c r="C6661" t="s">
        <v>146</v>
      </c>
      <c r="D6661">
        <v>0</v>
      </c>
    </row>
    <row r="6662" spans="1:4" x14ac:dyDescent="0.25">
      <c r="B6662" t="str">
        <f>HYPERLINK("https://www.chemistwarehouse.com.au/buy/79469/Milk-Baby-Room-Spray-Snotty-Grotty-75ml"," Milk Baby Room Spray Snotty Grotty 75ml")</f>
        <v xml:space="preserve"> Milk Baby Room Spray Snotty Grotty 75ml</v>
      </c>
      <c r="C6662" t="s">
        <v>782</v>
      </c>
      <c r="D6662" t="s">
        <v>332</v>
      </c>
    </row>
    <row r="6663" spans="1:4" x14ac:dyDescent="0.25">
      <c r="B6663" t="str">
        <f>HYPERLINK("https://www.chemistwarehouse.com.au/buy/79471/Milk-Baby-Room-Spray-Nighty-Night-75ml"," Milk Baby Room Spray Nighty Night 75ml")</f>
        <v xml:space="preserve"> Milk Baby Room Spray Nighty Night 75ml</v>
      </c>
      <c r="C6663" t="s">
        <v>782</v>
      </c>
      <c r="D6663" t="s">
        <v>332</v>
      </c>
    </row>
    <row r="6664" spans="1:4" x14ac:dyDescent="0.25">
      <c r="B6664" t="str">
        <f>HYPERLINK("https://www.chemistwarehouse.com.au/buy/81538/Hungry-Caterpillar-Microwave-Safe-Divided-Plate"," Hungry Caterpillar Microwave Safe Divided Plate")</f>
        <v xml:space="preserve"> Hungry Caterpillar Microwave Safe Divided Plate</v>
      </c>
      <c r="C6664" t="s">
        <v>556</v>
      </c>
      <c r="D6664" t="s">
        <v>597</v>
      </c>
    </row>
    <row r="6665" spans="1:4" x14ac:dyDescent="0.25">
      <c r="B6665" t="str">
        <f>HYPERLINK("https://www.chemistwarehouse.com.au/buy/81539/Hungry-Caterpillar-Microwave-Safe-Bowl-and-Spoon-Set"," Hungry Caterpillar Microwave Safe Bowl and Spoon Set")</f>
        <v xml:space="preserve"> Hungry Caterpillar Microwave Safe Bowl and Spoon Set</v>
      </c>
      <c r="C6665" t="s">
        <v>556</v>
      </c>
      <c r="D6665" t="s">
        <v>597</v>
      </c>
    </row>
    <row r="6666" spans="1:4" x14ac:dyDescent="0.25">
      <c r="B6666" t="str">
        <f>HYPERLINK("https://www.chemistwarehouse.com.au/buy/81540/Hungry-Caterpillar-Travel-Snack-Box"," Hungry Caterpillar Travel Snack Box")</f>
        <v xml:space="preserve"> Hungry Caterpillar Travel Snack Box</v>
      </c>
      <c r="C6666" t="s">
        <v>146</v>
      </c>
      <c r="D6666" t="s">
        <v>597</v>
      </c>
    </row>
    <row r="6667" spans="1:4" x14ac:dyDescent="0.25">
      <c r="B6667" t="str">
        <f>HYPERLINK("https://www.chemistwarehouse.com.au/buy/81541/Hungry-Caterpillar-Aluminium-Bottle"," Hungry Caterpillar Aluminium Bottle")</f>
        <v xml:space="preserve"> Hungry Caterpillar Aluminium Bottle</v>
      </c>
      <c r="C6667" t="s">
        <v>116</v>
      </c>
      <c r="D6667" t="s">
        <v>497</v>
      </c>
    </row>
    <row r="6668" spans="1:4" x14ac:dyDescent="0.25">
      <c r="B6668" t="str">
        <f>HYPERLINK("https://www.chemistwarehouse.com.au/buy/82595/Rite-Aid-Changing-Mats-6-Pack"," Rite Aid Changing Mats 6 Pack")</f>
        <v xml:space="preserve"> Rite Aid Changing Mats 6 Pack</v>
      </c>
      <c r="C6668" t="s">
        <v>556</v>
      </c>
      <c r="D6668">
        <v>0</v>
      </c>
    </row>
    <row r="6669" spans="1:4" x14ac:dyDescent="0.25">
      <c r="B6669" t="str">
        <f>HYPERLINK("https://www.chemistwarehouse.com.au/buy/82666/Disney-Cars-3-in-1-591ml"," Disney Cars 3 in 1 591ml")</f>
        <v xml:space="preserve"> Disney Cars 3 in 1 591ml</v>
      </c>
      <c r="C6669" t="s">
        <v>146</v>
      </c>
      <c r="D6669">
        <v>0</v>
      </c>
    </row>
    <row r="6670" spans="1:4" x14ac:dyDescent="0.25">
      <c r="B6670" t="str">
        <f>HYPERLINK("https://www.chemistwarehouse.com.au/buy/82667/Minions-Bowl-Yellow"," Minions Bowl Yellow")</f>
        <v xml:space="preserve"> Minions Bowl Yellow</v>
      </c>
      <c r="C6670" t="s">
        <v>146</v>
      </c>
      <c r="D6670" t="s">
        <v>1328</v>
      </c>
    </row>
    <row r="6671" spans="1:4" x14ac:dyDescent="0.25">
      <c r="B6671" t="str">
        <f>HYPERLINK("https://www.chemistwarehouse.com.au/buy/82668/Barbie-3-in-1-591ml"," Barbie 3 in 1 591ml")</f>
        <v xml:space="preserve"> Barbie 3 in 1 591ml</v>
      </c>
      <c r="C6671" t="s">
        <v>146</v>
      </c>
      <c r="D6671">
        <v>0</v>
      </c>
    </row>
    <row r="6672" spans="1:4" x14ac:dyDescent="0.25">
      <c r="B6672" t="str">
        <f>HYPERLINK("https://www.chemistwarehouse.com.au/buy/82670/Disney-Jake-and-the-Neverland-Pirates-3-in-1-591ml"," Disney Jake and the Neverland Pirates 3 in 1 591ml")</f>
        <v xml:space="preserve"> Disney Jake and the Neverland Pirates 3 in 1 591ml</v>
      </c>
      <c r="C6672" t="s">
        <v>146</v>
      </c>
      <c r="D6672">
        <v>0</v>
      </c>
    </row>
    <row r="6673" spans="1:4" x14ac:dyDescent="0.25">
      <c r="B6673" t="str">
        <f>HYPERLINK("https://www.chemistwarehouse.com.au/buy/82671/Shopkins-Stainless-Steel-Drink-Bottle-473ml"," Shopkins Stainless Steel Drink Bottle 473ml")</f>
        <v xml:space="preserve"> Shopkins Stainless Steel Drink Bottle 473ml</v>
      </c>
      <c r="C6673" t="s">
        <v>45</v>
      </c>
      <c r="D6673" t="s">
        <v>162</v>
      </c>
    </row>
    <row r="6674" spans="1:4" x14ac:dyDescent="0.25">
      <c r="B6674" t="str">
        <f>HYPERLINK("https://www.chemistwarehouse.com.au/buy/82672/Sense-Kids-Face-amp-Hand-Wipes-Strawberry-Scented-40"," Sense Kids Face &amp; Hand Wipes Strawberry Scented 40")</f>
        <v xml:space="preserve"> Sense Kids Face &amp; Hand Wipes Strawberry Scented 40</v>
      </c>
      <c r="C6674" t="s">
        <v>635</v>
      </c>
      <c r="D6674">
        <v>0</v>
      </c>
    </row>
    <row r="6675" spans="1:4" x14ac:dyDescent="0.25">
      <c r="B6675" t="str">
        <f>HYPERLINK("https://www.chemistwarehouse.com.au/buy/82673/Spiderman-Melamine-Plate"," Spiderman Melamine Plate")</f>
        <v xml:space="preserve"> Spiderman Melamine Plate</v>
      </c>
      <c r="C6675" t="s">
        <v>146</v>
      </c>
      <c r="D6675" t="s">
        <v>158</v>
      </c>
    </row>
    <row r="6676" spans="1:4" x14ac:dyDescent="0.25">
      <c r="B6676" t="str">
        <f>HYPERLINK("https://www.chemistwarehouse.com.au/buy/82674/Shopkins-Melamine-Plate"," Shopkins Melamine Plate")</f>
        <v xml:space="preserve"> Shopkins Melamine Plate</v>
      </c>
      <c r="C6676" t="s">
        <v>146</v>
      </c>
      <c r="D6676" t="s">
        <v>158</v>
      </c>
    </row>
    <row r="6677" spans="1:4" x14ac:dyDescent="0.25">
      <c r="B6677" t="str">
        <f>HYPERLINK("https://www.chemistwarehouse.com.au/buy/82676/Minion-Plate-Blue"," Minion Plate Blue")</f>
        <v xml:space="preserve"> Minion Plate Blue</v>
      </c>
      <c r="C6677" t="s">
        <v>146</v>
      </c>
      <c r="D6677" t="s">
        <v>1328</v>
      </c>
    </row>
    <row r="6678" spans="1:4" x14ac:dyDescent="0.25">
      <c r="B6678" t="str">
        <f>HYPERLINK("https://www.chemistwarehouse.com.au/buy/82677/Paw-Patrol-3-in-1-591ml"," Paw Patrol 3 in 1 591ml")</f>
        <v xml:space="preserve"> Paw Patrol 3 in 1 591ml</v>
      </c>
      <c r="C6678" t="s">
        <v>146</v>
      </c>
      <c r="D6678">
        <v>0</v>
      </c>
    </row>
    <row r="6679" spans="1:4" x14ac:dyDescent="0.25">
      <c r="B6679" t="str">
        <f>HYPERLINK("https://www.chemistwarehouse.com.au/buy/82678/Minions-Stainless-Steel-Drink-Bottle-473ml"," Minions Stainless Steel Drink Bottle 473ml")</f>
        <v xml:space="preserve"> Minions Stainless Steel Drink Bottle 473ml</v>
      </c>
      <c r="C6679" t="s">
        <v>45</v>
      </c>
      <c r="D6679" t="s">
        <v>162</v>
      </c>
    </row>
    <row r="6680" spans="1:4" x14ac:dyDescent="0.25">
      <c r="B6680" t="str">
        <f>HYPERLINK("https://www.chemistwarehouse.com.au/buy/82679/Shopkins-Melamine-Bowl"," Shopkins Melamine Bowl")</f>
        <v xml:space="preserve"> Shopkins Melamine Bowl</v>
      </c>
      <c r="C6680" t="s">
        <v>146</v>
      </c>
      <c r="D6680" t="s">
        <v>158</v>
      </c>
    </row>
    <row r="6681" spans="1:4" x14ac:dyDescent="0.25">
      <c r="B6681" t="str">
        <f>HYPERLINK("https://www.chemistwarehouse.com.au/buy/82681/Spiderman-Melamine-Bowl"," Spiderman Melamine Bowl")</f>
        <v xml:space="preserve"> Spiderman Melamine Bowl</v>
      </c>
      <c r="C6681" t="s">
        <v>146</v>
      </c>
      <c r="D6681" t="s">
        <v>158</v>
      </c>
    </row>
    <row r="6682" spans="1:4" x14ac:dyDescent="0.25">
      <c r="B6682" t="str">
        <f>HYPERLINK("https://www.chemistwarehouse.com.au/buy/80336/Little-Mr-amp-Little-Miss-Bowl-Assorted"," Little Mr &amp; Little Miss Bowl Assorted")</f>
        <v xml:space="preserve"> Little Mr &amp; Little Miss Bowl Assorted</v>
      </c>
      <c r="C6682" t="s">
        <v>635</v>
      </c>
      <c r="D6682">
        <v>0</v>
      </c>
    </row>
    <row r="6683" spans="1:4" x14ac:dyDescent="0.25">
      <c r="B6683" t="str">
        <f>HYPERLINK("https://www.chemistwarehouse.com.au/buy/80337/Little-Mr-amp-Little-Miss-Plate-Assorted"," Little Mr &amp; Little Miss Plate Assorted")</f>
        <v xml:space="preserve"> Little Mr &amp; Little Miss Plate Assorted</v>
      </c>
      <c r="C6683" t="s">
        <v>635</v>
      </c>
      <c r="D6683">
        <v>0</v>
      </c>
    </row>
    <row r="6684" spans="1:4" x14ac:dyDescent="0.25">
      <c r="B6684" t="str">
        <f>HYPERLINK("https://www.chemistwarehouse.com.au/buy/80681/Nappy-Goo-Cream-100g"," Nappy Goo Cream 100g")</f>
        <v xml:space="preserve"> Nappy Goo Cream 100g</v>
      </c>
      <c r="C6684" t="s">
        <v>32</v>
      </c>
      <c r="D6684" t="s">
        <v>150</v>
      </c>
    </row>
    <row r="6685" spans="1:4" x14ac:dyDescent="0.25">
      <c r="A6685" t="s">
        <v>1662</v>
      </c>
    </row>
    <row r="6686" spans="1:4" x14ac:dyDescent="0.25">
      <c r="B6686" t="str">
        <f>HYPERLINK("https://www.chemistwarehouse.com.au/buy/67991/Nuby-No-Spill-Trainer-Cup-Twin-Handle-4-Months-295ml"," Nuby No Spill Trainer Cup Twin Handle 4+ Months 295ml")</f>
        <v xml:space="preserve"> Nuby No Spill Trainer Cup Twin Handle 4+ Months 295ml</v>
      </c>
      <c r="C6686" t="s">
        <v>1663</v>
      </c>
      <c r="D6686" t="s">
        <v>803</v>
      </c>
    </row>
    <row r="6687" spans="1:4" x14ac:dyDescent="0.25">
      <c r="B6687" t="str">
        <f>HYPERLINK("https://www.chemistwarehouse.com.au/buy/76099/Nuby-Bandana-Bibs-for-Girls-2-Pack"," Nuby Bandana Bibs for Girls 2 Pack")</f>
        <v xml:space="preserve"> Nuby Bandana Bibs for Girls 2 Pack</v>
      </c>
      <c r="C6687" t="s">
        <v>1305</v>
      </c>
      <c r="D6687" t="s">
        <v>560</v>
      </c>
    </row>
    <row r="6688" spans="1:4" x14ac:dyDescent="0.25">
      <c r="B6688" t="str">
        <f>HYPERLINK("https://www.chemistwarehouse.com.au/buy/67985/Nuby-Icybite-Teether-3-Months"," Nuby Icybite Teether 3+ Months")</f>
        <v xml:space="preserve"> Nuby Icybite Teether 3+ Months</v>
      </c>
      <c r="C6688" t="s">
        <v>1285</v>
      </c>
      <c r="D6688" t="s">
        <v>281</v>
      </c>
    </row>
    <row r="6689" spans="2:4" x14ac:dyDescent="0.25">
      <c r="B6689" t="str">
        <f>HYPERLINK("https://www.chemistwarehouse.com.au/buy/68000/Nuby-Hot-Safe-Spoons-2-Pack"," Nuby Hot Safe Spoons 2 Pack")</f>
        <v xml:space="preserve"> Nuby Hot Safe Spoons 2 Pack</v>
      </c>
      <c r="C6689" t="s">
        <v>1627</v>
      </c>
      <c r="D6689" t="s">
        <v>612</v>
      </c>
    </row>
    <row r="6690" spans="2:4" x14ac:dyDescent="0.25">
      <c r="B6690" t="str">
        <f>HYPERLINK("https://www.chemistwarehouse.com.au/buy/67995/Nuby-Bibs-Disposable-10-Pack"," Nuby Bibs Disposable 10 Pack")</f>
        <v xml:space="preserve"> Nuby Bibs Disposable 10 Pack</v>
      </c>
      <c r="C6690" t="s">
        <v>1285</v>
      </c>
      <c r="D6690" t="s">
        <v>281</v>
      </c>
    </row>
    <row r="6691" spans="2:4" x14ac:dyDescent="0.25">
      <c r="B6691" t="str">
        <f>HYPERLINK("https://www.chemistwarehouse.com.au/buy/68008/Nuby-Prima-Orthodontic-Pacifier-With-Handle-0-6-Months-2-Pack"," Nuby Prima Orthodontic Pacifier With Handle 0-6 Months 2 Pack")</f>
        <v xml:space="preserve"> Nuby Prima Orthodontic Pacifier With Handle 0-6 Months 2 Pack</v>
      </c>
      <c r="C6691" t="s">
        <v>174</v>
      </c>
      <c r="D6691" t="s">
        <v>229</v>
      </c>
    </row>
    <row r="6692" spans="2:4" x14ac:dyDescent="0.25">
      <c r="B6692" t="str">
        <f>HYPERLINK("https://www.chemistwarehouse.com.au/buy/71899/Nuby-Wash-Or-Toss-Snack-Cups-With-Lid-6-Pack"," Nuby Wash Or Toss Snack Cups With Lid 6 Pack ")</f>
        <v xml:space="preserve"> Nuby Wash Or Toss Snack Cups With Lid 6 Pack </v>
      </c>
      <c r="C6692" t="s">
        <v>1664</v>
      </c>
      <c r="D6692" t="s">
        <v>785</v>
      </c>
    </row>
    <row r="6693" spans="2:4" x14ac:dyDescent="0.25">
      <c r="B6693" t="str">
        <f>HYPERLINK("https://www.chemistwarehouse.com.au/buy/78295/Nuby-Bandana-Bib-with-Teether-Girl-1-Pack"," Nuby Bandana Bib with Teether Girl 1 Pack")</f>
        <v xml:space="preserve"> Nuby Bandana Bib with Teether Girl 1 Pack</v>
      </c>
      <c r="C6693" t="s">
        <v>1285</v>
      </c>
      <c r="D6693" t="s">
        <v>281</v>
      </c>
    </row>
    <row r="6694" spans="2:4" x14ac:dyDescent="0.25">
      <c r="B6694" t="str">
        <f>HYPERLINK("https://www.chemistwarehouse.com.au/buy/72355/Nuby-Triangle-Teether"," Nuby Triangle Teether")</f>
        <v xml:space="preserve"> Nuby Triangle Teether</v>
      </c>
      <c r="C6694" t="s">
        <v>1285</v>
      </c>
      <c r="D6694" t="s">
        <v>281</v>
      </c>
    </row>
    <row r="6695" spans="2:4" x14ac:dyDescent="0.25">
      <c r="B6695" t="str">
        <f>HYPERLINK("https://www.chemistwarehouse.com.au/buy/76098/Nuby-Bandana-Bibs-for-Boys-2-Pack"," Nuby Bandana Bibs for Boys 2 Pack")</f>
        <v xml:space="preserve"> Nuby Bandana Bibs for Boys 2 Pack</v>
      </c>
      <c r="C6695" t="s">
        <v>1305</v>
      </c>
      <c r="D6695" t="s">
        <v>560</v>
      </c>
    </row>
    <row r="6696" spans="2:4" x14ac:dyDescent="0.25">
      <c r="B6696" t="str">
        <f>HYPERLINK("https://www.chemistwarehouse.com.au/buy/80697/Nuby-Chewbies-Teether"," Nuby Chewbies Teether")</f>
        <v xml:space="preserve"> Nuby Chewbies Teether</v>
      </c>
      <c r="C6696" t="s">
        <v>1627</v>
      </c>
      <c r="D6696" t="s">
        <v>612</v>
      </c>
    </row>
    <row r="6697" spans="2:4" x14ac:dyDescent="0.25">
      <c r="B6697" t="str">
        <f>HYPERLINK("https://www.chemistwarehouse.com.au/buy/82093/Nuby-Water-Filled-Teether-3-Pack"," Nuby Water Filled Teether 3 Pack")</f>
        <v xml:space="preserve"> Nuby Water Filled Teether 3 Pack</v>
      </c>
      <c r="C6697" t="s">
        <v>1665</v>
      </c>
      <c r="D6697" t="s">
        <v>806</v>
      </c>
    </row>
    <row r="6698" spans="2:4" x14ac:dyDescent="0.25">
      <c r="B6698" t="str">
        <f>HYPERLINK("https://www.chemistwarehouse.com.au/buy/82094/Nuby-360-Basic-Cup-300ml"," Nuby 360 Basic Cup 300ml")</f>
        <v xml:space="preserve"> Nuby 360 Basic Cup 300ml</v>
      </c>
      <c r="C6698" t="s">
        <v>1663</v>
      </c>
      <c r="D6698" t="s">
        <v>803</v>
      </c>
    </row>
    <row r="6699" spans="2:4" x14ac:dyDescent="0.25">
      <c r="B6699" t="str">
        <f>HYPERLINK("https://www.chemistwarehouse.com.au/buy/82095/Nuby-360-Twin-Handle-Cup-240ml"," Nuby 360 Twin Handle Cup 240ml")</f>
        <v xml:space="preserve"> Nuby 360 Twin Handle Cup 240ml</v>
      </c>
      <c r="C6699" t="s">
        <v>1663</v>
      </c>
      <c r="D6699" t="s">
        <v>803</v>
      </c>
    </row>
    <row r="6700" spans="2:4" x14ac:dyDescent="0.25">
      <c r="B6700" t="str">
        <f>HYPERLINK("https://www.chemistwarehouse.com.au/buy/82097/Nuby-Citroganix-Pacifier-and-Teether-Wipes-48-Pack"," Nuby Citroganix Pacifier and Teether Wipes 48 Pack")</f>
        <v xml:space="preserve"> Nuby Citroganix Pacifier and Teether Wipes 48 Pack</v>
      </c>
      <c r="C6700" t="s">
        <v>1664</v>
      </c>
      <c r="D6700" t="s">
        <v>785</v>
      </c>
    </row>
    <row r="6701" spans="2:4" x14ac:dyDescent="0.25">
      <c r="B6701" t="str">
        <f>HYPERLINK("https://www.chemistwarehouse.com.au/buy/78296/Nuby-Felt-Pacifinder"," Nuby Felt Pacifinder")</f>
        <v xml:space="preserve"> Nuby Felt Pacifinder</v>
      </c>
      <c r="C6701" t="s">
        <v>1665</v>
      </c>
      <c r="D6701" t="s">
        <v>806</v>
      </c>
    </row>
    <row r="6702" spans="2:4" x14ac:dyDescent="0.25">
      <c r="B6702" t="str">
        <f>HYPERLINK("https://www.chemistwarehouse.com.au/buy/78297/Nuby-Garden-Fresh-Squeeze-Feeder"," Nuby Garden Fresh Squeeze Feeder")</f>
        <v xml:space="preserve"> Nuby Garden Fresh Squeeze Feeder</v>
      </c>
      <c r="C6702" t="s">
        <v>1663</v>
      </c>
      <c r="D6702" t="s">
        <v>803</v>
      </c>
    </row>
    <row r="6703" spans="2:4" x14ac:dyDescent="0.25">
      <c r="B6703" t="str">
        <f>HYPERLINK("https://www.chemistwarehouse.com.au/buy/78298/Nuby-Snooze-Eez-With-Pacifier"," Nuby Snooze Eez With Pacifier")</f>
        <v xml:space="preserve"> Nuby Snooze Eez With Pacifier</v>
      </c>
      <c r="C6703" t="s">
        <v>317</v>
      </c>
      <c r="D6703" t="s">
        <v>253</v>
      </c>
    </row>
    <row r="6704" spans="2:4" x14ac:dyDescent="0.25">
      <c r="B6704" t="str">
        <f>HYPERLINK("https://www.chemistwarehouse.com.au/buy/77519/Nuby-Oral-Care-Set-4-Stage-System"," Nuby Oral Care Set 4 Stage System")</f>
        <v xml:space="preserve"> Nuby Oral Care Set 4 Stage System</v>
      </c>
      <c r="C6704" t="s">
        <v>317</v>
      </c>
      <c r="D6704" t="s">
        <v>253</v>
      </c>
    </row>
    <row r="6705" spans="1:4" x14ac:dyDescent="0.25">
      <c r="B6705" t="str">
        <f>HYPERLINK("https://www.chemistwarehouse.com.au/buy/77521/Nuby-Nail-Care-Set"," Nuby Nail Care Set")</f>
        <v xml:space="preserve"> Nuby Nail Care Set</v>
      </c>
      <c r="C6705" t="s">
        <v>317</v>
      </c>
      <c r="D6705" t="s">
        <v>253</v>
      </c>
    </row>
    <row r="6706" spans="1:4" x14ac:dyDescent="0.25">
      <c r="B6706" t="str">
        <f>HYPERLINK("https://www.chemistwarehouse.com.au/buy/78294/Nuby-Bandana-Bib-With-Teether-Boy-1-Pack"," Nuby Bandana Bib With Teether Boy 1 Pack")</f>
        <v xml:space="preserve"> Nuby Bandana Bib With Teether Boy 1 Pack</v>
      </c>
      <c r="C6706" t="s">
        <v>1285</v>
      </c>
      <c r="D6706" t="s">
        <v>281</v>
      </c>
    </row>
    <row r="6707" spans="1:4" x14ac:dyDescent="0.25">
      <c r="B6707" t="str">
        <f>HYPERLINK("https://www.chemistwarehouse.com.au/buy/71900/Nuby-Wash-Or-Toss-Cups-With-Sipper-Spout-4-Pack"," Nuby Wash Or Toss Cups With Sipper Spout 4 Pack ")</f>
        <v xml:space="preserve"> Nuby Wash Or Toss Cups With Sipper Spout 4 Pack </v>
      </c>
      <c r="C6707" t="s">
        <v>1664</v>
      </c>
      <c r="D6707" t="s">
        <v>785</v>
      </c>
    </row>
    <row r="6708" spans="1:4" x14ac:dyDescent="0.25">
      <c r="B6708" t="str">
        <f>HYPERLINK("https://www.chemistwarehouse.com.au/buy/71901/Nuby-Fruit-And-Veggie-Nibbler"," Nuby Fruit And Veggie Nibbler")</f>
        <v xml:space="preserve"> Nuby Fruit And Veggie Nibbler</v>
      </c>
      <c r="C6708" t="s">
        <v>1665</v>
      </c>
      <c r="D6708" t="s">
        <v>806</v>
      </c>
    </row>
    <row r="6709" spans="1:4" x14ac:dyDescent="0.25">
      <c r="B6709" t="str">
        <f>HYPERLINK("https://www.chemistwarehouse.com.au/buy/72350/Nuby-Garden-Fresh-Freezer-Pots"," Nuby Garden Fresh Freezer Pots")</f>
        <v xml:space="preserve"> Nuby Garden Fresh Freezer Pots</v>
      </c>
      <c r="C6709" t="s">
        <v>1305</v>
      </c>
      <c r="D6709" t="s">
        <v>238</v>
      </c>
    </row>
    <row r="6710" spans="1:4" x14ac:dyDescent="0.25">
      <c r="A6710" t="s">
        <v>1666</v>
      </c>
    </row>
    <row r="6711" spans="1:4" x14ac:dyDescent="0.25">
      <c r="B6711" t="str">
        <f>HYPERLINK("https://www.chemistwarehouse.com.au/buy/76054/b-box-Replacement-Straw-and-Cleaning-Set"," b.box Replacement Straw and Cleaning Set")</f>
        <v xml:space="preserve"> b.box Replacement Straw and Cleaning Set</v>
      </c>
      <c r="C6711" t="s">
        <v>103</v>
      </c>
      <c r="D6711" t="s">
        <v>147</v>
      </c>
    </row>
    <row r="6712" spans="1:4" x14ac:dyDescent="0.25">
      <c r="B6712" t="str">
        <f>HYPERLINK("https://www.chemistwarehouse.com.au/buy/77281/b-box-Sippy-Cup-Pineapple-240ml"," b.box Sippy Cup Pineapple 240ml")</f>
        <v xml:space="preserve"> b.box Sippy Cup Pineapple 240ml</v>
      </c>
      <c r="C6712" t="s">
        <v>237</v>
      </c>
      <c r="D6712" t="s">
        <v>150</v>
      </c>
    </row>
    <row r="6713" spans="1:4" x14ac:dyDescent="0.25">
      <c r="B6713" t="str">
        <f>HYPERLINK("https://www.chemistwarehouse.com.au/buy/77282/b-box-Sippy-Cup-Pink-Pomegranate-240ml"," b.box Sippy Cup Pink Pomegranate 240ml")</f>
        <v xml:space="preserve"> b.box Sippy Cup Pink Pomegranate 240ml</v>
      </c>
      <c r="C6713" t="s">
        <v>237</v>
      </c>
      <c r="D6713" t="s">
        <v>150</v>
      </c>
    </row>
    <row r="6714" spans="1:4" x14ac:dyDescent="0.25">
      <c r="B6714" t="str">
        <f>HYPERLINK("https://www.chemistwarehouse.com.au/buy/77278/b-box-Sippy-Cup-Cobalt-240ml"," b.box Sippy Cup Cobalt 240ml")</f>
        <v xml:space="preserve"> b.box Sippy Cup Cobalt 240ml</v>
      </c>
      <c r="C6714" t="s">
        <v>237</v>
      </c>
      <c r="D6714" t="s">
        <v>150</v>
      </c>
    </row>
    <row r="6715" spans="1:4" x14ac:dyDescent="0.25">
      <c r="B6715" t="str">
        <f>HYPERLINK("https://www.chemistwarehouse.com.au/buy/76057/b-box-Sippy-Cup-Raspberry-240ml"," b.box Sippy Cup Raspberry 240ml")</f>
        <v xml:space="preserve"> b.box Sippy Cup Raspberry 240ml</v>
      </c>
      <c r="C6715" t="s">
        <v>237</v>
      </c>
      <c r="D6715" t="s">
        <v>150</v>
      </c>
    </row>
    <row r="6716" spans="1:4" x14ac:dyDescent="0.25">
      <c r="B6716" t="str">
        <f>HYPERLINK("https://www.chemistwarehouse.com.au/buy/77279/b-box-Sippy-Cup-Grape-240ml"," b.box Sippy Cup Grape 240ml")</f>
        <v xml:space="preserve"> b.box Sippy Cup Grape 240ml</v>
      </c>
      <c r="C6716" t="s">
        <v>237</v>
      </c>
      <c r="D6716" t="s">
        <v>150</v>
      </c>
    </row>
    <row r="6717" spans="1:4" x14ac:dyDescent="0.25">
      <c r="B6717" t="str">
        <f>HYPERLINK("https://www.chemistwarehouse.com.au/buy/77280/b-box-Sippy-Cup-Orange-Zing-240ml"," b.box Sippy Cup Orange Zing 240ml")</f>
        <v xml:space="preserve"> b.box Sippy Cup Orange Zing 240ml</v>
      </c>
      <c r="C6717" t="s">
        <v>237</v>
      </c>
      <c r="D6717" t="s">
        <v>150</v>
      </c>
    </row>
    <row r="6718" spans="1:4" x14ac:dyDescent="0.25">
      <c r="B6718" t="str">
        <f>HYPERLINK("https://www.chemistwarehouse.com.au/buy/76055/b-box-Sippy-Cup-Apple-240ml"," b.box Sippy Cup Apple 240ml")</f>
        <v xml:space="preserve"> b.box Sippy Cup Apple 240ml</v>
      </c>
      <c r="C6718" t="s">
        <v>237</v>
      </c>
      <c r="D6718" t="s">
        <v>150</v>
      </c>
    </row>
    <row r="6719" spans="1:4" x14ac:dyDescent="0.25">
      <c r="B6719" t="str">
        <f>HYPERLINK("https://www.chemistwarehouse.com.au/buy/76056/b-box-Sippy-Cup-Blueberry-240ml"," b.box Sippy Cup Blueberry 240ml")</f>
        <v xml:space="preserve"> b.box Sippy Cup Blueberry 240ml</v>
      </c>
      <c r="C6719" t="s">
        <v>237</v>
      </c>
      <c r="D6719" t="s">
        <v>150</v>
      </c>
    </row>
    <row r="6720" spans="1:4" x14ac:dyDescent="0.25">
      <c r="B6720" t="str">
        <f>HYPERLINK("https://www.chemistwarehouse.com.au/buy/78661/B-Box-Bowl-Plus-Straw-Strawberry-Shake"," B.Box Bowl Plus Straw Strawberry Shake")</f>
        <v xml:space="preserve"> B.Box Bowl Plus Straw Strawberry Shake</v>
      </c>
      <c r="C6720" t="s">
        <v>237</v>
      </c>
      <c r="D6720" t="s">
        <v>150</v>
      </c>
    </row>
    <row r="6721" spans="1:4" x14ac:dyDescent="0.25">
      <c r="B6721" t="str">
        <f>HYPERLINK("https://www.chemistwarehouse.com.au/buy/77283/b-box-Sippy-Cup-Watermelon-240ml"," b.box Sippy Cup Watermelon 240ml")</f>
        <v xml:space="preserve"> b.box Sippy Cup Watermelon 240ml</v>
      </c>
      <c r="C6721" t="s">
        <v>237</v>
      </c>
      <c r="D6721" t="s">
        <v>150</v>
      </c>
    </row>
    <row r="6722" spans="1:4" x14ac:dyDescent="0.25">
      <c r="B6722" t="str">
        <f>HYPERLINK("https://www.chemistwarehouse.com.au/buy/78892/B-Box-Bowl-Plus-Straw-Passion-Splash"," B.Box Bowl Plus Straw Passion Splash")</f>
        <v xml:space="preserve"> B.Box Bowl Plus Straw Passion Splash</v>
      </c>
      <c r="C6722" t="s">
        <v>237</v>
      </c>
      <c r="D6722" t="s">
        <v>150</v>
      </c>
    </row>
    <row r="6723" spans="1:4" x14ac:dyDescent="0.25">
      <c r="B6723" t="str">
        <f>HYPERLINK("https://www.chemistwarehouse.com.au/buy/77288/b-box-Travel-Bib-Cherry-Delight"," b.box Travel Bib Cherry Delight")</f>
        <v xml:space="preserve"> b.box Travel Bib Cherry Delight</v>
      </c>
      <c r="C6723" t="s">
        <v>237</v>
      </c>
      <c r="D6723" t="s">
        <v>165</v>
      </c>
    </row>
    <row r="6724" spans="1:4" x14ac:dyDescent="0.25">
      <c r="B6724" t="str">
        <f>HYPERLINK("https://www.chemistwarehouse.com.au/buy/78663/B-Box-Cutlery-Set-Strawberry-Shake"," B.Box Cutlery Set Strawberry Shake")</f>
        <v xml:space="preserve"> B.Box Cutlery Set Strawberry Shake</v>
      </c>
      <c r="C6724" t="s">
        <v>45</v>
      </c>
      <c r="D6724" t="s">
        <v>397</v>
      </c>
    </row>
    <row r="6725" spans="1:4" x14ac:dyDescent="0.25">
      <c r="B6725" t="str">
        <f>HYPERLINK("https://www.chemistwarehouse.com.au/buy/78894/B-Box-Cutlery-Set-Passion-Splash"," B.Box Cutlery Set Passion Splash")</f>
        <v xml:space="preserve"> B.Box Cutlery Set Passion Splash</v>
      </c>
      <c r="C6725" t="s">
        <v>45</v>
      </c>
      <c r="D6725" t="s">
        <v>397</v>
      </c>
    </row>
    <row r="6726" spans="1:4" x14ac:dyDescent="0.25">
      <c r="B6726" t="str">
        <f>HYPERLINK("https://www.chemistwarehouse.com.au/buy/76065/b-box-Travel-Drying-Rack-Raspberry"," b.box Travel Drying Rack Raspberry")</f>
        <v xml:space="preserve"> b.box Travel Drying Rack Raspberry</v>
      </c>
      <c r="C6726" t="s">
        <v>237</v>
      </c>
      <c r="D6726" t="s">
        <v>165</v>
      </c>
    </row>
    <row r="6727" spans="1:4" x14ac:dyDescent="0.25">
      <c r="B6727" t="str">
        <f>HYPERLINK("https://www.chemistwarehouse.com.au/buy/77263/b-box-2-in-1-Brush-and-Teat-Cleaner-Plum"," b.box 2 in 1 Brush and Teat Cleaner Plum")</f>
        <v xml:space="preserve"> b.box 2 in 1 Brush and Teat Cleaner Plum</v>
      </c>
      <c r="C6727" t="s">
        <v>116</v>
      </c>
      <c r="D6727" t="s">
        <v>150</v>
      </c>
    </row>
    <row r="6728" spans="1:4" x14ac:dyDescent="0.25">
      <c r="B6728" t="str">
        <f>HYPERLINK("https://www.chemistwarehouse.com.au/buy/77264/b-box-Bottle-Bag"," b.box Bottle Bag")</f>
        <v xml:space="preserve"> b.box Bottle Bag</v>
      </c>
      <c r="C6728" t="s">
        <v>45</v>
      </c>
      <c r="D6728" t="s">
        <v>165</v>
      </c>
    </row>
    <row r="6729" spans="1:4" x14ac:dyDescent="0.25">
      <c r="B6729" t="str">
        <f>HYPERLINK("https://www.chemistwarehouse.com.au/buy/77265/b-box-Bottle-plus-Dispenser-Plum-Punch"," b.box Bottle plus Dispenser Plum Punch")</f>
        <v xml:space="preserve"> b.box Bottle plus Dispenser Plum Punch</v>
      </c>
      <c r="C6729" t="s">
        <v>1</v>
      </c>
      <c r="D6729" t="s">
        <v>165</v>
      </c>
    </row>
    <row r="6730" spans="1:4" x14ac:dyDescent="0.25">
      <c r="B6730" t="str">
        <f>HYPERLINK("https://www.chemistwarehouse.com.au/buy/77266/b-box-Diaper-Caddy-Blue-Lagoon"," b.box Diaper Caddy Blue Lagoon")</f>
        <v xml:space="preserve"> b.box Diaper Caddy Blue Lagoon</v>
      </c>
      <c r="C6730" t="s">
        <v>276</v>
      </c>
      <c r="D6730" t="s">
        <v>390</v>
      </c>
    </row>
    <row r="6731" spans="1:4" x14ac:dyDescent="0.25">
      <c r="B6731" t="str">
        <f>HYPERLINK("https://www.chemistwarehouse.com.au/buy/77267/b-box-Diaper-Caddy-Choc-Chip"," b.box Diaper Caddy Choc Chip")</f>
        <v xml:space="preserve"> b.box Diaper Caddy Choc Chip</v>
      </c>
      <c r="C6731" t="s">
        <v>276</v>
      </c>
      <c r="D6731" t="s">
        <v>390</v>
      </c>
    </row>
    <row r="6732" spans="1:4" x14ac:dyDescent="0.25">
      <c r="B6732" t="str">
        <f>HYPERLINK("https://www.chemistwarehouse.com.au/buy/77268/b-box-Diaper-Caddy-Mellow-Lellow"," b.box Diaper Caddy Mellow Lellow")</f>
        <v xml:space="preserve"> b.box Diaper Caddy Mellow Lellow</v>
      </c>
      <c r="C6732" t="s">
        <v>276</v>
      </c>
      <c r="D6732" t="s">
        <v>390</v>
      </c>
    </row>
    <row r="6733" spans="1:4" x14ac:dyDescent="0.25">
      <c r="B6733" t="str">
        <f>HYPERLINK("https://www.chemistwarehouse.com.au/buy/77269/b-box-Diaper-Caddy-Retro-Chic"," b.box Diaper Caddy Retro Chic")</f>
        <v xml:space="preserve"> b.box Diaper Caddy Retro Chic</v>
      </c>
      <c r="C6733" t="s">
        <v>276</v>
      </c>
      <c r="D6733" t="s">
        <v>390</v>
      </c>
    </row>
    <row r="6734" spans="1:4" x14ac:dyDescent="0.25">
      <c r="B6734" t="str">
        <f>HYPERLINK("https://www.chemistwarehouse.com.au/buy/77270/b-box-Diaper-Caddy-Pretty-In-Pink"," b.box Diaper Caddy Pretty In Pink")</f>
        <v xml:space="preserve"> b.box Diaper Caddy Pretty In Pink</v>
      </c>
      <c r="C6734" t="s">
        <v>276</v>
      </c>
      <c r="D6734" t="s">
        <v>390</v>
      </c>
    </row>
    <row r="6735" spans="1:4" x14ac:dyDescent="0.25">
      <c r="A6735" t="s">
        <v>1667</v>
      </c>
    </row>
    <row r="6736" spans="1:4" x14ac:dyDescent="0.25">
      <c r="B6736" t="str">
        <f>HYPERLINK("https://www.chemistwarehouse.com.au/buy/78596/Lamaze-Play-amp-Grow-Plush-My-Friend-Emily"," Lamaze Play &amp; Grow Plush My Friend Emily")</f>
        <v xml:space="preserve"> Lamaze Play &amp; Grow Plush My Friend Emily</v>
      </c>
      <c r="C6736" t="s">
        <v>8</v>
      </c>
      <c r="D6736" t="s">
        <v>145</v>
      </c>
    </row>
    <row r="6737" spans="1:4" x14ac:dyDescent="0.25">
      <c r="B6737" t="str">
        <f>HYPERLINK("https://www.chemistwarehouse.com.au/buy/78597/Lamaze-Play-amp-Grow-Plush-Olivia-the-Owl"," Lamaze Play &amp; Grow Plush Olivia the Owl")</f>
        <v xml:space="preserve"> Lamaze Play &amp; Grow Plush Olivia the Owl</v>
      </c>
      <c r="C6737" t="s">
        <v>8</v>
      </c>
      <c r="D6737" t="s">
        <v>145</v>
      </c>
    </row>
    <row r="6738" spans="1:4" x14ac:dyDescent="0.25">
      <c r="B6738" t="str">
        <f>HYPERLINK("https://www.chemistwarehouse.com.au/buy/78598/Lamaze-Play-amp-Grow-Plush-Puuring-Percival-Leopard"," Lamaze Play &amp; Grow Plush Puuring Percival Leopard")</f>
        <v xml:space="preserve"> Lamaze Play &amp; Grow Plush Puuring Percival Leopard</v>
      </c>
      <c r="C6738" t="s">
        <v>8</v>
      </c>
      <c r="D6738" t="s">
        <v>145</v>
      </c>
    </row>
    <row r="6739" spans="1:4" x14ac:dyDescent="0.25">
      <c r="B6739" t="str">
        <f>HYPERLINK("https://www.chemistwarehouse.com.au/buy/78599/Lamaze-Play-amp-Grow-Plush-Rusty-the-Robot"," Lamaze Play &amp; Grow Plush Rusty the Robot")</f>
        <v xml:space="preserve"> Lamaze Play &amp; Grow Plush Rusty the Robot</v>
      </c>
      <c r="C6739" t="s">
        <v>8</v>
      </c>
      <c r="D6739" t="s">
        <v>145</v>
      </c>
    </row>
    <row r="6740" spans="1:4" x14ac:dyDescent="0.25">
      <c r="B6740" t="str">
        <f>HYPERLINK("https://www.chemistwarehouse.com.au/buy/78600/Lamaze-Play-amp-Grow-Plush-Rylie-the-Racoon"," Lamaze Play &amp; Grow Plush Rylie the Racoon")</f>
        <v xml:space="preserve"> Lamaze Play &amp; Grow Plush Rylie the Racoon</v>
      </c>
      <c r="C6740" t="s">
        <v>8</v>
      </c>
      <c r="D6740" t="s">
        <v>145</v>
      </c>
    </row>
    <row r="6741" spans="1:4" x14ac:dyDescent="0.25">
      <c r="B6741" t="str">
        <f>HYPERLINK("https://www.chemistwarehouse.com.au/buy/78601/Lamaze-Play-amp-Grow-Plush-Tilly-Tinklewings"," Lamaze Play &amp; Grow Plush Tilly Tinklewings ")</f>
        <v xml:space="preserve"> Lamaze Play &amp; Grow Plush Tilly Tinklewings </v>
      </c>
      <c r="C6741" t="s">
        <v>8</v>
      </c>
      <c r="D6741" t="s">
        <v>145</v>
      </c>
    </row>
    <row r="6742" spans="1:4" x14ac:dyDescent="0.25">
      <c r="B6742" t="str">
        <f>HYPERLINK("https://www.chemistwarehouse.com.au/buy/78602/Lamaze-Play-amp-Grow-Plush-Toot-Toot-Toucan"," Lamaze Play &amp; Grow Plush Toot Toot Toucan")</f>
        <v xml:space="preserve"> Lamaze Play &amp; Grow Plush Toot Toot Toucan</v>
      </c>
      <c r="C6742" t="s">
        <v>8</v>
      </c>
      <c r="D6742" t="s">
        <v>145</v>
      </c>
    </row>
    <row r="6743" spans="1:4" x14ac:dyDescent="0.25">
      <c r="B6743" t="str">
        <f>HYPERLINK("https://www.chemistwarehouse.com.au/buy/78603/Lamaze-Play-amp-Grow-Plush-Torin-the-T-Rex"," Lamaze Play &amp; Grow Plush Torin the T-Rex")</f>
        <v xml:space="preserve"> Lamaze Play &amp; Grow Plush Torin the T-Rex</v>
      </c>
      <c r="C6743" t="s">
        <v>8</v>
      </c>
      <c r="D6743" t="s">
        <v>145</v>
      </c>
    </row>
    <row r="6744" spans="1:4" x14ac:dyDescent="0.25">
      <c r="B6744" t="str">
        <f>HYPERLINK("https://www.chemistwarehouse.com.au/buy/78604/Lamaze-Play-amp-Grow-Plush-YoHo-Horace-Pirate"," Lamaze Play &amp; Grow Plush YoHo Horace Pirate")</f>
        <v xml:space="preserve"> Lamaze Play &amp; Grow Plush YoHo Horace Pirate</v>
      </c>
      <c r="C6744" t="s">
        <v>8</v>
      </c>
      <c r="D6744" t="s">
        <v>145</v>
      </c>
    </row>
    <row r="6745" spans="1:4" x14ac:dyDescent="0.25">
      <c r="B6745" t="str">
        <f>HYPERLINK("https://www.chemistwarehouse.com.au/buy/78605/Lamaze-Plush-All-Ears-Elephant"," Lamaze Plush All Ears Elephant")</f>
        <v xml:space="preserve"> Lamaze Plush All Ears Elephant</v>
      </c>
      <c r="C6745" t="s">
        <v>45</v>
      </c>
      <c r="D6745" t="s">
        <v>397</v>
      </c>
    </row>
    <row r="6746" spans="1:4" x14ac:dyDescent="0.25">
      <c r="B6746" t="str">
        <f>HYPERLINK("https://www.chemistwarehouse.com.au/buy/78606/Lamaze-Plush-Miro-the-Mouse"," Lamaze Plush Miro the Mouse")</f>
        <v xml:space="preserve"> Lamaze Plush Miro the Mouse</v>
      </c>
      <c r="C6746" t="s">
        <v>45</v>
      </c>
      <c r="D6746" t="s">
        <v>397</v>
      </c>
    </row>
    <row r="6747" spans="1:4" x14ac:dyDescent="0.25">
      <c r="B6747" t="str">
        <f>HYPERLINK("https://www.chemistwarehouse.com.au/buy/78607/Lamaze-Teethimal-Teether"," Lamaze Teethimal Teether")</f>
        <v xml:space="preserve"> Lamaze Teethimal Teether</v>
      </c>
      <c r="C6747" t="s">
        <v>103</v>
      </c>
      <c r="D6747" t="s">
        <v>147</v>
      </c>
    </row>
    <row r="6748" spans="1:4" x14ac:dyDescent="0.25">
      <c r="A6748" t="s">
        <v>1668</v>
      </c>
    </row>
    <row r="6749" spans="1:4" x14ac:dyDescent="0.25">
      <c r="B6749" t="str">
        <f>HYPERLINK("https://www.chemistwarehouse.com.au/buy/78616/Playgro-Dingly-Dangly-Clip-Clop"," Playgro Dingly Dangly Clip Clop")</f>
        <v xml:space="preserve"> Playgro Dingly Dangly Clip Clop</v>
      </c>
      <c r="C6749" t="s">
        <v>45</v>
      </c>
      <c r="D6749" t="s">
        <v>162</v>
      </c>
    </row>
    <row r="6750" spans="1:4" x14ac:dyDescent="0.25">
      <c r="B6750" t="str">
        <f>HYPERLINK("https://www.chemistwarehouse.com.au/buy/81833/Playgro-Clopette-Activity-Rattle"," Playgro Clopette Activity Rattle")</f>
        <v xml:space="preserve"> Playgro Clopette Activity Rattle</v>
      </c>
      <c r="C6750" t="s">
        <v>45</v>
      </c>
      <c r="D6750" t="s">
        <v>169</v>
      </c>
    </row>
    <row r="6751" spans="1:4" x14ac:dyDescent="0.25">
      <c r="B6751" t="str">
        <f>HYPERLINK("https://www.chemistwarehouse.com.au/buy/78615/Playgro-Click-and-Twist-Rattle"," Playgro Click and Twist Rattle")</f>
        <v xml:space="preserve"> Playgro Click and Twist Rattle</v>
      </c>
      <c r="C6751" t="s">
        <v>116</v>
      </c>
      <c r="D6751" t="s">
        <v>104</v>
      </c>
    </row>
    <row r="6752" spans="1:4" x14ac:dyDescent="0.25">
      <c r="B6752" t="str">
        <f>HYPERLINK("https://www.chemistwarehouse.com.au/buy/78617/Playgro-Duckie-Family"," Playgro Duckie Family")</f>
        <v xml:space="preserve"> Playgro Duckie Family</v>
      </c>
      <c r="C6752" t="s">
        <v>45</v>
      </c>
      <c r="D6752" t="s">
        <v>115</v>
      </c>
    </row>
    <row r="6753" spans="2:4" x14ac:dyDescent="0.25">
      <c r="B6753" t="str">
        <f>HYPERLINK("https://www.chemistwarehouse.com.au/buy/78619/Playgro-Highchair-Toy"," Playgro Highchair Toy")</f>
        <v xml:space="preserve"> Playgro Highchair Toy</v>
      </c>
      <c r="C6753" t="s">
        <v>45</v>
      </c>
      <c r="D6753" t="s">
        <v>162</v>
      </c>
    </row>
    <row r="6754" spans="2:4" x14ac:dyDescent="0.25">
      <c r="B6754" t="str">
        <f>HYPERLINK("https://www.chemistwarehouse.com.au/buy/78627/Playgro-Sports-Footy-Ball"," Playgro Sports Footy Ball ")</f>
        <v xml:space="preserve"> Playgro Sports Footy Ball </v>
      </c>
      <c r="C6754" t="s">
        <v>103</v>
      </c>
      <c r="D6754" t="s">
        <v>162</v>
      </c>
    </row>
    <row r="6755" spans="2:4" x14ac:dyDescent="0.25">
      <c r="B6755" t="str">
        <f>HYPERLINK("https://www.chemistwarehouse.com.au/buy/78608/Playgro-Baby-Sports-Ball-Trio"," Playgro Baby Sports Ball Trio")</f>
        <v xml:space="preserve"> Playgro Baby Sports Ball Trio</v>
      </c>
      <c r="C6755" t="s">
        <v>187</v>
      </c>
      <c r="D6755" t="s">
        <v>162</v>
      </c>
    </row>
    <row r="6756" spans="2:4" x14ac:dyDescent="0.25">
      <c r="B6756" t="str">
        <f>HYPERLINK("https://www.chemistwarehouse.com.au/buy/78612/Playgro-Bendy-Ball"," Playgro Bendy Ball")</f>
        <v xml:space="preserve"> Playgro Bendy Ball</v>
      </c>
      <c r="C6756" t="s">
        <v>45</v>
      </c>
      <c r="D6756" t="s">
        <v>162</v>
      </c>
    </row>
    <row r="6757" spans="2:4" x14ac:dyDescent="0.25">
      <c r="B6757" t="str">
        <f>HYPERLINK("https://www.chemistwarehouse.com.au/buy/78635/Playgro-Wiggling-Bug-Neutral"," Playgro Wiggling Bug Neutral")</f>
        <v xml:space="preserve"> Playgro Wiggling Bug Neutral</v>
      </c>
      <c r="C6757" t="s">
        <v>92</v>
      </c>
      <c r="D6757" t="s">
        <v>64</v>
      </c>
    </row>
    <row r="6758" spans="2:4" x14ac:dyDescent="0.25">
      <c r="B6758" t="str">
        <f>HYPERLINK("https://www.chemistwarehouse.com.au/buy/78637/Playgro-Zebra-Links"," Playgro Zebra Links")</f>
        <v xml:space="preserve"> Playgro Zebra Links</v>
      </c>
      <c r="C6758" t="s">
        <v>116</v>
      </c>
      <c r="D6758" t="s">
        <v>312</v>
      </c>
    </row>
    <row r="6759" spans="2:4" x14ac:dyDescent="0.25">
      <c r="B6759" t="str">
        <f>HYPERLINK("https://www.chemistwarehouse.com.au/buy/80587/Playgro-Super-Shaker"," Playgro Super Shaker")</f>
        <v xml:space="preserve"> Playgro Super Shaker</v>
      </c>
      <c r="C6759" t="s">
        <v>162</v>
      </c>
      <c r="D6759" t="s">
        <v>146</v>
      </c>
    </row>
    <row r="6760" spans="2:4" x14ac:dyDescent="0.25">
      <c r="B6760" t="str">
        <f>HYPERLINK("https://www.chemistwarehouse.com.au/buy/81832/Playgro-Clip-Clop-Activity-Rattle"," Playgro Clip Clop Activity Rattle")</f>
        <v xml:space="preserve"> Playgro Clip Clop Activity Rattle</v>
      </c>
      <c r="C6760" t="s">
        <v>45</v>
      </c>
      <c r="D6760" t="s">
        <v>169</v>
      </c>
    </row>
    <row r="6761" spans="2:4" x14ac:dyDescent="0.25">
      <c r="B6761" t="str">
        <f>HYPERLINK("https://www.chemistwarehouse.com.au/buy/81834/Playgro-Muck-Mat"," Playgro Muck Mat")</f>
        <v xml:space="preserve"> Playgro Muck Mat</v>
      </c>
      <c r="C6761" t="s">
        <v>45</v>
      </c>
      <c r="D6761" t="s">
        <v>162</v>
      </c>
    </row>
    <row r="6762" spans="2:4" x14ac:dyDescent="0.25">
      <c r="B6762" t="str">
        <f>HYPERLINK("https://www.chemistwarehouse.com.au/buy/81835/Playgro-Pat-And-Play-Water-Mat"," Playgro Pat And Play Water Mat")</f>
        <v xml:space="preserve"> Playgro Pat And Play Water Mat</v>
      </c>
      <c r="C6762" t="s">
        <v>45</v>
      </c>
      <c r="D6762" t="s">
        <v>162</v>
      </c>
    </row>
    <row r="6763" spans="2:4" x14ac:dyDescent="0.25">
      <c r="B6763" t="str">
        <f>HYPERLINK("https://www.chemistwarehouse.com.au/buy/81836/Playgro-Whirly-Water-Wheel"," Playgro Whirly Water Wheel")</f>
        <v xml:space="preserve"> Playgro Whirly Water Wheel</v>
      </c>
      <c r="C6763" t="s">
        <v>45</v>
      </c>
      <c r="D6763" t="s">
        <v>162</v>
      </c>
    </row>
    <row r="6764" spans="2:4" x14ac:dyDescent="0.25">
      <c r="B6764" t="str">
        <f>HYPERLINK("https://www.chemistwarehouse.com.au/buy/78613/Playgro-Bright-Baby-Boats-Neutral-3-Pack"," Playgro Bright Baby Boats Neutral 3 Pack ")</f>
        <v xml:space="preserve"> Playgro Bright Baby Boats Neutral 3 Pack </v>
      </c>
      <c r="C6764" t="s">
        <v>483</v>
      </c>
      <c r="D6764" t="s">
        <v>371</v>
      </c>
    </row>
    <row r="6765" spans="2:4" x14ac:dyDescent="0.25">
      <c r="B6765" t="str">
        <f>HYPERLINK("https://www.chemistwarehouse.com.au/buy/78614/Playgro-Bright-Baby-Boats-Pink-3-Pack"," Playgro Bright Baby Boats Pink 3 Pack ")</f>
        <v xml:space="preserve"> Playgro Bright Baby Boats Pink 3 Pack </v>
      </c>
      <c r="C6765" t="s">
        <v>483</v>
      </c>
      <c r="D6765" t="s">
        <v>371</v>
      </c>
    </row>
    <row r="6766" spans="2:4" x14ac:dyDescent="0.25">
      <c r="B6766" t="str">
        <f>HYPERLINK("https://www.chemistwarehouse.com.au/buy/78610/Playgro-Bath-Squirtees-Ocean-Friend-3-Pack"," Playgro Bath Squirtees Ocean Friend 3 Pack ")</f>
        <v xml:space="preserve"> Playgro Bath Squirtees Ocean Friend 3 Pack </v>
      </c>
      <c r="C6766" t="s">
        <v>483</v>
      </c>
      <c r="D6766" t="s">
        <v>312</v>
      </c>
    </row>
    <row r="6767" spans="2:4" x14ac:dyDescent="0.25">
      <c r="B6767" t="str">
        <f>HYPERLINK("https://www.chemistwarehouse.com.au/buy/78611/Playgro-Bath-Squirtees-On-The-Move-3-Pack"," Playgro Bath Squirtees On The Move 3 Pack ")</f>
        <v xml:space="preserve"> Playgro Bath Squirtees On The Move 3 Pack </v>
      </c>
      <c r="C6767" t="s">
        <v>483</v>
      </c>
      <c r="D6767" t="s">
        <v>312</v>
      </c>
    </row>
    <row r="6768" spans="2:4" x14ac:dyDescent="0.25">
      <c r="B6768" t="str">
        <f>HYPERLINK("https://www.chemistwarehouse.com.au/buy/78629/Playgro-Squeaker-Bunny"," Playgro Squeaker Bunny")</f>
        <v xml:space="preserve"> Playgro Squeaker Bunny</v>
      </c>
      <c r="C6768" t="s">
        <v>116</v>
      </c>
      <c r="D6768" t="s">
        <v>312</v>
      </c>
    </row>
    <row r="6769" spans="1:4" x14ac:dyDescent="0.25">
      <c r="B6769" t="str">
        <f>HYPERLINK("https://www.chemistwarehouse.com.au/buy/78632/Playgro-Squeaker-Puppy"," Playgro Squeaker Puppy")</f>
        <v xml:space="preserve"> Playgro Squeaker Puppy</v>
      </c>
      <c r="C6769" t="s">
        <v>116</v>
      </c>
      <c r="D6769" t="s">
        <v>312</v>
      </c>
    </row>
    <row r="6770" spans="1:4" x14ac:dyDescent="0.25">
      <c r="B6770" t="str">
        <f>HYPERLINK("https://www.chemistwarehouse.com.au/buy/78633/Playgro-Stacking-Fun-Cups-Neutral"," Playgro Stacking Fun Cups Neutral")</f>
        <v xml:space="preserve"> Playgro Stacking Fun Cups Neutral</v>
      </c>
      <c r="C6770" t="s">
        <v>483</v>
      </c>
      <c r="D6770" t="s">
        <v>115</v>
      </c>
    </row>
    <row r="6771" spans="1:4" x14ac:dyDescent="0.25">
      <c r="B6771" t="str">
        <f>HYPERLINK("https://www.chemistwarehouse.com.au/buy/78634/Playgro-Stacking-Fun-Cups-Pink"," Playgro Stacking Fun Cups Pink")</f>
        <v xml:space="preserve"> Playgro Stacking Fun Cups Pink</v>
      </c>
      <c r="C6771" t="s">
        <v>483</v>
      </c>
      <c r="D6771" t="s">
        <v>115</v>
      </c>
    </row>
    <row r="6772" spans="1:4" x14ac:dyDescent="0.25">
      <c r="A6772" t="s">
        <v>1669</v>
      </c>
    </row>
    <row r="6773" spans="1:4" x14ac:dyDescent="0.25">
      <c r="B6773" t="str">
        <f>HYPERLINK("https://www.chemistwarehouse.com.au/buy/81544/Twistshake-Anti-Colic-Blue-260ml"," Twistshake Anti Colic Blue 260ml")</f>
        <v xml:space="preserve"> Twistshake Anti Colic Blue 260ml</v>
      </c>
      <c r="C6773" t="s">
        <v>45</v>
      </c>
      <c r="D6773" t="s">
        <v>157</v>
      </c>
    </row>
    <row r="6774" spans="1:4" x14ac:dyDescent="0.25">
      <c r="B6774" t="str">
        <f>HYPERLINK("https://www.chemistwarehouse.com.au/buy/81545/Twistshake-Anti-Colic-Green-260ml"," Twistshake Anti Colic Green 260ml")</f>
        <v xml:space="preserve"> Twistshake Anti Colic Green 260ml</v>
      </c>
      <c r="C6774" t="s">
        <v>45</v>
      </c>
      <c r="D6774" t="s">
        <v>157</v>
      </c>
    </row>
    <row r="6775" spans="1:4" x14ac:dyDescent="0.25">
      <c r="B6775" t="str">
        <f>HYPERLINK("https://www.chemistwarehouse.com.au/buy/81546/Twistshake-Anti-Colic-Peach-260ml"," Twistshake Anti Colic Peach 260ml")</f>
        <v xml:space="preserve"> Twistshake Anti Colic Peach 260ml</v>
      </c>
      <c r="C6775" t="s">
        <v>45</v>
      </c>
      <c r="D6775" t="s">
        <v>157</v>
      </c>
    </row>
    <row r="6776" spans="1:4" x14ac:dyDescent="0.25">
      <c r="B6776" t="str">
        <f>HYPERLINK("https://www.chemistwarehouse.com.au/buy/81547/Twistshake-Anti-Colic-Purple-260ml"," Twistshake Anti Colic Purple 260ml")</f>
        <v xml:space="preserve"> Twistshake Anti Colic Purple 260ml</v>
      </c>
      <c r="C6776" t="s">
        <v>45</v>
      </c>
      <c r="D6776" t="s">
        <v>157</v>
      </c>
    </row>
    <row r="6777" spans="1:4" x14ac:dyDescent="0.25">
      <c r="B6777" t="str">
        <f>HYPERLINK("https://www.chemistwarehouse.com.au/buy/81548/Twistshake-Anti-Colic-Teat-6-Months-Plus-2-Pack"," Twistshake Anti Colic Teat 6 Months Plus 2 Pack")</f>
        <v xml:space="preserve"> Twistshake Anti Colic Teat 6 Months Plus 2 Pack</v>
      </c>
      <c r="C6777" t="s">
        <v>116</v>
      </c>
      <c r="D6777" t="s">
        <v>145</v>
      </c>
    </row>
    <row r="6778" spans="1:4" x14ac:dyDescent="0.25">
      <c r="B6778" t="str">
        <f>HYPERLINK("https://www.chemistwarehouse.com.au/buy/81549/Twistshake-Anti-Colic-Turquoise-260ml"," Twistshake Anti Colic Turquoise 260ml")</f>
        <v xml:space="preserve"> Twistshake Anti Colic Turquoise 260ml</v>
      </c>
      <c r="C6778" t="s">
        <v>45</v>
      </c>
      <c r="D6778" t="s">
        <v>157</v>
      </c>
    </row>
    <row r="6779" spans="1:4" x14ac:dyDescent="0.25">
      <c r="B6779" t="str">
        <f>HYPERLINK("https://www.chemistwarehouse.com.au/buy/81550/Twistshake-Anti-Colic-White-260ml"," Twistshake Anti Colic White 260ml")</f>
        <v xml:space="preserve"> Twistshake Anti Colic White 260ml</v>
      </c>
      <c r="C6779" t="s">
        <v>45</v>
      </c>
      <c r="D6779" t="s">
        <v>157</v>
      </c>
    </row>
    <row r="6780" spans="1:4" x14ac:dyDescent="0.25">
      <c r="A6780" t="s">
        <v>1670</v>
      </c>
    </row>
    <row r="6781" spans="1:4" x14ac:dyDescent="0.25">
      <c r="B6781" t="str">
        <f>HYPERLINK("https://www.chemistwarehouse.com.au/buy/69141/Baby-U-Disposable-Change-Mats-10-Pack"," Baby U Disposable Change Mats 10 Pack")</f>
        <v xml:space="preserve"> Baby U Disposable Change Mats 10 Pack</v>
      </c>
      <c r="C6781" t="s">
        <v>786</v>
      </c>
      <c r="D6781" t="s">
        <v>731</v>
      </c>
    </row>
    <row r="6782" spans="1:4" x14ac:dyDescent="0.25">
      <c r="B6782" t="str">
        <f>HYPERLINK("https://www.chemistwarehouse.com.au/buy/63875/Baby-U-Nappy-Bags-200"," Baby U Nappy Bags 200")</f>
        <v xml:space="preserve"> Baby U Nappy Bags 200</v>
      </c>
      <c r="C6782" t="s">
        <v>786</v>
      </c>
      <c r="D6782" t="s">
        <v>731</v>
      </c>
    </row>
    <row r="6783" spans="1:4" x14ac:dyDescent="0.25">
      <c r="B6783" t="str">
        <f>HYPERLINK("https://www.chemistwarehouse.com.au/buy/82156/Baby-U-Cushie-Tushie-Online-Only"," Baby U Cushie Tushie Online Only")</f>
        <v xml:space="preserve"> Baby U Cushie Tushie Online Only</v>
      </c>
      <c r="C6783" t="s">
        <v>202</v>
      </c>
      <c r="D6783" t="s">
        <v>312</v>
      </c>
    </row>
    <row r="6784" spans="1:4" x14ac:dyDescent="0.25">
      <c r="B6784" t="str">
        <f>HYPERLINK("https://www.chemistwarehouse.com.au/buy/82157/Baby-U-Potette-Plus-Online-Only"," Baby U Potette Plus Online Only")</f>
        <v xml:space="preserve"> Baby U Potette Plus Online Only</v>
      </c>
      <c r="C6784" t="s">
        <v>61</v>
      </c>
      <c r="D6784" t="s">
        <v>115</v>
      </c>
    </row>
    <row r="6785" spans="1:4" x14ac:dyDescent="0.25">
      <c r="B6785" t="str">
        <f>HYPERLINK("https://www.chemistwarehouse.com.au/buy/82158/Baby-U-Potette-Plus-Liners-10-Pack-Online-Only"," Baby U Potette Plus Liners 10 Pack Online Only")</f>
        <v xml:space="preserve"> Baby U Potette Plus Liners 10 Pack Online Only</v>
      </c>
      <c r="C6785" t="s">
        <v>556</v>
      </c>
      <c r="D6785" t="s">
        <v>371</v>
      </c>
    </row>
    <row r="6786" spans="1:4" x14ac:dyDescent="0.25">
      <c r="B6786" t="str">
        <f>HYPERLINK("https://www.chemistwarehouse.com.au/buy/82159/Baby-U-Reusable-Liner-Online-Only"," Baby U Reusable Liner Online Only")</f>
        <v xml:space="preserve"> Baby U Reusable Liner Online Only</v>
      </c>
      <c r="C6786" t="s">
        <v>45</v>
      </c>
      <c r="D6786" t="s">
        <v>312</v>
      </c>
    </row>
    <row r="6787" spans="1:4" x14ac:dyDescent="0.25">
      <c r="B6787" t="str">
        <f>HYPERLINK("https://www.chemistwarehouse.com.au/buy/82160/Baby-U-Waterproof-Sheet-Protector-Online-Only"," Baby U Waterproof Sheet Protector Online Only")</f>
        <v xml:space="preserve"> Baby U Waterproof Sheet Protector Online Only</v>
      </c>
      <c r="C6787" t="s">
        <v>1</v>
      </c>
      <c r="D6787" t="s">
        <v>64</v>
      </c>
    </row>
    <row r="6788" spans="1:4" x14ac:dyDescent="0.25">
      <c r="B6788" t="str">
        <f>HYPERLINK("https://www.chemistwarehouse.com.au/buy/82154/Baby-U-Cushie-Step-Up-Online-Only"," Baby U Cushie Step Up Online Only")</f>
        <v xml:space="preserve"> Baby U Cushie Step Up Online Only</v>
      </c>
      <c r="C6788" t="s">
        <v>111</v>
      </c>
      <c r="D6788" t="s">
        <v>169</v>
      </c>
    </row>
    <row r="6789" spans="1:4" x14ac:dyDescent="0.25">
      <c r="A6789" t="s">
        <v>1671</v>
      </c>
    </row>
    <row r="6790" spans="1:4" x14ac:dyDescent="0.25">
      <c r="B6790" t="str">
        <f>HYPERLINK("https://www.chemistwarehouse.com.au/buy/79974/Babylove-Premmie-Nappies-30-Pack"," Babylove Premmie Nappies 30 Pack")</f>
        <v xml:space="preserve"> Babylove Premmie Nappies 30 Pack</v>
      </c>
      <c r="C6790" t="s">
        <v>8</v>
      </c>
      <c r="D6790" t="s">
        <v>147</v>
      </c>
    </row>
    <row r="6791" spans="1:4" x14ac:dyDescent="0.25">
      <c r="B6791" t="str">
        <f>HYPERLINK("https://www.chemistwarehouse.com.au/buy/80177/Babylove-Sleepy-Nights-2-4-Years-Overnight-Pants-12-Pack"," Babylove Sleepy Nights 2-4 Years Overnight Pants 12 Pack")</f>
        <v xml:space="preserve"> Babylove Sleepy Nights 2-4 Years Overnight Pants 12 Pack</v>
      </c>
      <c r="C6791" t="s">
        <v>45</v>
      </c>
      <c r="D6791" t="s">
        <v>371</v>
      </c>
    </row>
    <row r="6792" spans="1:4" x14ac:dyDescent="0.25">
      <c r="B6792" t="str">
        <f>HYPERLINK("https://www.chemistwarehouse.com.au/buy/80176/Babylove-Nappy-Pants-Wriggler-34"," Babylove Nappy Pants Wriggler 34")</f>
        <v xml:space="preserve"> Babylove Nappy Pants Wriggler 34</v>
      </c>
      <c r="C6792" t="s">
        <v>61</v>
      </c>
      <c r="D6792" t="s">
        <v>312</v>
      </c>
    </row>
    <row r="6793" spans="1:4" x14ac:dyDescent="0.25">
      <c r="B6793" t="str">
        <f>HYPERLINK("https://www.chemistwarehouse.com.au/buy/58889/BabyLove-Bulk-Nappies-Newborn-54-Pack"," BabyLove Bulk Nappies Newborn 54 Pack")</f>
        <v xml:space="preserve"> BabyLove Bulk Nappies Newborn 54 Pack</v>
      </c>
      <c r="C6793" t="s">
        <v>80</v>
      </c>
      <c r="D6793" t="s">
        <v>115</v>
      </c>
    </row>
    <row r="6794" spans="1:4" x14ac:dyDescent="0.25">
      <c r="B6794" t="str">
        <f>HYPERLINK("https://www.chemistwarehouse.com.au/buy/58890/BabyLove-Bulk-Nappies-Infant-48-Pack"," BabyLove Bulk Nappies Infant 48 Pack")</f>
        <v xml:space="preserve"> BabyLove Bulk Nappies Infant 48 Pack</v>
      </c>
      <c r="C6794" t="s">
        <v>80</v>
      </c>
      <c r="D6794" t="s">
        <v>115</v>
      </c>
    </row>
    <row r="6795" spans="1:4" x14ac:dyDescent="0.25">
      <c r="B6795" t="str">
        <f>HYPERLINK("https://www.chemistwarehouse.com.au/buy/58891/BabyLove-Bulk-Nappies-Crawler-44-Pack"," BabyLove Bulk Nappies Crawler 44 Pack")</f>
        <v xml:space="preserve"> BabyLove Bulk Nappies Crawler 44 Pack</v>
      </c>
      <c r="C6795" t="s">
        <v>80</v>
      </c>
      <c r="D6795" t="s">
        <v>115</v>
      </c>
    </row>
    <row r="6796" spans="1:4" x14ac:dyDescent="0.25">
      <c r="B6796" t="str">
        <f>HYPERLINK("https://www.chemistwarehouse.com.au/buy/58892/BabyLove-Bulk-Nappies-Toddler-36-Pack"," BabyLove Bulk Nappies Toddler 36 Pack")</f>
        <v xml:space="preserve"> BabyLove Bulk Nappies Toddler 36 Pack</v>
      </c>
      <c r="C6796" t="s">
        <v>80</v>
      </c>
      <c r="D6796" t="s">
        <v>115</v>
      </c>
    </row>
    <row r="6797" spans="1:4" x14ac:dyDescent="0.25">
      <c r="B6797" t="str">
        <f>HYPERLINK("https://www.chemistwarehouse.com.au/buy/67439/BabyLove-Bulk-Nappies-Junior-30-Pack"," BabyLove Bulk Nappies Junior 30 Pack")</f>
        <v xml:space="preserve"> BabyLove Bulk Nappies Junior 30 Pack</v>
      </c>
      <c r="C6797" t="s">
        <v>80</v>
      </c>
      <c r="D6797" t="s">
        <v>115</v>
      </c>
    </row>
    <row r="6798" spans="1:4" x14ac:dyDescent="0.25">
      <c r="B6798" t="str">
        <f>HYPERLINK("https://www.chemistwarehouse.com.au/buy/67440/BabyLove-Bulk-Nappies-Walker-32-Pack"," BabyLove Bulk Nappies Walker 32 Pack")</f>
        <v xml:space="preserve"> BabyLove Bulk Nappies Walker 32 Pack</v>
      </c>
      <c r="C6798" t="s">
        <v>80</v>
      </c>
      <c r="D6798" t="s">
        <v>115</v>
      </c>
    </row>
    <row r="6799" spans="1:4" x14ac:dyDescent="0.25">
      <c r="B6799" t="str">
        <f>HYPERLINK("https://www.chemistwarehouse.com.au/buy/67442/BabyLove-Nappy-Pants-Jumbo-Junior-38"," BabyLove Nappy Pants Jumbo Junior 38")</f>
        <v xml:space="preserve"> BabyLove Nappy Pants Jumbo Junior 38</v>
      </c>
      <c r="C6799" t="s">
        <v>10</v>
      </c>
      <c r="D6799" t="s">
        <v>162</v>
      </c>
    </row>
    <row r="6800" spans="1:4" x14ac:dyDescent="0.25">
      <c r="B6800" t="str">
        <f>HYPERLINK("https://www.chemistwarehouse.com.au/buy/67443/BabyLove-Nappy-Pants-Jumbo-Toddler-52"," BabyLove Nappy Pants Jumbo Toddler 52")</f>
        <v xml:space="preserve"> BabyLove Nappy Pants Jumbo Toddler 52</v>
      </c>
      <c r="C6800" t="s">
        <v>10</v>
      </c>
      <c r="D6800" t="s">
        <v>162</v>
      </c>
    </row>
    <row r="6801" spans="1:4" x14ac:dyDescent="0.25">
      <c r="B6801" t="str">
        <f>HYPERLINK("https://www.chemistwarehouse.com.au/buy/67444/BabyLove-Nappy-Pants-Jumbo-Walker-46"," BabyLove Nappy Pants Jumbo Walker 46")</f>
        <v xml:space="preserve"> BabyLove Nappy Pants Jumbo Walker 46</v>
      </c>
      <c r="C6801" t="s">
        <v>10</v>
      </c>
      <c r="D6801" t="s">
        <v>162</v>
      </c>
    </row>
    <row r="6802" spans="1:4" x14ac:dyDescent="0.25">
      <c r="B6802" t="str">
        <f>HYPERLINK("https://www.chemistwarehouse.com.au/buy/67448/BabyLove-Sleepy-Nights-4-7-Years-Old-9-Pants"," BabyLove Sleepy Nights 4-7 Years Old 9 Pants")</f>
        <v xml:space="preserve"> BabyLove Sleepy Nights 4-7 Years Old 9 Pants</v>
      </c>
      <c r="C6802" t="s">
        <v>45</v>
      </c>
      <c r="D6802" t="s">
        <v>371</v>
      </c>
    </row>
    <row r="6803" spans="1:4" x14ac:dyDescent="0.25">
      <c r="B6803" t="str">
        <f>HYPERLINK("https://www.chemistwarehouse.com.au/buy/67449/BabyLove-Sleepy-Nights-8-15-Years-8-Pack"," BabyLove Sleepy Nights 8-15 Years 8 Pack")</f>
        <v xml:space="preserve"> BabyLove Sleepy Nights 8-15 Years 8 Pack</v>
      </c>
      <c r="C6803" t="s">
        <v>45</v>
      </c>
      <c r="D6803" t="s">
        <v>371</v>
      </c>
    </row>
    <row r="6804" spans="1:4" x14ac:dyDescent="0.25">
      <c r="B6804" t="str">
        <f>HYPERLINK("https://www.chemistwarehouse.com.au/buy/67874/BabyLove-Nappy-Pants-Toddler-28"," BabyLove Nappy Pants Toddler 28")</f>
        <v xml:space="preserve"> BabyLove Nappy Pants Toddler 28</v>
      </c>
      <c r="C6804" t="s">
        <v>61</v>
      </c>
      <c r="D6804" t="s">
        <v>312</v>
      </c>
    </row>
    <row r="6805" spans="1:4" x14ac:dyDescent="0.25">
      <c r="B6805" t="str">
        <f>HYPERLINK("https://www.chemistwarehouse.com.au/buy/67875/BabyLove-Nappy-Pants-Walker-25"," BabyLove Nappy Pants Walker 25")</f>
        <v xml:space="preserve"> BabyLove Nappy Pants Walker 25</v>
      </c>
      <c r="C6805" t="s">
        <v>61</v>
      </c>
      <c r="D6805" t="s">
        <v>312</v>
      </c>
    </row>
    <row r="6806" spans="1:4" x14ac:dyDescent="0.25">
      <c r="B6806" t="str">
        <f>HYPERLINK("https://www.chemistwarehouse.com.au/buy/67876/BabyLove-Nappy-Pants-Junior-20"," BabyLove Nappy Pants Junior 20")</f>
        <v xml:space="preserve"> BabyLove Nappy Pants Junior 20</v>
      </c>
      <c r="C6806" t="s">
        <v>61</v>
      </c>
      <c r="D6806" t="s">
        <v>312</v>
      </c>
    </row>
    <row r="6807" spans="1:4" x14ac:dyDescent="0.25">
      <c r="B6807" t="str">
        <f>HYPERLINK("https://www.chemistwarehouse.com.au/buy/68817/Babylove-Training-Pants-Extra-Large-11-Pack"," Babylove Training Pants Extra Large 11 Pack")</f>
        <v xml:space="preserve"> Babylove Training Pants Extra Large 11 Pack</v>
      </c>
      <c r="C6807" t="s">
        <v>64</v>
      </c>
      <c r="D6807" t="s">
        <v>483</v>
      </c>
    </row>
    <row r="6808" spans="1:4" x14ac:dyDescent="0.25">
      <c r="B6808" t="str">
        <f>HYPERLINK("https://www.chemistwarehouse.com.au/buy/68818/BabyLove-Training-Pants-Large-12-Pack"," BabyLove Training Pants Large 12 Pack")</f>
        <v xml:space="preserve"> BabyLove Training Pants Large 12 Pack</v>
      </c>
      <c r="C6808" t="s">
        <v>64</v>
      </c>
      <c r="D6808" t="s">
        <v>483</v>
      </c>
    </row>
    <row r="6809" spans="1:4" x14ac:dyDescent="0.25">
      <c r="B6809" t="str">
        <f>HYPERLINK("https://www.chemistwarehouse.com.au/buy/68819/Babylove-Training-Pants-Medium-15-Pack"," Babylove Training Pants Medium 15 Pack ")</f>
        <v xml:space="preserve"> Babylove Training Pants Medium 15 Pack </v>
      </c>
      <c r="C6809" t="s">
        <v>162</v>
      </c>
      <c r="D6809" t="s">
        <v>556</v>
      </c>
    </row>
    <row r="6810" spans="1:4" x14ac:dyDescent="0.25">
      <c r="B6810" t="str">
        <f>HYPERLINK("https://www.chemistwarehouse.com.au/buy/76021/Babylove-Cosifit-Jumbo-Nappies-Crawler-87"," Babylove Cosifit Jumbo Nappies Crawler 87")</f>
        <v xml:space="preserve"> Babylove Cosifit Jumbo Nappies Crawler 87</v>
      </c>
      <c r="C6810" t="s">
        <v>109</v>
      </c>
      <c r="D6810" t="s">
        <v>371</v>
      </c>
    </row>
    <row r="6811" spans="1:4" x14ac:dyDescent="0.25">
      <c r="B6811" t="str">
        <f>HYPERLINK("https://www.chemistwarehouse.com.au/buy/76022/Babylove-Cosifit-Jumbo-Nappies-Infant-90"," Babylove Cosifit Jumbo Nappies Infant 90")</f>
        <v xml:space="preserve"> Babylove Cosifit Jumbo Nappies Infant 90</v>
      </c>
      <c r="C6811" t="s">
        <v>109</v>
      </c>
      <c r="D6811" t="s">
        <v>371</v>
      </c>
    </row>
    <row r="6812" spans="1:4" x14ac:dyDescent="0.25">
      <c r="B6812" t="str">
        <f>HYPERLINK("https://www.chemistwarehouse.com.au/buy/76023/Babylove-Cosifit-Jumbo-Nappies-Junior-60"," Babylove Cosifit Jumbo Nappies Junior 60")</f>
        <v xml:space="preserve"> Babylove Cosifit Jumbo Nappies Junior 60</v>
      </c>
      <c r="C6812" t="s">
        <v>109</v>
      </c>
      <c r="D6812" t="s">
        <v>371</v>
      </c>
    </row>
    <row r="6813" spans="1:4" x14ac:dyDescent="0.25">
      <c r="B6813" t="str">
        <f>HYPERLINK("https://www.chemistwarehouse.com.au/buy/76024/Babylove-Cosifit-Jumbo-Nappies-Newborn-99"," Babylove Cosifit Jumbo Nappies Newborn 99")</f>
        <v xml:space="preserve"> Babylove Cosifit Jumbo Nappies Newborn 99</v>
      </c>
      <c r="C6813" t="s">
        <v>109</v>
      </c>
      <c r="D6813" t="s">
        <v>371</v>
      </c>
    </row>
    <row r="6814" spans="1:4" x14ac:dyDescent="0.25">
      <c r="A6814" t="s">
        <v>1672</v>
      </c>
    </row>
    <row r="6815" spans="1:4" x14ac:dyDescent="0.25">
      <c r="B6815" t="str">
        <f>HYPERLINK("https://www.chemistwarehouse.com.au/buy/72172/Huggies-384-Wipes-Unscented"," Huggies 384 Wipes Unscented")</f>
        <v xml:space="preserve"> Huggies 384 Wipes Unscented</v>
      </c>
      <c r="C6815" t="s">
        <v>187</v>
      </c>
      <c r="D6815" t="s">
        <v>272</v>
      </c>
    </row>
    <row r="6816" spans="1:4" x14ac:dyDescent="0.25">
      <c r="B6816" t="str">
        <f>HYPERLINK("https://www.chemistwarehouse.com.au/buy/81975/Huggies-DryNites-Boy-2-4-Years-11-Pack"," Huggies DryNites Boy 2-4 Years 11 Pack")</f>
        <v xml:space="preserve"> Huggies DryNites Boy 2-4 Years 11 Pack</v>
      </c>
      <c r="C6816" t="s">
        <v>551</v>
      </c>
      <c r="D6816" t="s">
        <v>1257</v>
      </c>
    </row>
    <row r="6817" spans="2:4" x14ac:dyDescent="0.25">
      <c r="B6817" t="str">
        <f>HYPERLINK("https://www.chemistwarehouse.com.au/buy/81976/Huggies-DryNites-Girl-2-4-Years-11-Pack"," Huggies DryNites Girl 2-4 Years 11 Pack")</f>
        <v xml:space="preserve"> Huggies DryNites Girl 2-4 Years 11 Pack</v>
      </c>
      <c r="C6817" t="s">
        <v>551</v>
      </c>
      <c r="D6817" t="s">
        <v>1257</v>
      </c>
    </row>
    <row r="6818" spans="2:4" x14ac:dyDescent="0.25">
      <c r="B6818" t="str">
        <f>HYPERLINK("https://www.chemistwarehouse.com.au/buy/58801/Huggies-BP-30-Junior-Boy"," Huggies BP 30 Junior Boy")</f>
        <v xml:space="preserve"> Huggies BP 30 Junior Boy</v>
      </c>
      <c r="C6818" t="s">
        <v>46</v>
      </c>
      <c r="D6818" t="s">
        <v>237</v>
      </c>
    </row>
    <row r="6819" spans="2:4" x14ac:dyDescent="0.25">
      <c r="B6819" t="str">
        <f>HYPERLINK("https://www.chemistwarehouse.com.au/buy/58802/Huggies-10-Swimmer-Large"," Huggies 10 Swimmer Large")</f>
        <v xml:space="preserve"> Huggies 10 Swimmer Large</v>
      </c>
      <c r="C6819" t="s">
        <v>202</v>
      </c>
      <c r="D6819" t="s">
        <v>371</v>
      </c>
    </row>
    <row r="6820" spans="2:4" x14ac:dyDescent="0.25">
      <c r="B6820" t="str">
        <f>HYPERLINK("https://www.chemistwarehouse.com.au/buy/60588/Huggies-DryNites-Girl-4-Years-10-Pack"," Huggies DryNites Girl 4+ Years 10 Pack")</f>
        <v xml:space="preserve"> Huggies DryNites Girl 4+ Years 10 Pack</v>
      </c>
      <c r="C6820" t="s">
        <v>551</v>
      </c>
      <c r="D6820" t="s">
        <v>1257</v>
      </c>
    </row>
    <row r="6821" spans="2:4" x14ac:dyDescent="0.25">
      <c r="B6821" t="str">
        <f>HYPERLINK("https://www.chemistwarehouse.com.au/buy/60589/Huggies-DryNites-Girl-8-Years-9-Pack"," Huggies DryNites Girl 8+ Years 9 Pack")</f>
        <v xml:space="preserve"> Huggies DryNites Girl 8+ Years 9 Pack</v>
      </c>
      <c r="C6821" t="s">
        <v>551</v>
      </c>
      <c r="D6821" t="s">
        <v>1257</v>
      </c>
    </row>
    <row r="6822" spans="2:4" x14ac:dyDescent="0.25">
      <c r="B6822" t="str">
        <f>HYPERLINK("https://www.chemistwarehouse.com.au/buy/60590/Huggies-DryNites-Boy-8-Years-9-Pack"," Huggies DryNites Boy 8+ Years 9 Pack")</f>
        <v xml:space="preserve"> Huggies DryNites Boy 8+ Years 9 Pack</v>
      </c>
      <c r="C6822" t="s">
        <v>551</v>
      </c>
      <c r="D6822" t="s">
        <v>1257</v>
      </c>
    </row>
    <row r="6823" spans="2:4" x14ac:dyDescent="0.25">
      <c r="B6823" t="str">
        <f>HYPERLINK("https://www.chemistwarehouse.com.au/buy/60591/Huggies-DryNites-Boy-4-Years-10-Pack"," Huggies DryNites Boy 4+ Years 10 Pack")</f>
        <v xml:space="preserve"> Huggies DryNites Boy 4+ Years 10 Pack</v>
      </c>
      <c r="C6823" t="s">
        <v>551</v>
      </c>
      <c r="D6823" t="s">
        <v>1257</v>
      </c>
    </row>
    <row r="6824" spans="2:4" x14ac:dyDescent="0.25">
      <c r="B6824" t="str">
        <f>HYPERLINK("https://www.chemistwarehouse.com.au/buy/60597/Huggies-Nappy-Pants-28-Walker-Boy"," Huggies Nappy Pants 28 Walker Boy")</f>
        <v xml:space="preserve"> Huggies Nappy Pants 28 Walker Boy</v>
      </c>
      <c r="C6824" t="s">
        <v>167</v>
      </c>
      <c r="D6824" t="s">
        <v>116</v>
      </c>
    </row>
    <row r="6825" spans="2:4" x14ac:dyDescent="0.25">
      <c r="B6825" t="str">
        <f>HYPERLINK("https://www.chemistwarehouse.com.au/buy/60598/Huggies-Nappy-Pants-28-Walker-Girl"," Huggies Nappy Pants 28 Walker Girl")</f>
        <v xml:space="preserve"> Huggies Nappy Pants 28 Walker Girl</v>
      </c>
      <c r="C6825" t="s">
        <v>167</v>
      </c>
      <c r="D6825" t="s">
        <v>116</v>
      </c>
    </row>
    <row r="6826" spans="2:4" x14ac:dyDescent="0.25">
      <c r="B6826" t="str">
        <f>HYPERLINK("https://www.chemistwarehouse.com.au/buy/62851/Huggies-11-Swimmer-Medium"," Huggies 11 Swimmer Medium")</f>
        <v xml:space="preserve"> Huggies 11 Swimmer Medium</v>
      </c>
      <c r="C6826" t="s">
        <v>202</v>
      </c>
      <c r="D6826" t="s">
        <v>371</v>
      </c>
    </row>
    <row r="6827" spans="2:4" x14ac:dyDescent="0.25">
      <c r="B6827" t="str">
        <f>HYPERLINK("https://www.chemistwarehouse.com.au/buy/67450/Huggies-12-Swimmer-Small"," Huggies 12 Swimmer Small")</f>
        <v xml:space="preserve"> Huggies 12 Swimmer Small</v>
      </c>
      <c r="C6827" t="s">
        <v>202</v>
      </c>
      <c r="D6827" t="s">
        <v>371</v>
      </c>
    </row>
    <row r="6828" spans="2:4" x14ac:dyDescent="0.25">
      <c r="B6828" t="str">
        <f>HYPERLINK("https://www.chemistwarehouse.com.au/buy/67477/Huggies-Nappy-Pants-31-Toddler-Boy"," Huggies Nappy Pants 31 Toddler Boy")</f>
        <v xml:space="preserve"> Huggies Nappy Pants 31 Toddler Boy</v>
      </c>
      <c r="C6828" t="s">
        <v>167</v>
      </c>
      <c r="D6828" t="s">
        <v>116</v>
      </c>
    </row>
    <row r="6829" spans="2:4" x14ac:dyDescent="0.25">
      <c r="B6829" t="str">
        <f>HYPERLINK("https://www.chemistwarehouse.com.au/buy/67478/Huggies-Nappy-Pants-31-Toddler-Girl"," Huggies Nappy Pants 31 Toddler Girl")</f>
        <v xml:space="preserve"> Huggies Nappy Pants 31 Toddler Girl</v>
      </c>
      <c r="C6829" t="s">
        <v>167</v>
      </c>
      <c r="D6829" t="s">
        <v>116</v>
      </c>
    </row>
    <row r="6830" spans="2:4" x14ac:dyDescent="0.25">
      <c r="B6830" t="str">
        <f>HYPERLINK("https://www.chemistwarehouse.com.au/buy/67481/Huggies-Nappy-Pants-Junior-Boy-26"," Huggies Nappy Pants Junior Boy 26")</f>
        <v xml:space="preserve"> Huggies Nappy Pants Junior Boy 26</v>
      </c>
      <c r="C6830" t="s">
        <v>167</v>
      </c>
      <c r="D6830" t="s">
        <v>116</v>
      </c>
    </row>
    <row r="6831" spans="2:4" x14ac:dyDescent="0.25">
      <c r="B6831" t="str">
        <f>HYPERLINK("https://www.chemistwarehouse.com.au/buy/67482/Huggies-Nappy-Pants-Junior-Girl-26"," Huggies Nappy Pants Junior Girl 26")</f>
        <v xml:space="preserve"> Huggies Nappy Pants Junior Girl 26</v>
      </c>
      <c r="C6831" t="s">
        <v>167</v>
      </c>
      <c r="D6831" t="s">
        <v>116</v>
      </c>
    </row>
    <row r="6832" spans="2:4" x14ac:dyDescent="0.25">
      <c r="B6832" t="str">
        <f>HYPERLINK("https://www.chemistwarehouse.com.au/buy/59148/Huggies-BP-32-Walker-Boy"," Huggies BP 32 Walker Boy")</f>
        <v xml:space="preserve"> Huggies BP 32 Walker Boy</v>
      </c>
      <c r="C6832" t="s">
        <v>167</v>
      </c>
      <c r="D6832" t="s">
        <v>92</v>
      </c>
    </row>
    <row r="6833" spans="1:4" x14ac:dyDescent="0.25">
      <c r="B6833" t="str">
        <f>HYPERLINK("https://www.chemistwarehouse.com.au/buy/59149/Huggies-BP-32-Walker-Girl"," Huggies BP 32 Walker Girl")</f>
        <v xml:space="preserve"> Huggies BP 32 Walker Girl</v>
      </c>
      <c r="C6833" t="s">
        <v>167</v>
      </c>
      <c r="D6833" t="s">
        <v>92</v>
      </c>
    </row>
    <row r="6834" spans="1:4" x14ac:dyDescent="0.25">
      <c r="B6834" t="str">
        <f>HYPERLINK("https://www.chemistwarehouse.com.au/buy/59150/Huggies-BP-36-Toddler-Boy"," Huggies BP 36 Toddler Boy")</f>
        <v xml:space="preserve"> Huggies BP 36 Toddler Boy</v>
      </c>
      <c r="C6834" t="s">
        <v>167</v>
      </c>
      <c r="D6834" t="s">
        <v>92</v>
      </c>
    </row>
    <row r="6835" spans="1:4" x14ac:dyDescent="0.25">
      <c r="B6835" t="str">
        <f>HYPERLINK("https://www.chemistwarehouse.com.au/buy/59151/Huggies-BP-36-Toddler-Girl"," Huggies BP 36 Toddler Girl")</f>
        <v xml:space="preserve"> Huggies BP 36 Toddler Girl</v>
      </c>
      <c r="C6835" t="s">
        <v>167</v>
      </c>
      <c r="D6835" t="s">
        <v>92</v>
      </c>
    </row>
    <row r="6836" spans="1:4" x14ac:dyDescent="0.25">
      <c r="B6836" t="str">
        <f>HYPERLINK("https://www.chemistwarehouse.com.au/buy/59152/Huggies-BP-44-Crawler-Boy"," Huggies BP 44 Crawler Boy")</f>
        <v xml:space="preserve"> Huggies BP 44 Crawler Boy</v>
      </c>
      <c r="C6836" t="s">
        <v>167</v>
      </c>
      <c r="D6836" t="s">
        <v>92</v>
      </c>
    </row>
    <row r="6837" spans="1:4" x14ac:dyDescent="0.25">
      <c r="B6837" t="str">
        <f>HYPERLINK("https://www.chemistwarehouse.com.au/buy/59153/Huggies-BP-44-Crawler-Girl"," Huggies BP 44 Crawler Girl")</f>
        <v xml:space="preserve"> Huggies BP 44 Crawler Girl</v>
      </c>
      <c r="C6837" t="s">
        <v>167</v>
      </c>
      <c r="D6837" t="s">
        <v>92</v>
      </c>
    </row>
    <row r="6838" spans="1:4" x14ac:dyDescent="0.25">
      <c r="A6838" t="s">
        <v>1673</v>
      </c>
    </row>
    <row r="6839" spans="1:4" x14ac:dyDescent="0.25">
      <c r="B6839" t="str">
        <f>HYPERLINK("https://www.chemistwarehouse.com.au/buy/67485/Snugglers-Nappy-Jumbo-Crawler-80"," Snugglers Nappy Jumbo Crawler 80")</f>
        <v xml:space="preserve"> Snugglers Nappy Jumbo Crawler 80</v>
      </c>
      <c r="C6839" t="s">
        <v>61</v>
      </c>
      <c r="D6839">
        <v>0</v>
      </c>
    </row>
    <row r="6840" spans="1:4" x14ac:dyDescent="0.25">
      <c r="B6840" t="str">
        <f>HYPERLINK("https://www.chemistwarehouse.com.au/buy/67486/Snugglers-Nappy-Jumbo-Junior-60"," Snugglers Nappy Jumbo Junior 60")</f>
        <v xml:space="preserve"> Snugglers Nappy Jumbo Junior 60</v>
      </c>
      <c r="C6840" t="s">
        <v>61</v>
      </c>
      <c r="D6840">
        <v>0</v>
      </c>
    </row>
    <row r="6841" spans="1:4" x14ac:dyDescent="0.25">
      <c r="B6841" t="str">
        <f>HYPERLINK("https://www.chemistwarehouse.com.au/buy/67487/Snugglers-Nappy-Jumbo-Toddler-72"," Snugglers Nappy Jumbo Toddler 72")</f>
        <v xml:space="preserve"> Snugglers Nappy Jumbo Toddler 72</v>
      </c>
      <c r="C6841" t="s">
        <v>61</v>
      </c>
      <c r="D6841">
        <v>0</v>
      </c>
    </row>
    <row r="6842" spans="1:4" x14ac:dyDescent="0.25">
      <c r="B6842" t="str">
        <f>HYPERLINK("https://www.chemistwarehouse.com.au/buy/67488/Snugglers-Nappy-Jumbo-Walker-64"," Snugglers Nappy Jumbo Walker 64")</f>
        <v xml:space="preserve"> Snugglers Nappy Jumbo Walker 64</v>
      </c>
      <c r="C6842" t="s">
        <v>61</v>
      </c>
      <c r="D6842">
        <v>0</v>
      </c>
    </row>
    <row r="6843" spans="1:4" x14ac:dyDescent="0.25">
      <c r="A6843" t="s">
        <v>1674</v>
      </c>
    </row>
    <row r="6844" spans="1:4" x14ac:dyDescent="0.25">
      <c r="B6844" t="str">
        <f>HYPERLINK("https://www.chemistwarehouse.com.au/buy/76029/Treasures-Nappies-Bulk-Crawler-44-Pack"," Treasures Nappies Bulk Crawler 44 Pack")</f>
        <v xml:space="preserve"> Treasures Nappies Bulk Crawler 44 Pack</v>
      </c>
      <c r="C6844" t="s">
        <v>45</v>
      </c>
      <c r="D6844" t="s">
        <v>164</v>
      </c>
    </row>
    <row r="6845" spans="1:4" x14ac:dyDescent="0.25">
      <c r="B6845" t="str">
        <f>HYPERLINK("https://www.chemistwarehouse.com.au/buy/76030/Treasures-Nappies-Bulk-Junior-30-Pack"," Treasures Nappies Bulk Junior 30 Pack")</f>
        <v xml:space="preserve"> Treasures Nappies Bulk Junior 30 Pack</v>
      </c>
      <c r="C6845" t="s">
        <v>169</v>
      </c>
      <c r="D6845" t="s">
        <v>98</v>
      </c>
    </row>
    <row r="6846" spans="1:4" x14ac:dyDescent="0.25">
      <c r="B6846" t="str">
        <f>HYPERLINK("https://www.chemistwarehouse.com.au/buy/76031/Treasures-Nappies-Bulk-Toddler-36-Pack"," Treasures Nappies Bulk Toddler 36 Pack")</f>
        <v xml:space="preserve"> Treasures Nappies Bulk Toddler 36 Pack</v>
      </c>
      <c r="C6846" t="s">
        <v>45</v>
      </c>
      <c r="D6846" t="s">
        <v>164</v>
      </c>
    </row>
    <row r="6847" spans="1:4" x14ac:dyDescent="0.25">
      <c r="B6847" t="str">
        <f>HYPERLINK("https://www.chemistwarehouse.com.au/buy/76032/Treasures-Nappies-Bulk-Walker-32-Pack"," Treasures Nappies Bulk Walker 32 Pack")</f>
        <v xml:space="preserve"> Treasures Nappies Bulk Walker 32 Pack</v>
      </c>
      <c r="C6847" t="s">
        <v>45</v>
      </c>
      <c r="D6847" t="s">
        <v>164</v>
      </c>
    </row>
    <row r="6848" spans="1:4" x14ac:dyDescent="0.25">
      <c r="B6848" t="str">
        <f>HYPERLINK("https://www.chemistwarehouse.com.au/buy/76033/Treasures-Nappies-Jumbo-Crawler-84-Pack"," Treasures Nappies Jumbo Crawler 84 Pack")</f>
        <v xml:space="preserve"> Treasures Nappies Jumbo Crawler 84 Pack</v>
      </c>
      <c r="C6848" t="s">
        <v>1</v>
      </c>
      <c r="D6848" t="s">
        <v>46</v>
      </c>
    </row>
    <row r="6849" spans="1:4" x14ac:dyDescent="0.25">
      <c r="B6849" t="str">
        <f>HYPERLINK("https://www.chemistwarehouse.com.au/buy/76034/Treasures-Nappies-Jumbo-Junior-56-Pack"," Treasures Nappies Jumbo Junior 56 Pack")</f>
        <v xml:space="preserve"> Treasures Nappies Jumbo Junior 56 Pack</v>
      </c>
      <c r="C6849" t="s">
        <v>280</v>
      </c>
      <c r="D6849" t="s">
        <v>8</v>
      </c>
    </row>
    <row r="6850" spans="1:4" x14ac:dyDescent="0.25">
      <c r="B6850" t="str">
        <f>HYPERLINK("https://www.chemistwarehouse.com.au/buy/76035/Treasures-Nappies-Jumbo-Toddler-70-Pack"," Treasures Nappies Jumbo Toddler 70 Pack")</f>
        <v xml:space="preserve"> Treasures Nappies Jumbo Toddler 70 Pack</v>
      </c>
      <c r="C6850" t="s">
        <v>1</v>
      </c>
      <c r="D6850" t="s">
        <v>46</v>
      </c>
    </row>
    <row r="6851" spans="1:4" x14ac:dyDescent="0.25">
      <c r="B6851" t="str">
        <f>HYPERLINK("https://www.chemistwarehouse.com.au/buy/76036/Treasures-Nappies-Jumbo-Walker-62-Pack"," Treasures Nappies Jumbo Walker 62 Pack")</f>
        <v xml:space="preserve"> Treasures Nappies Jumbo Walker 62 Pack</v>
      </c>
      <c r="C6851" t="s">
        <v>1</v>
      </c>
      <c r="D6851" t="s">
        <v>46</v>
      </c>
    </row>
    <row r="6852" spans="1:4" x14ac:dyDescent="0.25">
      <c r="A6852" t="s">
        <v>1675</v>
      </c>
    </row>
    <row r="6853" spans="1:4" x14ac:dyDescent="0.25">
      <c r="B6853" t="str">
        <f>HYPERLINK("https://www.chemistwarehouse.com.au/buy/80108/Tooshies-by-TOM-Organic-Nappies-Infant-34-Pack"," Tooshies by TOM Organic Nappies Infant 34 Pack")</f>
        <v xml:space="preserve"> Tooshies by TOM Organic Nappies Infant 34 Pack</v>
      </c>
      <c r="C6853" t="s">
        <v>187</v>
      </c>
      <c r="D6853" t="s">
        <v>147</v>
      </c>
    </row>
    <row r="6854" spans="1:4" x14ac:dyDescent="0.25">
      <c r="B6854" t="str">
        <f>HYPERLINK("https://www.chemistwarehouse.com.au/buy/80107/Tooshies-by-TOM-Organic-Nappies-Crawler-31-Pack"," Tooshies by TOM Organic Nappies Crawler 31 Pack")</f>
        <v xml:space="preserve"> Tooshies by TOM Organic Nappies Crawler 31 Pack</v>
      </c>
      <c r="C6854" t="s">
        <v>187</v>
      </c>
      <c r="D6854" t="s">
        <v>147</v>
      </c>
    </row>
    <row r="6855" spans="1:4" x14ac:dyDescent="0.25">
      <c r="B6855" t="str">
        <f>HYPERLINK("https://www.chemistwarehouse.com.au/buy/80109/Tooshies-by-TOM-Organic-Nappies-Newborn-38-Pack"," Tooshies by TOM Organic Nappies Newborn 38 Pack")</f>
        <v xml:space="preserve"> Tooshies by TOM Organic Nappies Newborn 38 Pack</v>
      </c>
      <c r="C6855" t="s">
        <v>187</v>
      </c>
      <c r="D6855" t="s">
        <v>147</v>
      </c>
    </row>
    <row r="6856" spans="1:4" x14ac:dyDescent="0.25">
      <c r="B6856" t="str">
        <f>HYPERLINK("https://www.chemistwarehouse.com.au/buy/80110/Tooshies-by-TOM-Organic-Nappies-Toddler-27-Pack"," Tooshies by TOM Organic Nappies Toddler 27 Pack")</f>
        <v xml:space="preserve"> Tooshies by TOM Organic Nappies Toddler 27 Pack</v>
      </c>
      <c r="C6856" t="s">
        <v>187</v>
      </c>
      <c r="D6856" t="s">
        <v>147</v>
      </c>
    </row>
    <row r="6857" spans="1:4" x14ac:dyDescent="0.25">
      <c r="B6857" t="str">
        <f>HYPERLINK("https://www.chemistwarehouse.com.au/buy/80111/Tooshies-by-TOM-Organic-Nappies-Walker-23-Pack"," Tooshies by TOM Organic Nappies Walker 23 Pack")</f>
        <v xml:space="preserve"> Tooshies by TOM Organic Nappies Walker 23 Pack</v>
      </c>
      <c r="C6857" t="s">
        <v>187</v>
      </c>
      <c r="D6857" t="s">
        <v>147</v>
      </c>
    </row>
    <row r="6858" spans="1:4" x14ac:dyDescent="0.25">
      <c r="A6858" t="s">
        <v>1676</v>
      </c>
    </row>
    <row r="6859" spans="1:4" x14ac:dyDescent="0.25">
      <c r="B6859" t="str">
        <f>HYPERLINK("https://www.chemistwarehouse.com.au/buy/67828/BabyLove-Wipes-with-Aloe-Vera-Bulk-240-Pack"," BabyLove Wipes with Aloe Vera Bulk 240 Pack ")</f>
        <v xml:space="preserve"> BabyLove Wipes with Aloe Vera Bulk 240 Pack </v>
      </c>
      <c r="C6859" t="s">
        <v>103</v>
      </c>
      <c r="D6859" t="s">
        <v>162</v>
      </c>
    </row>
    <row r="6860" spans="1:4" x14ac:dyDescent="0.25">
      <c r="B6860" t="str">
        <f>HYPERLINK("https://www.chemistwarehouse.com.au/buy/76993/Curash-Baby-Wipes-Fragrance-Free-6-X-80-Value-Pack"," Curash Baby Wipes Fragrance Free 6 X 80 Value Pack")</f>
        <v xml:space="preserve"> Curash Baby Wipes Fragrance Free 6 X 80 Value Pack</v>
      </c>
      <c r="C6860" t="s">
        <v>202</v>
      </c>
      <c r="D6860" t="s">
        <v>169</v>
      </c>
    </row>
    <row r="6861" spans="1:4" x14ac:dyDescent="0.25">
      <c r="B6861" t="str">
        <f>HYPERLINK("https://www.chemistwarehouse.com.au/buy/77914/Gaia-Natural-Baby-Bamboo-Wipes-480"," Gaia Natural Baby Bamboo Wipes 480")</f>
        <v xml:space="preserve"> Gaia Natural Baby Bamboo Wipes 480</v>
      </c>
      <c r="C6861" t="s">
        <v>1</v>
      </c>
      <c r="D6861" t="s">
        <v>104</v>
      </c>
    </row>
    <row r="6862" spans="1:4" x14ac:dyDescent="0.25">
      <c r="B6862" t="str">
        <f>HYPERLINK("https://www.chemistwarehouse.com.au/buy/51689/Curash-Baby-Wipes-Original-3-X-80-Bulk-Pack"," Curash Baby Wipes Original 3 X 80 Bulk Pack")</f>
        <v xml:space="preserve"> Curash Baby Wipes Original 3 X 80 Bulk Pack</v>
      </c>
      <c r="C6862" t="s">
        <v>32</v>
      </c>
      <c r="D6862" t="s">
        <v>162</v>
      </c>
    </row>
    <row r="6863" spans="1:4" x14ac:dyDescent="0.25">
      <c r="B6863" t="str">
        <f>HYPERLINK("https://www.chemistwarehouse.com.au/buy/66683/Curash-Baby-Wipes-Soothing-Aloe-3-X-80-Bulk-Pack"," Curash Baby Wipes Soothing Aloe 3 X 80 Bulk Pack")</f>
        <v xml:space="preserve"> Curash Baby Wipes Soothing Aloe 3 X 80 Bulk Pack</v>
      </c>
      <c r="C6863" t="s">
        <v>32</v>
      </c>
      <c r="D6863" t="s">
        <v>162</v>
      </c>
    </row>
    <row r="6864" spans="1:4" x14ac:dyDescent="0.25">
      <c r="B6864" t="str">
        <f>HYPERLINK("https://www.chemistwarehouse.com.au/buy/65256/Wet-Ones-Be-Fresh-15-Travel-Pack"," Wet Ones Be Fresh 15 Travel Pack")</f>
        <v xml:space="preserve"> Wet Ones Be Fresh 15 Travel Pack</v>
      </c>
      <c r="C6864" t="s">
        <v>635</v>
      </c>
      <c r="D6864">
        <v>0</v>
      </c>
    </row>
    <row r="6865" spans="2:4" x14ac:dyDescent="0.25">
      <c r="B6865" t="str">
        <f>HYPERLINK("https://www.chemistwarehouse.com.au/buy/82344/Disney-Princess-Handy-Wet-Wipes-90-Pack"," Disney Princess Handy Wet Wipes 90 Pack")</f>
        <v xml:space="preserve"> Disney Princess Handy Wet Wipes 90 Pack</v>
      </c>
      <c r="C6865" t="s">
        <v>635</v>
      </c>
      <c r="D6865">
        <v>0</v>
      </c>
    </row>
    <row r="6866" spans="2:4" x14ac:dyDescent="0.25">
      <c r="B6866" t="str">
        <f>HYPERLINK("https://www.chemistwarehouse.com.au/buy/82312/Curash-Baby-Travel-Wipes-Fragrance-Free-5-x-20-Pack"," Curash Baby Travel Wipes Fragrance Free 5 x 20 Pack")</f>
        <v xml:space="preserve"> Curash Baby Travel Wipes Fragrance Free 5 x 20 Pack</v>
      </c>
      <c r="C6866" t="s">
        <v>103</v>
      </c>
      <c r="D6866" t="s">
        <v>312</v>
      </c>
    </row>
    <row r="6867" spans="2:4" x14ac:dyDescent="0.25">
      <c r="B6867" t="str">
        <f>HYPERLINK("https://www.chemistwarehouse.com.au/buy/34484/Huggies-Baby-Wipes-Unscented-80-Refill"," Huggies Baby Wipes Unscented 80 Refill")</f>
        <v xml:space="preserve"> Huggies Baby Wipes Unscented 80 Refill</v>
      </c>
      <c r="C6867" t="s">
        <v>556</v>
      </c>
      <c r="D6867" t="s">
        <v>776</v>
      </c>
    </row>
    <row r="6868" spans="2:4" x14ac:dyDescent="0.25">
      <c r="B6868" t="str">
        <f>HYPERLINK("https://www.chemistwarehouse.com.au/buy/56517/Huggies-Baby-Wipes-Unscented-Jumbo-Refill-240"," Huggies Baby Wipes Unscented Jumbo Refill 240")</f>
        <v xml:space="preserve"> Huggies Baby Wipes Unscented Jumbo Refill 240</v>
      </c>
      <c r="C6868" t="s">
        <v>202</v>
      </c>
      <c r="D6868" t="s">
        <v>725</v>
      </c>
    </row>
    <row r="6869" spans="2:4" x14ac:dyDescent="0.25">
      <c r="B6869" t="str">
        <f>HYPERLINK("https://www.chemistwarehouse.com.au/buy/65257/Wet-Ones-Be-Gentle-15-Travel-Pack"," Wet Ones Be Gentle 15 Travel Pack ")</f>
        <v xml:space="preserve"> Wet Ones Be Gentle 15 Travel Pack </v>
      </c>
      <c r="C6869" t="s">
        <v>635</v>
      </c>
      <c r="D6869">
        <v>0</v>
      </c>
    </row>
    <row r="6870" spans="2:4" x14ac:dyDescent="0.25">
      <c r="B6870" t="str">
        <f>HYPERLINK("https://www.chemistwarehouse.com.au/buy/79451/Goat-Bamboo-Wet-Wipes-240-Pack"," Goat Bamboo Wet Wipes 240 Pack")</f>
        <v xml:space="preserve"> Goat Bamboo Wet Wipes 240 Pack</v>
      </c>
      <c r="C6870" t="s">
        <v>80</v>
      </c>
      <c r="D6870">
        <v>0</v>
      </c>
    </row>
    <row r="6871" spans="2:4" x14ac:dyDescent="0.25">
      <c r="B6871" t="str">
        <f>HYPERLINK("https://www.chemistwarehouse.com.au/buy/80106/Tooshies-by-TOM-Organic-Baby-Wipes-Fragrance-Free-70-Pack"," Tooshies by TOM Organic  Baby Wipes Fragrance Free 70 Pack")</f>
        <v xml:space="preserve"> Tooshies by TOM Organic  Baby Wipes Fragrance Free 70 Pack</v>
      </c>
      <c r="C6871" t="s">
        <v>786</v>
      </c>
      <c r="D6871" t="s">
        <v>611</v>
      </c>
    </row>
    <row r="6872" spans="2:4" x14ac:dyDescent="0.25">
      <c r="B6872" t="str">
        <f>HYPERLINK("https://www.chemistwarehouse.com.au/buy/82500/WaterWipes-Value-Pack-4x60-Wipes"," WaterWipes Value Pack 4x60 Wipes")</f>
        <v xml:space="preserve"> WaterWipes Value Pack 4x60 Wipes</v>
      </c>
      <c r="C6872" t="s">
        <v>109</v>
      </c>
      <c r="D6872" t="s">
        <v>597</v>
      </c>
    </row>
    <row r="6873" spans="2:4" x14ac:dyDescent="0.25">
      <c r="B6873" t="str">
        <f>HYPERLINK("https://www.chemistwarehouse.com.au/buy/79834/Huggies-Coconut-Scented-80-Wipes"," Huggies Coconut Scented 80 Wipes")</f>
        <v xml:space="preserve"> Huggies Coconut Scented 80 Wipes</v>
      </c>
      <c r="C6873" t="s">
        <v>556</v>
      </c>
      <c r="D6873" t="s">
        <v>776</v>
      </c>
    </row>
    <row r="6874" spans="2:4" x14ac:dyDescent="0.25">
      <c r="B6874" t="str">
        <f>HYPERLINK("https://www.chemistwarehouse.com.au/buy/53349/Huggies-Baby-Wipes-Unscented-80-Tub"," Huggies Baby Wipes Unscented 80 Tub")</f>
        <v xml:space="preserve"> Huggies Baby Wipes Unscented 80 Tub</v>
      </c>
      <c r="C6874" t="s">
        <v>116</v>
      </c>
      <c r="D6874" t="s">
        <v>776</v>
      </c>
    </row>
    <row r="6875" spans="2:4" x14ac:dyDescent="0.25">
      <c r="B6875" t="str">
        <f>HYPERLINK("https://www.chemistwarehouse.com.au/buy/71412/Wet-Ones-Be-Fresh-80"," Wet Ones Be Fresh 80")</f>
        <v xml:space="preserve"> Wet Ones Be Fresh 80</v>
      </c>
      <c r="C6875" t="s">
        <v>483</v>
      </c>
      <c r="D6875" t="s">
        <v>371</v>
      </c>
    </row>
    <row r="6876" spans="2:4" x14ac:dyDescent="0.25">
      <c r="B6876" t="str">
        <f>HYPERLINK("https://www.chemistwarehouse.com.au/buy/58240/Gaia-Natural-Baby-Bamboo-Wipes-80"," Gaia Natural Baby Bamboo Wipes 80")</f>
        <v xml:space="preserve"> Gaia Natural Baby Bamboo Wipes 80</v>
      </c>
      <c r="C6876" t="s">
        <v>556</v>
      </c>
      <c r="D6876" t="s">
        <v>147</v>
      </c>
    </row>
    <row r="6877" spans="2:4" x14ac:dyDescent="0.25">
      <c r="B6877" t="str">
        <f>HYPERLINK("https://www.chemistwarehouse.com.au/buy/78808/Health-amp-Beauty-Baby-Wipes-3x80-Pack-Plastic-Lid"," Health &amp; Beauty Baby Wipes 3x80 Pack Plastic Lid")</f>
        <v xml:space="preserve"> Health &amp; Beauty Baby Wipes 3x80 Pack Plastic Lid</v>
      </c>
      <c r="C6877" t="s">
        <v>116</v>
      </c>
      <c r="D6877">
        <v>0</v>
      </c>
    </row>
    <row r="6878" spans="2:4" x14ac:dyDescent="0.25">
      <c r="B6878" t="str">
        <f>HYPERLINK("https://www.chemistwarehouse.com.au/buy/65727/Wet-Ones-Be-Gentle-40"," Wet Ones Be Gentle 40")</f>
        <v xml:space="preserve"> Wet Ones Be Gentle 40</v>
      </c>
      <c r="C6878" t="s">
        <v>146</v>
      </c>
      <c r="D6878" t="s">
        <v>725</v>
      </c>
    </row>
    <row r="6879" spans="2:4" x14ac:dyDescent="0.25">
      <c r="B6879" t="str">
        <f>HYPERLINK("https://www.chemistwarehouse.com.au/buy/66086/Wet-Ones-Be-Fresh-40"," Wet Ones Be Fresh 40")</f>
        <v xml:space="preserve"> Wet Ones Be Fresh 40</v>
      </c>
      <c r="C6879" t="s">
        <v>146</v>
      </c>
      <c r="D6879" t="s">
        <v>725</v>
      </c>
    </row>
    <row r="6880" spans="2:4" x14ac:dyDescent="0.25">
      <c r="B6880" t="str">
        <f>HYPERLINK("https://www.chemistwarehouse.com.au/buy/79452/Goat-Bamboo-Wet-Wipes-480-Pack"," Goat Bamboo Wet Wipes 480 Pack")</f>
        <v xml:space="preserve"> Goat Bamboo Wet Wipes 480 Pack</v>
      </c>
      <c r="C6880" t="s">
        <v>153</v>
      </c>
      <c r="D6880">
        <v>0</v>
      </c>
    </row>
    <row r="6881" spans="1:4" x14ac:dyDescent="0.25">
      <c r="B6881" t="str">
        <f>HYPERLINK("https://www.chemistwarehouse.com.au/buy/79453/Goat-Bamboo-Wet-Wipes-80-Pack"," Goat Bamboo Wet Wipes 80 Pack")</f>
        <v xml:space="preserve"> Goat Bamboo Wet Wipes 80 Pack</v>
      </c>
      <c r="C6881" t="s">
        <v>483</v>
      </c>
      <c r="D6881">
        <v>0</v>
      </c>
    </row>
    <row r="6882" spans="1:4" x14ac:dyDescent="0.25">
      <c r="B6882" t="str">
        <f>HYPERLINK("https://www.chemistwarehouse.com.au/buy/79555/SIDS-and-Kids-Red-Nose-Toddler-Flushables-40-Wipes"," SIDS and Kids Red Nose Toddler Flushables 40 Wipes")</f>
        <v xml:space="preserve"> SIDS and Kids Red Nose Toddler Flushables 40 Wipes</v>
      </c>
      <c r="C6882" t="s">
        <v>399</v>
      </c>
      <c r="D6882" t="s">
        <v>781</v>
      </c>
    </row>
    <row r="6883" spans="1:4" x14ac:dyDescent="0.25">
      <c r="A6883" t="s">
        <v>1677</v>
      </c>
    </row>
    <row r="6884" spans="1:4" x14ac:dyDescent="0.25">
      <c r="B6884" t="str">
        <f>HYPERLINK("https://www.chemistwarehouse.com.au/buy/63092/Aptamil-Gold-1-Infant-Formula-0-6-Months-900g"," Aptamil Gold+ 1 Infant Formula 0-6 Months 900g")</f>
        <v xml:space="preserve"> Aptamil Gold+ 1 Infant Formula 0-6 Months 900g</v>
      </c>
      <c r="C6884" t="s">
        <v>316</v>
      </c>
      <c r="D6884" t="s">
        <v>776</v>
      </c>
    </row>
    <row r="6885" spans="1:4" x14ac:dyDescent="0.25">
      <c r="A6885" t="s">
        <v>1678</v>
      </c>
    </row>
    <row r="6886" spans="1:4" x14ac:dyDescent="0.25">
      <c r="B6886" t="str">
        <f>HYPERLINK("https://www.chemistwarehouse.com.au/buy/68814/Karicare-Aptamil-Gold-2-AllerPro-Follow-On-Formula-6-12-Months-900g"," Karicare Aptamil Gold+ 2 AllerPro Follow-On Formula 6-12 Months 900g")</f>
        <v xml:space="preserve"> Karicare Aptamil Gold+ 2 AllerPro Follow-On Formula 6-12 Months 900g</v>
      </c>
      <c r="C6886" t="s">
        <v>313</v>
      </c>
      <c r="D6886" t="s">
        <v>776</v>
      </c>
    </row>
    <row r="6887" spans="1:4" x14ac:dyDescent="0.25">
      <c r="B6887" t="str">
        <f>HYPERLINK("https://www.chemistwarehouse.com.au/buy/63093/Aptamil-Gold-2-Follow-On-Formula-6-12-Months-900g"," Aptamil Gold+ 2 Follow-On Formula 6-12 Months 900g")</f>
        <v xml:space="preserve"> Aptamil Gold+ 2 Follow-On Formula 6-12 Months 900g</v>
      </c>
      <c r="C6887" t="s">
        <v>316</v>
      </c>
      <c r="D6887" t="s">
        <v>776</v>
      </c>
    </row>
    <row r="6888" spans="1:4" x14ac:dyDescent="0.25">
      <c r="A6888" t="s">
        <v>1679</v>
      </c>
    </row>
    <row r="6889" spans="1:4" x14ac:dyDescent="0.25">
      <c r="B6889" t="str">
        <f>HYPERLINK("https://www.chemistwarehouse.com.au/buy/63148/Aptamil-Gold-3-Toddler-Nutritional-Supplement-From-1-year-900g"," Aptamil Gold+ 3 Toddler Nutritional Supplement From 1 year 900g")</f>
        <v xml:space="preserve"> Aptamil Gold+ 3 Toddler Nutritional Supplement From 1 year 900g</v>
      </c>
      <c r="C6889" t="s">
        <v>1</v>
      </c>
      <c r="D6889" t="s">
        <v>371</v>
      </c>
    </row>
    <row r="6890" spans="1:4" x14ac:dyDescent="0.25">
      <c r="B6890" t="str">
        <f>HYPERLINK("https://www.chemistwarehouse.com.au/buy/63150/Aptamil-Gold-4-Junior-Nutritional-Supplement-From-2-years-900g"," Aptamil Gold+ 4 Junior Nutritional Supplement From 2 years 900g")</f>
        <v xml:space="preserve"> Aptamil Gold+ 4 Junior Nutritional Supplement From 2 years 900g</v>
      </c>
      <c r="C6890" t="s">
        <v>1</v>
      </c>
      <c r="D6890" t="s">
        <v>371</v>
      </c>
    </row>
    <row r="6891" spans="1:4" x14ac:dyDescent="0.25">
      <c r="A6891" t="s">
        <v>1680</v>
      </c>
    </row>
    <row r="6892" spans="1:4" x14ac:dyDescent="0.25">
      <c r="B6892" t="str">
        <f>HYPERLINK("https://www.chemistwarehouse.com.au/buy/63149/Karicare-Aptamil-Gold-HA-Infant-Formula-From-Birth-0-12-Months-900g"," Karicare Aptamil Gold+ HA Infant Formula From Birth 0-12 Months 900g")</f>
        <v xml:space="preserve"> Karicare Aptamil Gold+ HA Infant Formula From Birth 0-12 Months 900g</v>
      </c>
      <c r="C6892" t="s">
        <v>316</v>
      </c>
      <c r="D6892" t="s">
        <v>776</v>
      </c>
    </row>
    <row r="6893" spans="1:4" x14ac:dyDescent="0.25">
      <c r="B6893" t="str">
        <f>HYPERLINK("https://www.chemistwarehouse.com.au/buy/65557/Karicare-Aptamil-Feed-Thickener-380g"," Karicare Aptamil Feed Thickener 380g")</f>
        <v xml:space="preserve"> Karicare Aptamil Feed Thickener 380g</v>
      </c>
      <c r="C6893" t="s">
        <v>407</v>
      </c>
      <c r="D6893" t="s">
        <v>776</v>
      </c>
    </row>
    <row r="6894" spans="1:4" x14ac:dyDescent="0.25">
      <c r="B6894" t="str">
        <f>HYPERLINK("https://www.chemistwarehouse.com.au/buy/66535/Karicare-Aptamil-AR-Thickened-Infant-Formula-From-Birth-0-12-Months-900g"," Karicare Aptamil AR Thickened Infant Formula From Birth 0-12 Months 900g")</f>
        <v xml:space="preserve"> Karicare Aptamil AR Thickened Infant Formula From Birth 0-12 Months 900g</v>
      </c>
      <c r="C6894" t="s">
        <v>153</v>
      </c>
      <c r="D6894" t="s">
        <v>115</v>
      </c>
    </row>
    <row r="6895" spans="1:4" x14ac:dyDescent="0.25">
      <c r="B6895" t="str">
        <f>HYPERLINK("https://www.chemistwarehouse.com.au/buy/68813/Karicare-Aptamil-Gold-1-AllerPro-Infant-Formula-From-Birth-0-6-Months-900g"," Karicare Aptamil Gold+ 1 AllerPro Infant Formula From Birth 0-6 Months 900g")</f>
        <v xml:space="preserve"> Karicare Aptamil Gold+ 1 AllerPro Infant Formula From Birth 0-6 Months 900g</v>
      </c>
      <c r="C6895" t="s">
        <v>313</v>
      </c>
      <c r="D6895" t="s">
        <v>776</v>
      </c>
    </row>
    <row r="6896" spans="1:4" x14ac:dyDescent="0.25">
      <c r="B6896" t="str">
        <f>HYPERLINK("https://www.chemistwarehouse.com.au/buy/68815/Karicare-Aptamil-Gold-De-Lact-Lactose-Free-Infant-Formula-From-Birth-0-12-Months-900g"," Karicare Aptamil Gold De-Lact Lactose Free Infant Formula From Birth 0-12 Months 900g")</f>
        <v xml:space="preserve"> Karicare Aptamil Gold De-Lact Lactose Free Infant Formula From Birth 0-12 Months 900g</v>
      </c>
      <c r="C6896" t="s">
        <v>401</v>
      </c>
      <c r="D6896" t="s">
        <v>776</v>
      </c>
    </row>
    <row r="6897" spans="1:4" x14ac:dyDescent="0.25">
      <c r="A6897" t="s">
        <v>1681</v>
      </c>
    </row>
    <row r="6898" spans="1:4" x14ac:dyDescent="0.25">
      <c r="B6898" t="str">
        <f>HYPERLINK("https://www.chemistwarehouse.com.au/buy/77679/S26-Gold-Junior-900g"," S26 Gold Junior 900g")</f>
        <v xml:space="preserve"> S26 Gold Junior 900g</v>
      </c>
      <c r="C6898" t="s">
        <v>224</v>
      </c>
      <c r="D6898" t="s">
        <v>776</v>
      </c>
    </row>
    <row r="6899" spans="1:4" x14ac:dyDescent="0.25">
      <c r="B6899" t="str">
        <f>HYPERLINK("https://www.chemistwarehouse.com.au/buy/77678/S26-Gold-Toddler-900g"," S26 Gold Toddler 900g")</f>
        <v xml:space="preserve"> S26 Gold Toddler 900g</v>
      </c>
      <c r="C6899" t="s">
        <v>224</v>
      </c>
      <c r="D6899" t="s">
        <v>776</v>
      </c>
    </row>
    <row r="6900" spans="1:4" x14ac:dyDescent="0.25">
      <c r="B6900" t="str">
        <f>HYPERLINK("https://www.chemistwarehouse.com.au/buy/77676/S26-Gold-Newborn-Step-1-Formula-900g"," S26 Gold Newborn Step 1 Formula 900g")</f>
        <v xml:space="preserve"> S26 Gold Newborn Step 1 Formula 900g</v>
      </c>
      <c r="C6900" t="s">
        <v>125</v>
      </c>
      <c r="D6900" t="s">
        <v>371</v>
      </c>
    </row>
    <row r="6901" spans="1:4" x14ac:dyDescent="0.25">
      <c r="B6901" t="str">
        <f>HYPERLINK("https://www.chemistwarehouse.com.au/buy/77677/S26-Gold-Progress-900g"," S26 Gold Progress 900g")</f>
        <v xml:space="preserve"> S26 Gold Progress 900g</v>
      </c>
      <c r="C6901" t="s">
        <v>125</v>
      </c>
      <c r="D6901" t="s">
        <v>371</v>
      </c>
    </row>
    <row r="6902" spans="1:4" x14ac:dyDescent="0.25">
      <c r="B6902" t="str">
        <f>HYPERLINK("https://www.chemistwarehouse.com.au/buy/77680/S26-Gold-Newborn-Stick-Pack-6-X-17g"," S26 Gold Newborn Stick Pack 6 X 17g")</f>
        <v xml:space="preserve"> S26 Gold Newborn Stick Pack 6 X 17g</v>
      </c>
      <c r="C6902" t="s">
        <v>375</v>
      </c>
      <c r="D6902" t="s">
        <v>776</v>
      </c>
    </row>
    <row r="6903" spans="1:4" x14ac:dyDescent="0.25">
      <c r="B6903" t="str">
        <f>HYPERLINK("https://www.chemistwarehouse.com.au/buy/55528/S26-LF-Formula-900g"," S26 LF Formula 900g")</f>
        <v xml:space="preserve"> S26 LF Formula 900g</v>
      </c>
      <c r="C6903" t="s">
        <v>1</v>
      </c>
      <c r="D6903">
        <v>0</v>
      </c>
    </row>
    <row r="6904" spans="1:4" x14ac:dyDescent="0.25">
      <c r="B6904" t="str">
        <f>HYPERLINK("https://www.chemistwarehouse.com.au/buy/56508/S26-Newborn-Formula-900g"," S26 Newborn Formula 900g")</f>
        <v xml:space="preserve"> S26 Newborn Formula 900g</v>
      </c>
      <c r="C6904" t="s">
        <v>63</v>
      </c>
      <c r="D6904" t="s">
        <v>371</v>
      </c>
    </row>
    <row r="6905" spans="1:4" x14ac:dyDescent="0.25">
      <c r="B6905" t="str">
        <f>HYPERLINK("https://www.chemistwarehouse.com.au/buy/56509/S26-Progress-Formula-900g"," S26 Progress Formula 900g")</f>
        <v xml:space="preserve"> S26 Progress Formula 900g</v>
      </c>
      <c r="C6905" t="s">
        <v>63</v>
      </c>
      <c r="D6905" t="s">
        <v>371</v>
      </c>
    </row>
    <row r="6906" spans="1:4" x14ac:dyDescent="0.25">
      <c r="B6906" t="str">
        <f>HYPERLINK("https://www.chemistwarehouse.com.au/buy/65411/S26-Gold-Soy-900g"," S26 Gold Soy 900g")</f>
        <v xml:space="preserve"> S26 Gold Soy 900g</v>
      </c>
      <c r="C6906" t="s">
        <v>316</v>
      </c>
      <c r="D6906" t="s">
        <v>776</v>
      </c>
    </row>
    <row r="6907" spans="1:4" x14ac:dyDescent="0.25">
      <c r="B6907" t="str">
        <f>HYPERLINK("https://www.chemistwarehouse.com.au/buy/65830/S26-Gold-AR-Anti-Reflux-Formula-900g"," S26 Gold AR Anti Reflux Formula 900g")</f>
        <v xml:space="preserve"> S26 Gold AR Anti Reflux Formula 900g</v>
      </c>
      <c r="C6907" t="s">
        <v>316</v>
      </c>
      <c r="D6907" t="s">
        <v>776</v>
      </c>
    </row>
    <row r="6908" spans="1:4" x14ac:dyDescent="0.25">
      <c r="B6908" t="str">
        <f>HYPERLINK("https://www.chemistwarehouse.com.au/buy/65831/S26-Gold-LF-Lactose-Free-Formula-900G"," S26 Gold LF Lactose Free Formula 900G")</f>
        <v xml:space="preserve"> S26 Gold LF Lactose Free Formula 900G</v>
      </c>
      <c r="C6908" t="s">
        <v>316</v>
      </c>
      <c r="D6908" t="s">
        <v>776</v>
      </c>
    </row>
    <row r="6909" spans="1:4" x14ac:dyDescent="0.25">
      <c r="B6909" t="str">
        <f>HYPERLINK("https://www.chemistwarehouse.com.au/buy/68816/S26-Gold-Comfort-850g"," S26 Gold Comfort 850g")</f>
        <v xml:space="preserve"> S26 Gold Comfort 850g</v>
      </c>
      <c r="C6909" t="s">
        <v>304</v>
      </c>
      <c r="D6909" t="s">
        <v>776</v>
      </c>
    </row>
    <row r="6910" spans="1:4" x14ac:dyDescent="0.25">
      <c r="B6910" t="str">
        <f>HYPERLINK("https://www.chemistwarehouse.com.au/buy/77681/S26-Gold-Progress-Stick-Pack-4-X-26G"," S26 Gold Progress Stick Pack 4 X 26G")</f>
        <v xml:space="preserve"> S26 Gold Progress Stick Pack 4 X 26G</v>
      </c>
      <c r="C6910" t="s">
        <v>375</v>
      </c>
      <c r="D6910" t="s">
        <v>776</v>
      </c>
    </row>
    <row r="6911" spans="1:4" x14ac:dyDescent="0.25">
      <c r="B6911" t="str">
        <f>HYPERLINK("https://www.chemistwarehouse.com.au/buy/77682/S26-Gold-Toddler-Stick-Pack-4-X-30g"," S26 Gold Toddler Stick Pack 4 X 30g")</f>
        <v xml:space="preserve"> S26 Gold Toddler Stick Pack 4 X 30g</v>
      </c>
      <c r="C6911" t="s">
        <v>326</v>
      </c>
      <c r="D6911" t="s">
        <v>327</v>
      </c>
    </row>
    <row r="6912" spans="1:4" x14ac:dyDescent="0.25">
      <c r="A6912" t="s">
        <v>1682</v>
      </c>
    </row>
    <row r="6913" spans="1:4" x14ac:dyDescent="0.25">
      <c r="B6913" t="str">
        <f>HYPERLINK("https://www.chemistwarehouse.com.au/buy/78811/NAN-Optipro-Formula-HA-3-Gold-800g"," NAN Optipro Formula HA 3 Gold 800g")</f>
        <v xml:space="preserve"> NAN Optipro Formula HA 3 Gold 800g</v>
      </c>
      <c r="C6913" t="s">
        <v>173</v>
      </c>
      <c r="D6913" t="s">
        <v>371</v>
      </c>
    </row>
    <row r="6914" spans="1:4" x14ac:dyDescent="0.25">
      <c r="B6914" t="str">
        <f>HYPERLINK("https://www.chemistwarehouse.com.au/buy/78810/NAN-Optipro-Formula-HA-2-Gold-800g"," NAN Optipro Formula HA 2 Gold 800g")</f>
        <v xml:space="preserve"> NAN Optipro Formula HA 2 Gold 800g</v>
      </c>
      <c r="C6914" t="s">
        <v>297</v>
      </c>
      <c r="D6914" t="s">
        <v>371</v>
      </c>
    </row>
    <row r="6915" spans="1:4" x14ac:dyDescent="0.25">
      <c r="B6915" t="str">
        <f>HYPERLINK("https://www.chemistwarehouse.com.au/buy/72568/Nan-L-I-Lactose-Intolerance-400g"," Nan L.I Lactose Intolerance 400g")</f>
        <v xml:space="preserve"> Nan L.I Lactose Intolerance 400g</v>
      </c>
      <c r="C6915" t="s">
        <v>290</v>
      </c>
      <c r="D6915" t="s">
        <v>731</v>
      </c>
    </row>
    <row r="6916" spans="1:4" x14ac:dyDescent="0.25">
      <c r="B6916" t="str">
        <f>HYPERLINK("https://www.chemistwarehouse.com.au/buy/78809/NAN-Optipro-Formula-HA-1-Gold-800g"," NAN Optipro Formula HA 1 Gold 800g")</f>
        <v xml:space="preserve"> NAN Optipro Formula HA 1 Gold 800g</v>
      </c>
      <c r="C6916" t="s">
        <v>297</v>
      </c>
      <c r="D6916" t="s">
        <v>371</v>
      </c>
    </row>
    <row r="6917" spans="1:4" x14ac:dyDescent="0.25">
      <c r="B6917" t="str">
        <f>HYPERLINK("https://www.chemistwarehouse.com.au/buy/63867/NAN-Pro-2-Gold-800g"," NAN Pro 2 Gold 800g")</f>
        <v xml:space="preserve"> NAN Pro 2 Gold 800g</v>
      </c>
      <c r="C6917" t="s">
        <v>173</v>
      </c>
      <c r="D6917" t="s">
        <v>115</v>
      </c>
    </row>
    <row r="6918" spans="1:4" x14ac:dyDescent="0.25">
      <c r="B6918" t="str">
        <f>HYPERLINK("https://www.chemistwarehouse.com.au/buy/63868/NAN-Pro-1-Gold-800g"," NAN Pro 1 Gold 800g")</f>
        <v xml:space="preserve"> NAN Pro 1 Gold 800g</v>
      </c>
      <c r="C6918" t="s">
        <v>173</v>
      </c>
      <c r="D6918" t="s">
        <v>115</v>
      </c>
    </row>
    <row r="6919" spans="1:4" x14ac:dyDescent="0.25">
      <c r="B6919" t="str">
        <f>HYPERLINK("https://www.chemistwarehouse.com.au/buy/66492/Nan-Pro-3-Toddler-800g"," Nan Pro 3 Toddler 800g")</f>
        <v xml:space="preserve"> Nan Pro 3 Toddler 800g</v>
      </c>
      <c r="C6919" t="s">
        <v>61</v>
      </c>
      <c r="D6919" t="s">
        <v>162</v>
      </c>
    </row>
    <row r="6920" spans="1:4" x14ac:dyDescent="0.25">
      <c r="B6920" t="str">
        <f>HYPERLINK("https://www.chemistwarehouse.com.au/buy/68468/NAN-Comfort-Formula-Step-2-800g"," NAN Comfort Formula Step 2 800g")</f>
        <v xml:space="preserve"> NAN Comfort Formula Step 2 800g</v>
      </c>
      <c r="C6920" t="s">
        <v>8</v>
      </c>
      <c r="D6920" t="s">
        <v>104</v>
      </c>
    </row>
    <row r="6921" spans="1:4" x14ac:dyDescent="0.25">
      <c r="B6921" t="str">
        <f>HYPERLINK("https://www.chemistwarehouse.com.au/buy/68469/NAN-Comfort-Formula-Step-1-800g"," NAN Comfort Formula Step 1 800g")</f>
        <v xml:space="preserve"> NAN Comfort Formula Step 1 800g</v>
      </c>
      <c r="C6921" t="s">
        <v>8</v>
      </c>
      <c r="D6921" t="s">
        <v>104</v>
      </c>
    </row>
    <row r="6922" spans="1:4" x14ac:dyDescent="0.25">
      <c r="B6922" t="str">
        <f>HYPERLINK("https://www.chemistwarehouse.com.au/buy/72567/NAN-AR-Formula-800g"," NAN AR Formula 800g")</f>
        <v xml:space="preserve"> NAN AR Formula 800g</v>
      </c>
      <c r="C6922" t="s">
        <v>153</v>
      </c>
      <c r="D6922" t="s">
        <v>371</v>
      </c>
    </row>
    <row r="6923" spans="1:4" x14ac:dyDescent="0.25">
      <c r="A6923" t="s">
        <v>1683</v>
      </c>
    </row>
    <row r="6924" spans="1:4" x14ac:dyDescent="0.25">
      <c r="B6924" t="str">
        <f>HYPERLINK("https://www.chemistwarehouse.com.au/buy/34362/Heinz-Nurture-Original-Follow-On-Formula-900g"," Heinz Nurture Original Follow-On Formula 900g")</f>
        <v xml:space="preserve"> Heinz Nurture Original Follow-On Formula 900g</v>
      </c>
      <c r="C6924" t="s">
        <v>105</v>
      </c>
      <c r="D6924" t="s">
        <v>611</v>
      </c>
    </row>
    <row r="6925" spans="1:4" x14ac:dyDescent="0.25">
      <c r="B6925" t="str">
        <f>HYPERLINK("https://www.chemistwarehouse.com.au/buy/41738/Heinz-Nurture-Gold-Starter-Formula-900g"," Heinz Nurture Gold Starter Formula 900g")</f>
        <v xml:space="preserve"> Heinz Nurture Gold Starter Formula 900g</v>
      </c>
      <c r="C6925" t="s">
        <v>61</v>
      </c>
      <c r="D6925" t="s">
        <v>281</v>
      </c>
    </row>
    <row r="6926" spans="1:4" x14ac:dyDescent="0.25">
      <c r="B6926" t="str">
        <f>HYPERLINK("https://www.chemistwarehouse.com.au/buy/55276/Heinz-Nurture-Original-Infant-Formula-900g"," Heinz Nurture Original Infant Formula 900g")</f>
        <v xml:space="preserve"> Heinz Nurture Original Infant Formula 900g</v>
      </c>
      <c r="C6926" t="s">
        <v>105</v>
      </c>
      <c r="D6926" t="s">
        <v>611</v>
      </c>
    </row>
    <row r="6927" spans="1:4" x14ac:dyDescent="0.25">
      <c r="B6927" t="str">
        <f>HYPERLINK("https://www.chemistwarehouse.com.au/buy/57002/Heinz-Nurture-Gold-Toddler-Formula-900g"," Heinz Nurture Gold Toddler Formula 900g")</f>
        <v xml:space="preserve"> Heinz Nurture Gold Toddler Formula 900g</v>
      </c>
      <c r="C6927" t="s">
        <v>202</v>
      </c>
      <c r="D6927" t="s">
        <v>115</v>
      </c>
    </row>
    <row r="6928" spans="1:4" x14ac:dyDescent="0.25">
      <c r="B6928" t="str">
        <f>HYPERLINK("https://www.chemistwarehouse.com.au/buy/58045/Heinz-Nurture-Gold-Follow-On-Formula-900g"," Heinz Nurture Gold Follow On Formula 900g")</f>
        <v xml:space="preserve"> Heinz Nurture Gold Follow On Formula 900g</v>
      </c>
      <c r="C6928" t="s">
        <v>61</v>
      </c>
      <c r="D6928" t="s">
        <v>281</v>
      </c>
    </row>
    <row r="6929" spans="1:4" x14ac:dyDescent="0.25">
      <c r="B6929" t="str">
        <f>HYPERLINK("https://www.chemistwarehouse.com.au/buy/58612/Heinz-Nurture-Original-Toddler-Formula-900g"," Heinz Nurture Original Toddler Formula 900g")</f>
        <v xml:space="preserve"> Heinz Nurture Original Toddler Formula 900g</v>
      </c>
      <c r="C6929" t="s">
        <v>443</v>
      </c>
      <c r="D6929" t="s">
        <v>611</v>
      </c>
    </row>
    <row r="6930" spans="1:4" x14ac:dyDescent="0.25">
      <c r="A6930" t="s">
        <v>1684</v>
      </c>
    </row>
    <row r="6931" spans="1:4" x14ac:dyDescent="0.25">
      <c r="B6931" t="str">
        <f>HYPERLINK("https://www.chemistwarehouse.com.au/buy/80004/Karicare-Goats-Milk-Toddler-Formula-From-1-Year-900g"," Karicare+ Goats Milk Toddler Formula From 1 Year 900g")</f>
        <v xml:space="preserve"> Karicare+ Goats Milk Toddler Formula From 1 Year 900g</v>
      </c>
      <c r="C6931" t="s">
        <v>273</v>
      </c>
      <c r="D6931" t="s">
        <v>371</v>
      </c>
    </row>
    <row r="6932" spans="1:4" x14ac:dyDescent="0.25">
      <c r="B6932" t="str">
        <f>HYPERLINK("https://www.chemistwarehouse.com.au/buy/67873/Karicare-4-Toddler-Growing-Up-Milk-From-2-years-900g"," Karicare+ 4 Toddler Growing Up Milk From 2 years 900g")</f>
        <v xml:space="preserve"> Karicare+ 4 Toddler Growing Up Milk From 2 years 900g</v>
      </c>
      <c r="C6932" t="s">
        <v>58</v>
      </c>
      <c r="D6932" t="s">
        <v>312</v>
      </c>
    </row>
    <row r="6933" spans="1:4" x14ac:dyDescent="0.25">
      <c r="B6933" t="str">
        <f>HYPERLINK("https://www.chemistwarehouse.com.au/buy/56696/Karicare-Soy-Milk-Infant-Formula-All-Ages-From-Birth-900g"," Karicare+ Soy Milk Infant Formula All Ages From Birth 900g")</f>
        <v xml:space="preserve"> Karicare+ Soy Milk Infant Formula All Ages From Birth 900g</v>
      </c>
      <c r="C6933" t="s">
        <v>1</v>
      </c>
      <c r="D6933" t="s">
        <v>104</v>
      </c>
    </row>
    <row r="6934" spans="1:4" x14ac:dyDescent="0.25">
      <c r="B6934" t="str">
        <f>HYPERLINK("https://www.chemistwarehouse.com.au/buy/67872/Karicare-3-Toddler-Growing-Up-Milk-From-1-year-900g"," Karicare+ 3 Toddler Growing Up Milk From 1 year 900g")</f>
        <v xml:space="preserve"> Karicare+ 3 Toddler Growing Up Milk From 1 year 900g</v>
      </c>
      <c r="C6934" t="s">
        <v>58</v>
      </c>
      <c r="D6934" t="s">
        <v>312</v>
      </c>
    </row>
    <row r="6935" spans="1:4" x14ac:dyDescent="0.25">
      <c r="B6935" t="str">
        <f>HYPERLINK("https://www.chemistwarehouse.com.au/buy/68394/Karicare-1-Infant-Formula-From-Birth-0-6-Months-900g"," Karicare+ 1 Infant Formula From Birth 0-6 Months 900g")</f>
        <v xml:space="preserve"> Karicare+ 1 Infant Formula From Birth 0-6 Months 900g</v>
      </c>
      <c r="C6935" t="s">
        <v>224</v>
      </c>
      <c r="D6935" t="s">
        <v>776</v>
      </c>
    </row>
    <row r="6936" spans="1:4" x14ac:dyDescent="0.25">
      <c r="B6936" t="str">
        <f>HYPERLINK("https://www.chemistwarehouse.com.au/buy/68395/Karicare-2-Follow-On-Formula-From-6-months-900g"," Karicare+ 2 Follow-On Formula From 6 months 900g")</f>
        <v xml:space="preserve"> Karicare+ 2 Follow-On Formula From 6 months 900g</v>
      </c>
      <c r="C6936" t="s">
        <v>224</v>
      </c>
      <c r="D6936" t="s">
        <v>776</v>
      </c>
    </row>
    <row r="6937" spans="1:4" x14ac:dyDescent="0.25">
      <c r="B6937" t="str">
        <f>HYPERLINK("https://www.chemistwarehouse.com.au/buy/53353/Karicare-Goats-39-Milk-Follow-On-Formula-From-6-months-900g"," Karicare+ Goats' Milk Follow-On Formula From 6 months 900g")</f>
        <v xml:space="preserve"> Karicare+ Goats' Milk Follow-On Formula From 6 months 900g</v>
      </c>
      <c r="C6937" t="s">
        <v>273</v>
      </c>
      <c r="D6937" t="s">
        <v>371</v>
      </c>
    </row>
    <row r="6938" spans="1:4" x14ac:dyDescent="0.25">
      <c r="B6938" t="str">
        <f>HYPERLINK("https://www.chemistwarehouse.com.au/buy/55112/Karicare-Goats-39-Milk-Infant-Formula-From-Birth-0-6-Months-900g"," Karicare+ Goats' Milk Infant Formula From Birth 0-6 Months 900g")</f>
        <v xml:space="preserve"> Karicare+ Goats' Milk Infant Formula From Birth 0-6 Months 900g</v>
      </c>
      <c r="C6938" t="s">
        <v>273</v>
      </c>
      <c r="D6938" t="s">
        <v>371</v>
      </c>
    </row>
    <row r="6939" spans="1:4" x14ac:dyDescent="0.25">
      <c r="A6939" t="s">
        <v>1685</v>
      </c>
    </row>
    <row r="6940" spans="1:4" x14ac:dyDescent="0.25">
      <c r="B6940" t="str">
        <f>HYPERLINK("https://www.chemistwarehouse.com.au/buy/66326/Neocate-Gold-400g"," Neocate Gold 400g")</f>
        <v xml:space="preserve"> Neocate Gold 400g</v>
      </c>
      <c r="C6940" t="s">
        <v>331</v>
      </c>
      <c r="D6940">
        <v>0</v>
      </c>
    </row>
    <row r="6941" spans="1:4" x14ac:dyDescent="0.25">
      <c r="A6941" t="s">
        <v>1686</v>
      </c>
    </row>
    <row r="6942" spans="1:4" x14ac:dyDescent="0.25">
      <c r="B6942" t="str">
        <f>HYPERLINK("https://www.chemistwarehouse.com.au/buy/57205/Novalac-AR-Reflux-Formula-800g"," Novalac AR Reflux Formula 800g")</f>
        <v xml:space="preserve"> Novalac AR Reflux Formula 800g</v>
      </c>
      <c r="C6942" t="s">
        <v>279</v>
      </c>
      <c r="D6942" t="s">
        <v>1502</v>
      </c>
    </row>
    <row r="6943" spans="1:4" x14ac:dyDescent="0.25">
      <c r="B6943" t="str">
        <f>HYPERLINK("https://www.chemistwarehouse.com.au/buy/50003/Novalac-SD-Sweet-Dreams-Infant-Formula-800g"," Novalac SD Sweet Dreams Infant Formula 800g")</f>
        <v xml:space="preserve"> Novalac SD Sweet Dreams Infant Formula 800g</v>
      </c>
      <c r="C6943" t="s">
        <v>297</v>
      </c>
      <c r="D6943" t="s">
        <v>738</v>
      </c>
    </row>
    <row r="6944" spans="1:4" x14ac:dyDescent="0.25">
      <c r="B6944" t="str">
        <f>HYPERLINK("https://www.chemistwarehouse.com.au/buy/50004/Novalac-AC-Colic-Infant-Formula-800g"," Novalac AC Colic Infant Formula 800g")</f>
        <v xml:space="preserve"> Novalac AC Colic Infant Formula 800g</v>
      </c>
      <c r="C6944" t="s">
        <v>297</v>
      </c>
      <c r="D6944" t="s">
        <v>738</v>
      </c>
    </row>
    <row r="6945" spans="1:4" x14ac:dyDescent="0.25">
      <c r="B6945" t="str">
        <f>HYPERLINK("https://www.chemistwarehouse.com.au/buy/50005/Novalac-IT-Constipation-Infant-Formula-800g"," Novalac IT Constipation Infant Formula 800g")</f>
        <v xml:space="preserve"> Novalac IT Constipation Infant Formula 800g</v>
      </c>
      <c r="C6945" t="s">
        <v>297</v>
      </c>
      <c r="D6945" t="s">
        <v>738</v>
      </c>
    </row>
    <row r="6946" spans="1:4" x14ac:dyDescent="0.25">
      <c r="B6946" t="str">
        <f>HYPERLINK("https://www.chemistwarehouse.com.au/buy/80696/Novalac-Allergy-800g"," Novalac Allergy 800g")</f>
        <v xml:space="preserve"> Novalac Allergy 800g</v>
      </c>
      <c r="C6946" t="s">
        <v>273</v>
      </c>
      <c r="D6946" t="s">
        <v>150</v>
      </c>
    </row>
    <row r="6947" spans="1:4" x14ac:dyDescent="0.25">
      <c r="A6947" t="s">
        <v>1687</v>
      </c>
    </row>
    <row r="6948" spans="1:4" x14ac:dyDescent="0.25">
      <c r="B6948" t="str">
        <f>HYPERLINK("https://www.chemistwarehouse.com.au/buy/68556/Bellamy-39-s-Organic-Toddler-Drink-900g"," Bellamy's Organic Toddler Drink 900g")</f>
        <v xml:space="preserve"> Bellamy's Organic Toddler Drink 900g</v>
      </c>
      <c r="C6948" t="s">
        <v>10</v>
      </c>
      <c r="D6948" t="s">
        <v>597</v>
      </c>
    </row>
    <row r="6949" spans="1:4" x14ac:dyDescent="0.25">
      <c r="B6949" t="str">
        <f>HYPERLINK("https://www.chemistwarehouse.com.au/buy/68551/Bellamy-39-s-Organic-Infant-Formula-900g"," Bellamy's Organic Infant Formula 900g")</f>
        <v xml:space="preserve"> Bellamy's Organic Infant Formula 900g</v>
      </c>
      <c r="C6949" t="s">
        <v>109</v>
      </c>
      <c r="D6949" t="s">
        <v>158</v>
      </c>
    </row>
    <row r="6950" spans="1:4" x14ac:dyDescent="0.25">
      <c r="B6950" t="str">
        <f>HYPERLINK("https://www.chemistwarehouse.com.au/buy/68550/Bellamy-39-s-Organic-Follow-On-Formula-900g"," Bellamy's Organic Follow On Formula 900g")</f>
        <v xml:space="preserve"> Bellamy's Organic Follow On Formula 900g</v>
      </c>
      <c r="C6950" t="s">
        <v>109</v>
      </c>
      <c r="D6950" t="s">
        <v>158</v>
      </c>
    </row>
    <row r="6951" spans="1:4" x14ac:dyDescent="0.25">
      <c r="A6951" t="s">
        <v>1688</v>
      </c>
    </row>
    <row r="6952" spans="1:4" x14ac:dyDescent="0.25">
      <c r="B6952" t="str">
        <f>HYPERLINK("https://www.chemistwarehouse.com.au/buy/68820/SMA-Infant-Formula-900g"," SMA Infant Formula 900g")</f>
        <v xml:space="preserve"> SMA Infant Formula 900g</v>
      </c>
      <c r="C6952" t="s">
        <v>45</v>
      </c>
      <c r="D6952" t="s">
        <v>162</v>
      </c>
    </row>
    <row r="6953" spans="1:4" x14ac:dyDescent="0.25">
      <c r="A6953" t="s">
        <v>1689</v>
      </c>
    </row>
    <row r="6954" spans="1:4" x14ac:dyDescent="0.25">
      <c r="B6954" t="str">
        <f>HYPERLINK("https://www.chemistwarehouse.com.au/buy/69965/A2-Follow-On-Formula-Stage-2-900g"," A2 Follow On Formula Stage 2 900g")</f>
        <v xml:space="preserve"> A2 Follow On Formula Stage 2 900g</v>
      </c>
      <c r="C6954" t="s">
        <v>111</v>
      </c>
      <c r="D6954" t="s">
        <v>624</v>
      </c>
    </row>
    <row r="6955" spans="1:4" x14ac:dyDescent="0.25">
      <c r="B6955" t="str">
        <f>HYPERLINK("https://www.chemistwarehouse.com.au/buy/69966/A2-Infant-Formula-Stage-1-900g"," A2 Infant Formula Stage 1 900g")</f>
        <v xml:space="preserve"> A2 Infant Formula Stage 1 900g</v>
      </c>
      <c r="C6955" t="s">
        <v>111</v>
      </c>
      <c r="D6955" t="s">
        <v>624</v>
      </c>
    </row>
    <row r="6956" spans="1:4" x14ac:dyDescent="0.25">
      <c r="B6956" t="str">
        <f>HYPERLINK("https://www.chemistwarehouse.com.au/buy/69967/A2-Premium-Toddler-Stage-3-900g"," A2 Premium Toddler Stage 3 900g")</f>
        <v xml:space="preserve"> A2 Premium Toddler Stage 3 900g</v>
      </c>
      <c r="C6956" t="s">
        <v>125</v>
      </c>
      <c r="D6956" t="s">
        <v>815</v>
      </c>
    </row>
    <row r="6957" spans="1:4" x14ac:dyDescent="0.25">
      <c r="A6957" t="s">
        <v>1690</v>
      </c>
    </row>
    <row r="6958" spans="1:4" x14ac:dyDescent="0.25">
      <c r="B6958" t="str">
        <f>HYPERLINK("https://www.chemistwarehouse.com.au/buy/77384/Nature-39-s-Way-Kids-Smart-Toddler-Stage-3-900g"," Nature's Way Kids Smart Toddler Stage 3 900g")</f>
        <v xml:space="preserve"> Nature's Way Kids Smart Toddler Stage 3 900g</v>
      </c>
      <c r="C6958" t="s">
        <v>45</v>
      </c>
      <c r="D6958" t="s">
        <v>81</v>
      </c>
    </row>
    <row r="6959" spans="1:4" x14ac:dyDescent="0.25">
      <c r="B6959" t="str">
        <f>HYPERLINK("https://www.chemistwarehouse.com.au/buy/77382/Nature-39-s-Way-Kids-Smart-Infant-Formula-Stage-1-900g"," Nature's Way Kids Smart Infant Formula Stage 1 900g")</f>
        <v xml:space="preserve"> Nature's Way Kids Smart Infant Formula Stage 1 900g</v>
      </c>
      <c r="C6959" t="s">
        <v>45</v>
      </c>
      <c r="D6959" t="s">
        <v>390</v>
      </c>
    </row>
    <row r="6960" spans="1:4" x14ac:dyDescent="0.25">
      <c r="B6960" t="str">
        <f>HYPERLINK("https://www.chemistwarehouse.com.au/buy/77383/Nature-39-s-Way-Kids-Smart-Follow-On-Formula-Stage-2-900g"," Nature's Way Kids Smart Follow On Formula Stage 2 900g")</f>
        <v xml:space="preserve"> Nature's Way Kids Smart Follow On Formula Stage 2 900g</v>
      </c>
      <c r="C6960" t="s">
        <v>45</v>
      </c>
      <c r="D6960" t="s">
        <v>390</v>
      </c>
    </row>
    <row r="6961" spans="1:4" x14ac:dyDescent="0.25">
      <c r="A6961" t="s">
        <v>1691</v>
      </c>
    </row>
    <row r="6962" spans="1:4" x14ac:dyDescent="0.25">
      <c r="B6962" t="str">
        <f>HYPERLINK("https://www.chemistwarehouse.com.au/buy/78394/Blackmores-Follow-On-Formula-900g"," Blackmores Follow On Formula 900g")</f>
        <v xml:space="preserve"> Blackmores Follow On Formula 900g</v>
      </c>
      <c r="C6962" t="s">
        <v>1</v>
      </c>
      <c r="D6962" t="s">
        <v>46</v>
      </c>
    </row>
    <row r="6963" spans="1:4" x14ac:dyDescent="0.25">
      <c r="B6963" t="str">
        <f>HYPERLINK("https://www.chemistwarehouse.com.au/buy/78395/Blackmores-Newborn-Formula-900g"," Blackmores Newborn Formula 900g")</f>
        <v xml:space="preserve"> Blackmores Newborn Formula 900g</v>
      </c>
      <c r="C6963" t="s">
        <v>1</v>
      </c>
      <c r="D6963" t="s">
        <v>46</v>
      </c>
    </row>
    <row r="6964" spans="1:4" x14ac:dyDescent="0.25">
      <c r="B6964" t="str">
        <f>HYPERLINK("https://www.chemistwarehouse.com.au/buy/78396/Blackmores-Toddler-Milk-Drink-900g"," Blackmores Toddler Milk Drink 900g")</f>
        <v xml:space="preserve"> Blackmores Toddler Milk Drink 900g</v>
      </c>
      <c r="C6964" t="s">
        <v>58</v>
      </c>
      <c r="D6964" t="s">
        <v>46</v>
      </c>
    </row>
    <row r="6965" spans="1:4" x14ac:dyDescent="0.25">
      <c r="A6965" t="s">
        <v>1692</v>
      </c>
    </row>
    <row r="6966" spans="1:4" x14ac:dyDescent="0.25">
      <c r="B6966" t="str">
        <f>HYPERLINK("https://www.chemistwarehouse.com.au/buy/79097/Opti-Gold-Follow-On-Formula-900g"," Opti Gold Follow On Formula 900g")</f>
        <v xml:space="preserve"> Opti Gold Follow On Formula 900g</v>
      </c>
      <c r="C6966" t="s">
        <v>61</v>
      </c>
      <c r="D6966">
        <v>0</v>
      </c>
    </row>
    <row r="6967" spans="1:4" x14ac:dyDescent="0.25">
      <c r="B6967" t="str">
        <f>HYPERLINK("https://www.chemistwarehouse.com.au/buy/79098/Opti-Gold-Infant-Formula-900g"," Opti Gold Infant Formula 900g")</f>
        <v xml:space="preserve"> Opti Gold Infant Formula 900g</v>
      </c>
      <c r="C6967" t="s">
        <v>61</v>
      </c>
      <c r="D6967">
        <v>0</v>
      </c>
    </row>
    <row r="6968" spans="1:4" x14ac:dyDescent="0.25">
      <c r="B6968" t="str">
        <f>HYPERLINK("https://www.chemistwarehouse.com.au/buy/79099/Opti-Gold-Toddler-Milk-Drink-900g"," Opti Gold Toddler Milk Drink 900g")</f>
        <v xml:space="preserve"> Opti Gold Toddler Milk Drink 900g</v>
      </c>
      <c r="C6968" t="s">
        <v>61</v>
      </c>
      <c r="D6968">
        <v>0</v>
      </c>
    </row>
    <row r="6969" spans="1:4" x14ac:dyDescent="0.25">
      <c r="A6969" t="s">
        <v>1693</v>
      </c>
    </row>
    <row r="6970" spans="1:4" x14ac:dyDescent="0.25">
      <c r="B6970" t="str">
        <f>HYPERLINK("https://www.chemistwarehouse.com.au/buy/82647/OLI6-Stage-1-Dairy-Goat-Infant-Formula-Online-Only"," OLI6 Stage 1 Dairy Goat Infant Formula Online Only")</f>
        <v xml:space="preserve"> OLI6 Stage 1 Dairy Goat Infant Formula Online Only</v>
      </c>
      <c r="C6970" t="s">
        <v>216</v>
      </c>
      <c r="D6970" t="s">
        <v>150</v>
      </c>
    </row>
    <row r="6971" spans="1:4" x14ac:dyDescent="0.25">
      <c r="B6971" t="str">
        <f>HYPERLINK("https://www.chemistwarehouse.com.au/buy/82648/OLI6-Stage-2-Dairy-Goat-Follow-On-Formula-Online-Only"," OLI6 Stage 2 Dairy Goat Follow On Formula Online Only")</f>
        <v xml:space="preserve"> OLI6 Stage 2 Dairy Goat Follow On Formula Online Only</v>
      </c>
      <c r="C6971" t="s">
        <v>216</v>
      </c>
      <c r="D6971" t="s">
        <v>150</v>
      </c>
    </row>
    <row r="6972" spans="1:4" x14ac:dyDescent="0.25">
      <c r="B6972" t="str">
        <f>HYPERLINK("https://www.chemistwarehouse.com.au/buy/82649/OLI6-Stage-3-Dairy-Goat-Toddler-Formula-Online-Only"," OLI6 Stage 3 Dairy Goat Toddler Formula Online Only")</f>
        <v xml:space="preserve"> OLI6 Stage 3 Dairy Goat Toddler Formula Online Only</v>
      </c>
      <c r="C6972" t="s">
        <v>216</v>
      </c>
      <c r="D6972" t="s">
        <v>150</v>
      </c>
    </row>
    <row r="6973" spans="1:4" x14ac:dyDescent="0.25">
      <c r="A6973" t="s">
        <v>1694</v>
      </c>
    </row>
    <row r="6974" spans="1:4" x14ac:dyDescent="0.25">
      <c r="B6974" t="str">
        <f>HYPERLINK("https://www.chemistwarehouse.com.au/buy/82709/Bubs-Goat-Follow-On-Formula-800g-Online-Only"," Bubs Goat Follow On Formula 800g Online Only")</f>
        <v xml:space="preserve"> Bubs Goat Follow On Formula 800g Online Only</v>
      </c>
      <c r="C6974" t="s">
        <v>864</v>
      </c>
      <c r="D6974" t="s">
        <v>325</v>
      </c>
    </row>
    <row r="6975" spans="1:4" x14ac:dyDescent="0.25">
      <c r="B6975" t="str">
        <f>HYPERLINK("https://www.chemistwarehouse.com.au/buy/82710/Bubs-Goat-Infant-Formula-800g-Online-Only"," Bubs Goat Infant Formula 800g Online Only")</f>
        <v xml:space="preserve"> Bubs Goat Infant Formula 800g Online Only</v>
      </c>
      <c r="C6975" t="s">
        <v>864</v>
      </c>
      <c r="D6975" t="s">
        <v>325</v>
      </c>
    </row>
    <row r="6976" spans="1:4" x14ac:dyDescent="0.25">
      <c r="B6976" t="str">
        <f>HYPERLINK("https://www.chemistwarehouse.com.au/buy/82711/Bubs-Goat-Toddler-Formula-800g-Online-Only"," Bubs Goat Toddler Formula 800g Online Only")</f>
        <v xml:space="preserve"> Bubs Goat Toddler Formula 800g Online Only</v>
      </c>
      <c r="C6976" t="s">
        <v>864</v>
      </c>
      <c r="D6976" t="s">
        <v>325</v>
      </c>
    </row>
    <row r="6977" spans="1:4" x14ac:dyDescent="0.25">
      <c r="A6977" t="s">
        <v>1695</v>
      </c>
    </row>
    <row r="6978" spans="1:4" x14ac:dyDescent="0.25">
      <c r="B6978" t="str">
        <f>HYPERLINK("https://www.chemistwarehouse.com.au/buy/5566/Centrum-Kids-Incremin-Iron-Mixture-Cherry-Flavour-200ml"," Centrum Kids Incremin Iron Mixture Cherry Flavour 200ml")</f>
        <v xml:space="preserve"> Centrum Kids Incremin Iron Mixture Cherry Flavour 200ml</v>
      </c>
      <c r="C6978" t="s">
        <v>58</v>
      </c>
      <c r="D6978" t="s">
        <v>169</v>
      </c>
    </row>
    <row r="6979" spans="1:4" x14ac:dyDescent="0.25">
      <c r="B6979" t="str">
        <f>HYPERLINK("https://www.chemistwarehouse.com.au/buy/51305/Bonjela-Mouth-Ulcer-Gel-15g"," Bonjela Mouth Ulcer Gel 15g")</f>
        <v xml:space="preserve"> Bonjela Mouth Ulcer Gel 15g</v>
      </c>
      <c r="C6979" t="s">
        <v>103</v>
      </c>
      <c r="D6979" t="s">
        <v>371</v>
      </c>
    </row>
    <row r="6980" spans="1:4" x14ac:dyDescent="0.25">
      <c r="B6980" t="str">
        <f>HYPERLINK("https://www.chemistwarehouse.com.au/buy/65511/Nurofen-for-Children-5-12-Years-Orange-200mL"," Nurofen for Children 5-12 Years Orange 200mL")</f>
        <v xml:space="preserve"> Nurofen for Children 5-12 Years Orange 200mL</v>
      </c>
      <c r="C6980" t="s">
        <v>63</v>
      </c>
      <c r="D6980">
        <v>0</v>
      </c>
    </row>
    <row r="6981" spans="1:4" x14ac:dyDescent="0.25">
      <c r="B6981" t="str">
        <f>HYPERLINK("https://www.chemistwarehouse.com.au/buy/65512/Nurofen-for-Children-5-12-Years-Strawberry-200mL"," Nurofen for Children 5-12 Years Strawberry 200mL")</f>
        <v xml:space="preserve"> Nurofen for Children 5-12 Years Strawberry 200mL</v>
      </c>
      <c r="C6981" t="s">
        <v>63</v>
      </c>
      <c r="D6981">
        <v>0</v>
      </c>
    </row>
    <row r="6982" spans="1:4" x14ac:dyDescent="0.25">
      <c r="B6982" t="str">
        <f>HYPERLINK("https://www.chemistwarehouse.com.au/buy/6262/Milton-Antibacterial-30-Tablets"," Milton Antibacterial 30 Tablets")</f>
        <v xml:space="preserve"> Milton Antibacterial 30 Tablets</v>
      </c>
      <c r="C6982" t="s">
        <v>554</v>
      </c>
      <c r="D6982" t="s">
        <v>318</v>
      </c>
    </row>
    <row r="6983" spans="1:4" x14ac:dyDescent="0.25">
      <c r="B6983" t="str">
        <f>HYPERLINK("https://www.chemistwarehouse.com.au/buy/55070/FLO-Baby-Saline-Nasal-Spray-15ml"," FLO Baby Saline + Nasal Spray 15ml")</f>
        <v xml:space="preserve"> FLO Baby Saline + Nasal Spray 15ml</v>
      </c>
      <c r="C6983" t="s">
        <v>107</v>
      </c>
      <c r="D6983" t="s">
        <v>329</v>
      </c>
    </row>
    <row r="6984" spans="1:4" x14ac:dyDescent="0.25">
      <c r="B6984" t="str">
        <f>HYPERLINK("https://www.chemistwarehouse.com.au/buy/68405/Little-Coughs-200ml"," Little Coughs 200ml")</f>
        <v xml:space="preserve"> Little Coughs 200ml</v>
      </c>
      <c r="C6984" t="s">
        <v>80</v>
      </c>
      <c r="D6984" t="s">
        <v>155</v>
      </c>
    </row>
    <row r="6985" spans="1:4" x14ac:dyDescent="0.25">
      <c r="B6985" t="str">
        <f>HYPERLINK("https://www.chemistwarehouse.com.au/buy/64476/Corams-Gripe-Water-200ml"," Corams Gripe Water 200ml")</f>
        <v xml:space="preserve"> Corams Gripe Water 200ml</v>
      </c>
      <c r="C6985" t="s">
        <v>92</v>
      </c>
      <c r="D6985" t="s">
        <v>150</v>
      </c>
    </row>
    <row r="6986" spans="1:4" x14ac:dyDescent="0.25">
      <c r="B6986" t="str">
        <f>HYPERLINK("https://www.chemistwarehouse.com.au/buy/67893/Prospan-Infant-Drops-20ml"," Prospan Infant Drops 20ml ")</f>
        <v xml:space="preserve"> Prospan Infant Drops 20ml </v>
      </c>
      <c r="C6986" t="s">
        <v>103</v>
      </c>
      <c r="D6986" t="s">
        <v>312</v>
      </c>
    </row>
    <row r="6987" spans="1:4" x14ac:dyDescent="0.25">
      <c r="B6987" t="str">
        <f>HYPERLINK("https://www.chemistwarehouse.com.au/buy/34606/Infacol-Wind-Drops-30mL"," Infacol Wind Drops 30mL")</f>
        <v xml:space="preserve"> Infacol Wind Drops 30mL</v>
      </c>
      <c r="C6987" t="s">
        <v>430</v>
      </c>
      <c r="D6987" t="s">
        <v>805</v>
      </c>
    </row>
    <row r="6988" spans="1:4" x14ac:dyDescent="0.25">
      <c r="B6988" t="str">
        <f>HYPERLINK("https://www.chemistwarehouse.com.au/buy/34607/Infants-Friend-100mL"," Infants Friend 100mL")</f>
        <v xml:space="preserve"> Infants Friend 100mL</v>
      </c>
      <c r="C6988" t="s">
        <v>211</v>
      </c>
      <c r="D6988" t="s">
        <v>400</v>
      </c>
    </row>
    <row r="6989" spans="1:4" x14ac:dyDescent="0.25">
      <c r="B6989" t="str">
        <f>HYPERLINK("https://www.chemistwarehouse.com.au/buy/32414/Bonjela-Teething-Gel-15g"," Bonjela Teething Gel 15g")</f>
        <v xml:space="preserve"> Bonjela Teething Gel 15g</v>
      </c>
      <c r="C6989" t="s">
        <v>103</v>
      </c>
      <c r="D6989" t="s">
        <v>371</v>
      </c>
    </row>
    <row r="6990" spans="1:4" x14ac:dyDescent="0.25">
      <c r="B6990" t="str">
        <f>HYPERLINK("https://www.chemistwarehouse.com.au/buy/34094/Gaviscon-Infant-Sachets-30-Doses"," Gaviscon Infant Sachets 30 Doses")</f>
        <v xml:space="preserve"> Gaviscon Infant Sachets 30 Doses</v>
      </c>
      <c r="C6990" t="s">
        <v>290</v>
      </c>
      <c r="D6990" t="s">
        <v>611</v>
      </c>
    </row>
    <row r="6991" spans="1:4" x14ac:dyDescent="0.25">
      <c r="B6991" t="str">
        <f>HYPERLINK("https://www.chemistwarehouse.com.au/buy/7087/Pentavite-Multivitamins-Liquid-with-Iron-100ml-Children-1-12-years"," Pentavite Multivitamins Liquid with Iron 100ml - Children 1-12 years")</f>
        <v xml:space="preserve"> Pentavite Multivitamins Liquid with Iron 100ml - Children 1-12 years</v>
      </c>
      <c r="C6991" t="s">
        <v>202</v>
      </c>
      <c r="D6991" t="s">
        <v>824</v>
      </c>
    </row>
    <row r="6992" spans="1:4" x14ac:dyDescent="0.25">
      <c r="B6992" t="str">
        <f>HYPERLINK("https://www.chemistwarehouse.com.au/buy/59321/Milton-Antibacterial-Solution-1-Litre"," Milton Antibacterial Solution 1 Litre")</f>
        <v xml:space="preserve"> Milton Antibacterial Solution 1 Litre</v>
      </c>
      <c r="C6992" t="s">
        <v>554</v>
      </c>
      <c r="D6992" t="s">
        <v>318</v>
      </c>
    </row>
    <row r="6993" spans="1:4" x14ac:dyDescent="0.25">
      <c r="B6993" t="str">
        <f>HYPERLINK("https://www.chemistwarehouse.com.au/buy/73163/Corams-Baby-Sleep-and-Calm-100mL"," Corams Baby Sleep and Calm 100mL")</f>
        <v xml:space="preserve"> Corams Baby Sleep and Calm 100mL</v>
      </c>
      <c r="C6993" t="s">
        <v>45</v>
      </c>
      <c r="D6993" t="s">
        <v>150</v>
      </c>
    </row>
    <row r="6994" spans="1:4" x14ac:dyDescent="0.25">
      <c r="B6994" t="str">
        <f>HYPERLINK("https://www.chemistwarehouse.com.au/buy/76269/Naturopathica-Gastrohealth-Probiotic-Baby-Drops-8ml"," Naturopathica Gastrohealth Probiotic Baby Drops 8ml")</f>
        <v xml:space="preserve"> Naturopathica Gastrohealth Probiotic Baby Drops 8ml</v>
      </c>
      <c r="C6994" t="s">
        <v>61</v>
      </c>
      <c r="D6994" t="s">
        <v>164</v>
      </c>
    </row>
    <row r="6995" spans="1:4" x14ac:dyDescent="0.25">
      <c r="A6995" t="s">
        <v>1696</v>
      </c>
    </row>
    <row r="6996" spans="1:4" x14ac:dyDescent="0.25">
      <c r="B6996" t="str">
        <f>HYPERLINK("https://www.chemistwarehouse.com.au/buy/65518/Rite-Aid-Hydrogel-Breast-Discs-12-Pack"," Rite Aid Hydrogel Breast Discs 12 Pack")</f>
        <v xml:space="preserve"> Rite Aid Hydrogel Breast Discs 12 Pack</v>
      </c>
      <c r="C6996" t="s">
        <v>242</v>
      </c>
      <c r="D6996" t="s">
        <v>327</v>
      </c>
    </row>
    <row r="6997" spans="1:4" x14ac:dyDescent="0.25">
      <c r="B6997" t="str">
        <f>HYPERLINK("https://www.chemistwarehouse.com.au/buy/73119/Medela-Purelan-100-37g"," Medela Purelan 100 37g")</f>
        <v xml:space="preserve"> Medela Purelan 100 37g</v>
      </c>
      <c r="C6997" t="s">
        <v>1697</v>
      </c>
      <c r="D6997" t="s">
        <v>1698</v>
      </c>
    </row>
    <row r="6998" spans="1:4" x14ac:dyDescent="0.25">
      <c r="B6998" t="str">
        <f>HYPERLINK("https://www.chemistwarehouse.com.au/buy/78412/Rite-Aid-Nursing-Pads-50-Bonus-Pack"," Rite Aid Nursing Pads 50 Bonus Pack")</f>
        <v xml:space="preserve"> Rite Aid Nursing Pads 50 Bonus Pack</v>
      </c>
      <c r="C6998" t="s">
        <v>610</v>
      </c>
      <c r="D6998" t="s">
        <v>327</v>
      </c>
    </row>
    <row r="6999" spans="1:4" x14ac:dyDescent="0.25">
      <c r="B6999" t="str">
        <f>HYPERLINK("https://www.chemistwarehouse.com.au/buy/81666/Lansinoh-Therapearl-3-in-1-Breast-Therapy-2-Pack"," Lansinoh Therapearl 3 in 1 Breast Therapy 2 Pack")</f>
        <v xml:space="preserve"> Lansinoh Therapearl 3 in 1 Breast Therapy 2 Pack</v>
      </c>
      <c r="C6999" t="s">
        <v>10</v>
      </c>
      <c r="D6999" t="s">
        <v>165</v>
      </c>
    </row>
    <row r="7000" spans="1:4" x14ac:dyDescent="0.25">
      <c r="B7000" t="str">
        <f>HYPERLINK("https://www.chemistwarehouse.com.au/buy/53332/Johnson-amp-Johnson-Nursing-Pad-Ultraform-24-Pads"," Johnson &amp; Johnson Nursing Pad Ultraform 24 Pads")</f>
        <v xml:space="preserve"> Johnson &amp; Johnson Nursing Pad Ultraform 24 Pads</v>
      </c>
      <c r="C7000" t="s">
        <v>92</v>
      </c>
      <c r="D7000" t="s">
        <v>1699</v>
      </c>
    </row>
    <row r="7001" spans="1:4" x14ac:dyDescent="0.25">
      <c r="B7001" t="str">
        <f>HYPERLINK("https://www.chemistwarehouse.com.au/buy/77340/Rite-Aid-Hydrogel-Nipple-Serum-15ml"," Rite Aid Hydrogel Nipple Serum 15ml")</f>
        <v xml:space="preserve"> Rite Aid Hydrogel Nipple Serum 15ml</v>
      </c>
      <c r="C7001" t="s">
        <v>92</v>
      </c>
      <c r="D7001" t="s">
        <v>371</v>
      </c>
    </row>
    <row r="7002" spans="1:4" x14ac:dyDescent="0.25">
      <c r="B7002" t="str">
        <f>HYPERLINK("https://www.chemistwarehouse.com.au/buy/77341/Multi-Mam-12-Compresses"," Multi Mam 12 Compresses")</f>
        <v xml:space="preserve"> Multi Mam 12 Compresses</v>
      </c>
      <c r="C7002" t="s">
        <v>63</v>
      </c>
      <c r="D7002" t="s">
        <v>145</v>
      </c>
    </row>
    <row r="7003" spans="1:4" x14ac:dyDescent="0.25">
      <c r="B7003" t="str">
        <f>HYPERLINK("https://www.chemistwarehouse.com.au/buy/82722/Lansinoh-Nursing-Pads-60-Pack"," Lansinoh Nursing Pads 60 Pack")</f>
        <v xml:space="preserve"> Lansinoh Nursing Pads 60 Pack</v>
      </c>
      <c r="C7003" t="s">
        <v>58</v>
      </c>
      <c r="D7003" t="s">
        <v>312</v>
      </c>
    </row>
    <row r="7004" spans="1:4" x14ac:dyDescent="0.25">
      <c r="A7004" t="s">
        <v>1700</v>
      </c>
    </row>
    <row r="7005" spans="1:4" x14ac:dyDescent="0.25">
      <c r="B7005" t="str">
        <f>HYPERLINK("https://www.chemistwarehouse.com.au/buy/81496/Little-Innoscents-Unscented-Natural-Wipes-240-Pack"," Little Innoscents Unscented Natural Wipes 240 Pack")</f>
        <v xml:space="preserve"> Little Innoscents Unscented Natural Wipes 240 Pack</v>
      </c>
      <c r="C7005" t="s">
        <v>58</v>
      </c>
      <c r="D7005" t="s">
        <v>371</v>
      </c>
    </row>
    <row r="7006" spans="1:4" x14ac:dyDescent="0.25">
      <c r="B7006" t="str">
        <f>HYPERLINK("https://www.chemistwarehouse.com.au/buy/75088/Little-Innoscents-Hair-amp-Body-wash-250ml"," Little Innoscents Hair &amp; Body wash 250ml")</f>
        <v xml:space="preserve"> Little Innoscents Hair &amp; Body wash 250ml</v>
      </c>
      <c r="C7006" t="s">
        <v>45</v>
      </c>
      <c r="D7006" t="s">
        <v>115</v>
      </c>
    </row>
    <row r="7007" spans="1:4" x14ac:dyDescent="0.25">
      <c r="B7007" t="str">
        <f>HYPERLINK("https://www.chemistwarehouse.com.au/buy/75089/Little-Innoscents-Intensive-Soothing-Cream-75ml"," Little Innoscents Intensive Soothing Cream 75ml")</f>
        <v xml:space="preserve"> Little Innoscents Intensive Soothing Cream 75ml</v>
      </c>
      <c r="C7007" t="s">
        <v>32</v>
      </c>
      <c r="D7007" t="s">
        <v>312</v>
      </c>
    </row>
    <row r="7008" spans="1:4" x14ac:dyDescent="0.25">
      <c r="B7008" t="str">
        <f>HYPERLINK("https://www.chemistwarehouse.com.au/buy/75090/Little-Innoscents-Mineral-Powder-100g"," Little Innoscents Mineral Powder 100g")</f>
        <v xml:space="preserve"> Little Innoscents Mineral Powder 100g</v>
      </c>
      <c r="C7008" t="s">
        <v>92</v>
      </c>
      <c r="D7008" t="s">
        <v>312</v>
      </c>
    </row>
    <row r="7009" spans="1:4" x14ac:dyDescent="0.25">
      <c r="B7009" t="str">
        <f>HYPERLINK("https://www.chemistwarehouse.com.au/buy/75091/Little-Innoscents-Moisture-Rich-Lotion-100ml"," Little Innoscents Moisture Rich Lotion 100ml")</f>
        <v xml:space="preserve"> Little Innoscents Moisture Rich Lotion 100ml</v>
      </c>
      <c r="C7009" t="s">
        <v>45</v>
      </c>
      <c r="D7009" t="s">
        <v>115</v>
      </c>
    </row>
    <row r="7010" spans="1:4" x14ac:dyDescent="0.25">
      <c r="B7010" t="str">
        <f>HYPERLINK("https://www.chemistwarehouse.com.au/buy/75092/Little-Innoscents-Sun-Lotion-SPF-30-100ml"," Little Innoscents Sun Lotion SPF 30+ 100ml")</f>
        <v xml:space="preserve"> Little Innoscents Sun Lotion SPF 30+ 100ml</v>
      </c>
      <c r="C7010" t="s">
        <v>187</v>
      </c>
      <c r="D7010" t="s">
        <v>162</v>
      </c>
    </row>
    <row r="7011" spans="1:4" x14ac:dyDescent="0.25">
      <c r="B7011" t="str">
        <f>HYPERLINK("https://www.chemistwarehouse.com.au/buy/75093/Little-Innoscents-Travel-Pack-x-4-30ml"," Little Innoscents Travel Pack x 4 30ml")</f>
        <v xml:space="preserve"> Little Innoscents Travel Pack x 4 30ml</v>
      </c>
      <c r="C7011" t="s">
        <v>187</v>
      </c>
      <c r="D7011" t="s">
        <v>162</v>
      </c>
    </row>
    <row r="7012" spans="1:4" x14ac:dyDescent="0.25">
      <c r="B7012" t="str">
        <f>HYPERLINK("https://www.chemistwarehouse.com.au/buy/75806/Little-Innoscents-Winter-Blues-Vapour-Balm-75ml"," Little Innoscents Winter Blues Vapour Balm 75ml")</f>
        <v xml:space="preserve"> Little Innoscents Winter Blues Vapour Balm 75ml</v>
      </c>
      <c r="C7012" t="s">
        <v>32</v>
      </c>
      <c r="D7012" t="s">
        <v>312</v>
      </c>
    </row>
    <row r="7013" spans="1:4" x14ac:dyDescent="0.25">
      <c r="B7013" t="str">
        <f>HYPERLINK("https://www.chemistwarehouse.com.au/buy/80637/Little-Innoscents-Laundry-Liquid-Cherry-Coconut-amp-Eucalyptus-1L"," Little Innoscents Laundry Liquid Cherry Coconut &amp; Eucalyptus 1L")</f>
        <v xml:space="preserve"> Little Innoscents Laundry Liquid Cherry Coconut &amp; Eucalyptus 1L</v>
      </c>
      <c r="C7013" t="s">
        <v>237</v>
      </c>
      <c r="D7013" t="s">
        <v>312</v>
      </c>
    </row>
    <row r="7014" spans="1:4" x14ac:dyDescent="0.25">
      <c r="B7014" t="str">
        <f>HYPERLINK("https://www.chemistwarehouse.com.au/buy/80638/Little-Innoscents-Botanical-Dishwashing-Liquid-500ml"," Little Innoscents Botanical Dishwashing Liquid 500ml")</f>
        <v xml:space="preserve"> Little Innoscents Botanical Dishwashing Liquid 500ml</v>
      </c>
      <c r="C7014" t="s">
        <v>32</v>
      </c>
      <c r="D7014" t="s">
        <v>371</v>
      </c>
    </row>
    <row r="7015" spans="1:4" x14ac:dyDescent="0.25">
      <c r="B7015" t="str">
        <f>HYPERLINK("https://www.chemistwarehouse.com.au/buy/80639/Little-Innoscents-Multi-Purpose-Surface-Spray-500ml"," Little Innoscents Multi Purpose Surface Spray 500ml")</f>
        <v xml:space="preserve"> Little Innoscents Multi Purpose Surface Spray 500ml</v>
      </c>
      <c r="C7015" t="s">
        <v>32</v>
      </c>
      <c r="D7015" t="s">
        <v>371</v>
      </c>
    </row>
    <row r="7016" spans="1:4" x14ac:dyDescent="0.25">
      <c r="B7016" t="str">
        <f>HYPERLINK("https://www.chemistwarehouse.com.au/buy/81495/Little-Innoscents-Unscented-Natural-Wipes-80-Pack"," Little Innoscents Unscented Natural Wipes 80 Pack")</f>
        <v xml:space="preserve"> Little Innoscents Unscented Natural Wipes 80 Pack</v>
      </c>
      <c r="C7016" t="s">
        <v>116</v>
      </c>
      <c r="D7016" t="s">
        <v>640</v>
      </c>
    </row>
    <row r="7017" spans="1:4" x14ac:dyDescent="0.25">
      <c r="A7017" t="s">
        <v>1701</v>
      </c>
    </row>
    <row r="7018" spans="1:4" x14ac:dyDescent="0.25">
      <c r="B7018" t="str">
        <f>HYPERLINK("https://www.chemistwarehouse.com.au/buy/41514/Curash-Family-Medicated-Powder-100g"," Curash Family Medicated Powder 100g")</f>
        <v xml:space="preserve"> Curash Family Medicated Powder 100g</v>
      </c>
      <c r="C7018" t="s">
        <v>548</v>
      </c>
      <c r="D7018" t="s">
        <v>731</v>
      </c>
    </row>
    <row r="7019" spans="1:4" x14ac:dyDescent="0.25">
      <c r="B7019" t="str">
        <f>HYPERLINK("https://www.chemistwarehouse.com.au/buy/56844/Johnson-amp-Johnson-Johnson-39-s-Baby-Powder-Pure-Cornstarch,-Aloe-amp-Vitamin-E-255g"," Johnson &amp; Johnson - Johnson's Baby Powder Pure Cornstarch, Aloe &amp; Vitamin E 255g")</f>
        <v xml:space="preserve"> Johnson &amp; Johnson - Johnson's Baby Powder Pure Cornstarch, Aloe &amp; Vitamin E 255g</v>
      </c>
      <c r="C7019" t="s">
        <v>483</v>
      </c>
      <c r="D7019" t="s">
        <v>1467</v>
      </c>
    </row>
    <row r="7020" spans="1:4" x14ac:dyDescent="0.25">
      <c r="B7020" t="str">
        <f>HYPERLINK("https://www.chemistwarehouse.com.au/buy/2974/Curash-Baby-Anti-Rash-Powder-100g"," Curash Baby Anti-Rash Powder 100g")</f>
        <v xml:space="preserve"> Curash Baby Anti-Rash Powder 100g</v>
      </c>
      <c r="C7020" t="s">
        <v>1702</v>
      </c>
      <c r="D7020" t="s">
        <v>785</v>
      </c>
    </row>
    <row r="7021" spans="1:4" x14ac:dyDescent="0.25">
      <c r="B7021" t="str">
        <f>HYPERLINK("https://www.chemistwarehouse.com.au/buy/5662/Johnson-amp-Johnson-Johnson-39-s-Baby-Powder-100g"," Johnson &amp; Johnson - Johnson's Baby Powder 100g")</f>
        <v xml:space="preserve"> Johnson &amp; Johnson - Johnson's Baby Powder 100g</v>
      </c>
      <c r="C7021" t="s">
        <v>635</v>
      </c>
      <c r="D7021" t="s">
        <v>1387</v>
      </c>
    </row>
    <row r="7022" spans="1:4" x14ac:dyDescent="0.25">
      <c r="B7022" t="str">
        <f>HYPERLINK("https://www.chemistwarehouse.com.au/buy/7728/ZSC-Dusting-Powder-100g"," ZSC Dusting Powder 100g")</f>
        <v xml:space="preserve"> ZSC Dusting Powder 100g</v>
      </c>
      <c r="C7022" t="s">
        <v>116</v>
      </c>
      <c r="D7022" t="s">
        <v>162</v>
      </c>
    </row>
    <row r="7023" spans="1:4" x14ac:dyDescent="0.25">
      <c r="B7023" t="str">
        <f>HYPERLINK("https://www.chemistwarehouse.com.au/buy/5665/Johnson-amp-Johnson-Johnson-39-s-Baby-Powder-600g"," Johnson &amp; Johnson - Johnson's Baby Powder 600g")</f>
        <v xml:space="preserve"> Johnson &amp; Johnson - Johnson's Baby Powder 600g</v>
      </c>
      <c r="C7023" t="s">
        <v>556</v>
      </c>
      <c r="D7023" t="s">
        <v>1429</v>
      </c>
    </row>
    <row r="7024" spans="1:4" x14ac:dyDescent="0.25">
      <c r="B7024" t="str">
        <f>HYPERLINK("https://www.chemistwarehouse.com.au/buy/5663/Johnson-amp-Johnson-Johnson-39-s-Baby-Powder-200g"," Johnson &amp; Johnson - Johnson's Baby Powder 200g")</f>
        <v xml:space="preserve"> Johnson &amp; Johnson - Johnson's Baby Powder 200g</v>
      </c>
      <c r="C7024" t="s">
        <v>146</v>
      </c>
      <c r="D7024" t="s">
        <v>1703</v>
      </c>
    </row>
    <row r="7025" spans="1:4" x14ac:dyDescent="0.25">
      <c r="B7025" t="str">
        <f>HYPERLINK("https://www.chemistwarehouse.com.au/buy/67665/Gaia-Natural-Baby-Corn-Starch-Powder-100g"," Gaia Natural Baby Corn Starch Powder 100g")</f>
        <v xml:space="preserve"> Gaia Natural Baby Corn Starch Powder 100g</v>
      </c>
      <c r="C7025" t="s">
        <v>782</v>
      </c>
      <c r="D7025" t="s">
        <v>325</v>
      </c>
    </row>
    <row r="7026" spans="1:4" x14ac:dyDescent="0.25">
      <c r="B7026" t="str">
        <f>HYPERLINK("https://www.chemistwarehouse.com.au/buy/75506/Johnson-amp-Johnson-Johnson-39-s-Baby-Powder-500g"," Johnson &amp; Johnson - Johnson's Baby Powder 500g ")</f>
        <v xml:space="preserve"> Johnson &amp; Johnson - Johnson's Baby Powder 500g </v>
      </c>
      <c r="C7026" t="s">
        <v>483</v>
      </c>
      <c r="D7026">
        <v>0</v>
      </c>
    </row>
    <row r="7027" spans="1:4" x14ac:dyDescent="0.25">
      <c r="B7027" t="str">
        <f>HYPERLINK("https://www.chemistwarehouse.com.au/buy/80310/Gaia-Natural-Baby-Powder-200g"," Gaia Natural Baby Powder 200g")</f>
        <v xml:space="preserve"> Gaia Natural Baby Powder 200g</v>
      </c>
      <c r="C7027" t="s">
        <v>80</v>
      </c>
      <c r="D7027" t="s">
        <v>150</v>
      </c>
    </row>
    <row r="7028" spans="1:4" x14ac:dyDescent="0.25">
      <c r="B7028" t="str">
        <f>HYPERLINK("https://www.chemistwarehouse.com.au/buy/5664/Johnson-amp-Johnson-Johnson-39-s-Baby-Powder-400g"," Johnson &amp; Johnson - Johnson's Baby Powder 400g")</f>
        <v xml:space="preserve"> Johnson &amp; Johnson - Johnson's Baby Powder 400g</v>
      </c>
      <c r="C7028" t="s">
        <v>483</v>
      </c>
      <c r="D7028" t="s">
        <v>1437</v>
      </c>
    </row>
    <row r="7029" spans="1:4" x14ac:dyDescent="0.25">
      <c r="B7029" t="str">
        <f>HYPERLINK("https://www.chemistwarehouse.com.au/buy/60249/Cussons-Baby-Talc-350g"," Cussons Baby Talc 350g")</f>
        <v xml:space="preserve"> Cussons Baby Talc 350g</v>
      </c>
      <c r="C7029" t="s">
        <v>593</v>
      </c>
      <c r="D7029" t="s">
        <v>1397</v>
      </c>
    </row>
    <row r="7030" spans="1:4" x14ac:dyDescent="0.25">
      <c r="B7030" t="str">
        <f>HYPERLINK("https://www.chemistwarehouse.com.au/buy/73831/Johnson-amp-Johnson-Johnson-39-s-Baby-Bedtime-Powder-500g"," Johnson &amp; Johnson - Johnson's Baby Bedtime Powder 500g")</f>
        <v xml:space="preserve"> Johnson &amp; Johnson - Johnson's Baby Bedtime Powder 500g</v>
      </c>
      <c r="C7030" t="s">
        <v>483</v>
      </c>
      <c r="D7030">
        <v>0</v>
      </c>
    </row>
    <row r="7031" spans="1:4" x14ac:dyDescent="0.25">
      <c r="B7031" t="str">
        <f>HYPERLINK("https://www.chemistwarehouse.com.au/buy/73832/Johnson-amp-Johnson-Johnson-39-s-Baby-Bedtime-Powder-100g"," Johnson &amp; Johnson - Johnson's Baby Bedtime Powder 100g")</f>
        <v xml:space="preserve"> Johnson &amp; Johnson - Johnson's Baby Bedtime Powder 100g</v>
      </c>
      <c r="C7031" t="s">
        <v>635</v>
      </c>
      <c r="D7031">
        <v>0</v>
      </c>
    </row>
    <row r="7032" spans="1:4" x14ac:dyDescent="0.25">
      <c r="B7032" t="str">
        <f>HYPERLINK("https://www.chemistwarehouse.com.au/buy/73833/Johnson-amp-Johnson-Johnson-39-s-Baby-Milk-amp-Rice-Powder-100g"," Johnson &amp; Johnson - Johnson's Baby Milk &amp; Rice Powder 100g")</f>
        <v xml:space="preserve"> Johnson &amp; Johnson - Johnson's Baby Milk &amp; Rice Powder 100g</v>
      </c>
      <c r="C7032" t="s">
        <v>635</v>
      </c>
      <c r="D7032">
        <v>0</v>
      </c>
    </row>
    <row r="7033" spans="1:4" x14ac:dyDescent="0.25">
      <c r="A7033" t="s">
        <v>1704</v>
      </c>
    </row>
    <row r="7034" spans="1:4" x14ac:dyDescent="0.25">
      <c r="B7034" t="str">
        <f>HYPERLINK("https://www.chemistwarehouse.com.au/buy/70236/Gaia-Natural-Baby-Hair-amp-Body-Wash-500ml"," Gaia Natural Baby Hair &amp; Body Wash 500ml")</f>
        <v xml:space="preserve"> Gaia Natural Baby Hair &amp; Body Wash 500ml</v>
      </c>
      <c r="C7034" t="s">
        <v>187</v>
      </c>
      <c r="D7034" t="s">
        <v>397</v>
      </c>
    </row>
    <row r="7035" spans="1:4" x14ac:dyDescent="0.25">
      <c r="B7035" t="str">
        <f>HYPERLINK("https://www.chemistwarehouse.com.au/buy/79472/Milk-Baby-Shampoozle-and-Conditioner-Pump-Pack-375ml"," Milk Baby Shampoozle and Conditioner Pump Pack 375ml")</f>
        <v xml:space="preserve"> Milk Baby Shampoozle and Conditioner Pump Pack 375ml</v>
      </c>
      <c r="C7035" t="s">
        <v>782</v>
      </c>
      <c r="D7035" t="s">
        <v>332</v>
      </c>
    </row>
    <row r="7036" spans="1:4" x14ac:dyDescent="0.25">
      <c r="B7036" t="str">
        <f>HYPERLINK("https://www.chemistwarehouse.com.au/buy/79473/Milk-Bath-Time-Wash-Pump-Pack-375ml"," Milk Bath Time Wash Pump Pack 375ml")</f>
        <v xml:space="preserve"> Milk Bath Time Wash Pump Pack 375ml</v>
      </c>
      <c r="C7036" t="s">
        <v>782</v>
      </c>
      <c r="D7036" t="s">
        <v>332</v>
      </c>
    </row>
    <row r="7037" spans="1:4" x14ac:dyDescent="0.25">
      <c r="B7037" t="str">
        <f>HYPERLINK("https://www.chemistwarehouse.com.au/buy/79322/Palmolive-Kids-Happy-Apple-3-in-1-Shampoo-Conditioner-amp-Body-Wash-350ml"," Palmolive Kids Happy Apple 3 in 1 Shampoo Conditioner &amp; Body Wash 350ml")</f>
        <v xml:space="preserve"> Palmolive Kids Happy Apple 3 in 1 Shampoo Conditioner &amp; Body Wash 350ml</v>
      </c>
      <c r="C7037" t="s">
        <v>483</v>
      </c>
      <c r="D7037" t="s">
        <v>371</v>
      </c>
    </row>
    <row r="7038" spans="1:4" x14ac:dyDescent="0.25">
      <c r="B7038" t="str">
        <f>HYPERLINK("https://www.chemistwarehouse.com.au/buy/63250/Curash-Baby-Soap-Free-Bath-400ml"," Curash Baby Soap Free Bath 400ml")</f>
        <v xml:space="preserve"> Curash Baby Soap Free Bath 400ml</v>
      </c>
      <c r="C7038" t="s">
        <v>1665</v>
      </c>
      <c r="D7038" t="s">
        <v>785</v>
      </c>
    </row>
    <row r="7039" spans="1:4" x14ac:dyDescent="0.25">
      <c r="B7039" t="str">
        <f>HYPERLINK("https://www.chemistwarehouse.com.au/buy/70011/Johnson-amp-Johnson-Johnson-39-s-Baby-Bubble-Bath-amp-Wash-828ml"," Johnson &amp; Johnson - Johnson's Baby Bubble Bath &amp; Wash 828ml")</f>
        <v xml:space="preserve"> Johnson &amp; Johnson - Johnson's Baby Bubble Bath &amp; Wash 828ml</v>
      </c>
      <c r="C7039" t="s">
        <v>45</v>
      </c>
      <c r="D7039" t="s">
        <v>150</v>
      </c>
    </row>
    <row r="7040" spans="1:4" x14ac:dyDescent="0.25">
      <c r="B7040" t="str">
        <f>HYPERLINK("https://www.chemistwarehouse.com.au/buy/72321/Simple-Baby-All-In-One-Wash-300ml"," Simple Baby All In One Wash 300ml")</f>
        <v xml:space="preserve"> Simple Baby All In One Wash 300ml</v>
      </c>
      <c r="C7040" t="s">
        <v>146</v>
      </c>
      <c r="D7040">
        <v>0</v>
      </c>
    </row>
    <row r="7041" spans="2:4" x14ac:dyDescent="0.25">
      <c r="B7041" t="str">
        <f>HYPERLINK("https://www.chemistwarehouse.com.au/buy/74638/Simple-Baby-Moisturising-Shampoo-300Ml"," Simple Baby Moisturising Shampoo 300Ml")</f>
        <v xml:space="preserve"> Simple Baby Moisturising Shampoo 300Ml</v>
      </c>
      <c r="C7041" t="s">
        <v>146</v>
      </c>
      <c r="D7041">
        <v>0</v>
      </c>
    </row>
    <row r="7042" spans="2:4" x14ac:dyDescent="0.25">
      <c r="B7042" t="str">
        <f>HYPERLINK("https://www.chemistwarehouse.com.au/buy/63251/Curash-Baby-2-in-1-Shampoo-amp-Conditioner-400ml"," Curash Baby 2 in 1 Shampoo &amp; Conditioner 400ml")</f>
        <v xml:space="preserve"> Curash Baby 2 in 1 Shampoo &amp; Conditioner 400ml</v>
      </c>
      <c r="C7042" t="s">
        <v>1702</v>
      </c>
      <c r="D7042" t="s">
        <v>785</v>
      </c>
    </row>
    <row r="7043" spans="2:4" x14ac:dyDescent="0.25">
      <c r="B7043" t="str">
        <f>HYPERLINK("https://www.chemistwarehouse.com.au/buy/59566/Gaia-Natural-Baby-Hair-amp-Body-Wash-200ml"," Gaia Natural Baby Hair &amp; Body Wash 200ml")</f>
        <v xml:space="preserve"> Gaia Natural Baby Hair &amp; Body Wash 200ml</v>
      </c>
      <c r="C7043" t="s">
        <v>32</v>
      </c>
      <c r="D7043" t="s">
        <v>465</v>
      </c>
    </row>
    <row r="7044" spans="2:4" x14ac:dyDescent="0.25">
      <c r="B7044" t="str">
        <f>HYPERLINK("https://www.chemistwarehouse.com.au/buy/64185/Ego-QV-Kids-Wash-350mL"," Ego QV Kids Wash 350mL")</f>
        <v xml:space="preserve"> Ego QV Kids Wash 350mL</v>
      </c>
      <c r="C7044" t="s">
        <v>80</v>
      </c>
      <c r="D7044" t="s">
        <v>1322</v>
      </c>
    </row>
    <row r="7045" spans="2:4" x14ac:dyDescent="0.25">
      <c r="B7045" t="str">
        <f>HYPERLINK("https://www.chemistwarehouse.com.au/buy/54480/Gaia-Natural-Baby-Shampoo-250ml"," Gaia Natural Baby Shampoo 250ml")</f>
        <v xml:space="preserve"> Gaia Natural Baby Shampoo 250ml</v>
      </c>
      <c r="C7045" t="s">
        <v>32</v>
      </c>
      <c r="D7045" t="s">
        <v>465</v>
      </c>
    </row>
    <row r="7046" spans="2:4" x14ac:dyDescent="0.25">
      <c r="B7046" t="str">
        <f>HYPERLINK("https://www.chemistwarehouse.com.au/buy/54642/Gaia-Natural-Baby-Bath-amp-Body-Wash-500ml-Pump"," Gaia Natural Baby Bath &amp; Body Wash 500ml Pump")</f>
        <v xml:space="preserve"> Gaia Natural Baby Bath &amp; Body Wash 500ml Pump</v>
      </c>
      <c r="C7046" t="s">
        <v>187</v>
      </c>
      <c r="D7046" t="s">
        <v>397</v>
      </c>
    </row>
    <row r="7047" spans="2:4" x14ac:dyDescent="0.25">
      <c r="B7047" t="str">
        <f>HYPERLINK("https://www.chemistwarehouse.com.au/buy/75805/Cetaphil-Baby-Gentle-Wash-and-Shampoo-230ml"," Cetaphil Baby Gentle Wash and Shampoo 230ml")</f>
        <v xml:space="preserve"> Cetaphil Baby Gentle Wash and Shampoo 230ml</v>
      </c>
      <c r="C7047" t="s">
        <v>103</v>
      </c>
      <c r="D7047" t="s">
        <v>640</v>
      </c>
    </row>
    <row r="7048" spans="2:4" x14ac:dyDescent="0.25">
      <c r="B7048" t="str">
        <f>HYPERLINK("https://www.chemistwarehouse.com.au/buy/75807/Cetaphil-Baby-Ultra-Moisturising-Bath-and-Wash-230ml"," Cetaphil Baby Ultra Moisturising Bath and Wash 230ml")</f>
        <v xml:space="preserve"> Cetaphil Baby Ultra Moisturising Bath and Wash 230ml</v>
      </c>
      <c r="C7048" t="s">
        <v>103</v>
      </c>
      <c r="D7048" t="s">
        <v>640</v>
      </c>
    </row>
    <row r="7049" spans="2:4" x14ac:dyDescent="0.25">
      <c r="B7049" t="str">
        <f>HYPERLINK("https://www.chemistwarehouse.com.au/buy/75808/Cetaphil-Baby-Shampoo-200ml"," Cetaphil Baby Shampoo 200ml")</f>
        <v xml:space="preserve"> Cetaphil Baby Shampoo 200ml</v>
      </c>
      <c r="C7049" t="s">
        <v>92</v>
      </c>
      <c r="D7049" t="s">
        <v>640</v>
      </c>
    </row>
    <row r="7050" spans="2:4" x14ac:dyDescent="0.25">
      <c r="B7050" t="str">
        <f>HYPERLINK("https://www.chemistwarehouse.com.au/buy/77735/Disney-Frozen-Olaf-Bath-and-Shower-Bubbles-400ml"," Disney Frozen Olaf Bath and Shower Bubbles 400ml")</f>
        <v xml:space="preserve"> Disney Frozen Olaf Bath and Shower Bubbles 400ml</v>
      </c>
      <c r="C7050" t="s">
        <v>146</v>
      </c>
      <c r="D7050">
        <v>0</v>
      </c>
    </row>
    <row r="7051" spans="2:4" x14ac:dyDescent="0.25">
      <c r="B7051" t="str">
        <f>HYPERLINK("https://www.chemistwarehouse.com.au/buy/77813/Disney-Frozen-2-in-1-Shampoo-and-Conditioner-300ml"," Disney Frozen 2 in 1 Shampoo and Conditioner 300ml")</f>
        <v xml:space="preserve"> Disney Frozen 2 in 1 Shampoo and Conditioner 300ml</v>
      </c>
      <c r="C7051" t="s">
        <v>146</v>
      </c>
      <c r="D7051">
        <v>0</v>
      </c>
    </row>
    <row r="7052" spans="2:4" x14ac:dyDescent="0.25">
      <c r="B7052" t="str">
        <f>HYPERLINK("https://www.chemistwarehouse.com.au/buy/78009/Despicable-Me-Minion-Body-Wash-160-350ml"," Despicable Me Minion Body Wash 350ml")</f>
        <v xml:space="preserve"> Despicable Me Minion Body Wash 350ml</v>
      </c>
      <c r="C7052" t="s">
        <v>146</v>
      </c>
      <c r="D7052">
        <v>0</v>
      </c>
    </row>
    <row r="7053" spans="2:4" x14ac:dyDescent="0.25">
      <c r="B7053" t="str">
        <f>HYPERLINK("https://www.chemistwarehouse.com.au/buy/70012/Johnson-amp-Johnson-Johnson-39-s-Baby-Bedtime-Bath-800ml"," Johnson &amp; Johnson - Johnson's Baby Bedtime Bath 800ml")</f>
        <v xml:space="preserve"> Johnson &amp; Johnson - Johnson's Baby Bedtime Bath 800ml</v>
      </c>
      <c r="C7053" t="s">
        <v>45</v>
      </c>
      <c r="D7053" t="s">
        <v>150</v>
      </c>
    </row>
    <row r="7054" spans="2:4" x14ac:dyDescent="0.25">
      <c r="B7054" t="str">
        <f>HYPERLINK("https://www.chemistwarehouse.com.au/buy/70013/Johnson-amp-Johnson-Johnson-39-s-Baby-Conditioning-Shampoo-800ml"," Johnson &amp; Johnson - Johnson's Baby Conditioning Shampoo 800ml")</f>
        <v xml:space="preserve"> Johnson &amp; Johnson - Johnson's Baby Conditioning Shampoo 800ml</v>
      </c>
      <c r="C7054" t="s">
        <v>45</v>
      </c>
      <c r="D7054" t="s">
        <v>150</v>
      </c>
    </row>
    <row r="7055" spans="2:4" x14ac:dyDescent="0.25">
      <c r="B7055" t="str">
        <f>HYPERLINK("https://www.chemistwarehouse.com.au/buy/70014/Johnson-amp-Johnson-Johnson-39-s-Baby-Bath-800ml"," Johnson &amp; Johnson - Johnson's Baby Bath 800ml")</f>
        <v xml:space="preserve"> Johnson &amp; Johnson - Johnson's Baby Bath 800ml</v>
      </c>
      <c r="C7055" t="s">
        <v>45</v>
      </c>
      <c r="D7055" t="s">
        <v>150</v>
      </c>
    </row>
    <row r="7056" spans="2:4" x14ac:dyDescent="0.25">
      <c r="B7056" t="str">
        <f>HYPERLINK("https://www.chemistwarehouse.com.au/buy/70015/Johnson-amp-Johnson-Johnson-39-s-Baby-Shampoo-800ml"," Johnson &amp; Johnson - Johnson's Baby Shampoo 800ml")</f>
        <v xml:space="preserve"> Johnson &amp; Johnson - Johnson's Baby Shampoo 800ml</v>
      </c>
      <c r="C7056" t="s">
        <v>45</v>
      </c>
      <c r="D7056" t="s">
        <v>150</v>
      </c>
    </row>
    <row r="7057" spans="1:4" x14ac:dyDescent="0.25">
      <c r="B7057" t="str">
        <f>HYPERLINK("https://www.chemistwarehouse.com.au/buy/56841/Johnson-amp-Johnson-Johnson-39-s-Baby-Bath-Bedtime-200ml"," Johnson &amp; Johnson - Johnson's Baby Bath Bedtime 200ml")</f>
        <v xml:space="preserve"> Johnson &amp; Johnson - Johnson's Baby Bath Bedtime 200ml</v>
      </c>
      <c r="C7057" t="s">
        <v>326</v>
      </c>
      <c r="D7057" t="s">
        <v>1425</v>
      </c>
    </row>
    <row r="7058" spans="1:4" x14ac:dyDescent="0.25">
      <c r="A7058" t="s">
        <v>1705</v>
      </c>
    </row>
    <row r="7059" spans="1:4" x14ac:dyDescent="0.25">
      <c r="B7059" t="str">
        <f>HYPERLINK("https://www.chemistwarehouse.com.au/buy/54654/Gaia-Natural-Baby-Massage-Oil-125mL"," Gaia Natural Baby Massage Oil 125mL")</f>
        <v xml:space="preserve"> Gaia Natural Baby Massage Oil 125mL</v>
      </c>
      <c r="C7059" t="s">
        <v>32</v>
      </c>
      <c r="D7059" t="s">
        <v>465</v>
      </c>
    </row>
    <row r="7060" spans="1:4" x14ac:dyDescent="0.25">
      <c r="B7060" t="str">
        <f>HYPERLINK("https://www.chemistwarehouse.com.au/buy/56843/Johnson-amp-Johnson-Johnson-39-s-Baby-Oil-200ml"," Johnson &amp; Johnson - Johnson's Baby Oil 200ml")</f>
        <v xml:space="preserve"> Johnson &amp; Johnson - Johnson's Baby Oil 200ml</v>
      </c>
      <c r="C7060" t="s">
        <v>326</v>
      </c>
      <c r="D7060" t="s">
        <v>1320</v>
      </c>
    </row>
    <row r="7061" spans="1:4" x14ac:dyDescent="0.25">
      <c r="B7061" t="str">
        <f>HYPERLINK("https://www.chemistwarehouse.com.au/buy/75804/Cetaphil-Baby-Massage-Oil-200ml"," Cetaphil Baby Massage Oil 200ml")</f>
        <v xml:space="preserve"> Cetaphil Baby Massage Oil 200ml</v>
      </c>
      <c r="C7061" t="s">
        <v>92</v>
      </c>
      <c r="D7061" t="s">
        <v>640</v>
      </c>
    </row>
    <row r="7062" spans="1:4" x14ac:dyDescent="0.25">
      <c r="B7062" t="str">
        <f>HYPERLINK("https://www.chemistwarehouse.com.au/buy/56842/Johnson-amp-Johnson-Johnson-39-s-Baby-Light-Massaging-Oil-125ml"," Johnson &amp; Johnson - Johnson's Baby Light Massaging Oil 125ml")</f>
        <v xml:space="preserve"> Johnson &amp; Johnson - Johnson's Baby Light Massaging Oil 125ml</v>
      </c>
      <c r="C7062" t="s">
        <v>483</v>
      </c>
      <c r="D7062" t="s">
        <v>1387</v>
      </c>
    </row>
    <row r="7063" spans="1:4" x14ac:dyDescent="0.25">
      <c r="B7063" t="str">
        <f>HYPERLINK("https://www.chemistwarehouse.com.au/buy/40458/Johnson-amp-Johnson-Johnson-39-s-Baby-Oil-with-Aloe-Vera-amp-Vitamin-E-500ml"," Johnson &amp; Johnson - Johnson's Baby Oil with Aloe Vera &amp; Vitamin E 500ml")</f>
        <v xml:space="preserve"> Johnson &amp; Johnson - Johnson's Baby Oil with Aloe Vera &amp; Vitamin E 500ml</v>
      </c>
      <c r="C7063" t="s">
        <v>32</v>
      </c>
      <c r="D7063" t="s">
        <v>312</v>
      </c>
    </row>
    <row r="7064" spans="1:4" x14ac:dyDescent="0.25">
      <c r="A7064" t="s">
        <v>1706</v>
      </c>
    </row>
    <row r="7065" spans="1:4" x14ac:dyDescent="0.25">
      <c r="B7065" t="str">
        <f>HYPERLINK("https://www.chemistwarehouse.com.au/buy/73115/Ego-QV-Baby-Moisturising-Cream-250g"," Ego QV Baby Moisturising Cream 250g")</f>
        <v xml:space="preserve"> Ego QV Baby Moisturising Cream 250g</v>
      </c>
      <c r="C7065" t="s">
        <v>98</v>
      </c>
      <c r="D7065" t="s">
        <v>815</v>
      </c>
    </row>
    <row r="7066" spans="1:4" x14ac:dyDescent="0.25">
      <c r="B7066" t="str">
        <f>HYPERLINK("https://www.chemistwarehouse.com.au/buy/60252/Aveeno-Baby-Daily-Moisturing-Lotion-227ml"," Aveeno Baby Daily Moisturing Lotion 227ml")</f>
        <v xml:space="preserve"> Aveeno Baby Daily Moisturing Lotion 227ml</v>
      </c>
      <c r="C7066" t="s">
        <v>32</v>
      </c>
      <c r="D7066" t="s">
        <v>808</v>
      </c>
    </row>
    <row r="7067" spans="1:4" x14ac:dyDescent="0.25">
      <c r="B7067" t="str">
        <f>HYPERLINK("https://www.chemistwarehouse.com.au/buy/43073/Ego-QV-Kids-Cream-100g"," Ego QV Kids Cream 100g")</f>
        <v xml:space="preserve"> Ego QV Kids Cream 100g</v>
      </c>
      <c r="C7067" t="s">
        <v>92</v>
      </c>
      <c r="D7067" t="s">
        <v>312</v>
      </c>
    </row>
    <row r="7068" spans="1:4" x14ac:dyDescent="0.25">
      <c r="B7068" t="str">
        <f>HYPERLINK("https://www.chemistwarehouse.com.au/buy/72782/Johnson-amp-Johnson-Johnson-39-s-Baby-Bath-Milk-and-Rice-800ml"," Johnson &amp; Johnson - Johnson's Baby Bath Milk and Rice 800ml")</f>
        <v xml:space="preserve"> Johnson &amp; Johnson - Johnson's Baby Bath Milk and Rice 800ml</v>
      </c>
      <c r="C7068" t="s">
        <v>45</v>
      </c>
      <c r="D7068" t="s">
        <v>371</v>
      </c>
    </row>
    <row r="7069" spans="1:4" x14ac:dyDescent="0.25">
      <c r="B7069" t="str">
        <f>HYPERLINK("https://www.chemistwarehouse.com.au/buy/46349/Sudocrem-Healing-Cream-125g-for-Nappy-Rash"," Sudocrem Healing Cream 125g for Nappy Rash")</f>
        <v xml:space="preserve"> Sudocrem Healing Cream 125g for Nappy Rash</v>
      </c>
      <c r="C7069" t="s">
        <v>32</v>
      </c>
      <c r="D7069" t="s">
        <v>312</v>
      </c>
    </row>
    <row r="7070" spans="1:4" x14ac:dyDescent="0.25">
      <c r="B7070" t="str">
        <f>HYPERLINK("https://www.chemistwarehouse.com.au/buy/414/Amolin-Baby-Cream-for-Nappy-Rash-Tube-100g"," Amolin Baby Cream for Nappy Rash Tube 100g")</f>
        <v xml:space="preserve"> Amolin Baby Cream for Nappy Rash Tube 100g</v>
      </c>
      <c r="C7070" t="s">
        <v>554</v>
      </c>
      <c r="D7070" t="s">
        <v>776</v>
      </c>
    </row>
    <row r="7071" spans="1:4" x14ac:dyDescent="0.25">
      <c r="B7071" t="str">
        <f>HYPERLINK("https://www.chemistwarehouse.com.au/buy/42896/Vaseline-Petroleum-Jelly-100g-Jar"," Vaseline Petroleum Jelly 100g Jar")</f>
        <v xml:space="preserve"> Vaseline Petroleum Jelly 100g Jar</v>
      </c>
      <c r="C7071" t="s">
        <v>483</v>
      </c>
      <c r="D7071" t="s">
        <v>725</v>
      </c>
    </row>
    <row r="7072" spans="1:4" x14ac:dyDescent="0.25">
      <c r="B7072" t="str">
        <f>HYPERLINK("https://www.chemistwarehouse.com.au/buy/54482/Gaia-Natural-Baby-Moisturiser-250ml"," Gaia Natural Baby Moisturiser 250ml")</f>
        <v xml:space="preserve"> Gaia Natural Baby Moisturiser 250ml</v>
      </c>
      <c r="C7072" t="s">
        <v>32</v>
      </c>
      <c r="D7072" t="s">
        <v>465</v>
      </c>
    </row>
    <row r="7073" spans="2:4" x14ac:dyDescent="0.25">
      <c r="B7073" t="str">
        <f>HYPERLINK("https://www.chemistwarehouse.com.au/buy/47951/Vicks-Vaporub-Baby-Balsam-50g"," Vicks Vaporub Baby Balsam 50g")</f>
        <v xml:space="preserve"> Vicks Vaporub Baby Balsam 50g</v>
      </c>
      <c r="C7073" t="s">
        <v>32</v>
      </c>
      <c r="D7073" t="s">
        <v>371</v>
      </c>
    </row>
    <row r="7074" spans="2:4" x14ac:dyDescent="0.25">
      <c r="B7074" t="str">
        <f>HYPERLINK("https://www.chemistwarehouse.com.au/buy/67245/Sudocrem-Baby-Cream-400g-for-Nappy-Rash"," Sudocrem Baby Cream 400g for Nappy Rash")</f>
        <v xml:space="preserve"> Sudocrem Baby Cream 400g for Nappy Rash</v>
      </c>
      <c r="C7074" t="s">
        <v>1</v>
      </c>
      <c r="D7074" t="s">
        <v>64</v>
      </c>
    </row>
    <row r="7075" spans="2:4" x14ac:dyDescent="0.25">
      <c r="B7075" t="str">
        <f>HYPERLINK("https://www.chemistwarehouse.com.au/buy/59567/Gaia-Natural-Baby-Starter-Kit-5-x-50ml"," Gaia Natural Baby Starter Kit 5 x 50ml")</f>
        <v xml:space="preserve"> Gaia Natural Baby Starter Kit 5 x 50ml</v>
      </c>
      <c r="C7075" t="s">
        <v>61</v>
      </c>
      <c r="D7075" t="s">
        <v>157</v>
      </c>
    </row>
    <row r="7076" spans="2:4" x14ac:dyDescent="0.25">
      <c r="B7076" t="str">
        <f>HYPERLINK("https://www.chemistwarehouse.com.au/buy/76510/Lansinoh-Nipple-Cream-15g"," Lansinoh Nipple Cream 15g")</f>
        <v xml:space="preserve"> Lansinoh Nipple Cream 15g</v>
      </c>
      <c r="C7076" t="s">
        <v>80</v>
      </c>
      <c r="D7076" t="s">
        <v>145</v>
      </c>
    </row>
    <row r="7077" spans="2:4" x14ac:dyDescent="0.25">
      <c r="B7077" t="str">
        <f>HYPERLINK("https://www.chemistwarehouse.com.au/buy/47168/Bepanthen-Ointment-100g"," Bepanthen Ointment 100g")</f>
        <v xml:space="preserve"> Bepanthen Ointment 100g</v>
      </c>
      <c r="C7077" t="s">
        <v>107</v>
      </c>
      <c r="D7077" t="s">
        <v>555</v>
      </c>
    </row>
    <row r="7078" spans="2:4" x14ac:dyDescent="0.25">
      <c r="B7078" t="str">
        <f>HYPERLINK("https://www.chemistwarehouse.com.au/buy/75809/Cetaphil-Baby-Daily-Lotion-400ml"," Cetaphil Baby Daily Lotion 400ml")</f>
        <v xml:space="preserve"> Cetaphil Baby Daily Lotion 400ml</v>
      </c>
      <c r="C7078" t="s">
        <v>45</v>
      </c>
      <c r="D7078" t="s">
        <v>640</v>
      </c>
    </row>
    <row r="7079" spans="2:4" x14ac:dyDescent="0.25">
      <c r="B7079" t="str">
        <f>HYPERLINK("https://www.chemistwarehouse.com.au/buy/60223/Aveeno-Baby-Soothing-Relief-Cream-139g"," Aveeno Baby Soothing Relief Cream 139g")</f>
        <v xml:space="preserve"> Aveeno Baby Soothing Relief Cream 139g</v>
      </c>
      <c r="C7079" t="s">
        <v>32</v>
      </c>
      <c r="D7079" t="s">
        <v>808</v>
      </c>
    </row>
    <row r="7080" spans="2:4" x14ac:dyDescent="0.25">
      <c r="B7080" t="str">
        <f>HYPERLINK("https://www.chemistwarehouse.com.au/buy/56267/Curash-Baby-Nappy-Rash-Cream-100g"," Curash Baby Nappy Rash Cream 100g")</f>
        <v xml:space="preserve"> Curash Baby Nappy Rash Cream 100g</v>
      </c>
      <c r="C7080" t="s">
        <v>548</v>
      </c>
      <c r="D7080" t="s">
        <v>785</v>
      </c>
    </row>
    <row r="7081" spans="2:4" x14ac:dyDescent="0.25">
      <c r="B7081" t="str">
        <f>HYPERLINK("https://www.chemistwarehouse.com.au/buy/1117/Bepanthen-Antiseptic-Cream-100g"," Bepanthen Antiseptic Cream 100g")</f>
        <v xml:space="preserve"> Bepanthen Antiseptic Cream 100g</v>
      </c>
      <c r="C7081" t="s">
        <v>103</v>
      </c>
      <c r="D7081" t="s">
        <v>1707</v>
      </c>
    </row>
    <row r="7082" spans="2:4" x14ac:dyDescent="0.25">
      <c r="B7082" t="str">
        <f>HYPERLINK("https://www.chemistwarehouse.com.au/buy/3364/Desitin-Nappy-Rash-Ointment-100g"," Desitin Nappy Rash Ointment 100g")</f>
        <v xml:space="preserve"> Desitin Nappy Rash Ointment 100g</v>
      </c>
      <c r="C7082" t="s">
        <v>45</v>
      </c>
      <c r="D7082" t="s">
        <v>802</v>
      </c>
    </row>
    <row r="7083" spans="2:4" x14ac:dyDescent="0.25">
      <c r="B7083" t="str">
        <f>HYPERLINK("https://www.chemistwarehouse.com.au/buy/31775/Daktozin-Ointment-90g"," Daktozin Ointment 90g")</f>
        <v xml:space="preserve"> Daktozin Ointment 90g</v>
      </c>
      <c r="C7083" t="s">
        <v>58</v>
      </c>
      <c r="D7083">
        <v>0</v>
      </c>
    </row>
    <row r="7084" spans="2:4" x14ac:dyDescent="0.25">
      <c r="B7084" t="str">
        <f>HYPERLINK("https://www.chemistwarehouse.com.au/buy/52311/Vaseline-Petroleum-Jelly-50g-Jar"," Vaseline Petroleum Jelly 50g Jar")</f>
        <v xml:space="preserve"> Vaseline Petroleum Jelly 50g Jar</v>
      </c>
      <c r="C7084" t="s">
        <v>1488</v>
      </c>
      <c r="D7084" t="s">
        <v>1257</v>
      </c>
    </row>
    <row r="7085" spans="2:4" x14ac:dyDescent="0.25">
      <c r="B7085" t="str">
        <f>HYPERLINK("https://www.chemistwarehouse.com.au/buy/76255/Aveeno-Baby-Dermexa-Moisturising-Cream-206g"," Aveeno Baby Dermexa Moisturising Cream 206g")</f>
        <v xml:space="preserve"> Aveeno Baby Dermexa Moisturising Cream 206g</v>
      </c>
      <c r="C7085" t="s">
        <v>61</v>
      </c>
      <c r="D7085" t="s">
        <v>115</v>
      </c>
    </row>
    <row r="7086" spans="2:4" x14ac:dyDescent="0.25">
      <c r="B7086" t="str">
        <f>HYPERLINK("https://www.chemistwarehouse.com.au/buy/73121/Curash-Multi-Healing-Cream-75g"," Curash Multi Healing Cream 75g")</f>
        <v xml:space="preserve"> Curash Multi Healing Cream 75g</v>
      </c>
      <c r="C7086" t="s">
        <v>1618</v>
      </c>
      <c r="D7086" t="s">
        <v>804</v>
      </c>
    </row>
    <row r="7087" spans="2:4" x14ac:dyDescent="0.25">
      <c r="B7087" t="str">
        <f>HYPERLINK("https://www.chemistwarehouse.com.au/buy/79475/Milk-Baby-Moisturising-Qweam-Pump-Pack-375ml"," Milk Baby Moisturising Qweam Pump Pack 375ml")</f>
        <v xml:space="preserve"> Milk Baby Moisturising Qweam Pump Pack 375ml</v>
      </c>
      <c r="C7087" t="s">
        <v>782</v>
      </c>
      <c r="D7087" t="s">
        <v>437</v>
      </c>
    </row>
    <row r="7088" spans="2:4" x14ac:dyDescent="0.25">
      <c r="B7088" t="str">
        <f>HYPERLINK("https://www.chemistwarehouse.com.au/buy/73165/Corams-Teething-Liquid-100mL"," Corams Teething Liquid 100mL")</f>
        <v xml:space="preserve"> Corams Teething Liquid 100mL</v>
      </c>
      <c r="C7088" t="s">
        <v>45</v>
      </c>
      <c r="D7088" t="s">
        <v>150</v>
      </c>
    </row>
    <row r="7089" spans="1:4" x14ac:dyDescent="0.25">
      <c r="A7089" t="s">
        <v>1708</v>
      </c>
    </row>
    <row r="7090" spans="1:4" x14ac:dyDescent="0.25">
      <c r="B7090" t="str">
        <f>HYPERLINK("https://www.chemistwarehouse.com.au/buy/76183/La-Clinica-Organic-For-Baby-Gentle-Shampoo-500ml"," La Clinica Organic For Baby Gentle Shampoo 500ml")</f>
        <v xml:space="preserve"> La Clinica Organic For Baby Gentle Shampoo 500ml</v>
      </c>
      <c r="C7090" t="s">
        <v>202</v>
      </c>
      <c r="D7090" t="s">
        <v>465</v>
      </c>
    </row>
    <row r="7091" spans="1:4" x14ac:dyDescent="0.25">
      <c r="B7091" t="str">
        <f>HYPERLINK("https://www.chemistwarehouse.com.au/buy/76185/La-Clinica-Organic-For-Baby-Soap-Free-Wash-Gel-500ml"," La Clinica Organic For Baby Soap Free Wash Gel 500ml")</f>
        <v xml:space="preserve"> La Clinica Organic For Baby Soap Free Wash Gel 500ml</v>
      </c>
      <c r="C7091" t="s">
        <v>202</v>
      </c>
      <c r="D7091" t="s">
        <v>465</v>
      </c>
    </row>
    <row r="7092" spans="1:4" x14ac:dyDescent="0.25">
      <c r="B7092" t="str">
        <f>HYPERLINK("https://www.chemistwarehouse.com.au/buy/76182/La-Clinica-Organic-For-Baby-Calming-Massage-Oil-250ml"," La Clinica Organic For Baby Calming Massage Oil 250ml")</f>
        <v xml:space="preserve"> La Clinica Organic For Baby Calming Massage Oil 250ml</v>
      </c>
      <c r="C7092" t="s">
        <v>202</v>
      </c>
      <c r="D7092" t="s">
        <v>465</v>
      </c>
    </row>
    <row r="7093" spans="1:4" x14ac:dyDescent="0.25">
      <c r="B7093" t="str">
        <f>HYPERLINK("https://www.chemistwarehouse.com.au/buy/76184/La-Clinica-Organic-For-Baby-Moisturiser-SPF15-100ml"," La Clinica Organic For Baby Moisturiser SPF15 100ml")</f>
        <v xml:space="preserve"> La Clinica Organic For Baby Moisturiser SPF15 100ml</v>
      </c>
      <c r="C7093" t="s">
        <v>32</v>
      </c>
      <c r="D7093" t="s">
        <v>1310</v>
      </c>
    </row>
    <row r="7094" spans="1:4" x14ac:dyDescent="0.25">
      <c r="B7094" t="str">
        <f>HYPERLINK("https://www.chemistwarehouse.com.au/buy/71663/La-Clinica-Organic-For-Baby-Gentle-Shampoo-250ml"," La Clinica Organic For Baby Gentle Shampoo 250ml")</f>
        <v xml:space="preserve"> La Clinica Organic For Baby Gentle Shampoo 250ml</v>
      </c>
      <c r="C7094" t="s">
        <v>32</v>
      </c>
      <c r="D7094" t="s">
        <v>1310</v>
      </c>
    </row>
    <row r="7095" spans="1:4" x14ac:dyDescent="0.25">
      <c r="B7095" t="str">
        <f>HYPERLINK("https://www.chemistwarehouse.com.au/buy/71664/La-Clinica-Organic-For-Baby-Soap-Free-Wash-Gel-250ml"," La Clinica Organic For Baby Soap Free Wash Gel 250ml")</f>
        <v xml:space="preserve"> La Clinica Organic For Baby Soap Free Wash Gel 250ml</v>
      </c>
      <c r="C7095" t="s">
        <v>32</v>
      </c>
      <c r="D7095" t="s">
        <v>1310</v>
      </c>
    </row>
    <row r="7096" spans="1:4" x14ac:dyDescent="0.25">
      <c r="B7096" t="str">
        <f>HYPERLINK("https://www.chemistwarehouse.com.au/buy/71665/La-Clinica-Organic-For-Baby-Soothing-Lotion-250ml"," La Clinica Organic For Baby Soothing Lotion 250ml")</f>
        <v xml:space="preserve"> La Clinica Organic For Baby Soothing Lotion 250ml</v>
      </c>
      <c r="C7096" t="s">
        <v>32</v>
      </c>
      <c r="D7096" t="s">
        <v>1310</v>
      </c>
    </row>
    <row r="7097" spans="1:4" x14ac:dyDescent="0.25">
      <c r="B7097" t="str">
        <f>HYPERLINK("https://www.chemistwarehouse.com.au/buy/71666/La-Clinica-Organic-For-Baby-Zinc-Barrier-Balm-100ml"," La Clinica Organic For Baby Zinc Barrier Balm 100ml")</f>
        <v xml:space="preserve"> La Clinica Organic For Baby Zinc Barrier Balm 100ml</v>
      </c>
      <c r="C7097" t="s">
        <v>32</v>
      </c>
      <c r="D7097" t="s">
        <v>1310</v>
      </c>
    </row>
    <row r="7098" spans="1:4" x14ac:dyDescent="0.25">
      <c r="A7098" t="s">
        <v>1709</v>
      </c>
    </row>
    <row r="7099" spans="1:4" x14ac:dyDescent="0.25">
      <c r="B7099" t="str">
        <f>HYPERLINK("https://www.chemistwarehouse.com.au/buy/82098/Ecostore-Baby-Body-Wash-200ml"," Ecostore Baby Body Wash 200ml")</f>
        <v xml:space="preserve"> Ecostore Baby Body Wash 200ml</v>
      </c>
      <c r="C7099" t="s">
        <v>92</v>
      </c>
      <c r="D7099" t="s">
        <v>593</v>
      </c>
    </row>
    <row r="7100" spans="1:4" x14ac:dyDescent="0.25">
      <c r="B7100" t="str">
        <f>HYPERLINK("https://www.chemistwarehouse.com.au/buy/82099/Ecostore-Baby-Moisturiser-200ml"," Ecostore Baby Moisturiser 200ml")</f>
        <v xml:space="preserve"> Ecostore Baby Moisturiser 200ml</v>
      </c>
      <c r="C7100" t="s">
        <v>103</v>
      </c>
      <c r="D7100" t="s">
        <v>312</v>
      </c>
    </row>
    <row r="7101" spans="1:4" x14ac:dyDescent="0.25">
      <c r="B7101" t="str">
        <f>HYPERLINK("https://www.chemistwarehouse.com.au/buy/82100/Ecostore-Baby-Shampoo-200ml"," Ecostore Baby Shampoo 200ml")</f>
        <v xml:space="preserve"> Ecostore Baby Shampoo 200ml</v>
      </c>
      <c r="C7101" t="s">
        <v>92</v>
      </c>
      <c r="D7101" t="s">
        <v>593</v>
      </c>
    </row>
    <row r="7102" spans="1:4" x14ac:dyDescent="0.25">
      <c r="B7102" t="str">
        <f>HYPERLINK("https://www.chemistwarehouse.com.au/buy/82101/Ecostore-Baby-Sleepytime-Bath-200ml"," Ecostore Baby Sleepytime Bath 200ml")</f>
        <v xml:space="preserve"> Ecostore Baby Sleepytime Bath 200ml</v>
      </c>
      <c r="C7102" t="s">
        <v>92</v>
      </c>
      <c r="D7102" t="s">
        <v>593</v>
      </c>
    </row>
    <row r="7103" spans="1:4" x14ac:dyDescent="0.25">
      <c r="B7103" t="str">
        <f>HYPERLINK("https://www.chemistwarehouse.com.au/buy/82102/Ecostore-Kids-Double-Trouble-Bubble-Maker-Pear-Pop-400ml"," Ecostore Kids Double Trouble Bubble Maker Pear Pop 400ml")</f>
        <v xml:space="preserve"> Ecostore Kids Double Trouble Bubble Maker Pear Pop 400ml</v>
      </c>
      <c r="C7103" t="s">
        <v>32</v>
      </c>
      <c r="D7103" t="s">
        <v>371</v>
      </c>
    </row>
    <row r="7104" spans="1:4" x14ac:dyDescent="0.25">
      <c r="B7104" t="str">
        <f>HYPERLINK("https://www.chemistwarehouse.com.au/buy/82103/Ecostore-Kids-Foam-To-The-Max-3-In-1-Conditioning-Shampoo-amp-Body-Wash-Fruity-Zing-350ml"," Ecostore Kids Foam To The Max 3 In 1 Conditioning Shampoo &amp; Body Wash Fruity Zing 350ml")</f>
        <v xml:space="preserve"> Ecostore Kids Foam To The Max 3 In 1 Conditioning Shampoo &amp; Body Wash Fruity Zing 350ml</v>
      </c>
      <c r="C7104" t="s">
        <v>32</v>
      </c>
      <c r="D7104" t="s">
        <v>371</v>
      </c>
    </row>
    <row r="7105" spans="1:4" x14ac:dyDescent="0.25">
      <c r="B7105" t="str">
        <f>HYPERLINK("https://www.chemistwarehouse.com.au/buy/82104/Ecostore-Kids-Foam-To-The-Max-3-In-1-Conditioning-Shampoo-amp-Body-Wash-Pear-Pop-350ml"," Ecostore Kids Foam To The Max 3 In 1 Conditioning Shampoo &amp; Body Wash Pear Pop 350ml")</f>
        <v xml:space="preserve"> Ecostore Kids Foam To The Max 3 In 1 Conditioning Shampoo &amp; Body Wash Pear Pop 350ml</v>
      </c>
      <c r="C7105" t="s">
        <v>32</v>
      </c>
      <c r="D7105" t="s">
        <v>371</v>
      </c>
    </row>
    <row r="7106" spans="1:4" x14ac:dyDescent="0.25">
      <c r="A7106" t="s">
        <v>1710</v>
      </c>
    </row>
    <row r="7107" spans="1:4" x14ac:dyDescent="0.25">
      <c r="B7107" t="str">
        <f>HYPERLINK("https://www.chemistwarehouse.com.au/buy/82107/Organic-Care-Baby-2in1-Conditioning-Shampoo-400ml"," Organic Care Baby 2in1 Conditioning Shampoo 400ml")</f>
        <v xml:space="preserve"> Organic Care Baby 2in1 Conditioning Shampoo 400ml</v>
      </c>
      <c r="C7107" t="s">
        <v>92</v>
      </c>
      <c r="D7107" t="s">
        <v>115</v>
      </c>
    </row>
    <row r="7108" spans="1:4" x14ac:dyDescent="0.25">
      <c r="B7108" t="str">
        <f>HYPERLINK("https://www.chemistwarehouse.com.au/buy/82109/Organic-Care-Baby-Bubble-Bath-400ml"," Organic Care Baby Bubble Bath 400ml")</f>
        <v xml:space="preserve"> Organic Care Baby Bubble Bath 400ml</v>
      </c>
      <c r="C7108" t="s">
        <v>92</v>
      </c>
      <c r="D7108" t="s">
        <v>115</v>
      </c>
    </row>
    <row r="7109" spans="1:4" x14ac:dyDescent="0.25">
      <c r="B7109" t="str">
        <f>HYPERLINK("https://www.chemistwarehouse.com.au/buy/82110/Organic-Care-Baby-Moisturiser-400ml"," Organic Care Baby Moisturiser 400ml")</f>
        <v xml:space="preserve"> Organic Care Baby Moisturiser 400ml</v>
      </c>
      <c r="C7109" t="s">
        <v>92</v>
      </c>
      <c r="D7109" t="s">
        <v>115</v>
      </c>
    </row>
    <row r="7110" spans="1:4" x14ac:dyDescent="0.25">
      <c r="B7110" t="str">
        <f>HYPERLINK("https://www.chemistwarehouse.com.au/buy/82108/Organic-Care-Baby-Body-Wash-400ml"," Organic Care Baby Body Wash 400ml")</f>
        <v xml:space="preserve"> Organic Care Baby Body Wash 400ml</v>
      </c>
      <c r="C7110" t="s">
        <v>92</v>
      </c>
      <c r="D7110" t="s">
        <v>115</v>
      </c>
    </row>
    <row r="7111" spans="1:4" x14ac:dyDescent="0.25">
      <c r="A7111" t="s">
        <v>1711</v>
      </c>
    </row>
    <row r="7112" spans="1:4" x14ac:dyDescent="0.25">
      <c r="B7112" t="str">
        <f>HYPERLINK("https://www.chemistwarehouse.com.au/buy/74286/Baby-Mum-Mum-Rice-Rusks-Apple-amp-Pumpkin-Flavour-36g"," Baby Mum-Mum Rice Rusks Apple &amp; Pumpkin Flavour 36g")</f>
        <v xml:space="preserve"> Baby Mum-Mum Rice Rusks Apple &amp; Pumpkin Flavour 36g</v>
      </c>
      <c r="C7112" t="s">
        <v>1488</v>
      </c>
      <c r="D7112" t="s">
        <v>1497</v>
      </c>
    </row>
    <row r="7113" spans="1:4" x14ac:dyDescent="0.25">
      <c r="B7113" t="str">
        <f>HYPERLINK("https://www.chemistwarehouse.com.au/buy/74289/Baby-Mum-Mum-Rice-Rusks-Vegetable-Flavour-36g"," Baby Mum-Mum Rice Rusks Vegetable Flavour 36g")</f>
        <v xml:space="preserve"> Baby Mum-Mum Rice Rusks Vegetable Flavour 36g</v>
      </c>
      <c r="C7113" t="s">
        <v>1488</v>
      </c>
      <c r="D7113" t="s">
        <v>1497</v>
      </c>
    </row>
    <row r="7114" spans="1:4" x14ac:dyDescent="0.25">
      <c r="B7114" t="str">
        <f>HYPERLINK("https://www.chemistwarehouse.com.au/buy/74287/Baby-Mum-Mum-Rice-Rusks-Banana-Flavour-36g"," Baby Mum-Mum Rice Rusks Banana Flavour 36g")</f>
        <v xml:space="preserve"> Baby Mum-Mum Rice Rusks Banana Flavour 36g</v>
      </c>
      <c r="C7114" t="s">
        <v>1488</v>
      </c>
      <c r="D7114" t="s">
        <v>1497</v>
      </c>
    </row>
    <row r="7115" spans="1:4" x14ac:dyDescent="0.25">
      <c r="B7115" t="str">
        <f>HYPERLINK("https://www.chemistwarehouse.com.au/buy/78685/Baby-Mum-Mum-Organic-Rice-Rusks-Carrot-Flavour-36g"," Baby Mum-Mum Organic Rice Rusks Carrot Flavour 36g")</f>
        <v xml:space="preserve"> Baby Mum-Mum Organic Rice Rusks Carrot Flavour 36g</v>
      </c>
      <c r="C7115" t="s">
        <v>1488</v>
      </c>
      <c r="D7115" t="s">
        <v>1497</v>
      </c>
    </row>
    <row r="7116" spans="1:4" x14ac:dyDescent="0.25">
      <c r="A7116" t="s">
        <v>1712</v>
      </c>
    </row>
    <row r="7117" spans="1:4" x14ac:dyDescent="0.25">
      <c r="B7117" t="str">
        <f>HYPERLINK("https://www.chemistwarehouse.com.au/buy/68546/Bellamy-39-s-Organic-Brown-Rice-Pasta-Stars-200g"," Bellamy's Organic Brown Rice Pasta Stars 200g")</f>
        <v xml:space="preserve"> Bellamy's Organic Brown Rice Pasta Stars 200g</v>
      </c>
      <c r="C7117" t="s">
        <v>786</v>
      </c>
      <c r="D7117" t="s">
        <v>1497</v>
      </c>
    </row>
    <row r="7118" spans="1:4" x14ac:dyDescent="0.25">
      <c r="B7118" t="str">
        <f>HYPERLINK("https://www.chemistwarehouse.com.au/buy/68552/Bellamy-39-s-Organic-Mango-Blueberry-amp-Apple-90g"," Bellamy's Organic Mango Blueberry &amp; Apple 90g")</f>
        <v xml:space="preserve"> Bellamy's Organic Mango Blueberry &amp; Apple 90g</v>
      </c>
      <c r="C7118" t="s">
        <v>733</v>
      </c>
      <c r="D7118" t="s">
        <v>1257</v>
      </c>
    </row>
    <row r="7119" spans="1:4" x14ac:dyDescent="0.25">
      <c r="B7119" t="str">
        <f>HYPERLINK("https://www.chemistwarehouse.com.au/buy/68558/Bellamy-39-s-Organic-Vegi-Macaroni-175g"," Bellamy's Organic Vegi Macaroni 175g")</f>
        <v xml:space="preserve"> Bellamy's Organic Vegi Macaroni 175g</v>
      </c>
      <c r="C7119" t="s">
        <v>786</v>
      </c>
      <c r="D7119" t="s">
        <v>1497</v>
      </c>
    </row>
    <row r="7120" spans="1:4" x14ac:dyDescent="0.25">
      <c r="B7120" t="str">
        <f>HYPERLINK("https://www.chemistwarehouse.com.au/buy/68549/Bellamy-39-s-Organic-Chicken-Sweet-Potato-Cous-Cous-110g"," Bellamy's Organic Chicken Sweet Potato Cous Cous 110g")</f>
        <v xml:space="preserve"> Bellamy's Organic Chicken Sweet Potato Cous Cous 110g</v>
      </c>
      <c r="C7120" t="s">
        <v>1489</v>
      </c>
      <c r="D7120" t="s">
        <v>1257</v>
      </c>
    </row>
    <row r="7121" spans="2:4" x14ac:dyDescent="0.25">
      <c r="B7121" t="str">
        <f>HYPERLINK("https://www.chemistwarehouse.com.au/buy/68557/Bellamy-39-s-Organic-Milk-Rusks-Toothiepegs-100g"," Bellamy's Organic Milk Rusks Toothiepegs 100g")</f>
        <v xml:space="preserve"> Bellamy's Organic Milk Rusks Toothiepegs 100g</v>
      </c>
      <c r="C7121" t="s">
        <v>120</v>
      </c>
      <c r="D7121" t="s">
        <v>1497</v>
      </c>
    </row>
    <row r="7122" spans="2:4" x14ac:dyDescent="0.25">
      <c r="B7122" t="str">
        <f>HYPERLINK("https://www.chemistwarehouse.com.au/buy/68559/Bellamy-39-s-Organic-Vegie-Alphabets-200g"," Bellamy's Organic Vegie Alphabets 200g")</f>
        <v xml:space="preserve"> Bellamy's Organic Vegie Alphabets 200g</v>
      </c>
      <c r="C7122" t="s">
        <v>786</v>
      </c>
      <c r="D7122" t="s">
        <v>1497</v>
      </c>
    </row>
    <row r="7123" spans="2:4" x14ac:dyDescent="0.25">
      <c r="B7123" t="str">
        <f>HYPERLINK("https://www.chemistwarehouse.com.au/buy/76095/Bellamy-Organics-Sweet-Potato-Carrot-amp-Apple-90g"," Bellamy Organics Sweet Potato Carrot &amp; Apple 90g")</f>
        <v xml:space="preserve"> Bellamy Organics Sweet Potato Carrot &amp; Apple 90g</v>
      </c>
      <c r="C7123" t="s">
        <v>733</v>
      </c>
      <c r="D7123" t="s">
        <v>1257</v>
      </c>
    </row>
    <row r="7124" spans="2:4" x14ac:dyDescent="0.25">
      <c r="B7124" t="str">
        <f>HYPERLINK("https://www.chemistwarehouse.com.au/buy/68553/Bellamy-39-s-Organic-Peach-amp-Apple-90g"," Bellamy's Organic Peach &amp; Apple 90g")</f>
        <v xml:space="preserve"> Bellamy's Organic Peach &amp; Apple 90g</v>
      </c>
      <c r="C7124" t="s">
        <v>733</v>
      </c>
      <c r="D7124" t="s">
        <v>1257</v>
      </c>
    </row>
    <row r="7125" spans="2:4" x14ac:dyDescent="0.25">
      <c r="B7125" t="str">
        <f>HYPERLINK("https://www.chemistwarehouse.com.au/buy/76093/Bellamy-Organics-Banana-Pear-amp-Mango-90g"," Bellamy Organics Banana Pear &amp; Mango 90g")</f>
        <v xml:space="preserve"> Bellamy Organics Banana Pear &amp; Mango 90g</v>
      </c>
      <c r="C7125" t="s">
        <v>733</v>
      </c>
      <c r="D7125" t="s">
        <v>1257</v>
      </c>
    </row>
    <row r="7126" spans="2:4" x14ac:dyDescent="0.25">
      <c r="B7126" t="str">
        <f>HYPERLINK("https://www.chemistwarehouse.com.au/buy/68535/Bellamy-39-s-Organic-Apple-and-Pear-Fruit-Snacks"," Bellamy's Organic Apple and Pear Fruit Snacks")</f>
        <v xml:space="preserve"> Bellamy's Organic Apple and Pear Fruit Snacks</v>
      </c>
      <c r="C7126" t="s">
        <v>728</v>
      </c>
      <c r="D7126" t="s">
        <v>1328</v>
      </c>
    </row>
    <row r="7127" spans="2:4" x14ac:dyDescent="0.25">
      <c r="B7127" t="str">
        <f>HYPERLINK("https://www.chemistwarehouse.com.au/buy/68554/Bellamy-39-s-Organic-Pumpkin-amp-Tomato-Risotto-90g"," Bellamy's Organic Pumpkin &amp; Tomato Risotto 90g")</f>
        <v xml:space="preserve"> Bellamy's Organic Pumpkin &amp; Tomato Risotto 90g</v>
      </c>
      <c r="C7127" t="s">
        <v>733</v>
      </c>
      <c r="D7127" t="s">
        <v>1257</v>
      </c>
    </row>
    <row r="7128" spans="2:4" x14ac:dyDescent="0.25">
      <c r="B7128" t="str">
        <f>HYPERLINK("https://www.chemistwarehouse.com.au/buy/68539/Bellamy-39-s-Organic-Spelt-Macaroni-200g"," Bellamy's Organic Spelt Macaroni 200g")</f>
        <v xml:space="preserve"> Bellamy's Organic Spelt Macaroni 200g</v>
      </c>
      <c r="C7128" t="s">
        <v>786</v>
      </c>
      <c r="D7128" t="s">
        <v>1497</v>
      </c>
    </row>
    <row r="7129" spans="2:4" x14ac:dyDescent="0.25">
      <c r="B7129" t="str">
        <f>HYPERLINK("https://www.chemistwarehouse.com.au/buy/68542/Bellamy-39-s-Organic-Banana-amp-Apple-Porridge-90g"," Bellamy's Organic Banana &amp; Apple Porridge 90g")</f>
        <v xml:space="preserve"> Bellamy's Organic Banana &amp; Apple Porridge 90g</v>
      </c>
      <c r="C7129" t="s">
        <v>733</v>
      </c>
      <c r="D7129" t="s">
        <v>1257</v>
      </c>
    </row>
    <row r="7130" spans="2:4" x14ac:dyDescent="0.25">
      <c r="B7130" t="str">
        <f>HYPERLINK("https://www.chemistwarehouse.com.au/buy/72142/Bellamy-Organics-Pinkies-Apple-Strawberry-And-Mango"," Bellamy Organics Pinkies Apple Strawberry And Mango")</f>
        <v xml:space="preserve"> Bellamy Organics Pinkies Apple Strawberry And Mango</v>
      </c>
      <c r="C7130" t="s">
        <v>1713</v>
      </c>
      <c r="D7130" t="s">
        <v>1714</v>
      </c>
    </row>
    <row r="7131" spans="2:4" x14ac:dyDescent="0.25">
      <c r="B7131" t="str">
        <f>HYPERLINK("https://www.chemistwarehouse.com.au/buy/76094/Bellamy-Organics-Pumpkin-Apple-amp-Sweet-Corn-90g"," Bellamy Organics Pumpkin Apple &amp; Sweet Corn 90g")</f>
        <v xml:space="preserve"> Bellamy Organics Pumpkin Apple &amp; Sweet Corn 90g</v>
      </c>
      <c r="C7131" t="s">
        <v>733</v>
      </c>
      <c r="D7131" t="s">
        <v>1257</v>
      </c>
    </row>
    <row r="7132" spans="2:4" x14ac:dyDescent="0.25">
      <c r="B7132" t="str">
        <f>HYPERLINK("https://www.chemistwarehouse.com.au/buy/68537/Bellamy-39-s-Organic-Apple-Fig-amp-Oatmeal-90g"," Bellamy's Organic Apple Fig &amp; Oatmeal 90g")</f>
        <v xml:space="preserve"> Bellamy's Organic Apple Fig &amp; Oatmeal 90g</v>
      </c>
      <c r="C7132" t="s">
        <v>733</v>
      </c>
      <c r="D7132" t="s">
        <v>1257</v>
      </c>
    </row>
    <row r="7133" spans="2:4" x14ac:dyDescent="0.25">
      <c r="B7133" t="str">
        <f>HYPERLINK("https://www.chemistwarehouse.com.au/buy/68538/Bellamy-39-s-Organic-Apple-Snacks-20g"," Bellamy's Organic Apple Snacks 20g")</f>
        <v xml:space="preserve"> Bellamy's Organic Apple Snacks 20g</v>
      </c>
      <c r="C7133" t="s">
        <v>728</v>
      </c>
      <c r="D7133" t="s">
        <v>1328</v>
      </c>
    </row>
    <row r="7134" spans="2:4" x14ac:dyDescent="0.25">
      <c r="B7134" t="str">
        <f>HYPERLINK("https://www.chemistwarehouse.com.au/buy/68544/Bellamy-39-s-Organic-Berries-Cinnamon-amp-Apple-90g"," Bellamy's Organic Berries Cinnamon &amp; Apple 90g")</f>
        <v xml:space="preserve"> Bellamy's Organic Berries Cinnamon &amp; Apple 90g</v>
      </c>
      <c r="C7134" t="s">
        <v>733</v>
      </c>
      <c r="D7134" t="s">
        <v>1257</v>
      </c>
    </row>
    <row r="7135" spans="2:4" x14ac:dyDescent="0.25">
      <c r="B7135" t="str">
        <f>HYPERLINK("https://www.chemistwarehouse.com.au/buy/68545/Bellamy-39-s-Organic-Broccoli-Beef-Brown-Rice-110g"," Bellamy's Organic Broccoli Beef Brown Rice 110g")</f>
        <v xml:space="preserve"> Bellamy's Organic Broccoli Beef Brown Rice 110g</v>
      </c>
      <c r="C7135" t="s">
        <v>1489</v>
      </c>
      <c r="D7135" t="s">
        <v>1257</v>
      </c>
    </row>
    <row r="7136" spans="2:4" x14ac:dyDescent="0.25">
      <c r="B7136" t="str">
        <f>HYPERLINK("https://www.chemistwarehouse.com.au/buy/68555/Bellamy-39-s-Organic-Spring-Vegetable-Macaroni-110g"," Bellamy's Organic Spring Vegetable Macaroni 110g")</f>
        <v xml:space="preserve"> Bellamy's Organic Spring Vegetable Macaroni 110g</v>
      </c>
      <c r="C7136" t="s">
        <v>1489</v>
      </c>
      <c r="D7136" t="s">
        <v>1257</v>
      </c>
    </row>
    <row r="7137" spans="1:4" x14ac:dyDescent="0.25">
      <c r="B7137" t="str">
        <f>HYPERLINK("https://www.chemistwarehouse.com.au/buy/72139/Bellamy-Organics-Pineapple-Apple-and-Banana-Snacks"," Bellamy Organics Pineapple Apple and Banana Snacks")</f>
        <v xml:space="preserve"> Bellamy Organics Pineapple Apple and Banana Snacks</v>
      </c>
      <c r="C7137" t="s">
        <v>115</v>
      </c>
      <c r="D7137" t="s">
        <v>1332</v>
      </c>
    </row>
    <row r="7138" spans="1:4" x14ac:dyDescent="0.25">
      <c r="A7138" t="s">
        <v>1715</v>
      </c>
    </row>
    <row r="7139" spans="1:4" x14ac:dyDescent="0.25">
      <c r="B7139" t="str">
        <f>HYPERLINK("https://www.chemistwarehouse.com.au/buy/68741/Cerelac-Infant-Cereal-Oat-amp-Prune-200g"," Cerelac Infant Cereal Oat &amp; Prune 200g")</f>
        <v xml:space="preserve"> Cerelac Infant Cereal Oat &amp; Prune 200g</v>
      </c>
      <c r="C7139" t="s">
        <v>120</v>
      </c>
      <c r="D7139" t="s">
        <v>776</v>
      </c>
    </row>
    <row r="7140" spans="1:4" x14ac:dyDescent="0.25">
      <c r="B7140" t="str">
        <f>HYPERLINK("https://www.chemistwarehouse.com.au/buy/66001/Cerelac-Infant-Cereal-Pear-200g"," Cerelac Infant Cereal Pear 200g")</f>
        <v xml:space="preserve"> Cerelac Infant Cereal Pear 200g</v>
      </c>
      <c r="C7140" t="s">
        <v>120</v>
      </c>
      <c r="D7140" t="s">
        <v>776</v>
      </c>
    </row>
    <row r="7141" spans="1:4" x14ac:dyDescent="0.25">
      <c r="B7141" t="str">
        <f>HYPERLINK("https://www.chemistwarehouse.com.au/buy/60529/Cerelac-Infant-Cereal-Rice-200g"," Cerelac Infant Cereal Rice 200g")</f>
        <v xml:space="preserve"> Cerelac Infant Cereal Rice 200g</v>
      </c>
      <c r="C7141" t="s">
        <v>120</v>
      </c>
      <c r="D7141" t="s">
        <v>776</v>
      </c>
    </row>
    <row r="7142" spans="1:4" x14ac:dyDescent="0.25">
      <c r="B7142" t="str">
        <f>HYPERLINK("https://www.chemistwarehouse.com.au/buy/60530/Cerelac-Infant-Cereal-Wheat-200g"," Cerelac Infant Cereal Wheat 200g")</f>
        <v xml:space="preserve"> Cerelac Infant Cereal Wheat 200g</v>
      </c>
      <c r="C7142" t="s">
        <v>120</v>
      </c>
      <c r="D7142" t="s">
        <v>776</v>
      </c>
    </row>
    <row r="7143" spans="1:4" x14ac:dyDescent="0.25">
      <c r="A7143" t="s">
        <v>1716</v>
      </c>
    </row>
    <row r="7144" spans="1:4" x14ac:dyDescent="0.25">
      <c r="B7144" t="str">
        <f>HYPERLINK("https://www.chemistwarehouse.com.au/buy/74290/Little-Quacker-Rice-Biscuits-Banana-Flavour-40g"," Little Quacker Rice Biscuits Banana Flavour 40g")</f>
        <v xml:space="preserve"> Little Quacker Rice Biscuits Banana Flavour 40g</v>
      </c>
      <c r="C7144" t="s">
        <v>1488</v>
      </c>
      <c r="D7144" t="s">
        <v>1497</v>
      </c>
    </row>
    <row r="7145" spans="1:4" x14ac:dyDescent="0.25">
      <c r="B7145" t="str">
        <f>HYPERLINK("https://www.chemistwarehouse.com.au/buy/74291/Little-Quacker-Rice-Biscuits-Strawberry-Flavour-40g"," Little Quacker Rice Biscuits Strawberry Flavour 40g")</f>
        <v xml:space="preserve"> Little Quacker Rice Biscuits Strawberry Flavour 40g</v>
      </c>
      <c r="C7145" t="s">
        <v>1488</v>
      </c>
      <c r="D7145" t="s">
        <v>1497</v>
      </c>
    </row>
    <row r="7146" spans="1:4" x14ac:dyDescent="0.25">
      <c r="A7146" t="s">
        <v>1717</v>
      </c>
    </row>
    <row r="7147" spans="1:4" x14ac:dyDescent="0.25">
      <c r="B7147" t="str">
        <f>HYPERLINK("https://www.chemistwarehouse.com.au/buy/75336/Farex-Breakfast-On-The-Go-Apple-amp-Oatmeal-6-months-120g-Pouch"," Farex Breakfast On The Go Apple &amp; Oatmeal 6 months+ 120g Pouch")</f>
        <v xml:space="preserve"> Farex Breakfast On The Go Apple &amp; Oatmeal 6 months+ 120g Pouch</v>
      </c>
      <c r="C7147" t="s">
        <v>733</v>
      </c>
      <c r="D7147" t="s">
        <v>1257</v>
      </c>
    </row>
    <row r="7148" spans="1:4" x14ac:dyDescent="0.25">
      <c r="B7148" t="str">
        <f>HYPERLINK("https://www.chemistwarehouse.com.au/buy/75337/Farex-Breakfast-On-The-Go-Baby-Porridge-6-months-120g-Pouch"," Farex Breakfast On The Go Baby Porridge 6 months+ 120g Pouch")</f>
        <v xml:space="preserve"> Farex Breakfast On The Go Baby Porridge 6 months+ 120g Pouch</v>
      </c>
      <c r="C7148" t="s">
        <v>733</v>
      </c>
      <c r="D7148" t="s">
        <v>1257</v>
      </c>
    </row>
    <row r="7149" spans="1:4" x14ac:dyDescent="0.25">
      <c r="A7149" t="s">
        <v>1718</v>
      </c>
    </row>
    <row r="7150" spans="1:4" x14ac:dyDescent="0.25">
      <c r="B7150" t="str">
        <f>HYPERLINK("https://www.chemistwarehouse.com.au/buy/67688/Raffertys-Garden-4-Months-Organic-Baby-Rice-Iron-125g"," Raffertys Garden 4+ Months Organic Baby Rice + Iron 125g")</f>
        <v xml:space="preserve"> Raffertys Garden 4+ Months Organic Baby Rice + Iron 125g</v>
      </c>
      <c r="C7150" t="s">
        <v>399</v>
      </c>
      <c r="D7150" t="s">
        <v>1257</v>
      </c>
    </row>
    <row r="7151" spans="1:4" x14ac:dyDescent="0.25">
      <c r="B7151" t="str">
        <f>HYPERLINK("https://www.chemistwarehouse.com.au/buy/67687/Raffertys-Garden-4-Months-Multi-Value-6-Pack"," Raffertys Garden 4+ Months Multi Value 6 Pack")</f>
        <v xml:space="preserve"> Raffertys Garden 4+ Months Multi Value 6 Pack</v>
      </c>
      <c r="C7151" t="s">
        <v>107</v>
      </c>
      <c r="D7151" t="s">
        <v>327</v>
      </c>
    </row>
    <row r="7152" spans="1:4" x14ac:dyDescent="0.25">
      <c r="B7152" t="str">
        <f>HYPERLINK("https://www.chemistwarehouse.com.au/buy/66491/Raffertys-Garden-Banana-Milk-Rusk-100g"," Raffertys Garden Banana Milk Rusk 100g")</f>
        <v xml:space="preserve"> Raffertys Garden Banana Milk Rusk 100g</v>
      </c>
      <c r="C7152" t="s">
        <v>775</v>
      </c>
      <c r="D7152" t="s">
        <v>1257</v>
      </c>
    </row>
    <row r="7153" spans="2:4" x14ac:dyDescent="0.25">
      <c r="B7153" t="str">
        <f>HYPERLINK("https://www.chemistwarehouse.com.au/buy/67694/Raffertys-Garden-6-Months-Organic-Baby-Banana-Porridge-125g"," Raffertys Garden 6+ Months Organic Baby Banana Porridge 125g ")</f>
        <v xml:space="preserve"> Raffertys Garden 6+ Months Organic Baby Banana Porridge 125g </v>
      </c>
      <c r="C7153" t="s">
        <v>399</v>
      </c>
      <c r="D7153" t="s">
        <v>1257</v>
      </c>
    </row>
    <row r="7154" spans="2:4" x14ac:dyDescent="0.25">
      <c r="B7154" t="str">
        <f>HYPERLINK("https://www.chemistwarehouse.com.au/buy/67693/Raffertys-Garden-6-Months-Multigrain-Breakfast-Banana-amp-Apricot-125g"," Raffertys Garden 6+ Months Multigrain Breakfast Banana &amp; Apricot 125g")</f>
        <v xml:space="preserve"> Raffertys Garden 6+ Months Multigrain Breakfast Banana &amp; Apricot 125g</v>
      </c>
      <c r="C7154" t="s">
        <v>399</v>
      </c>
      <c r="D7154" t="s">
        <v>1257</v>
      </c>
    </row>
    <row r="7155" spans="2:4" x14ac:dyDescent="0.25">
      <c r="B7155" t="str">
        <f>HYPERLINK("https://www.chemistwarehouse.com.au/buy/67695/Raffertys-Garden-6-Months-Tuna-Rice-amp-Vegetable-Puree-120g"," Raffertys Garden 6+ Months Tuna Rice &amp; Vegetable Puree 120g ")</f>
        <v xml:space="preserve"> Raffertys Garden 6+ Months Tuna Rice &amp; Vegetable Puree 120g </v>
      </c>
      <c r="C7155" t="s">
        <v>812</v>
      </c>
      <c r="D7155" t="s">
        <v>725</v>
      </c>
    </row>
    <row r="7156" spans="2:4" x14ac:dyDescent="0.25">
      <c r="B7156" t="str">
        <f>HYPERLINK("https://www.chemistwarehouse.com.au/buy/67685/Raffertys-Garden-10-Months-Sweet-Potato-amp-Lamb-Casserole-70g"," Raffertys Garden 10+ Months Sweet Potato &amp; Lamb Casserole 70g")</f>
        <v xml:space="preserve"> Raffertys Garden 10+ Months Sweet Potato &amp; Lamb Casserole 70g</v>
      </c>
      <c r="C7156" t="s">
        <v>399</v>
      </c>
      <c r="D7156" t="s">
        <v>1257</v>
      </c>
    </row>
    <row r="7157" spans="2:4" x14ac:dyDescent="0.25">
      <c r="B7157" t="str">
        <f>HYPERLINK("https://www.chemistwarehouse.com.au/buy/67686/Raffertys-Garden-4-Months-Baby-Brekkie-Rice-Cereal-120g"," Raffertys Garden 4+ Months Baby Brekkie Rice Cereal 120g")</f>
        <v xml:space="preserve"> Raffertys Garden 4+ Months Baby Brekkie Rice Cereal 120g</v>
      </c>
      <c r="C7157" t="s">
        <v>812</v>
      </c>
      <c r="D7157" t="s">
        <v>725</v>
      </c>
    </row>
    <row r="7158" spans="2:4" x14ac:dyDescent="0.25">
      <c r="B7158" t="str">
        <f>HYPERLINK("https://www.chemistwarehouse.com.au/buy/67684/Raffertys-Garden-10-Months-Italian-Lasagne-170g"," Raffertys Garden 10+ Months Italian Lasagne 170g")</f>
        <v xml:space="preserve"> Raffertys Garden 10+ Months Italian Lasagne 170g</v>
      </c>
      <c r="C7158" t="s">
        <v>399</v>
      </c>
      <c r="D7158" t="s">
        <v>1257</v>
      </c>
    </row>
    <row r="7159" spans="2:4" x14ac:dyDescent="0.25">
      <c r="B7159" t="str">
        <f>HYPERLINK("https://www.chemistwarehouse.com.au/buy/78381/Raffertys-Garden-8-Months-Calci-Fruit-Mango-Pear-Banana-and-Milk-120g"," Raffertys Garden 8+ Months Calci-Fruit Mango Pear Banana and Milk 120g")</f>
        <v xml:space="preserve"> Raffertys Garden 8+ Months Calci-Fruit Mango Pear Banana and Milk 120g</v>
      </c>
      <c r="C7159" t="s">
        <v>1719</v>
      </c>
      <c r="D7159" t="s">
        <v>1257</v>
      </c>
    </row>
    <row r="7160" spans="2:4" x14ac:dyDescent="0.25">
      <c r="B7160" t="str">
        <f>HYPERLINK("https://www.chemistwarehouse.com.au/buy/67689/Raffertys-Garden-4-Months-Spinach-Apple-Brocoli-amp-Pea-120g"," Raffertys Garden 4+ Months Spinach Apple Brocoli &amp; Pea 120g ")</f>
        <v xml:space="preserve"> Raffertys Garden 4+ Months Spinach Apple Brocoli &amp; Pea 120g </v>
      </c>
      <c r="C7160" t="s">
        <v>812</v>
      </c>
      <c r="D7160" t="s">
        <v>1332</v>
      </c>
    </row>
    <row r="7161" spans="2:4" x14ac:dyDescent="0.25">
      <c r="B7161" t="str">
        <f>HYPERLINK("https://www.chemistwarehouse.com.au/buy/67682/Raffertys-Garden-10-Months-Bolognese-with-Macaroni-170g"," Raffertys Garden 10+ Months Bolognese with Macaroni 170g ")</f>
        <v xml:space="preserve"> Raffertys Garden 10+ Months Bolognese with Macaroni 170g </v>
      </c>
      <c r="C7161" t="s">
        <v>399</v>
      </c>
      <c r="D7161" t="s">
        <v>1257</v>
      </c>
    </row>
    <row r="7162" spans="2:4" x14ac:dyDescent="0.25">
      <c r="B7162" t="str">
        <f>HYPERLINK("https://www.chemistwarehouse.com.au/buy/66248/Raffertys-Garden-4-Months-Pump-Apple-amp-Corn-120g"," Raffertys Garden 4 Months Pump Apple &amp; Corn 120g")</f>
        <v xml:space="preserve"> Raffertys Garden 4 Months Pump Apple &amp; Corn 120g</v>
      </c>
      <c r="C7162" t="s">
        <v>812</v>
      </c>
      <c r="D7162" t="s">
        <v>1332</v>
      </c>
    </row>
    <row r="7163" spans="2:4" x14ac:dyDescent="0.25">
      <c r="B7163" t="str">
        <f>HYPERLINK("https://www.chemistwarehouse.com.au/buy/66251/Raffertys-Garden-6-Months-Hearty-Beef-amp-Veggie-Puree-120g"," Raffertys Garden 6 Months Hearty Beef &amp; Veggie Puree 120g")</f>
        <v xml:space="preserve"> Raffertys Garden 6 Months Hearty Beef &amp; Veggie Puree 120g</v>
      </c>
      <c r="C7163" t="s">
        <v>812</v>
      </c>
      <c r="D7163" t="s">
        <v>725</v>
      </c>
    </row>
    <row r="7164" spans="2:4" x14ac:dyDescent="0.25">
      <c r="B7164" t="str">
        <f>HYPERLINK("https://www.chemistwarehouse.com.au/buy/67691/Raffertys-Garden-6-Months-Bangers-Mash-amp-Veggie-Puree-120g"," Raffertys Garden 6+ Months Bangers Mash &amp; Veggie Puree 120g ")</f>
        <v xml:space="preserve"> Raffertys Garden 6+ Months Bangers Mash &amp; Veggie Puree 120g </v>
      </c>
      <c r="C7164" t="s">
        <v>812</v>
      </c>
      <c r="D7164" t="s">
        <v>725</v>
      </c>
    </row>
    <row r="7165" spans="2:4" x14ac:dyDescent="0.25">
      <c r="B7165" t="str">
        <f>HYPERLINK("https://www.chemistwarehouse.com.au/buy/66247/Raffertys-Garden-4-Months-Blueberry-Banana-amp-Apple-120g"," Raffertys Garden 4 Months Blueberry Banana &amp; Apple 120g")</f>
        <v xml:space="preserve"> Raffertys Garden 4 Months Blueberry Banana &amp; Apple 120g</v>
      </c>
      <c r="C7165" t="s">
        <v>812</v>
      </c>
      <c r="D7165" t="s">
        <v>1332</v>
      </c>
    </row>
    <row r="7166" spans="2:4" x14ac:dyDescent="0.25">
      <c r="B7166" t="str">
        <f>HYPERLINK("https://www.chemistwarehouse.com.au/buy/66249/Raffertys-Garden-4-Months-Sweet-Potato-Carrot-amp-Apple-120g"," Raffertys Garden 4 Months Sweet Potato Carrot &amp; Apple 120g")</f>
        <v xml:space="preserve"> Raffertys Garden 4 Months Sweet Potato Carrot &amp; Apple 120g</v>
      </c>
      <c r="C7166" t="s">
        <v>812</v>
      </c>
      <c r="D7166" t="s">
        <v>1332</v>
      </c>
    </row>
    <row r="7167" spans="2:4" x14ac:dyDescent="0.25">
      <c r="B7167" t="str">
        <f>HYPERLINK("https://www.chemistwarehouse.com.au/buy/66250/Raffertys-Garden-6-Months-Chicken-amp-Apricot-120g"," Raffertys Garden 6 Months Chicken &amp; Apricot 120g")</f>
        <v xml:space="preserve"> Raffertys Garden 6 Months Chicken &amp; Apricot 120g</v>
      </c>
      <c r="C7167" t="s">
        <v>812</v>
      </c>
      <c r="D7167" t="s">
        <v>725</v>
      </c>
    </row>
    <row r="7168" spans="2:4" x14ac:dyDescent="0.25">
      <c r="B7168" t="str">
        <f>HYPERLINK("https://www.chemistwarehouse.com.au/buy/66245/Raffertys-Garden-4-Months-Apple-Pear-amp-Cinnamon-120g"," Raffertys Garden 4 Months Apple Pear &amp; Cinnamon 120g")</f>
        <v xml:space="preserve"> Raffertys Garden 4 Months Apple Pear &amp; Cinnamon 120g</v>
      </c>
      <c r="C7168" t="s">
        <v>812</v>
      </c>
      <c r="D7168" t="s">
        <v>1332</v>
      </c>
    </row>
    <row r="7169" spans="1:4" x14ac:dyDescent="0.25">
      <c r="B7169" t="str">
        <f>HYPERLINK("https://www.chemistwarehouse.com.au/buy/67692/Raffertys-Garden-6-Months-Chocolate-Custard-120g"," Raffertys Garden 6+ Months Chocolate Custard 120g ")</f>
        <v xml:space="preserve"> Raffertys Garden 6+ Months Chocolate Custard 120g </v>
      </c>
      <c r="C7169" t="s">
        <v>812</v>
      </c>
      <c r="D7169" t="s">
        <v>725</v>
      </c>
    </row>
    <row r="7170" spans="1:4" x14ac:dyDescent="0.25">
      <c r="B7170" t="str">
        <f>HYPERLINK("https://www.chemistwarehouse.com.au/buy/67696/Raffertys-Garden-6-Months-Vanilla-Custard-120g"," Raffertys Garden 6+ Months Vanilla Custard 120g ")</f>
        <v xml:space="preserve"> Raffertys Garden 6+ Months Vanilla Custard 120g </v>
      </c>
      <c r="C7170" t="s">
        <v>812</v>
      </c>
      <c r="D7170" t="s">
        <v>725</v>
      </c>
    </row>
    <row r="7171" spans="1:4" x14ac:dyDescent="0.25">
      <c r="B7171" t="str">
        <f>HYPERLINK("https://www.chemistwarehouse.com.au/buy/78380/Raffertys-Garden-8-Months-Calci-Fruit-Peach-Banana-Pear-and-Milk-120g"," Raffertys Garden 8+ Months Calci-Fruit Peach Banana Pear and Milk 120g")</f>
        <v xml:space="preserve"> Raffertys Garden 8+ Months Calci-Fruit Peach Banana Pear and Milk 120g</v>
      </c>
      <c r="C7171" t="s">
        <v>1719</v>
      </c>
      <c r="D7171" t="s">
        <v>1257</v>
      </c>
    </row>
    <row r="7172" spans="1:4" x14ac:dyDescent="0.25">
      <c r="B7172" t="str">
        <f>HYPERLINK("https://www.chemistwarehouse.com.au/buy/66246/Raffertys-Garden-4-Months-Banana-Pear-amp-Mango-120g"," Raffertys Garden 4 Months Banana Pear &amp; Mango 120g")</f>
        <v xml:space="preserve"> Raffertys Garden 4 Months Banana Pear &amp; Mango 120g</v>
      </c>
      <c r="C7172" t="s">
        <v>812</v>
      </c>
      <c r="D7172" t="s">
        <v>1332</v>
      </c>
    </row>
    <row r="7173" spans="1:4" x14ac:dyDescent="0.25">
      <c r="B7173" t="str">
        <f>HYPERLINK("https://www.chemistwarehouse.com.au/buy/67683/Raffertys-Garden-10-Months-Chicken-Basil-amp-Tomato-Pasta-170g"," Raffertys Garden 10+ Months Chicken Basil &amp; Tomato Pasta 170g")</f>
        <v xml:space="preserve"> Raffertys Garden 10+ Months Chicken Basil &amp; Tomato Pasta 170g</v>
      </c>
      <c r="C7173" t="s">
        <v>399</v>
      </c>
      <c r="D7173" t="s">
        <v>1257</v>
      </c>
    </row>
    <row r="7174" spans="1:4" x14ac:dyDescent="0.25">
      <c r="A7174" t="s">
        <v>1720</v>
      </c>
    </row>
    <row r="7175" spans="1:4" x14ac:dyDescent="0.25">
      <c r="B7175" t="str">
        <f>HYPERLINK("https://www.chemistwarehouse.com.au/buy/73477/Heinz-Nutrios-Pumpkin"," Heinz Nutrios Pumpkin")</f>
        <v xml:space="preserve"> Heinz Nutrios Pumpkin</v>
      </c>
      <c r="C7175" t="s">
        <v>775</v>
      </c>
      <c r="D7175" t="s">
        <v>754</v>
      </c>
    </row>
    <row r="7176" spans="1:4" x14ac:dyDescent="0.25">
      <c r="B7176" t="str">
        <f>HYPERLINK("https://www.chemistwarehouse.com.au/buy/71399/Heinz-Little-Kids-Honey-Oat-Bikkies-10-Pack"," Heinz Little Kids Honey Oat Bikkies 10 Pack")</f>
        <v xml:space="preserve"> Heinz Little Kids Honey Oat Bikkies 10 Pack</v>
      </c>
      <c r="C7176" t="s">
        <v>120</v>
      </c>
      <c r="D7176" t="s">
        <v>643</v>
      </c>
    </row>
    <row r="7177" spans="1:4" x14ac:dyDescent="0.25">
      <c r="B7177" t="str">
        <f>HYPERLINK("https://www.chemistwarehouse.com.au/buy/71398/Heinz-Little-Kids-Corn-Cakes-Tomato-40g"," Heinz Little Kids Corn Cakes Tomato 40g")</f>
        <v xml:space="preserve"> Heinz Little Kids Corn Cakes Tomato 40g</v>
      </c>
      <c r="C7177" t="s">
        <v>728</v>
      </c>
      <c r="D7177" t="s">
        <v>643</v>
      </c>
    </row>
    <row r="7178" spans="1:4" x14ac:dyDescent="0.25">
      <c r="B7178" t="str">
        <f>HYPERLINK("https://www.chemistwarehouse.com.au/buy/78311/Heinz-Pear-Banana-amp-Apple-Pouch-120g-4m"," Heinz Pear Banana &amp; Apple Pouch 120g 4m+")</f>
        <v xml:space="preserve"> Heinz Pear Banana &amp; Apple Pouch 120g 4m+</v>
      </c>
      <c r="C7178" t="s">
        <v>1721</v>
      </c>
      <c r="D7178" t="s">
        <v>776</v>
      </c>
    </row>
    <row r="7179" spans="1:4" x14ac:dyDescent="0.25">
      <c r="B7179" t="str">
        <f>HYPERLINK("https://www.chemistwarehouse.com.au/buy/78301/Heinz-Chicken-Sweetcorn-amp-Mango-Pouch-120g-6m"," Heinz Chicken Sweetcorn &amp; Mango Pouch 120g 6m+")</f>
        <v xml:space="preserve"> Heinz Chicken Sweetcorn &amp; Mango Pouch 120g 6m+</v>
      </c>
      <c r="C7179" t="s">
        <v>1721</v>
      </c>
      <c r="D7179" t="s">
        <v>776</v>
      </c>
    </row>
    <row r="7180" spans="1:4" x14ac:dyDescent="0.25">
      <c r="B7180" t="str">
        <f>HYPERLINK("https://www.chemistwarehouse.com.au/buy/78312/Heinz-Vanilla-Custard-120g-Pouch-120g-6m"," Heinz Vanilla Custard 120g Pouch 120g 6m+")</f>
        <v xml:space="preserve"> Heinz Vanilla Custard 120g Pouch 120g 6m+</v>
      </c>
      <c r="C7180" t="s">
        <v>1721</v>
      </c>
      <c r="D7180" t="s">
        <v>776</v>
      </c>
    </row>
    <row r="7181" spans="1:4" x14ac:dyDescent="0.25">
      <c r="B7181" t="str">
        <f>HYPERLINK("https://www.chemistwarehouse.com.au/buy/78300/Heinz-Apple-Blueberry-amp-Strawberry-Pouch-120g-8m"," Heinz Apple Blueberry &amp; Strawberry Pouch 120g 8m+")</f>
        <v xml:space="preserve"> Heinz Apple Blueberry &amp; Strawberry Pouch 120g 8m+</v>
      </c>
      <c r="C7181" t="s">
        <v>1721</v>
      </c>
      <c r="D7181" t="s">
        <v>776</v>
      </c>
    </row>
    <row r="7182" spans="1:4" x14ac:dyDescent="0.25">
      <c r="B7182" t="str">
        <f>HYPERLINK("https://www.chemistwarehouse.com.au/buy/78305/Heinz-Mango-Vanilla-Custard-Pouch-120g-8m"," Heinz Mango Vanilla Custard Pouch 120g 8m+")</f>
        <v xml:space="preserve"> Heinz Mango Vanilla Custard Pouch 120g 8m+</v>
      </c>
      <c r="C7182" t="s">
        <v>1721</v>
      </c>
      <c r="D7182" t="s">
        <v>776</v>
      </c>
    </row>
    <row r="7183" spans="1:4" x14ac:dyDescent="0.25">
      <c r="B7183" t="str">
        <f>HYPERLINK("https://www.chemistwarehouse.com.au/buy/78306/Heinz-Banana-Mango-amp-Berries-Pouch-120g-6m"," Heinz Banana Mango &amp; Berries Pouch 120g 6m+")</f>
        <v xml:space="preserve"> Heinz Banana Mango &amp; Berries Pouch 120g 6m+</v>
      </c>
      <c r="C7183" t="s">
        <v>1721</v>
      </c>
      <c r="D7183" t="s">
        <v>776</v>
      </c>
    </row>
    <row r="7184" spans="1:4" x14ac:dyDescent="0.25">
      <c r="B7184" t="str">
        <f>HYPERLINK("https://www.chemistwarehouse.com.au/buy/71403/Heinz-Little-Kids-Whole-Grain-Cereal-Bars-Apple-Blueberry-6-Pack"," Heinz Little Kids Whole Grain Cereal Bars Apple Blueberry 6 Pack")</f>
        <v xml:space="preserve"> Heinz Little Kids Whole Grain Cereal Bars Apple Blueberry 6 Pack</v>
      </c>
      <c r="C7184" t="s">
        <v>483</v>
      </c>
      <c r="D7184" t="s">
        <v>1283</v>
      </c>
    </row>
    <row r="7185" spans="1:4" x14ac:dyDescent="0.25">
      <c r="B7185" t="str">
        <f>HYPERLINK("https://www.chemistwarehouse.com.au/buy/71406/Heinz-Organic-Rice-Cakes-40g"," Heinz Organic Rice Cakes 40g")</f>
        <v xml:space="preserve"> Heinz Organic Rice Cakes 40g</v>
      </c>
      <c r="C7185" t="s">
        <v>775</v>
      </c>
      <c r="D7185" t="s">
        <v>776</v>
      </c>
    </row>
    <row r="7186" spans="1:4" x14ac:dyDescent="0.25">
      <c r="B7186" t="str">
        <f>HYPERLINK("https://www.chemistwarehouse.com.au/buy/78310/Heinz-Apple-Peach-amp-Mango-Pouch-120g-4m"," Heinz Apple Peach &amp; Mango Pouch 120g 4m+")</f>
        <v xml:space="preserve"> Heinz Apple Peach &amp; Mango Pouch 120g 4m+</v>
      </c>
      <c r="C7186" t="s">
        <v>1721</v>
      </c>
      <c r="D7186" t="s">
        <v>776</v>
      </c>
    </row>
    <row r="7187" spans="1:4" x14ac:dyDescent="0.25">
      <c r="B7187" t="str">
        <f>HYPERLINK("https://www.chemistwarehouse.com.au/buy/78313/Heinz-Apple-Strawberry-amp-Passionfruit-Pouch-120g-8m"," Heinz Apple Strawberry &amp; Passionfruit Pouch 120g 8m+")</f>
        <v xml:space="preserve"> Heinz Apple Strawberry &amp; Passionfruit Pouch 120g 8m+</v>
      </c>
      <c r="C7187" t="s">
        <v>1721</v>
      </c>
      <c r="D7187" t="s">
        <v>776</v>
      </c>
    </row>
    <row r="7188" spans="1:4" x14ac:dyDescent="0.25">
      <c r="B7188" t="str">
        <f>HYPERLINK("https://www.chemistwarehouse.com.au/buy/78299/Heinz-Pear-Orange-amp-Pineapple-Pouch-120g-8m"," Heinz Pear Orange &amp; Pineapple Pouch 120g 8m+")</f>
        <v xml:space="preserve"> Heinz Pear Orange &amp; Pineapple Pouch 120g 8m+</v>
      </c>
      <c r="C7188" t="s">
        <v>1721</v>
      </c>
      <c r="D7188" t="s">
        <v>776</v>
      </c>
    </row>
    <row r="7189" spans="1:4" x14ac:dyDescent="0.25">
      <c r="B7189" t="str">
        <f>HYPERLINK("https://www.chemistwarehouse.com.au/buy/71400/Heinz-Little-Kids-Muesli-Fingers-Fruit-Salad-6-Pack"," Heinz Little Kids Muesli Fingers Fruit Salad 6 Pack")</f>
        <v xml:space="preserve"> Heinz Little Kids Muesli Fingers Fruit Salad 6 Pack</v>
      </c>
      <c r="C7189" t="s">
        <v>775</v>
      </c>
      <c r="D7189" t="s">
        <v>1257</v>
      </c>
    </row>
    <row r="7190" spans="1:4" x14ac:dyDescent="0.25">
      <c r="B7190" t="str">
        <f>HYPERLINK("https://www.chemistwarehouse.com.au/buy/71404/Heinz-Little-Kids-Whole-Grain-Cereal-Bars-Apple-amp-Strawberry-Yoghurt-6-Pack"," Heinz Little Kids Whole Grain Cereal Bars Apple &amp; Strawberry Yoghurt 6 Pack")</f>
        <v xml:space="preserve"> Heinz Little Kids Whole Grain Cereal Bars Apple &amp; Strawberry Yoghurt 6 Pack</v>
      </c>
      <c r="C7190" t="s">
        <v>483</v>
      </c>
      <c r="D7190" t="s">
        <v>1283</v>
      </c>
    </row>
    <row r="7191" spans="1:4" x14ac:dyDescent="0.25">
      <c r="B7191" t="str">
        <f>HYPERLINK("https://www.chemistwarehouse.com.au/buy/75339/Heinz-Little-Kids-Banana-Mango-Muesli-with-Greek-Style-Yoghurt-1-3-years-150g-Pouch"," Heinz Little Kids Banana Mango Muesli with  Greek Style Yoghurt 1-3 years 150g Pouch")</f>
        <v xml:space="preserve"> Heinz Little Kids Banana Mango Muesli with  Greek Style Yoghurt 1-3 years 150g Pouch</v>
      </c>
      <c r="C7191" t="s">
        <v>1489</v>
      </c>
      <c r="D7191" t="s">
        <v>1257</v>
      </c>
    </row>
    <row r="7192" spans="1:4" x14ac:dyDescent="0.25">
      <c r="B7192" t="str">
        <f>HYPERLINK("https://www.chemistwarehouse.com.au/buy/75340/Heinz-Little-Kids-Banana-Oats-With-Cinnamon-1-3yrs-150g-Pouch"," Heinz Little Kids Banana Oats With Cinnamon 1-3yrs 150g Pouch")</f>
        <v xml:space="preserve"> Heinz Little Kids Banana Oats With Cinnamon 1-3yrs 150g Pouch</v>
      </c>
      <c r="C7192" t="s">
        <v>1489</v>
      </c>
      <c r="D7192" t="s">
        <v>1257</v>
      </c>
    </row>
    <row r="7193" spans="1:4" x14ac:dyDescent="0.25">
      <c r="B7193" t="str">
        <f>HYPERLINK("https://www.chemistwarehouse.com.au/buy/75341/Heinz-Little-Kids-Berry-amp-Pear-Muesli-With-Greek-Style-Yoghurt-1-3-years-150g-Pouch"," Heinz Little Kids Berry &amp; Pear Muesli With Greek Style Yoghurt 1-3 years 150g Pouch")</f>
        <v xml:space="preserve"> Heinz Little Kids Berry &amp; Pear Muesli With Greek Style Yoghurt 1-3 years 150g Pouch</v>
      </c>
      <c r="C7193" t="s">
        <v>1489</v>
      </c>
      <c r="D7193" t="s">
        <v>1257</v>
      </c>
    </row>
    <row r="7194" spans="1:4" x14ac:dyDescent="0.25">
      <c r="B7194" t="str">
        <f>HYPERLINK("https://www.chemistwarehouse.com.au/buy/78304/Heinz-Custard-with-Banana-Pouch-120g-6m"," Heinz Custard with Banana Pouch 120g  6m+")</f>
        <v xml:space="preserve"> Heinz Custard with Banana Pouch 120g  6m+</v>
      </c>
      <c r="C7194" t="s">
        <v>1721</v>
      </c>
      <c r="D7194" t="s">
        <v>776</v>
      </c>
    </row>
    <row r="7195" spans="1:4" x14ac:dyDescent="0.25">
      <c r="B7195" t="str">
        <f>HYPERLINK("https://www.chemistwarehouse.com.au/buy/78303/Heinz-Beef-Bolognese-with-Vegetables-Pouch-120g-8m"," Heinz Beef Bolognese with Vegetables Pouch 120g 8m+")</f>
        <v xml:space="preserve"> Heinz Beef Bolognese with Vegetables Pouch 120g 8m+</v>
      </c>
      <c r="C7195" t="s">
        <v>1721</v>
      </c>
      <c r="D7195" t="s">
        <v>776</v>
      </c>
    </row>
    <row r="7196" spans="1:4" x14ac:dyDescent="0.25">
      <c r="B7196" t="str">
        <f>HYPERLINK("https://www.chemistwarehouse.com.au/buy/79339/Heinz-Nutrios-Banana-30g"," Heinz Nutrios Banana 30g")</f>
        <v xml:space="preserve"> Heinz Nutrios Banana 30g</v>
      </c>
      <c r="C7196" t="s">
        <v>775</v>
      </c>
      <c r="D7196" t="s">
        <v>754</v>
      </c>
    </row>
    <row r="7197" spans="1:4" x14ac:dyDescent="0.25">
      <c r="B7197" t="str">
        <f>HYPERLINK("https://www.chemistwarehouse.com.au/buy/78307/Heinz-Pumpkin-Capsicum-amp-Carrots-Pouch-120g-4m"," Heinz Pumpkin Capsicum &amp; Carrots Pouch 120g 4m+")</f>
        <v xml:space="preserve"> Heinz Pumpkin Capsicum &amp; Carrots Pouch 120g 4m+</v>
      </c>
      <c r="C7197" t="s">
        <v>1721</v>
      </c>
      <c r="D7197" t="s">
        <v>776</v>
      </c>
    </row>
    <row r="7198" spans="1:4" x14ac:dyDescent="0.25">
      <c r="B7198" t="str">
        <f>HYPERLINK("https://www.chemistwarehouse.com.au/buy/78308/Heinz-Apple-Sweet-Potato-amp-Zucchini-Pouch-120g-4m"," Heinz Apple Sweet Potato &amp; Zucchini Pouch 120g 4m+")</f>
        <v xml:space="preserve"> Heinz Apple Sweet Potato &amp; Zucchini Pouch 120g 4m+</v>
      </c>
      <c r="C7198" t="s">
        <v>1721</v>
      </c>
      <c r="D7198" t="s">
        <v>776</v>
      </c>
    </row>
    <row r="7199" spans="1:4" x14ac:dyDescent="0.25">
      <c r="A7199" t="s">
        <v>1722</v>
      </c>
    </row>
    <row r="7200" spans="1:4" x14ac:dyDescent="0.25">
      <c r="B7200" t="str">
        <f>HYPERLINK("https://www.chemistwarehouse.com.au/buy/82385/Whole-Kids-Little-Munchkins-Organic-Dinosaur-Puffs-Cheese-amp-Leek-6g-4-Pack"," Whole Kids Little Munchkins Organic Dinosaur Puffs Cheese &amp; Leek 6g 4 Pack")</f>
        <v xml:space="preserve"> Whole Kids Little Munchkins Organic Dinosaur Puffs Cheese &amp; Leek 6g 4 Pack</v>
      </c>
      <c r="C7200" t="s">
        <v>786</v>
      </c>
      <c r="D7200" t="s">
        <v>776</v>
      </c>
    </row>
    <row r="7201" spans="1:4" x14ac:dyDescent="0.25">
      <c r="B7201" t="str">
        <f>HYPERLINK("https://www.chemistwarehouse.com.au/buy/82396/Whole-Kids-Organic-Manuka-Popcorn-35g"," Whole Kids Organic Manuka Popcorn 35g")</f>
        <v xml:space="preserve"> Whole Kids Organic Manuka Popcorn 35g</v>
      </c>
      <c r="C7201" t="s">
        <v>691</v>
      </c>
      <c r="D7201" t="s">
        <v>754</v>
      </c>
    </row>
    <row r="7202" spans="1:4" x14ac:dyDescent="0.25">
      <c r="B7202" t="str">
        <f>HYPERLINK("https://www.chemistwarehouse.com.au/buy/82389/Whole-Kids-Organic-Cookies-Vanilla-80g"," Whole Kids Organic Cookies Vanilla 80g")</f>
        <v xml:space="preserve"> Whole Kids Organic Cookies Vanilla 80g</v>
      </c>
      <c r="C7202" t="s">
        <v>786</v>
      </c>
      <c r="D7202" t="s">
        <v>776</v>
      </c>
    </row>
    <row r="7203" spans="1:4" x14ac:dyDescent="0.25">
      <c r="B7203" t="str">
        <f>HYPERLINK("https://www.chemistwarehouse.com.au/buy/82390/Whole-Kids-Organic-Frooshie-Fruit-Banana-amp-Apple-90g"," Whole Kids Organic Frooshie Fruit Banana &amp; Apple 90g")</f>
        <v xml:space="preserve"> Whole Kids Organic Frooshie Fruit Banana &amp; Apple 90g</v>
      </c>
      <c r="C7203" t="s">
        <v>1719</v>
      </c>
      <c r="D7203" t="s">
        <v>1497</v>
      </c>
    </row>
    <row r="7204" spans="1:4" x14ac:dyDescent="0.25">
      <c r="B7204" t="str">
        <f>HYPERLINK("https://www.chemistwarehouse.com.au/buy/82391/Whole-Kids-Organic-Frooshie-Fruit-Strawberry-90g"," Whole Kids Organic Frooshie Fruit Strawberry 90g")</f>
        <v xml:space="preserve"> Whole Kids Organic Frooshie Fruit Strawberry 90g</v>
      </c>
      <c r="C7204" t="s">
        <v>1719</v>
      </c>
      <c r="D7204" t="s">
        <v>1497</v>
      </c>
    </row>
    <row r="7205" spans="1:4" x14ac:dyDescent="0.25">
      <c r="B7205" t="str">
        <f>HYPERLINK("https://www.chemistwarehouse.com.au/buy/82387/Whole-Kids-Organic-Barefoot-Bars-Cocoa-25g-5-Pack"," Whole Kids Organic Barefoot Bars Cocoa 25g 5 Pack")</f>
        <v xml:space="preserve"> Whole Kids Organic Barefoot Bars Cocoa 25g 5 Pack</v>
      </c>
      <c r="C7205" t="s">
        <v>375</v>
      </c>
      <c r="D7205" t="s">
        <v>1340</v>
      </c>
    </row>
    <row r="7206" spans="1:4" x14ac:dyDescent="0.25">
      <c r="B7206" t="str">
        <f>HYPERLINK("https://www.chemistwarehouse.com.au/buy/82388/Whole-Kids-Organic-Brown-Rice-Crackers-Sea-Salt-15g-4-Pack"," Whole Kids Organic Brown Rice Crackers Sea Salt 15g 4 Pack")</f>
        <v xml:space="preserve"> Whole Kids Organic Brown Rice Crackers Sea Salt 15g 4 Pack</v>
      </c>
      <c r="C7206" t="s">
        <v>116</v>
      </c>
      <c r="D7206" t="s">
        <v>754</v>
      </c>
    </row>
    <row r="7207" spans="1:4" x14ac:dyDescent="0.25">
      <c r="B7207" t="str">
        <f>HYPERLINK("https://www.chemistwarehouse.com.au/buy/82386/Whole-Kids-Little-Munchkins-Organic-Rice-amp-Corn-Puffs-Apple-7-5g-4-Pack"," Whole Kids Little Munchkins Organic Rice &amp; Corn Puffs Apple 7.5g 4 Pack")</f>
        <v xml:space="preserve"> Whole Kids Little Munchkins Organic Rice &amp; Corn Puffs Apple 7.5g 4 Pack</v>
      </c>
      <c r="C7207" t="s">
        <v>786</v>
      </c>
      <c r="D7207" t="s">
        <v>776</v>
      </c>
    </row>
    <row r="7208" spans="1:4" x14ac:dyDescent="0.25">
      <c r="B7208" t="str">
        <f>HYPERLINK("https://www.chemistwarehouse.com.au/buy/82392/Whole-Kids-Organic-Fruit-Bars-Apple-amp-Blackcurrant-25g-4-Pack"," Whole Kids Organic Fruit Bars Apple &amp; Blackcurrant 25g 4 Pack")</f>
        <v xml:space="preserve"> Whole Kids Organic Fruit Bars Apple &amp; Blackcurrant 25g 4 Pack</v>
      </c>
      <c r="C7208" t="s">
        <v>786</v>
      </c>
      <c r="D7208" t="s">
        <v>776</v>
      </c>
    </row>
    <row r="7209" spans="1:4" x14ac:dyDescent="0.25">
      <c r="B7209" t="str">
        <f>HYPERLINK("https://www.chemistwarehouse.com.au/buy/82393/Whole-Kids-Organic-Fruity-Water-Apple-amp-Pear-200ml"," Whole Kids Organic Fruity Water Apple &amp; Pear 200ml")</f>
        <v xml:space="preserve"> Whole Kids Organic Fruity Water Apple &amp; Pear 200ml</v>
      </c>
      <c r="C7209" t="s">
        <v>399</v>
      </c>
      <c r="D7209" t="s">
        <v>1497</v>
      </c>
    </row>
    <row r="7210" spans="1:4" x14ac:dyDescent="0.25">
      <c r="B7210" t="str">
        <f>HYPERLINK("https://www.chemistwarehouse.com.au/buy/82394/Whole-Kids-Organic-Fruity-Water-Apple-amp-Raspberry-200ml"," Whole Kids Organic Fruity Water Apple &amp; Raspberry 200ml")</f>
        <v xml:space="preserve"> Whole Kids Organic Fruity Water Apple &amp; Raspberry 200ml</v>
      </c>
      <c r="C7210" t="s">
        <v>399</v>
      </c>
      <c r="D7210" t="s">
        <v>1497</v>
      </c>
    </row>
    <row r="7211" spans="1:4" x14ac:dyDescent="0.25">
      <c r="B7211" t="str">
        <f>HYPERLINK("https://www.chemistwarehouse.com.au/buy/82395/Whole-Kids-Organic-Grissini-Pecorino-Cheese-22g-5-Pack"," Whole Kids Organic Grissini Pecorino Cheese 22g 5 Pack")</f>
        <v xml:space="preserve"> Whole Kids Organic Grissini Pecorino Cheese 22g 5 Pack</v>
      </c>
      <c r="C7211" t="s">
        <v>786</v>
      </c>
      <c r="D7211" t="s">
        <v>776</v>
      </c>
    </row>
    <row r="7212" spans="1:4" x14ac:dyDescent="0.25">
      <c r="B7212" t="str">
        <f>HYPERLINK("https://www.chemistwarehouse.com.au/buy/82397/Whole-Kids-Organic-Sea-Salt-Popcorn-12g"," Whole Kids Organic Sea Salt Popcorn 12g")</f>
        <v xml:space="preserve"> Whole Kids Organic Sea Salt Popcorn 12g</v>
      </c>
      <c r="C7212" t="s">
        <v>399</v>
      </c>
      <c r="D7212" t="s">
        <v>1497</v>
      </c>
    </row>
    <row r="7213" spans="1:4" x14ac:dyDescent="0.25">
      <c r="A7213" t="s">
        <v>1723</v>
      </c>
    </row>
    <row r="7214" spans="1:4" x14ac:dyDescent="0.25">
      <c r="B7214" t="str">
        <f>HYPERLINK("https://www.chemistwarehouse.com.au/buy/73671/Trapeze-Sheer-Pantyhose-Skin-Extra-Tall"," Trapeze Sheer Pantyhose Skin Extra/Tall")</f>
        <v xml:space="preserve"> Trapeze Sheer Pantyhose Skin Extra/Tall</v>
      </c>
      <c r="C7214" t="s">
        <v>483</v>
      </c>
      <c r="D7214">
        <v>0</v>
      </c>
    </row>
    <row r="7215" spans="1:4" x14ac:dyDescent="0.25">
      <c r="B7215" t="str">
        <f>HYPERLINK("https://www.chemistwarehouse.com.au/buy/73669/Trapeze-Sheer-Pantyhose-Graphite-Extra-Tall"," Trapeze Sheer Pantyhose Graphite Extra Tall")</f>
        <v xml:space="preserve"> Trapeze Sheer Pantyhose Graphite Extra Tall</v>
      </c>
      <c r="C7215" t="s">
        <v>483</v>
      </c>
      <c r="D7215">
        <v>0</v>
      </c>
    </row>
    <row r="7216" spans="1:4" x14ac:dyDescent="0.25">
      <c r="B7216" t="str">
        <f>HYPERLINK("https://www.chemistwarehouse.com.au/buy/74654/Trapeze-Opaque-Leggings-70D-Black-Tall-XTall-1-Pack"," Trapeze Opaque Leggings 70D Black Tall/XTall 1 Pack")</f>
        <v xml:space="preserve"> Trapeze Opaque Leggings 70D Black Tall/XTall 1 Pack</v>
      </c>
      <c r="C7216" t="s">
        <v>556</v>
      </c>
      <c r="D7216" t="s">
        <v>371</v>
      </c>
    </row>
    <row r="7217" spans="2:4" x14ac:dyDescent="0.25">
      <c r="B7217" t="str">
        <f>HYPERLINK("https://www.chemistwarehouse.com.au/buy/74656/Trapeze-Opaque-Tights-50D-Black-Tall-XTall-1-Pack"," Trapeze Opaque Tights 50D Black Tall/XTall 1 Pack")</f>
        <v xml:space="preserve"> Trapeze Opaque Tights 50D Black Tall/XTall 1 Pack</v>
      </c>
      <c r="C7217" t="s">
        <v>556</v>
      </c>
      <c r="D7217" t="s">
        <v>371</v>
      </c>
    </row>
    <row r="7218" spans="2:4" x14ac:dyDescent="0.25">
      <c r="B7218" t="str">
        <f>HYPERLINK("https://www.chemistwarehouse.com.au/buy/74659/Trapeze-Sheer-Pantyhose-Black-Extra-Tall"," Trapeze Sheer Pantyhose Black Extra Tall")</f>
        <v xml:space="preserve"> Trapeze Sheer Pantyhose Black Extra Tall</v>
      </c>
      <c r="C7218" t="s">
        <v>483</v>
      </c>
      <c r="D7218">
        <v>0</v>
      </c>
    </row>
    <row r="7219" spans="2:4" x14ac:dyDescent="0.25">
      <c r="B7219" t="str">
        <f>HYPERLINK("https://www.chemistwarehouse.com.au/buy/74662/Trapeze-Sheer-Pantyhose-Bronze-Extra-Tall"," Trapeze Sheer Pantyhose Bronze Extra/Tall")</f>
        <v xml:space="preserve"> Trapeze Sheer Pantyhose Bronze Extra/Tall</v>
      </c>
      <c r="C7219" t="s">
        <v>483</v>
      </c>
      <c r="D7219">
        <v>0</v>
      </c>
    </row>
    <row r="7220" spans="2:4" x14ac:dyDescent="0.25">
      <c r="B7220" t="str">
        <f>HYPERLINK("https://www.chemistwarehouse.com.au/buy/74663/Trapeze-Sheer-Pantyhose-Bronze-Small-Medium"," Trapeze Sheer Pantyhose Bronze Small Medium")</f>
        <v xml:space="preserve"> Trapeze Sheer Pantyhose Bronze Small Medium</v>
      </c>
      <c r="C7220" t="s">
        <v>483</v>
      </c>
      <c r="D7220">
        <v>0</v>
      </c>
    </row>
    <row r="7221" spans="2:4" x14ac:dyDescent="0.25">
      <c r="B7221" t="str">
        <f>HYPERLINK("https://www.chemistwarehouse.com.au/buy/74664/Trapeze-Sheer-Pantyhose-Bronze-Tall"," Trapeze Sheer Pantyhose Bronze Tall")</f>
        <v xml:space="preserve"> Trapeze Sheer Pantyhose Bronze Tall</v>
      </c>
      <c r="C7221" t="s">
        <v>483</v>
      </c>
      <c r="D7221">
        <v>0</v>
      </c>
    </row>
    <row r="7222" spans="2:4" x14ac:dyDescent="0.25">
      <c r="B7222" t="str">
        <f>HYPERLINK("https://www.chemistwarehouse.com.au/buy/74665/Trapeze-Sheer-Pantyhose-Graphite-Tall"," Trapeze Sheer Pantyhose Graphite Tall")</f>
        <v xml:space="preserve"> Trapeze Sheer Pantyhose Graphite Tall</v>
      </c>
      <c r="C7222" t="s">
        <v>483</v>
      </c>
      <c r="D7222">
        <v>0</v>
      </c>
    </row>
    <row r="7223" spans="2:4" x14ac:dyDescent="0.25">
      <c r="B7223" t="str">
        <f>HYPERLINK("https://www.chemistwarehouse.com.au/buy/74666/Trapeze-Sheer-Pantyhose-Skin-Small-Medium"," Trapeze Sheer Pantyhose Skin Small/Medium")</f>
        <v xml:space="preserve"> Trapeze Sheer Pantyhose Skin Small/Medium</v>
      </c>
      <c r="C7223" t="s">
        <v>483</v>
      </c>
      <c r="D7223">
        <v>0</v>
      </c>
    </row>
    <row r="7224" spans="2:4" x14ac:dyDescent="0.25">
      <c r="B7224" t="str">
        <f>HYPERLINK("https://www.chemistwarehouse.com.au/buy/74660/Trapeze-Sheer-Pantyhose-Black-Small-Medium"," Trapeze Sheer Pantyhose Black Small/Medium")</f>
        <v xml:space="preserve"> Trapeze Sheer Pantyhose Black Small/Medium</v>
      </c>
      <c r="C7224" t="s">
        <v>483</v>
      </c>
      <c r="D7224">
        <v>0</v>
      </c>
    </row>
    <row r="7225" spans="2:4" x14ac:dyDescent="0.25">
      <c r="B7225" t="str">
        <f>HYPERLINK("https://www.chemistwarehouse.com.au/buy/74661/Trapeze-Sheer-Pantyhose-Black-Tall"," Trapeze Sheer Pantyhose Black Tall")</f>
        <v xml:space="preserve"> Trapeze Sheer Pantyhose Black Tall</v>
      </c>
      <c r="C7225" t="s">
        <v>483</v>
      </c>
      <c r="D7225">
        <v>0</v>
      </c>
    </row>
    <row r="7226" spans="2:4" x14ac:dyDescent="0.25">
      <c r="B7226" t="str">
        <f>HYPERLINK("https://www.chemistwarehouse.com.au/buy/74657/Trapeze-Sheer-Knee-Hi-2-pack-Black"," Trapeze Sheer Knee Hi 2 pack Black")</f>
        <v xml:space="preserve"> Trapeze Sheer Knee Hi 2 pack Black</v>
      </c>
      <c r="C7226" t="s">
        <v>483</v>
      </c>
      <c r="D7226">
        <v>0</v>
      </c>
    </row>
    <row r="7227" spans="2:4" x14ac:dyDescent="0.25">
      <c r="B7227" t="str">
        <f>HYPERLINK("https://www.chemistwarehouse.com.au/buy/74658/Trapeze-Sheer-Knee-Hi-2-Pack-Skin"," Trapeze Sheer Knee Hi 2 Pack Skin")</f>
        <v xml:space="preserve"> Trapeze Sheer Knee Hi 2 Pack Skin</v>
      </c>
      <c r="C7227" t="s">
        <v>483</v>
      </c>
      <c r="D7227">
        <v>0</v>
      </c>
    </row>
    <row r="7228" spans="2:4" x14ac:dyDescent="0.25">
      <c r="B7228" t="str">
        <f>HYPERLINK("https://www.chemistwarehouse.com.au/buy/74655/Trapeze-Opaque-Tights-50D-Black-Medium-Tall-1-Pack"," Trapeze Opaque Tights 50D Black Medium/Tall 1 Pack")</f>
        <v xml:space="preserve"> Trapeze Opaque Tights 50D Black Medium/Tall 1 Pack</v>
      </c>
      <c r="C7228" t="s">
        <v>556</v>
      </c>
      <c r="D7228" t="s">
        <v>371</v>
      </c>
    </row>
    <row r="7229" spans="2:4" x14ac:dyDescent="0.25">
      <c r="B7229" t="str">
        <f>HYPERLINK("https://www.chemistwarehouse.com.au/buy/73670/Trapeze-Sheer-Pantyhose-Graphite-Small-Medium"," Trapeze Sheer Pantyhose Graphite Small/Medium")</f>
        <v xml:space="preserve"> Trapeze Sheer Pantyhose Graphite Small/Medium</v>
      </c>
      <c r="C7229" t="s">
        <v>483</v>
      </c>
      <c r="D7229">
        <v>0</v>
      </c>
    </row>
    <row r="7230" spans="2:4" x14ac:dyDescent="0.25">
      <c r="B7230" t="str">
        <f>HYPERLINK("https://www.chemistwarehouse.com.au/buy/73672/Trapeze-Sheer-Pantyhose-Skin-Tall"," Trapeze Sheer Pantyhose Skin Tall")</f>
        <v xml:space="preserve"> Trapeze Sheer Pantyhose Skin Tall</v>
      </c>
      <c r="C7230" t="s">
        <v>483</v>
      </c>
      <c r="D7230">
        <v>0</v>
      </c>
    </row>
    <row r="7231" spans="2:4" x14ac:dyDescent="0.25">
      <c r="B7231" t="str">
        <f>HYPERLINK("https://www.chemistwarehouse.com.au/buy/74652/Trapeze-Opaque-Knee-Hi-One-Size-2-Pack"," Trapeze Opaque Knee Hi One Size 2 Pack")</f>
        <v xml:space="preserve"> Trapeze Opaque Knee Hi One Size 2 Pack</v>
      </c>
      <c r="C7231" t="s">
        <v>483</v>
      </c>
      <c r="D7231">
        <v>0</v>
      </c>
    </row>
    <row r="7232" spans="2:4" x14ac:dyDescent="0.25">
      <c r="B7232" t="str">
        <f>HYPERLINK("https://www.chemistwarehouse.com.au/buy/74653/Trapeze-Opaque-Leggings-70D-Black-Medium-Tall-1-Pack"," Trapeze Opaque Leggings 70D Black Medium/Tall 1 Pack")</f>
        <v xml:space="preserve"> Trapeze Opaque Leggings 70D Black Medium/Tall 1 Pack</v>
      </c>
      <c r="C7232" t="s">
        <v>556</v>
      </c>
      <c r="D7232" t="s">
        <v>371</v>
      </c>
    </row>
    <row r="7233" spans="1:4" x14ac:dyDescent="0.25">
      <c r="A7233" t="s">
        <v>1724</v>
      </c>
    </row>
    <row r="7234" spans="1:4" x14ac:dyDescent="0.25">
      <c r="B7234" t="str">
        <f>HYPERLINK("https://www.chemistwarehouse.com.au/buy/48110/Ansell-Lifestyles-Condoms-Large-12-Pack"," Ansell Lifestyles Condoms Large 12 Pack")</f>
        <v xml:space="preserve"> Ansell Lifestyles Condoms Large 12 Pack</v>
      </c>
      <c r="C7234" t="s">
        <v>610</v>
      </c>
      <c r="D7234" t="s">
        <v>327</v>
      </c>
    </row>
    <row r="7235" spans="1:4" x14ac:dyDescent="0.25">
      <c r="B7235" t="str">
        <f>HYPERLINK("https://www.chemistwarehouse.com.au/buy/5971/Ansell-LifeStyles-Condoms-Ultra-Thin-24-Pack"," Ansell LifeStyles Condoms Ultra Thin 24 Pack")</f>
        <v xml:space="preserve"> Ansell LifeStyles Condoms Ultra Thin 24 Pack</v>
      </c>
      <c r="C7235" t="s">
        <v>324</v>
      </c>
      <c r="D7235" t="s">
        <v>318</v>
      </c>
    </row>
    <row r="7236" spans="1:4" x14ac:dyDescent="0.25">
      <c r="B7236" t="str">
        <f>HYPERLINK("https://www.chemistwarehouse.com.au/buy/5966/Ansell-Lifestyles-Condoms-Ribbed-12-Pack"," Ansell Lifestyles Condoms Ribbed 12 Pack")</f>
        <v xml:space="preserve"> Ansell Lifestyles Condoms Ribbed 12 Pack</v>
      </c>
      <c r="C7236" t="s">
        <v>610</v>
      </c>
      <c r="D7236" t="s">
        <v>327</v>
      </c>
    </row>
    <row r="7237" spans="1:4" x14ac:dyDescent="0.25">
      <c r="B7237" t="str">
        <f>HYPERLINK("https://www.chemistwarehouse.com.au/buy/64835/Ansell-Skyn-Original-Condoms-20-Pack"," Ansell Skyn Original Condoms 20 Pack")</f>
        <v xml:space="preserve"> Ansell Skyn Original Condoms 20 Pack</v>
      </c>
      <c r="C7237" t="s">
        <v>187</v>
      </c>
      <c r="D7237" t="s">
        <v>312</v>
      </c>
    </row>
    <row r="7238" spans="1:4" x14ac:dyDescent="0.25">
      <c r="B7238" t="str">
        <f>HYPERLINK("https://www.chemistwarehouse.com.au/buy/68497/Ansell-Lifestyle-Regular-40-Pack"," Ansell Lifestyle Regular 40 Pack")</f>
        <v xml:space="preserve"> Ansell Lifestyle Regular 40 Pack</v>
      </c>
      <c r="C7238" t="s">
        <v>237</v>
      </c>
      <c r="D7238" t="s">
        <v>312</v>
      </c>
    </row>
    <row r="7239" spans="1:4" x14ac:dyDescent="0.25">
      <c r="B7239" t="str">
        <f>HYPERLINK("https://www.chemistwarehouse.com.au/buy/69962/Ansell-Skyn-Intense-Feel-Condoms-10-Pack"," Ansell Skyn Intense Feel Condoms 10 Pack")</f>
        <v xml:space="preserve"> Ansell Skyn Intense Feel Condoms 10 Pack</v>
      </c>
      <c r="C7239" t="s">
        <v>32</v>
      </c>
      <c r="D7239" t="s">
        <v>371</v>
      </c>
    </row>
    <row r="7240" spans="1:4" x14ac:dyDescent="0.25">
      <c r="B7240" t="str">
        <f>HYPERLINK("https://www.chemistwarehouse.com.au/buy/73118/Ansell-LifeStyles-Zero-Condoms-16-Pack"," Ansell LifeStyles Zero Condoms 16 Pack")</f>
        <v xml:space="preserve"> Ansell LifeStyles Zero Condoms 16 Pack</v>
      </c>
      <c r="C7240" t="s">
        <v>237</v>
      </c>
      <c r="D7240" t="s">
        <v>312</v>
      </c>
    </row>
    <row r="7241" spans="1:4" x14ac:dyDescent="0.25">
      <c r="B7241" t="str">
        <f>HYPERLINK("https://www.chemistwarehouse.com.au/buy/57334/Ansell-LifeStyles-Zero-Condoms-8-Pack"," Ansell LifeStyles Zero Condoms 8 Pack")</f>
        <v xml:space="preserve"> Ansell LifeStyles Zero Condoms 8 Pack</v>
      </c>
      <c r="C7241" t="s">
        <v>103</v>
      </c>
      <c r="D7241" t="s">
        <v>371</v>
      </c>
    </row>
    <row r="7242" spans="1:4" x14ac:dyDescent="0.25">
      <c r="B7242" t="str">
        <f>HYPERLINK("https://www.chemistwarehouse.com.au/buy/50370/Ansell-Lifestyles-Condoms-Regular-24-Pack"," Ansell Lifestyles Condoms Regular 24 Pack")</f>
        <v xml:space="preserve"> Ansell Lifestyles Condoms Regular 24 Pack</v>
      </c>
      <c r="C7242" t="s">
        <v>32</v>
      </c>
      <c r="D7242" t="s">
        <v>312</v>
      </c>
    </row>
    <row r="7243" spans="1:4" x14ac:dyDescent="0.25">
      <c r="B7243" t="str">
        <f>HYPERLINK("https://www.chemistwarehouse.com.au/buy/78386/Ansell-Skyn-Large-Condom-10-Pack"," Ansell Skyn Large Condom 10 Pack")</f>
        <v xml:space="preserve"> Ansell Skyn Large Condom 10 Pack</v>
      </c>
      <c r="C7243" t="s">
        <v>32</v>
      </c>
      <c r="D7243" t="s">
        <v>371</v>
      </c>
    </row>
    <row r="7244" spans="1:4" x14ac:dyDescent="0.25">
      <c r="B7244" t="str">
        <f>HYPERLINK("https://www.chemistwarehouse.com.au/buy/68823/Ansell-Lifetyles-Orgazmax-10-Pack"," Ansell Lifetyles Orgazmax 10 Pack")</f>
        <v xml:space="preserve"> Ansell Lifetyles Orgazmax 10 Pack</v>
      </c>
      <c r="C7244" t="s">
        <v>64</v>
      </c>
      <c r="D7244" t="s">
        <v>1721</v>
      </c>
    </row>
    <row r="7245" spans="1:4" x14ac:dyDescent="0.25">
      <c r="B7245" t="str">
        <f>HYPERLINK("https://www.chemistwarehouse.com.au/buy/5963/Ansell-Lifestyles-Condoms-Form-Fit-12-Pack"," Ansell Lifestyles Condoms Form Fit 12 Pack")</f>
        <v xml:space="preserve"> Ansell Lifestyles Condoms Form Fit 12 Pack</v>
      </c>
      <c r="C7245" t="s">
        <v>610</v>
      </c>
      <c r="D7245" t="s">
        <v>327</v>
      </c>
    </row>
    <row r="7246" spans="1:4" x14ac:dyDescent="0.25">
      <c r="B7246" t="str">
        <f>HYPERLINK("https://www.chemistwarehouse.com.au/buy/56251/Ansell-Lifestyles-Condoms-Assorted-24-Pack"," Ansell Lifestyles Condoms Assorted 24 Pack")</f>
        <v xml:space="preserve"> Ansell Lifestyles Condoms Assorted 24 Pack</v>
      </c>
      <c r="C7246" t="s">
        <v>98</v>
      </c>
      <c r="D7246" t="s">
        <v>312</v>
      </c>
    </row>
    <row r="7247" spans="1:4" x14ac:dyDescent="0.25">
      <c r="B7247" t="str">
        <f>HYPERLINK("https://www.chemistwarehouse.com.au/buy/2190/Ansell-Chekmate-Condoms-Lubricated-24-Pack"," Ansell Chekmate Condoms Lubricated 24 Pack")</f>
        <v xml:space="preserve"> Ansell Chekmate Condoms Lubricated 24 Pack</v>
      </c>
      <c r="C7247" t="s">
        <v>32</v>
      </c>
      <c r="D7247" t="s">
        <v>371</v>
      </c>
    </row>
    <row r="7248" spans="1:4" x14ac:dyDescent="0.25">
      <c r="B7248" t="str">
        <f>HYPERLINK("https://www.chemistwarehouse.com.au/buy/76294/Ansell-Lifestyle-Nano-Thin-Condoms-10-Pack"," Ansell Lifestyle Nano Thin Condoms 10 Pack")</f>
        <v xml:space="preserve"> Ansell Lifestyle Nano Thin Condoms 10 Pack</v>
      </c>
      <c r="C7248" t="s">
        <v>554</v>
      </c>
      <c r="D7248" t="s">
        <v>731</v>
      </c>
    </row>
    <row r="7249" spans="1:4" x14ac:dyDescent="0.25">
      <c r="B7249" t="str">
        <f>HYPERLINK("https://www.chemistwarehouse.com.au/buy/76296/Ansell-Lifestyle-Party-Condoms-10-Pack"," Ansell Lifestyle Party Condoms 10 Pack")</f>
        <v xml:space="preserve"> Ansell Lifestyle Party Condoms 10 Pack</v>
      </c>
      <c r="C7249" t="s">
        <v>554</v>
      </c>
      <c r="D7249" t="s">
        <v>731</v>
      </c>
    </row>
    <row r="7250" spans="1:4" x14ac:dyDescent="0.25">
      <c r="B7250" t="str">
        <f>HYPERLINK("https://www.chemistwarehouse.com.au/buy/60543/Ansell-Skyn-Original-Condoms-10-Pack"," Ansell Skyn Original Condoms 10 Pack")</f>
        <v xml:space="preserve"> Ansell Skyn Original Condoms 10 Pack</v>
      </c>
      <c r="C7250" t="s">
        <v>32</v>
      </c>
      <c r="D7250" t="s">
        <v>371</v>
      </c>
    </row>
    <row r="7251" spans="1:4" x14ac:dyDescent="0.25">
      <c r="B7251" t="str">
        <f>HYPERLINK("https://www.chemistwarehouse.com.au/buy/65964/Ansell-Skyn-Extra-Lube-Condoms-10-Pack"," Ansell Skyn Extra Lube Condoms 10 Pack")</f>
        <v xml:space="preserve"> Ansell Skyn Extra Lube Condoms 10 Pack</v>
      </c>
      <c r="C7251" t="s">
        <v>32</v>
      </c>
      <c r="D7251" t="s">
        <v>371</v>
      </c>
    </row>
    <row r="7252" spans="1:4" x14ac:dyDescent="0.25">
      <c r="B7252" t="str">
        <f>HYPERLINK("https://www.chemistwarehouse.com.au/buy/5970/Ansell-Lifestyles-Condoms-Ultra-Thin-12-Pack"," Ansell Lifestyles Condoms Ultra Thin 12 Pack")</f>
        <v xml:space="preserve"> Ansell Lifestyles Condoms Ultra Thin 12 Pack</v>
      </c>
      <c r="C7252" t="s">
        <v>610</v>
      </c>
      <c r="D7252" t="s">
        <v>327</v>
      </c>
    </row>
    <row r="7253" spans="1:4" x14ac:dyDescent="0.25">
      <c r="B7253" t="str">
        <f>HYPERLINK("https://www.chemistwarehouse.com.au/buy/41082/Ansell-Lifestyles-Condoms-Assorted-12-Pack"," Ansell Lifestyles Condoms Assorted 12 Pack")</f>
        <v xml:space="preserve"> Ansell Lifestyles Condoms Assorted 12 Pack</v>
      </c>
      <c r="C7253" t="s">
        <v>610</v>
      </c>
      <c r="D7253" t="s">
        <v>327</v>
      </c>
    </row>
    <row r="7254" spans="1:4" x14ac:dyDescent="0.25">
      <c r="B7254" t="str">
        <f>HYPERLINK("https://www.chemistwarehouse.com.au/buy/81830/Ansell-Skyn-Original-Condoms-40-Pack"," Ansell Skyn Original Condoms 40 Pack")</f>
        <v xml:space="preserve"> Ansell Skyn Original Condoms 40 Pack</v>
      </c>
      <c r="C7254" t="s">
        <v>10</v>
      </c>
      <c r="D7254">
        <v>0</v>
      </c>
    </row>
    <row r="7255" spans="1:4" x14ac:dyDescent="0.25">
      <c r="B7255" t="str">
        <f>HYPERLINK("https://www.chemistwarehouse.com.au/buy/81831/Ansell-LifeStyles-Zero-Condoms-32-Pack"," Ansell LifeStyles Zero Condoms 32 Pack")</f>
        <v xml:space="preserve"> Ansell LifeStyles Zero Condoms 32 Pack</v>
      </c>
      <c r="C7255" t="s">
        <v>125</v>
      </c>
      <c r="D7255">
        <v>0</v>
      </c>
    </row>
    <row r="7256" spans="1:4" x14ac:dyDescent="0.25">
      <c r="B7256" t="str">
        <f>HYPERLINK("https://www.chemistwarehouse.com.au/buy/5962/Ansell-Lifestyles-Condoms-Regular-12-Pack"," Ansell Lifestyles Condoms Regular 12 Pack")</f>
        <v xml:space="preserve"> Ansell Lifestyles Condoms Regular 12 Pack</v>
      </c>
      <c r="C7256" t="s">
        <v>326</v>
      </c>
      <c r="D7256" t="s">
        <v>1230</v>
      </c>
    </row>
    <row r="7257" spans="1:4" x14ac:dyDescent="0.25">
      <c r="A7257" t="s">
        <v>1725</v>
      </c>
    </row>
    <row r="7258" spans="1:4" x14ac:dyDescent="0.25">
      <c r="B7258" t="str">
        <f>HYPERLINK("https://www.chemistwarehouse.com.au/buy/51796/Durex-Condoms-Fetherlite-Ultra-Thin-12-Pack"," Durex Condoms Fetherlite Ultra Thin 12 Pack")</f>
        <v xml:space="preserve"> Durex Condoms Fetherlite Ultra Thin 12 Pack</v>
      </c>
      <c r="C7258" t="s">
        <v>554</v>
      </c>
      <c r="D7258" t="s">
        <v>682</v>
      </c>
    </row>
    <row r="7259" spans="1:4" x14ac:dyDescent="0.25">
      <c r="B7259" t="str">
        <f>HYPERLINK("https://www.chemistwarehouse.com.au/buy/79839/Durex-Invisible-Feel-Condoms-Extra-Thin-Extra-Lubricated-8-Pack"," Durex Invisible Feel Condoms Extra Thin Extra Lubricated 8 Pack")</f>
        <v xml:space="preserve"> Durex Invisible Feel Condoms Extra Thin Extra Lubricated 8 Pack</v>
      </c>
      <c r="C7259" t="s">
        <v>103</v>
      </c>
      <c r="D7259" t="s">
        <v>312</v>
      </c>
    </row>
    <row r="7260" spans="1:4" x14ac:dyDescent="0.25">
      <c r="B7260" t="str">
        <f>HYPERLINK("https://www.chemistwarehouse.com.au/buy/64837/Durex-Regular-24-Pack"," Durex Regular 24 Pack")</f>
        <v xml:space="preserve"> Durex Regular 24 Pack</v>
      </c>
      <c r="C7260" t="s">
        <v>45</v>
      </c>
      <c r="D7260" t="s">
        <v>312</v>
      </c>
    </row>
    <row r="7261" spans="1:4" x14ac:dyDescent="0.25">
      <c r="B7261" t="str">
        <f>HYPERLINK("https://www.chemistwarehouse.com.au/buy/79838/Durex-Invisible-Feel-Condoms-Extra-Thin-Extra-Sensitive-8-Pack"," Durex Invisible Feel Condoms Extra Thin Extra Sensitive 8 Pack")</f>
        <v xml:space="preserve"> Durex Invisible Feel Condoms Extra Thin Extra Sensitive 8 Pack</v>
      </c>
      <c r="C7261" t="s">
        <v>103</v>
      </c>
      <c r="D7261" t="s">
        <v>312</v>
      </c>
    </row>
    <row r="7262" spans="1:4" x14ac:dyDescent="0.25">
      <c r="B7262" t="str">
        <f>HYPERLINK("https://www.chemistwarehouse.com.au/buy/68755/Durex-Taste-Me-12-Pack"," Durex Taste Me 12 Pack")</f>
        <v xml:space="preserve"> Durex Taste Me 12 Pack</v>
      </c>
      <c r="C7262" t="s">
        <v>554</v>
      </c>
      <c r="D7262" t="s">
        <v>291</v>
      </c>
    </row>
    <row r="7263" spans="1:4" x14ac:dyDescent="0.25">
      <c r="B7263" t="str">
        <f>HYPERLINK("https://www.chemistwarehouse.com.au/buy/68810/Durex-Pleasure-Me-12-Pack"," Durex Pleasure Me 12 Pack")</f>
        <v xml:space="preserve"> Durex Pleasure Me 12 Pack</v>
      </c>
      <c r="C7263" t="s">
        <v>554</v>
      </c>
      <c r="D7263" t="s">
        <v>682</v>
      </c>
    </row>
    <row r="7264" spans="1:4" x14ac:dyDescent="0.25">
      <c r="B7264" t="str">
        <f>HYPERLINK("https://www.chemistwarehouse.com.au/buy/72372/Durex-Real-Feel-8-Pack"," Durex Real Feel 8 Pack")</f>
        <v xml:space="preserve"> Durex Real Feel 8 Pack</v>
      </c>
      <c r="C7264" t="s">
        <v>103</v>
      </c>
      <c r="D7264" t="s">
        <v>312</v>
      </c>
    </row>
    <row r="7265" spans="1:4" x14ac:dyDescent="0.25">
      <c r="B7265" t="str">
        <f>HYPERLINK("https://www.chemistwarehouse.com.au/buy/64836/Durex-Surprise-Me-6-Condoms-Vibration-Ring"," Durex Surprise Me 6 Condoms + Vibration Ring")</f>
        <v xml:space="preserve"> Durex Surprise Me 6 Condoms + Vibration Ring</v>
      </c>
      <c r="C7265" t="s">
        <v>103</v>
      </c>
      <c r="D7265" t="s">
        <v>312</v>
      </c>
    </row>
    <row r="7266" spans="1:4" x14ac:dyDescent="0.25">
      <c r="A7266" t="s">
        <v>1726</v>
      </c>
    </row>
    <row r="7267" spans="1:4" x14ac:dyDescent="0.25">
      <c r="B7267" t="str">
        <f>HYPERLINK("https://www.chemistwarehouse.com.au/buy/81829/Ansell-LifeStyles-Silky-Smooth-Lubricant-200g"," Ansell LifeStyles Silky Smooth Lubricant 200g")</f>
        <v xml:space="preserve"> Ansell LifeStyles Silky Smooth Lubricant 200g</v>
      </c>
      <c r="C7267" t="s">
        <v>45</v>
      </c>
      <c r="D7267">
        <v>0</v>
      </c>
    </row>
    <row r="7268" spans="1:4" x14ac:dyDescent="0.25">
      <c r="B7268" t="str">
        <f>HYPERLINK("https://www.chemistwarehouse.com.au/buy/5847/KY-Personal-Lubricant-100g-tube"," KY Personal Lubricant 100g tube")</f>
        <v xml:space="preserve"> KY Personal Lubricant 100g tube</v>
      </c>
      <c r="C7268" t="s">
        <v>32</v>
      </c>
      <c r="D7268" t="s">
        <v>371</v>
      </c>
    </row>
    <row r="7269" spans="1:4" x14ac:dyDescent="0.25">
      <c r="B7269" t="str">
        <f>HYPERLINK("https://www.chemistwarehouse.com.au/buy/5845/KY-Personal-Lubricant-50g-tube"," KY Personal Lubricant 50g tube")</f>
        <v xml:space="preserve"> KY Personal Lubricant 50g tube</v>
      </c>
      <c r="C7269" t="s">
        <v>326</v>
      </c>
      <c r="D7269" t="s">
        <v>327</v>
      </c>
    </row>
    <row r="7270" spans="1:4" x14ac:dyDescent="0.25">
      <c r="B7270" t="str">
        <f>HYPERLINK("https://www.chemistwarehouse.com.au/buy/68808/Durex-Play-Lubricant-Feel-50ml"," Durex Play Lubricant Feel 50ml ")</f>
        <v xml:space="preserve"> Durex Play Lubricant Feel 50ml </v>
      </c>
      <c r="C7270" t="s">
        <v>556</v>
      </c>
      <c r="D7270" t="s">
        <v>553</v>
      </c>
    </row>
    <row r="7271" spans="1:4" x14ac:dyDescent="0.25">
      <c r="B7271" t="str">
        <f>HYPERLINK("https://www.chemistwarehouse.com.au/buy/7920/Stud-100-Desensitizing-Spray-for-Men-12g"," Stud 100 Desensitizing Spray for Men 12g")</f>
        <v xml:space="preserve"> Stud 100 Desensitizing Spray for Men 12g</v>
      </c>
      <c r="C7271" t="s">
        <v>10</v>
      </c>
      <c r="D7271">
        <v>0</v>
      </c>
    </row>
    <row r="7272" spans="1:4" x14ac:dyDescent="0.25">
      <c r="B7272" t="str">
        <f>HYPERLINK("https://www.chemistwarehouse.com.au/buy/51795/Durex-Play-Lubricant-Massage-2-in-1-200ml"," Durex Play Lubricant Massage 2 in 1 200ml")</f>
        <v xml:space="preserve"> Durex Play Lubricant Massage 2 in 1 200ml</v>
      </c>
      <c r="C7272" t="s">
        <v>103</v>
      </c>
      <c r="D7272" t="s">
        <v>312</v>
      </c>
    </row>
    <row r="7273" spans="1:4" x14ac:dyDescent="0.25">
      <c r="B7273" t="str">
        <f>HYPERLINK("https://www.chemistwarehouse.com.au/buy/562/Ansell-Lifestyles-Lubricant-Silky-Smooth-100g"," Ansell Lifestyles Lubricant Silky Smooth 100g")</f>
        <v xml:space="preserve"> Ansell Lifestyles Lubricant Silky Smooth 100g</v>
      </c>
      <c r="C7273" t="s">
        <v>116</v>
      </c>
      <c r="D7273" t="s">
        <v>725</v>
      </c>
    </row>
    <row r="7274" spans="1:4" x14ac:dyDescent="0.25">
      <c r="B7274" t="str">
        <f>HYPERLINK("https://www.chemistwarehouse.com.au/buy/76298/Ansell-Skyn-Natural-Feel-Lubricant-80ml"," Ansell Skyn Natural Feel Lubricant 80ml")</f>
        <v xml:space="preserve"> Ansell Skyn Natural Feel Lubricant 80ml</v>
      </c>
      <c r="C7274" t="s">
        <v>32</v>
      </c>
      <c r="D7274" t="s">
        <v>371</v>
      </c>
    </row>
    <row r="7275" spans="1:4" x14ac:dyDescent="0.25">
      <c r="B7275" t="str">
        <f>HYPERLINK("https://www.chemistwarehouse.com.au/buy/79476/Edge-Delay-Gel-for-Men-7ml"," Edge Delay Gel for Men 7ml")</f>
        <v xml:space="preserve"> Edge Delay Gel for Men 7ml</v>
      </c>
      <c r="C7275" t="s">
        <v>1</v>
      </c>
      <c r="D7275" t="s">
        <v>162</v>
      </c>
    </row>
    <row r="7276" spans="1:4" x14ac:dyDescent="0.25">
      <c r="B7276" t="str">
        <f>HYPERLINK("https://www.chemistwarehouse.com.au/buy/76297/Ansell-Skyn-Maximum-Performance-Lubricant-80ml"," Ansell Skyn Maximum Performance Lubricant 80ml")</f>
        <v xml:space="preserve"> Ansell Skyn Maximum Performance Lubricant 80ml</v>
      </c>
      <c r="C7276" t="s">
        <v>32</v>
      </c>
      <c r="D7276" t="s">
        <v>371</v>
      </c>
    </row>
    <row r="7277" spans="1:4" x14ac:dyDescent="0.25">
      <c r="B7277" t="str">
        <f>HYPERLINK("https://www.chemistwarehouse.com.au/buy/69964/Ansell-Lifestyles-Luxe-Lubricant-100ml"," Ansell Lifestyles Luxe Lubricant 100ml")</f>
        <v xml:space="preserve"> Ansell Lifestyles Luxe Lubricant 100ml</v>
      </c>
      <c r="C7277" t="s">
        <v>32</v>
      </c>
      <c r="D7277" t="s">
        <v>371</v>
      </c>
    </row>
    <row r="7278" spans="1:4" x14ac:dyDescent="0.25">
      <c r="B7278" t="str">
        <f>HYPERLINK("https://www.chemistwarehouse.com.au/buy/64369/Durex-Play-Lubricant-Massage-2-in-1-Stimulating-200ml"," Durex Play Lubricant Massage 2 in 1 Stimulating 200ml")</f>
        <v xml:space="preserve"> Durex Play Lubricant Massage 2 in 1 Stimulating 200ml</v>
      </c>
      <c r="C7278" t="s">
        <v>103</v>
      </c>
      <c r="D7278" t="s">
        <v>312</v>
      </c>
    </row>
    <row r="7279" spans="1:4" x14ac:dyDescent="0.25">
      <c r="B7279" t="str">
        <f>HYPERLINK("https://www.chemistwarehouse.com.au/buy/47150/Aci-Jel-Vaginal-Jelly-100g"," Aci-Jel Vaginal Jelly 100g")</f>
        <v xml:space="preserve"> Aci-Jel Vaginal Jelly 100g</v>
      </c>
      <c r="C7279" t="s">
        <v>596</v>
      </c>
      <c r="D7279" t="s">
        <v>376</v>
      </c>
    </row>
    <row r="7280" spans="1:4" x14ac:dyDescent="0.25">
      <c r="B7280" t="str">
        <f>HYPERLINK("https://www.chemistwarehouse.com.au/buy/68809/Durex-Play-Warming-Lubricant-50ml"," Durex Play Warming Lubricant 50ml")</f>
        <v xml:space="preserve"> Durex Play Warming Lubricant 50ml</v>
      </c>
      <c r="C7280" t="s">
        <v>116</v>
      </c>
      <c r="D7280" t="s">
        <v>371</v>
      </c>
    </row>
    <row r="7281" spans="1:4" x14ac:dyDescent="0.25">
      <c r="B7281" t="str">
        <f>HYPERLINK("https://www.chemistwarehouse.com.au/buy/64368/Durex-Play-Lubricant-Massage-2-in-1-Sensual-200ml"," Durex Play Lubricant Massage 2 in 1 Sensual 200ml")</f>
        <v xml:space="preserve"> Durex Play Lubricant Massage 2 in 1 Sensual 200ml</v>
      </c>
      <c r="C7281" t="s">
        <v>103</v>
      </c>
      <c r="D7281" t="s">
        <v>312</v>
      </c>
    </row>
    <row r="7282" spans="1:4" x14ac:dyDescent="0.25">
      <c r="B7282" t="str">
        <f>HYPERLINK("https://www.chemistwarehouse.com.au/buy/76295/Ansell-Lifestyle-O-Max-Gel-15ml"," Ansell Lifestyle O Max Gel 15ml")</f>
        <v xml:space="preserve"> Ansell Lifestyle O Max Gel 15ml</v>
      </c>
      <c r="C7282" t="s">
        <v>237</v>
      </c>
      <c r="D7282" t="s">
        <v>312</v>
      </c>
    </row>
    <row r="7283" spans="1:4" x14ac:dyDescent="0.25">
      <c r="B7283" t="str">
        <f>HYPERLINK("https://www.chemistwarehouse.com.au/buy/68756/Durex-Perfect-Lubricant-Glide-50ml"," Durex Perfect Lubricant Glide 50ml")</f>
        <v xml:space="preserve"> Durex Perfect Lubricant Glide 50ml</v>
      </c>
      <c r="C7283" t="s">
        <v>103</v>
      </c>
      <c r="D7283" t="s">
        <v>312</v>
      </c>
    </row>
    <row r="7284" spans="1:4" x14ac:dyDescent="0.25">
      <c r="B7284" t="str">
        <f>HYPERLINK("https://www.chemistwarehouse.com.au/buy/52662/Vaseline-Petroleum-Jelly-Tub-368g"," Vaseline Petroleum Jelly Tub 368g")</f>
        <v xml:space="preserve"> Vaseline Petroleum Jelly Tub 368g</v>
      </c>
      <c r="C7284" t="s">
        <v>116</v>
      </c>
      <c r="D7284">
        <v>0</v>
      </c>
    </row>
    <row r="7285" spans="1:4" x14ac:dyDescent="0.25">
      <c r="B7285" t="str">
        <f>HYPERLINK("https://www.chemistwarehouse.com.au/buy/59091/Durex-Play-O-15ml"," Durex Play O 15ml")</f>
        <v xml:space="preserve"> Durex Play O 15ml</v>
      </c>
      <c r="C7285" t="s">
        <v>187</v>
      </c>
      <c r="D7285" t="s">
        <v>165</v>
      </c>
    </row>
    <row r="7286" spans="1:4" x14ac:dyDescent="0.25">
      <c r="A7286" t="s">
        <v>1727</v>
      </c>
    </row>
    <row r="7287" spans="1:4" x14ac:dyDescent="0.25">
      <c r="B7287" t="str">
        <f>HYPERLINK("https://www.chemistwarehouse.com.au/buy/51794/Durex-Play-Vibrations"," Durex Play Vibrations")</f>
        <v xml:space="preserve"> Durex Play Vibrations</v>
      </c>
      <c r="C7287" t="s">
        <v>554</v>
      </c>
      <c r="D7287" t="s">
        <v>799</v>
      </c>
    </row>
    <row r="7288" spans="1:4" x14ac:dyDescent="0.25">
      <c r="B7288" t="str">
        <f>HYPERLINK("https://www.chemistwarehouse.com.au/buy/66873/Online-Only-Pjur-Toy-Clean-100ml-Spray-Bottle"," Online Only - Pjur Toy Clean 100ml Spray Bottle")</f>
        <v xml:space="preserve"> Online Only - Pjur Toy Clean 100ml Spray Bottle</v>
      </c>
      <c r="C7288" t="s">
        <v>187</v>
      </c>
      <c r="D7288" t="s">
        <v>165</v>
      </c>
    </row>
    <row r="7289" spans="1:4" x14ac:dyDescent="0.25">
      <c r="B7289" t="str">
        <f>HYPERLINK("https://www.chemistwarehouse.com.au/buy/71852/Online-Only-Ovo-K4-Light-Violet-Chrome-Rabbit"," Online Only - Ovo K4 Light Violet Chrome Rabbit")</f>
        <v xml:space="preserve"> Online Only - Ovo K4 Light Violet Chrome Rabbit</v>
      </c>
      <c r="C7289" t="s">
        <v>472</v>
      </c>
      <c r="D7289" t="s">
        <v>93</v>
      </c>
    </row>
    <row r="7290" spans="1:4" x14ac:dyDescent="0.25">
      <c r="B7290" t="str">
        <f>HYPERLINK("https://www.chemistwarehouse.com.au/buy/65497/Online-Only-Crystal-High-Intensity-Bullet-Silver-Chrome"," Online Only - Crystal High Intensity Bullet Silver Chrome")</f>
        <v xml:space="preserve"> Online Only - Crystal High Intensity Bullet Silver Chrome</v>
      </c>
      <c r="C7290" t="s">
        <v>1</v>
      </c>
      <c r="D7290" t="s">
        <v>115</v>
      </c>
    </row>
    <row r="7291" spans="1:4" x14ac:dyDescent="0.25">
      <c r="B7291" t="str">
        <f>HYPERLINK("https://www.chemistwarehouse.com.au/buy/78268/Durex-Real-Pleasure-Multi-Speed-Vibrator"," Durex Real Pleasure Multi-Speed Vibrator ")</f>
        <v xml:space="preserve"> Durex Real Pleasure Multi-Speed Vibrator </v>
      </c>
      <c r="C7291" t="s">
        <v>514</v>
      </c>
      <c r="D7291" t="s">
        <v>46</v>
      </c>
    </row>
    <row r="7292" spans="1:4" x14ac:dyDescent="0.25">
      <c r="B7292" t="str">
        <f>HYPERLINK("https://www.chemistwarehouse.com.au/buy/77606/Online-Only-Crush-Cutie-Pie"," Online Only - Crush Cutie Pie")</f>
        <v xml:space="preserve"> Online Only - Crush Cutie Pie</v>
      </c>
      <c r="C7292" t="s">
        <v>6</v>
      </c>
      <c r="D7292" t="s">
        <v>145</v>
      </c>
    </row>
    <row r="7293" spans="1:4" x14ac:dyDescent="0.25">
      <c r="B7293" t="str">
        <f>HYPERLINK("https://www.chemistwarehouse.com.au/buy/78271/Durex-Ultimate-Pleasure-Mult-Functional-Vibrator"," Durex Ultimate Pleasure Mult-Functional Vibrator")</f>
        <v xml:space="preserve"> Durex Ultimate Pleasure Mult-Functional Vibrator</v>
      </c>
      <c r="C7293" t="s">
        <v>833</v>
      </c>
      <c r="D7293" t="s">
        <v>303</v>
      </c>
    </row>
    <row r="7294" spans="1:4" x14ac:dyDescent="0.25">
      <c r="B7294" t="str">
        <f>HYPERLINK("https://www.chemistwarehouse.com.au/buy/75426/Online-Only-Anti-Bacterial-Toy-Cleaner-127ml"," Online Only - Anti Bacterial Toy Cleaner 127ml")</f>
        <v xml:space="preserve"> Online Only - Anti Bacterial Toy Cleaner 127ml</v>
      </c>
      <c r="C7294" t="s">
        <v>32</v>
      </c>
      <c r="D7294" t="s">
        <v>150</v>
      </c>
    </row>
    <row r="7295" spans="1:4" x14ac:dyDescent="0.25">
      <c r="B7295" t="str">
        <f>HYPERLINK("https://www.chemistwarehouse.com.au/buy/66882/Online-Only-Body-Wand-Mini-Lavender"," Online Only - Body Wand Mini Lavender")</f>
        <v xml:space="preserve"> Online Only - Body Wand Mini Lavender</v>
      </c>
      <c r="C7295" t="s">
        <v>1</v>
      </c>
      <c r="D7295" t="s">
        <v>165</v>
      </c>
    </row>
    <row r="7296" spans="1:4" x14ac:dyDescent="0.25">
      <c r="B7296" t="str">
        <f>HYPERLINK("https://www.chemistwarehouse.com.au/buy/65495/Online-Only-Body-Wand-Original-Massager-White-and-Pale-Blue"," Online Only - Body Wand Original Massager White and Pale Blue")</f>
        <v xml:space="preserve"> Online Only - Body Wand Original Massager White and Pale Blue</v>
      </c>
      <c r="C7296" t="s">
        <v>1634</v>
      </c>
      <c r="D7296" t="s">
        <v>274</v>
      </c>
    </row>
    <row r="7297" spans="1:4" x14ac:dyDescent="0.25">
      <c r="B7297" t="str">
        <f>HYPERLINK("https://www.chemistwarehouse.com.au/buy/77596/Online-Only-Bodywand-Original-Stroker-Attachment"," Online Only - Bodywand Original Stroker Attachment")</f>
        <v xml:space="preserve"> Online Only - Bodywand Original Stroker Attachment</v>
      </c>
      <c r="C7297" t="s">
        <v>110</v>
      </c>
      <c r="D7297" t="s">
        <v>413</v>
      </c>
    </row>
    <row r="7298" spans="1:4" x14ac:dyDescent="0.25">
      <c r="B7298" t="str">
        <f>HYPERLINK("https://www.chemistwarehouse.com.au/buy/77597/Online-Only-Bodywand-Rechargeable-Gspot-Attachment"," Online Only - Bodywand Rechargeable Gspot Attachment")</f>
        <v xml:space="preserve"> Online Only - Bodywand Rechargeable Gspot Attachment</v>
      </c>
      <c r="C7298" t="s">
        <v>110</v>
      </c>
      <c r="D7298" t="s">
        <v>340</v>
      </c>
    </row>
    <row r="7299" spans="1:4" x14ac:dyDescent="0.25">
      <c r="B7299" t="str">
        <f>HYPERLINK("https://www.chemistwarehouse.com.au/buy/77599/Online-Only-Bodywand-Rechargeable-Massager-Black"," Online Only - Bodywand Rechargeable Massager Black")</f>
        <v xml:space="preserve"> Online Only - Bodywand Rechargeable Massager Black</v>
      </c>
      <c r="C7299" t="s">
        <v>564</v>
      </c>
      <c r="D7299" t="s">
        <v>1635</v>
      </c>
    </row>
    <row r="7300" spans="1:4" x14ac:dyDescent="0.25">
      <c r="B7300" t="str">
        <f>HYPERLINK("https://www.chemistwarehouse.com.au/buy/77598/Online-Only-Bodywand-Rechargeable-Rabbit-Attachment"," Online Only - Bodywand Rechargeable Rabbit Attachment")</f>
        <v xml:space="preserve"> Online Only - Bodywand Rechargeable Rabbit Attachment</v>
      </c>
      <c r="C7300" t="s">
        <v>1364</v>
      </c>
      <c r="D7300" t="s">
        <v>1728</v>
      </c>
    </row>
    <row r="7301" spans="1:4" x14ac:dyDescent="0.25">
      <c r="B7301" t="str">
        <f>HYPERLINK("https://www.chemistwarehouse.com.au/buy/77604/Online-Only-Crush-Boo"," Online Only - Crush Boo")</f>
        <v xml:space="preserve"> Online Only - Crush Boo</v>
      </c>
      <c r="C7301" t="s">
        <v>6</v>
      </c>
      <c r="D7301" t="s">
        <v>145</v>
      </c>
    </row>
    <row r="7302" spans="1:4" x14ac:dyDescent="0.25">
      <c r="B7302" t="str">
        <f>HYPERLINK("https://www.chemistwarehouse.com.au/buy/77607/Online-Only-Crush-Jelly-Bean"," Online Only - Crush Jelly Bean")</f>
        <v xml:space="preserve"> Online Only - Crush Jelly Bean</v>
      </c>
      <c r="C7302" t="s">
        <v>6</v>
      </c>
      <c r="D7302" t="s">
        <v>145</v>
      </c>
    </row>
    <row r="7303" spans="1:4" x14ac:dyDescent="0.25">
      <c r="B7303" t="str">
        <f>HYPERLINK("https://www.chemistwarehouse.com.au/buy/77608/Online-Only-Crush-Luv-Bug"," Online Only - Crush Luv Bug")</f>
        <v xml:space="preserve"> Online Only - Crush Luv Bug</v>
      </c>
      <c r="C7303" t="s">
        <v>6</v>
      </c>
      <c r="D7303" t="s">
        <v>145</v>
      </c>
    </row>
    <row r="7304" spans="1:4" x14ac:dyDescent="0.25">
      <c r="B7304" t="str">
        <f>HYPERLINK("https://www.chemistwarehouse.com.au/buy/77609/Online-Only-Crush-Mi-Amor"," Online Only - Crush Mi Amor")</f>
        <v xml:space="preserve"> Online Only - Crush Mi Amor</v>
      </c>
      <c r="C7304" t="s">
        <v>6</v>
      </c>
      <c r="D7304" t="s">
        <v>145</v>
      </c>
    </row>
    <row r="7305" spans="1:4" x14ac:dyDescent="0.25">
      <c r="B7305" t="str">
        <f>HYPERLINK("https://www.chemistwarehouse.com.au/buy/78269/Durex-Sensual-Bliss-Intimate-Massager"," Durex Sensual Bliss Intimate Massager ")</f>
        <v xml:space="preserve"> Durex Sensual Bliss Intimate Massager </v>
      </c>
      <c r="C7305" t="s">
        <v>276</v>
      </c>
      <c r="D7305" t="s">
        <v>46</v>
      </c>
    </row>
    <row r="7306" spans="1:4" x14ac:dyDescent="0.25">
      <c r="B7306" t="str">
        <f>HYPERLINK("https://www.chemistwarehouse.com.au/buy/82141/Online-Only-Duo-Hard-Balls-Plastic-Box"," Online Only - Duo Hard Balls Plastic Box")</f>
        <v xml:space="preserve"> Online Only - Duo Hard Balls Plastic Box</v>
      </c>
      <c r="C7306" t="s">
        <v>556</v>
      </c>
      <c r="D7306" t="s">
        <v>150</v>
      </c>
    </row>
    <row r="7307" spans="1:4" x14ac:dyDescent="0.25">
      <c r="B7307" t="str">
        <f>HYPERLINK("https://www.chemistwarehouse.com.au/buy/55495/Online-Only-Durex-Play-Pure-Fantasy"," Online Only - Durex Play Pure Fantasy")</f>
        <v xml:space="preserve"> Online Only - Durex Play Pure Fantasy</v>
      </c>
      <c r="C7307" t="s">
        <v>113</v>
      </c>
      <c r="D7307" t="s">
        <v>46</v>
      </c>
    </row>
    <row r="7308" spans="1:4" x14ac:dyDescent="0.25">
      <c r="B7308" t="str">
        <f>HYPERLINK("https://www.chemistwarehouse.com.au/buy/82140/Online-Only-First-Time-Love-Balls-Triple-Lover-Pink"," Online Only - First Time Love Balls Triple Lover Pink")</f>
        <v xml:space="preserve"> Online Only - First Time Love Balls Triple Lover Pink</v>
      </c>
      <c r="C7308" t="s">
        <v>8</v>
      </c>
      <c r="D7308" t="s">
        <v>165</v>
      </c>
    </row>
    <row r="7309" spans="1:4" x14ac:dyDescent="0.25">
      <c r="B7309" t="str">
        <f>HYPERLINK("https://www.chemistwarehouse.com.au/buy/82137/Online-Only-INYA-Cherry-Bomb-Pink"," Online Only - INYA Cherry Bomb Pink")</f>
        <v xml:space="preserve"> Online Only - INYA Cherry Bomb Pink</v>
      </c>
      <c r="C7309" t="s">
        <v>237</v>
      </c>
      <c r="D7309" t="s">
        <v>150</v>
      </c>
    </row>
    <row r="7310" spans="1:4" x14ac:dyDescent="0.25">
      <c r="B7310" t="str">
        <f>HYPERLINK("https://www.chemistwarehouse.com.au/buy/82138/Online-Only-INYA-Cherry-Bomb-Purple"," Online Only - INYA Cherry Bomb Purple")</f>
        <v xml:space="preserve"> Online Only - INYA Cherry Bomb Purple</v>
      </c>
      <c r="C7310" t="s">
        <v>237</v>
      </c>
      <c r="D7310" t="s">
        <v>150</v>
      </c>
    </row>
    <row r="7311" spans="1:4" x14ac:dyDescent="0.25">
      <c r="A7311" t="s">
        <v>1729</v>
      </c>
    </row>
    <row r="7312" spans="1:4" x14ac:dyDescent="0.25">
      <c r="B7312" t="str">
        <f>HYPERLINK("https://www.chemistwarehouse.com.au/buy/71844/Carefree-Barely-There-Liners-Triple-Pack-3x42"," Carefree Barely There Liners Triple Pack 3x42")</f>
        <v xml:space="preserve"> Carefree Barely There Liners Triple Pack 3x42</v>
      </c>
      <c r="C7312" t="s">
        <v>45</v>
      </c>
      <c r="D7312" t="s">
        <v>185</v>
      </c>
    </row>
    <row r="7313" spans="2:4" x14ac:dyDescent="0.25">
      <c r="B7313" t="str">
        <f>HYPERLINK("https://www.chemistwarehouse.com.au/buy/31075/Carefree-Tampons-Regular-20"," Carefree Tampons Regular 20")</f>
        <v xml:space="preserve"> Carefree Tampons Regular 20</v>
      </c>
      <c r="C7313" t="s">
        <v>786</v>
      </c>
      <c r="D7313" t="s">
        <v>371</v>
      </c>
    </row>
    <row r="7314" spans="2:4" x14ac:dyDescent="0.25">
      <c r="B7314" t="str">
        <f>HYPERLINK("https://www.chemistwarehouse.com.au/buy/32632/Carefree-Longs-Original-30-Liners"," Carefree Longs Original 30 Liners")</f>
        <v xml:space="preserve"> Carefree Longs Original 30 Liners</v>
      </c>
      <c r="C7314" t="s">
        <v>775</v>
      </c>
      <c r="D7314" t="s">
        <v>1730</v>
      </c>
    </row>
    <row r="7315" spans="2:4" x14ac:dyDescent="0.25">
      <c r="B7315" t="str">
        <f>HYPERLINK("https://www.chemistwarehouse.com.au/buy/68886/Carefree-Original-48-Liners"," Carefree Original 48 Liners ")</f>
        <v xml:space="preserve"> Carefree Original 48 Liners </v>
      </c>
      <c r="C7315" t="s">
        <v>483</v>
      </c>
      <c r="D7315" t="s">
        <v>1332</v>
      </c>
    </row>
    <row r="7316" spans="2:4" x14ac:dyDescent="0.25">
      <c r="B7316" t="str">
        <f>HYPERLINK("https://www.chemistwarehouse.com.au/buy/66569/Carefree-Barely-There-Shower-Fresh-Scent-42-Liners"," Carefree Barely There Shower Fresh Scent 42 Liners")</f>
        <v xml:space="preserve"> Carefree Barely There Shower Fresh Scent 42 Liners</v>
      </c>
      <c r="C7316" t="s">
        <v>786</v>
      </c>
      <c r="D7316" t="s">
        <v>776</v>
      </c>
    </row>
    <row r="7317" spans="2:4" x14ac:dyDescent="0.25">
      <c r="B7317" t="str">
        <f>HYPERLINK("https://www.chemistwarehouse.com.au/buy/32637/Carefree-Tampons-Regular-40"," Carefree Tampons Regular 40")</f>
        <v xml:space="preserve"> Carefree Tampons Regular 40</v>
      </c>
      <c r="C7317" t="s">
        <v>242</v>
      </c>
      <c r="D7317" t="s">
        <v>318</v>
      </c>
    </row>
    <row r="7318" spans="2:4" x14ac:dyDescent="0.25">
      <c r="B7318" t="str">
        <f>HYPERLINK("https://www.chemistwarehouse.com.au/buy/32630/Carefree-Original-Shower-Fresh-30-Liners"," Carefree Original Shower Fresh 30 Liners")</f>
        <v xml:space="preserve"> Carefree Original Shower Fresh 30 Liners</v>
      </c>
      <c r="C7318" t="s">
        <v>775</v>
      </c>
      <c r="D7318" t="s">
        <v>776</v>
      </c>
    </row>
    <row r="7319" spans="2:4" x14ac:dyDescent="0.25">
      <c r="B7319" t="str">
        <f>HYPERLINK("https://www.chemistwarehouse.com.au/buy/31078/Carefree-Tampons-Super-32"," Carefree Tampons Super 32")</f>
        <v xml:space="preserve"> Carefree Tampons Super 32</v>
      </c>
      <c r="C7319" t="s">
        <v>242</v>
      </c>
      <c r="D7319" t="s">
        <v>561</v>
      </c>
    </row>
    <row r="7320" spans="2:4" x14ac:dyDescent="0.25">
      <c r="B7320" t="str">
        <f>HYPERLINK("https://www.chemistwarehouse.com.au/buy/75270/Carefree-Ultra-Thins-Wings-Regular-10"," Carefree Ultra Thins Wings Regular 10")</f>
        <v xml:space="preserve"> Carefree Ultra Thins Wings Regular 10</v>
      </c>
      <c r="C7320" t="s">
        <v>483</v>
      </c>
      <c r="D7320" t="s">
        <v>776</v>
      </c>
    </row>
    <row r="7321" spans="2:4" x14ac:dyDescent="0.25">
      <c r="B7321" t="str">
        <f>HYPERLINK("https://www.chemistwarehouse.com.au/buy/55060/Carefree-Tampons-Flexia-Super-16"," Carefree Tampons Flexia Super 16")</f>
        <v xml:space="preserve"> Carefree Tampons Flexia Super 16</v>
      </c>
      <c r="C7321" t="s">
        <v>786</v>
      </c>
      <c r="D7321" t="s">
        <v>776</v>
      </c>
    </row>
    <row r="7322" spans="2:4" x14ac:dyDescent="0.25">
      <c r="B7322" t="str">
        <f>HYPERLINK("https://www.chemistwarehouse.com.au/buy/69658/Carefree-20-Breathable-Liners"," Carefree 20 Breathable Liners ")</f>
        <v xml:space="preserve"> Carefree 20 Breathable Liners </v>
      </c>
      <c r="C7322" t="s">
        <v>146</v>
      </c>
      <c r="D7322" t="s">
        <v>1332</v>
      </c>
    </row>
    <row r="7323" spans="2:4" x14ac:dyDescent="0.25">
      <c r="B7323" t="str">
        <f>HYPERLINK("https://www.chemistwarehouse.com.au/buy/53228/Carefree-Barely-There-Unscented-24-Liners"," Carefree Barely There Unscented 24 Liners")</f>
        <v xml:space="preserve"> Carefree Barely There Unscented 24 Liners</v>
      </c>
      <c r="C7323" t="s">
        <v>146</v>
      </c>
      <c r="D7323" t="s">
        <v>727</v>
      </c>
    </row>
    <row r="7324" spans="2:4" x14ac:dyDescent="0.25">
      <c r="B7324" t="str">
        <f>HYPERLINK("https://www.chemistwarehouse.com.au/buy/55059/Carefree-Tampons-Flexia-Regular-16"," Carefree Tampons Flexia Regular 16")</f>
        <v xml:space="preserve"> Carefree Tampons Flexia Regular 16</v>
      </c>
      <c r="C7324" t="s">
        <v>786</v>
      </c>
      <c r="D7324" t="s">
        <v>776</v>
      </c>
    </row>
    <row r="7325" spans="2:4" x14ac:dyDescent="0.25">
      <c r="B7325" t="str">
        <f>HYPERLINK("https://www.chemistwarehouse.com.au/buy/53227/Carefree-Barely-There-Shower-Fresh-Scent-24-Liners"," Carefree Barely There Shower Fresh Scent 24 Liners")</f>
        <v xml:space="preserve"> Carefree Barely There Shower Fresh Scent 24 Liners</v>
      </c>
      <c r="C7325" t="s">
        <v>146</v>
      </c>
      <c r="D7325" t="s">
        <v>1332</v>
      </c>
    </row>
    <row r="7326" spans="2:4" x14ac:dyDescent="0.25">
      <c r="B7326" t="str">
        <f>HYPERLINK("https://www.chemistwarehouse.com.au/buy/31077/Carefree-Tampons-Super-16"," Carefree Tampons Super 16")</f>
        <v xml:space="preserve"> Carefree Tampons Super 16</v>
      </c>
      <c r="C7326" t="s">
        <v>786</v>
      </c>
      <c r="D7326" t="s">
        <v>371</v>
      </c>
    </row>
    <row r="7327" spans="2:4" x14ac:dyDescent="0.25">
      <c r="B7327" t="str">
        <f>HYPERLINK("https://www.chemistwarehouse.com.au/buy/75271/Carefree-Ultra-Thins-Wings-Super-10"," Carefree Ultra Thins Wings Super 10")</f>
        <v xml:space="preserve"> Carefree Ultra Thins Wings Super 10</v>
      </c>
      <c r="C7327" t="s">
        <v>483</v>
      </c>
      <c r="D7327" t="s">
        <v>776</v>
      </c>
    </row>
    <row r="7328" spans="2:4" x14ac:dyDescent="0.25">
      <c r="B7328" t="str">
        <f>HYPERLINK("https://www.chemistwarehouse.com.au/buy/75272/Carefree-Sweet-Dreams-Wings-Night-7"," Carefree Sweet Dreams Wings Night 7")</f>
        <v xml:space="preserve"> Carefree Sweet Dreams Wings Night 7</v>
      </c>
      <c r="C7328" t="s">
        <v>483</v>
      </c>
      <c r="D7328" t="s">
        <v>776</v>
      </c>
    </row>
    <row r="7329" spans="1:4" x14ac:dyDescent="0.25">
      <c r="B7329" t="str">
        <f>HYPERLINK("https://www.chemistwarehouse.com.au/buy/75720/Carefree-Tampons-ProComfort-Super-32"," Carefree Tampons ProComfort Super 32")</f>
        <v xml:space="preserve"> Carefree Tampons ProComfort Super 32</v>
      </c>
      <c r="C7329" t="s">
        <v>92</v>
      </c>
      <c r="D7329" t="s">
        <v>371</v>
      </c>
    </row>
    <row r="7330" spans="1:4" x14ac:dyDescent="0.25">
      <c r="B7330" t="str">
        <f>HYPERLINK("https://www.chemistwarehouse.com.au/buy/75721/Carefree-Tampons-ProComfort-Regular-32"," Carefree Tampons ProComfort Regular 32")</f>
        <v xml:space="preserve"> Carefree Tampons ProComfort Regular 32</v>
      </c>
      <c r="C7330" t="s">
        <v>92</v>
      </c>
      <c r="D7330" t="s">
        <v>371</v>
      </c>
    </row>
    <row r="7331" spans="1:4" x14ac:dyDescent="0.25">
      <c r="B7331" t="str">
        <f>HYPERLINK("https://www.chemistwarehouse.com.au/buy/75269/Carefree-Ultra-Thins-Wings-Heavy-Day-Night-7"," Carefree Ultra Thins Wings Heavy Day/Night 7")</f>
        <v xml:space="preserve"> Carefree Ultra Thins Wings Heavy Day/Night 7</v>
      </c>
      <c r="C7331" t="s">
        <v>483</v>
      </c>
      <c r="D7331" t="s">
        <v>776</v>
      </c>
    </row>
    <row r="7332" spans="1:4" x14ac:dyDescent="0.25">
      <c r="A7332" t="s">
        <v>1731</v>
      </c>
    </row>
    <row r="7333" spans="1:4" x14ac:dyDescent="0.25">
      <c r="B7333" t="str">
        <f>HYPERLINK("https://www.chemistwarehouse.com.au/buy/73534/Cottons-Nursing-Pads-30"," Cottons Nursing Pads 30")</f>
        <v xml:space="preserve"> Cottons Nursing Pads 30</v>
      </c>
      <c r="C7333" t="s">
        <v>92</v>
      </c>
      <c r="D7333" t="s">
        <v>371</v>
      </c>
    </row>
    <row r="7334" spans="1:4" x14ac:dyDescent="0.25">
      <c r="B7334" t="str">
        <f>HYPERLINK("https://www.chemistwarehouse.com.au/buy/72269/Cottons-Maternity-Pads-With-Wings-10-Pack"," Cottons Maternity Pads With Wings 10 Pack")</f>
        <v xml:space="preserve"> Cottons Maternity Pads With Wings 10 Pack</v>
      </c>
      <c r="C7334" t="s">
        <v>326</v>
      </c>
      <c r="D7334" t="s">
        <v>1332</v>
      </c>
    </row>
    <row r="7335" spans="1:4" x14ac:dyDescent="0.25">
      <c r="B7335" t="str">
        <f>HYPERLINK("https://www.chemistwarehouse.com.au/buy/67034/Cottons-24-Panty-liners"," Cottons 24 Panty liners")</f>
        <v xml:space="preserve"> Cottons 24 Panty liners</v>
      </c>
      <c r="C7335" t="s">
        <v>775</v>
      </c>
      <c r="D7335" t="s">
        <v>725</v>
      </c>
    </row>
    <row r="7336" spans="1:4" x14ac:dyDescent="0.25">
      <c r="B7336" t="str">
        <f>HYPERLINK("https://www.chemistwarehouse.com.au/buy/67032/Cottons-Regular-14-Pads"," Cottons Regular 14 Pads")</f>
        <v xml:space="preserve"> Cottons Regular 14 Pads</v>
      </c>
      <c r="C7336" t="s">
        <v>556</v>
      </c>
      <c r="D7336" t="s">
        <v>725</v>
      </c>
    </row>
    <row r="7337" spans="1:4" x14ac:dyDescent="0.25">
      <c r="B7337" t="str">
        <f>HYPERLINK("https://www.chemistwarehouse.com.au/buy/67033/Cottons-Super-12-Pads"," Cottons Super 12 Pads")</f>
        <v xml:space="preserve"> Cottons Super 12 Pads</v>
      </c>
      <c r="C7337" t="s">
        <v>556</v>
      </c>
      <c r="D7337" t="s">
        <v>725</v>
      </c>
    </row>
    <row r="7338" spans="1:4" x14ac:dyDescent="0.25">
      <c r="B7338" t="str">
        <f>HYPERLINK("https://www.chemistwarehouse.com.au/buy/53531/Cottons-Tampons-Regular-16"," Cottons Tampons Regular 16")</f>
        <v xml:space="preserve"> Cottons Tampons Regular 16</v>
      </c>
      <c r="C7338" t="s">
        <v>556</v>
      </c>
      <c r="D7338" t="s">
        <v>725</v>
      </c>
    </row>
    <row r="7339" spans="1:4" x14ac:dyDescent="0.25">
      <c r="B7339" t="str">
        <f>HYPERLINK("https://www.chemistwarehouse.com.au/buy/53532/Cottons-Tampons-Super-16"," Cottons Tampons Super 16")</f>
        <v xml:space="preserve"> Cottons Tampons Super 16</v>
      </c>
      <c r="C7339" t="s">
        <v>556</v>
      </c>
      <c r="D7339" t="s">
        <v>725</v>
      </c>
    </row>
    <row r="7340" spans="1:4" x14ac:dyDescent="0.25">
      <c r="B7340" t="str">
        <f>HYPERLINK("https://www.chemistwarehouse.com.au/buy/67031/Cottons-Overnight-10-Pads"," Cottons Overnight 10 Pads")</f>
        <v xml:space="preserve"> Cottons Overnight 10 Pads</v>
      </c>
      <c r="C7340" t="s">
        <v>556</v>
      </c>
      <c r="D7340" t="s">
        <v>725</v>
      </c>
    </row>
    <row r="7341" spans="1:4" x14ac:dyDescent="0.25">
      <c r="A7341" t="s">
        <v>1732</v>
      </c>
    </row>
    <row r="7342" spans="1:4" x14ac:dyDescent="0.25">
      <c r="B7342" t="str">
        <f>HYPERLINK("https://www.chemistwarehouse.com.au/buy/74842/Sofy-BeFresh-Super-Wing-11-Pack"," Sofy BeFresh Super Wing 11 Pack")</f>
        <v xml:space="preserve"> Sofy BeFresh Super Wing 11 Pack</v>
      </c>
      <c r="C7342" t="s">
        <v>483</v>
      </c>
      <c r="D7342" t="s">
        <v>371</v>
      </c>
    </row>
    <row r="7343" spans="1:4" x14ac:dyDescent="0.25">
      <c r="B7343" t="str">
        <f>HYPERLINK("https://www.chemistwarehouse.com.au/buy/74839/Sofy-BeFresh-Night-Wing-9-Pack"," Sofy BeFresh Night Wing 9 Pack")</f>
        <v xml:space="preserve"> Sofy BeFresh Night Wing 9 Pack</v>
      </c>
      <c r="C7343" t="s">
        <v>483</v>
      </c>
      <c r="D7343" t="s">
        <v>371</v>
      </c>
    </row>
    <row r="7344" spans="1:4" x14ac:dyDescent="0.25">
      <c r="B7344" t="str">
        <f>HYPERLINK("https://www.chemistwarehouse.com.au/buy/74840/Sofy-BeFresh-Regular-No-Wings-14-Pack"," Sofy BeFresh Regular No Wings 14 Pack")</f>
        <v xml:space="preserve"> Sofy BeFresh Regular No Wings 14 Pack</v>
      </c>
      <c r="C7344" t="s">
        <v>483</v>
      </c>
      <c r="D7344" t="s">
        <v>371</v>
      </c>
    </row>
    <row r="7345" spans="1:4" x14ac:dyDescent="0.25">
      <c r="B7345" t="str">
        <f>HYPERLINK("https://www.chemistwarehouse.com.au/buy/74841/Sofy-BeFresh-Regular-Wing-12-Pack"," Sofy BeFresh Regular Wing 12 Pack")</f>
        <v xml:space="preserve"> Sofy BeFresh Regular Wing 12 Pack</v>
      </c>
      <c r="C7345" t="s">
        <v>483</v>
      </c>
      <c r="D7345" t="s">
        <v>371</v>
      </c>
    </row>
    <row r="7346" spans="1:4" x14ac:dyDescent="0.25">
      <c r="A7346" t="s">
        <v>1733</v>
      </c>
    </row>
    <row r="7347" spans="1:4" x14ac:dyDescent="0.25">
      <c r="B7347" t="str">
        <f>HYPERLINK("https://www.chemistwarehouse.com.au/buy/61562/Clearblue-Digital-Pregnancy-Test-with-Conception-Indicator-2-Tests"," Clearblue Digital Pregnancy Test with Conception Indicator 2 Tests ")</f>
        <v xml:space="preserve"> Clearblue Digital Pregnancy Test with Conception Indicator 2 Tests </v>
      </c>
      <c r="C7347" t="s">
        <v>1734</v>
      </c>
      <c r="D7347" t="s">
        <v>1735</v>
      </c>
    </row>
    <row r="7348" spans="1:4" x14ac:dyDescent="0.25">
      <c r="B7348" t="str">
        <f>HYPERLINK("https://www.chemistwarehouse.com.au/buy/72296/Clearblue-Digital-Ovulation-Test-Dual-Hormone-Indicator-10-Pack"," Clearblue Digital Ovulation Test Dual Hormone Indicator 10 Pack")</f>
        <v xml:space="preserve"> Clearblue Digital Ovulation Test Dual Hormone Indicator 10 Pack</v>
      </c>
      <c r="C7348" t="s">
        <v>1736</v>
      </c>
      <c r="D7348" t="s">
        <v>1580</v>
      </c>
    </row>
    <row r="7349" spans="1:4" x14ac:dyDescent="0.25">
      <c r="B7349" t="str">
        <f>HYPERLINK("https://www.chemistwarehouse.com.au/buy/78391/Clearblue-Plus-Pregnancy-Test-3-Pack"," Clearblue Plus Pregnancy Test 3 Pack")</f>
        <v xml:space="preserve"> Clearblue Plus Pregnancy Test 3 Pack</v>
      </c>
      <c r="C7349" t="s">
        <v>187</v>
      </c>
      <c r="D7349" t="s">
        <v>162</v>
      </c>
    </row>
    <row r="7350" spans="1:4" x14ac:dyDescent="0.25">
      <c r="B7350" t="str">
        <f>HYPERLINK("https://www.chemistwarehouse.com.au/buy/82531/Clearblue-Early-Detection-Pregnancy-Test-1-Pack"," Clearblue Early Detection Pregnancy Test 1 Pack")</f>
        <v xml:space="preserve"> Clearblue Early Detection Pregnancy Test 1 Pack</v>
      </c>
      <c r="C7350" t="s">
        <v>1737</v>
      </c>
      <c r="D7350" t="s">
        <v>281</v>
      </c>
    </row>
    <row r="7351" spans="1:4" x14ac:dyDescent="0.25">
      <c r="B7351" t="str">
        <f>HYPERLINK("https://www.chemistwarehouse.com.au/buy/32936/Clearblue-Plus-Visual-Pregnancy-Test-Kit-1-Pack"," Clearblue Plus Visual Pregnancy Test Kit 1 Pack")</f>
        <v xml:space="preserve"> Clearblue Plus Visual Pregnancy Test Kit 1 Pack</v>
      </c>
      <c r="C7351" t="s">
        <v>1738</v>
      </c>
      <c r="D7351" t="s">
        <v>1739</v>
      </c>
    </row>
    <row r="7352" spans="1:4" x14ac:dyDescent="0.25">
      <c r="B7352" t="str">
        <f>HYPERLINK("https://www.chemistwarehouse.com.au/buy/61561/Clearblue-Digital-Pregnancy-Test-with-Conception-Indicator-Test-1"," Clearblue Digital Pregnancy Test with Conception Indicator Test 1")</f>
        <v xml:space="preserve"> Clearblue Digital Pregnancy Test with Conception Indicator Test 1</v>
      </c>
      <c r="C7352" t="s">
        <v>1740</v>
      </c>
      <c r="D7352" t="s">
        <v>1741</v>
      </c>
    </row>
    <row r="7353" spans="1:4" x14ac:dyDescent="0.25">
      <c r="B7353" t="str">
        <f>HYPERLINK("https://www.chemistwarehouse.com.au/buy/82532/Clearblue-Early-Detection-Pregnancy-Test-3-Pack"," Clearblue Early Detection Pregnancy Test 3 Pack")</f>
        <v xml:space="preserve"> Clearblue Early Detection Pregnancy Test 3 Pack</v>
      </c>
      <c r="C7353" t="s">
        <v>1742</v>
      </c>
      <c r="D7353" t="s">
        <v>272</v>
      </c>
    </row>
    <row r="7354" spans="1:4" x14ac:dyDescent="0.25">
      <c r="A7354" t="s">
        <v>1743</v>
      </c>
    </row>
    <row r="7355" spans="1:4" x14ac:dyDescent="0.25">
      <c r="B7355" t="str">
        <f>HYPERLINK("https://www.chemistwarehouse.com.au/buy/80135/Babystart-Ovulation-Test-5-Pack"," Babystart Ovulation Test 5 Pack")</f>
        <v xml:space="preserve"> Babystart Ovulation Test 5 Pack</v>
      </c>
      <c r="C7355" t="s">
        <v>61</v>
      </c>
      <c r="D7355" t="s">
        <v>150</v>
      </c>
    </row>
    <row r="7356" spans="1:4" x14ac:dyDescent="0.25">
      <c r="B7356" t="str">
        <f>HYPERLINK("https://www.chemistwarehouse.com.au/buy/80136/Babystart-Sperm-Test-2-Pack"," Babystart Sperm Test 2 Pack")</f>
        <v xml:space="preserve"> Babystart Sperm Test 2 Pack</v>
      </c>
      <c r="C7356" t="s">
        <v>514</v>
      </c>
      <c r="D7356" t="s">
        <v>165</v>
      </c>
    </row>
    <row r="7357" spans="1:4" x14ac:dyDescent="0.25">
      <c r="B7357" t="str">
        <f>HYPERLINK("https://www.chemistwarehouse.com.au/buy/80132/Babystart-Couples-Test-Pack"," Babystart Couples Test Pack")</f>
        <v xml:space="preserve"> Babystart Couples Test Pack</v>
      </c>
      <c r="C7357" t="s">
        <v>1542</v>
      </c>
      <c r="D7357" t="s">
        <v>165</v>
      </c>
    </row>
    <row r="7358" spans="1:4" x14ac:dyDescent="0.25">
      <c r="B7358" t="str">
        <f>HYPERLINK("https://www.chemistwarehouse.com.au/buy/80133/Babystart-Fertility-Test-2-Pack"," Babystart Fertility Test 2 Pack")</f>
        <v xml:space="preserve"> Babystart Fertility Test 2 Pack</v>
      </c>
      <c r="C7358" t="s">
        <v>1</v>
      </c>
      <c r="D7358" t="s">
        <v>397</v>
      </c>
    </row>
    <row r="7359" spans="1:4" x14ac:dyDescent="0.25">
      <c r="B7359" t="str">
        <f>HYPERLINK("https://www.chemistwarehouse.com.au/buy/80134/Babystart-Ovulation-Microscope"," Babystart Ovulation Microscope")</f>
        <v xml:space="preserve"> Babystart Ovulation Microscope</v>
      </c>
      <c r="C7359" t="s">
        <v>514</v>
      </c>
      <c r="D7359" t="s">
        <v>165</v>
      </c>
    </row>
    <row r="7360" spans="1:4" x14ac:dyDescent="0.25">
      <c r="A7360" t="s">
        <v>1744</v>
      </c>
    </row>
    <row r="7361" spans="2:4" x14ac:dyDescent="0.25">
      <c r="B7361" t="str">
        <f>HYPERLINK("https://www.chemistwarehouse.com.au/buy/53533/Kotex-U-Tampon-Mini-16"," Kotex U Tampon Mini 16")</f>
        <v xml:space="preserve"> Kotex U Tampon Mini 16</v>
      </c>
      <c r="C7361" t="s">
        <v>483</v>
      </c>
      <c r="D7361" t="s">
        <v>371</v>
      </c>
    </row>
    <row r="7362" spans="2:4" x14ac:dyDescent="0.25">
      <c r="B7362" t="str">
        <f>HYPERLINK("https://www.chemistwarehouse.com.au/buy/44566/Kotex-U-Tampon-Regular-16"," Kotex U Tampon Regular 16")</f>
        <v xml:space="preserve"> Kotex U Tampon Regular 16</v>
      </c>
      <c r="C7362" t="s">
        <v>483</v>
      </c>
      <c r="D7362" t="s">
        <v>371</v>
      </c>
    </row>
    <row r="7363" spans="2:4" x14ac:dyDescent="0.25">
      <c r="B7363" t="str">
        <f>HYPERLINK("https://www.chemistwarehouse.com.au/buy/44564/Kotex-U-Ultra-Thin-Wings-Regular-14"," Kotex U Ultra Thin Wings Regular 14")</f>
        <v xml:space="preserve"> Kotex U Ultra Thin Wings Regular 14</v>
      </c>
      <c r="C7363" t="s">
        <v>483</v>
      </c>
      <c r="D7363" t="s">
        <v>781</v>
      </c>
    </row>
    <row r="7364" spans="2:4" x14ac:dyDescent="0.25">
      <c r="B7364" t="str">
        <f>HYPERLINK("https://www.chemistwarehouse.com.au/buy/68891/U-By-Kotex-Pantyliners-Designs-Protect-30-Pack"," U By Kotex Pantyliners Designs Protect 30 Pack")</f>
        <v xml:space="preserve"> U By Kotex Pantyliners Designs Protect 30 Pack</v>
      </c>
      <c r="C7364" t="s">
        <v>1664</v>
      </c>
      <c r="D7364" t="s">
        <v>731</v>
      </c>
    </row>
    <row r="7365" spans="2:4" x14ac:dyDescent="0.25">
      <c r="B7365" t="str">
        <f>HYPERLINK("https://www.chemistwarehouse.com.au/buy/68888/U-By-Kotex-Liners-Sport-30-Pack"," U By Kotex Liners Sport 30 Pack")</f>
        <v xml:space="preserve"> U By Kotex Liners Sport 30 Pack</v>
      </c>
      <c r="C7365" t="s">
        <v>1664</v>
      </c>
      <c r="D7365" t="s">
        <v>731</v>
      </c>
    </row>
    <row r="7366" spans="2:4" x14ac:dyDescent="0.25">
      <c r="B7366" t="str">
        <f>HYPERLINK("https://www.chemistwarehouse.com.au/buy/71028/U-by-Kotex-Pads-Ultrathin-Designs-Regular-22-Wings"," U by Kotex Pads Ultrathin Designs Regular 22 Wings")</f>
        <v xml:space="preserve"> U by Kotex Pads Ultrathin Designs Regular 22 Wings</v>
      </c>
      <c r="C7366" t="s">
        <v>1745</v>
      </c>
      <c r="D7366" t="s">
        <v>1086</v>
      </c>
    </row>
    <row r="7367" spans="2:4" x14ac:dyDescent="0.25">
      <c r="B7367" t="str">
        <f>HYPERLINK("https://www.chemistwarehouse.com.au/buy/74028/Kotex-Regular-Liners-64-Pack"," Kotex Regular Liners 64 Pack")</f>
        <v xml:space="preserve"> Kotex Regular Liners 64 Pack</v>
      </c>
      <c r="C7367" t="s">
        <v>146</v>
      </c>
      <c r="D7367">
        <v>0</v>
      </c>
    </row>
    <row r="7368" spans="2:4" x14ac:dyDescent="0.25">
      <c r="B7368" t="str">
        <f>HYPERLINK("https://www.chemistwarehouse.com.au/buy/61260/U-by-Kotex-Maxi-Pads-Overnight-10"," U by Kotex Maxi Pads Overnight 10")</f>
        <v xml:space="preserve"> U by Kotex Maxi Pads Overnight 10</v>
      </c>
      <c r="C7368" t="s">
        <v>1746</v>
      </c>
      <c r="D7368" t="s">
        <v>781</v>
      </c>
    </row>
    <row r="7369" spans="2:4" x14ac:dyDescent="0.25">
      <c r="B7369" t="str">
        <f>HYPERLINK("https://www.chemistwarehouse.com.au/buy/61258/U-by-Kotex-Maxi-Pads-Regular-Wing-16"," U by Kotex Maxi Pads Regular Wing 16")</f>
        <v xml:space="preserve"> U by Kotex Maxi Pads Regular Wing 16</v>
      </c>
      <c r="C7369" t="s">
        <v>1746</v>
      </c>
      <c r="D7369" t="s">
        <v>781</v>
      </c>
    </row>
    <row r="7370" spans="2:4" x14ac:dyDescent="0.25">
      <c r="B7370" t="str">
        <f>HYPERLINK("https://www.chemistwarehouse.com.au/buy/70072/U-by-Kotex-Tampon-Regular-32"," U by Kotex Tampon Regular 32")</f>
        <v xml:space="preserve"> U by Kotex Tampon Regular 32</v>
      </c>
      <c r="C7370" t="s">
        <v>1745</v>
      </c>
      <c r="D7370" t="s">
        <v>1086</v>
      </c>
    </row>
    <row r="7371" spans="2:4" x14ac:dyDescent="0.25">
      <c r="B7371" t="str">
        <f>HYPERLINK("https://www.chemistwarehouse.com.au/buy/68890/U-By-Kotex-Pantyliner-Protect-30-Pack"," U By Kotex Pantyliner Protect 30 Pack")</f>
        <v xml:space="preserve"> U By Kotex Pantyliner Protect 30 Pack</v>
      </c>
      <c r="C7371" t="s">
        <v>1664</v>
      </c>
      <c r="D7371" t="s">
        <v>731</v>
      </c>
    </row>
    <row r="7372" spans="2:4" x14ac:dyDescent="0.25">
      <c r="B7372" t="str">
        <f>HYPERLINK("https://www.chemistwarehouse.com.au/buy/75913/U-By-Kotex-Tampon-Design-Regular-16"," U By Kotex Tampon Design Regular 16")</f>
        <v xml:space="preserve"> U By Kotex Tampon Design Regular 16</v>
      </c>
      <c r="C7372" t="s">
        <v>483</v>
      </c>
      <c r="D7372" t="s">
        <v>371</v>
      </c>
    </row>
    <row r="7373" spans="2:4" x14ac:dyDescent="0.25">
      <c r="B7373" t="str">
        <f>HYPERLINK("https://www.chemistwarehouse.com.au/buy/61259/U-by-Kotex-Maxi-Pads-Super-Wing-14"," U by Kotex Maxi Pads Super Wing 14")</f>
        <v xml:space="preserve"> U by Kotex Maxi Pads Super Wing 14</v>
      </c>
      <c r="C7373" t="s">
        <v>1746</v>
      </c>
      <c r="D7373" t="s">
        <v>781</v>
      </c>
    </row>
    <row r="7374" spans="2:4" x14ac:dyDescent="0.25">
      <c r="B7374" t="str">
        <f>HYPERLINK("https://www.chemistwarehouse.com.au/buy/53076/Kotex-U-12-Ultra-Thin-Super-Wing"," Kotex U 12 Ultra Thin Super Wing")</f>
        <v xml:space="preserve"> Kotex U 12 Ultra Thin Super Wing</v>
      </c>
      <c r="C7374" t="s">
        <v>483</v>
      </c>
      <c r="D7374" t="s">
        <v>781</v>
      </c>
    </row>
    <row r="7375" spans="2:4" x14ac:dyDescent="0.25">
      <c r="B7375" t="str">
        <f>HYPERLINK("https://www.chemistwarehouse.com.au/buy/65484/U-by-Kotex-Pads-Ultrathin-Designs-10-Super-Wings"," U by Kotex Pads Ultrathin Designs 10 Super Wings")</f>
        <v xml:space="preserve"> U by Kotex Pads Ultrathin Designs 10 Super Wings</v>
      </c>
      <c r="C7375" t="s">
        <v>483</v>
      </c>
      <c r="D7375" t="s">
        <v>371</v>
      </c>
    </row>
    <row r="7376" spans="2:4" x14ac:dyDescent="0.25">
      <c r="B7376" t="str">
        <f>HYPERLINK("https://www.chemistwarehouse.com.au/buy/68889/U-By-Kotex-Nude-Liners-30-pack"," U By Kotex Nude Liners 30 pack")</f>
        <v xml:space="preserve"> U By Kotex Nude Liners 30 pack</v>
      </c>
      <c r="C7376" t="s">
        <v>1664</v>
      </c>
      <c r="D7376" t="s">
        <v>731</v>
      </c>
    </row>
    <row r="7377" spans="1:4" x14ac:dyDescent="0.25">
      <c r="B7377" t="str">
        <f>HYPERLINK("https://www.chemistwarehouse.com.au/buy/58869/Kotex-U-10-Overnight-Wing"," Kotex U 10 Overnight Wing")</f>
        <v xml:space="preserve"> Kotex U 10 Overnight Wing</v>
      </c>
      <c r="C7377" t="s">
        <v>483</v>
      </c>
      <c r="D7377" t="s">
        <v>371</v>
      </c>
    </row>
    <row r="7378" spans="1:4" x14ac:dyDescent="0.25">
      <c r="B7378" t="str">
        <f>HYPERLINK("https://www.chemistwarehouse.com.au/buy/61257/U-by-Kotex-Maxi-Pads-Maternity-10"," U by Kotex Maxi Pads Maternity 10")</f>
        <v xml:space="preserve"> U by Kotex Maxi Pads Maternity 10</v>
      </c>
      <c r="C7378" t="s">
        <v>1746</v>
      </c>
      <c r="D7378" t="s">
        <v>781</v>
      </c>
    </row>
    <row r="7379" spans="1:4" x14ac:dyDescent="0.25">
      <c r="B7379" t="str">
        <f>HYPERLINK("https://www.chemistwarehouse.com.au/buy/65485/U-by-Kotex-Pads-Ultrathins-Designs-12-Regular-Wings"," U by Kotex Pads Ultrathins Designs 12 Regular Wings")</f>
        <v xml:space="preserve"> U by Kotex Pads Ultrathins Designs 12 Regular Wings</v>
      </c>
      <c r="C7379" t="s">
        <v>483</v>
      </c>
      <c r="D7379" t="s">
        <v>371</v>
      </c>
    </row>
    <row r="7380" spans="1:4" x14ac:dyDescent="0.25">
      <c r="B7380" t="str">
        <f>HYPERLINK("https://www.chemistwarehouse.com.au/buy/75864/U-By-Kotex-Ultrathin-Wings-Sport-Regular-12"," U By Kotex Ultrathin Wings Sport Regular 12")</f>
        <v xml:space="preserve"> U By Kotex Ultrathin Wings Sport Regular 12</v>
      </c>
      <c r="C7380" t="s">
        <v>483</v>
      </c>
      <c r="D7380" t="s">
        <v>371</v>
      </c>
    </row>
    <row r="7381" spans="1:4" x14ac:dyDescent="0.25">
      <c r="B7381" t="str">
        <f>HYPERLINK("https://www.chemistwarehouse.com.au/buy/75865/U-By-Kotex-Ultrathin-Wings-Sport-Super-10"," U By Kotex Ultrathin Wings Sport Super 10")</f>
        <v xml:space="preserve"> U By Kotex Ultrathin Wings Sport Super 10</v>
      </c>
      <c r="C7381" t="s">
        <v>483</v>
      </c>
      <c r="D7381" t="s">
        <v>371</v>
      </c>
    </row>
    <row r="7382" spans="1:4" x14ac:dyDescent="0.25">
      <c r="B7382" t="str">
        <f>HYPERLINK("https://www.chemistwarehouse.com.au/buy/75914/U-By-Kotex-Tampon-Design-Super-16"," U By Kotex Tampon Design Super 16")</f>
        <v xml:space="preserve"> U By Kotex Tampon Design Super 16</v>
      </c>
      <c r="C7382" t="s">
        <v>483</v>
      </c>
      <c r="D7382" t="s">
        <v>371</v>
      </c>
    </row>
    <row r="7383" spans="1:4" x14ac:dyDescent="0.25">
      <c r="B7383" t="str">
        <f>HYPERLINK("https://www.chemistwarehouse.com.au/buy/82183/U-by-Kotex-Pads-Ultrathins-14-Regular-No-Wings"," U by Kotex Pads Ultrathins 14 Regular No Wings")</f>
        <v xml:space="preserve"> U by Kotex Pads Ultrathins 14 Regular No Wings</v>
      </c>
      <c r="C7383" t="s">
        <v>483</v>
      </c>
      <c r="D7383" t="s">
        <v>371</v>
      </c>
    </row>
    <row r="7384" spans="1:4" x14ac:dyDescent="0.25">
      <c r="B7384" t="str">
        <f>HYPERLINK("https://www.chemistwarehouse.com.au/buy/70073/U-by-Kotex-Tampon-Super-32"," U by Kotex Tampon Super 32")</f>
        <v xml:space="preserve"> U by Kotex Tampon Super 32</v>
      </c>
      <c r="C7384" t="s">
        <v>1745</v>
      </c>
      <c r="D7384" t="s">
        <v>1086</v>
      </c>
    </row>
    <row r="7385" spans="1:4" x14ac:dyDescent="0.25">
      <c r="A7385" t="s">
        <v>1747</v>
      </c>
    </row>
    <row r="7386" spans="1:4" x14ac:dyDescent="0.25">
      <c r="B7386" t="str">
        <f>HYPERLINK("https://www.chemistwarehouse.com.au/buy/31187/Libra-Tampons-Regular-32"," Libra Tampons Regular 32")</f>
        <v xml:space="preserve"> Libra Tampons Regular 32</v>
      </c>
      <c r="C7386" t="s">
        <v>554</v>
      </c>
      <c r="D7386" t="s">
        <v>1748</v>
      </c>
    </row>
    <row r="7387" spans="1:4" x14ac:dyDescent="0.25">
      <c r="B7387" t="str">
        <f>HYPERLINK("https://www.chemistwarehouse.com.au/buy/31497/Libra-Pads-Ultra-Thins-with-Wings-Regular-14"," Libra Pads Ultra Thins with Wings Regular 14")</f>
        <v xml:space="preserve"> Libra Pads Ultra Thins with Wings Regular 14</v>
      </c>
      <c r="C7387" t="s">
        <v>120</v>
      </c>
      <c r="D7387" t="s">
        <v>1749</v>
      </c>
    </row>
    <row r="7388" spans="1:4" x14ac:dyDescent="0.25">
      <c r="B7388" t="str">
        <f>HYPERLINK("https://www.chemistwarehouse.com.au/buy/48111/Libra-Maternity-Pads-10"," Libra Maternity Pads 10")</f>
        <v xml:space="preserve"> Libra Maternity Pads 10</v>
      </c>
      <c r="C7388" t="s">
        <v>120</v>
      </c>
      <c r="D7388" t="s">
        <v>1749</v>
      </c>
    </row>
    <row r="7389" spans="1:4" x14ac:dyDescent="0.25">
      <c r="B7389" t="str">
        <f>HYPERLINK("https://www.chemistwarehouse.com.au/buy/35508/Libra-Pads-Wings-Super-12"," Libra Pads Wings Super 12")</f>
        <v xml:space="preserve"> Libra Pads Wings Super 12</v>
      </c>
      <c r="C7389" t="s">
        <v>120</v>
      </c>
      <c r="D7389" t="s">
        <v>1749</v>
      </c>
    </row>
    <row r="7390" spans="1:4" x14ac:dyDescent="0.25">
      <c r="B7390" t="str">
        <f>HYPERLINK("https://www.chemistwarehouse.com.au/buy/54583/Libra-Liners-3-in1-Breathable-50"," Libra Liners 3-in1 Breathable 50")</f>
        <v xml:space="preserve"> Libra Liners 3-in1 Breathable 50</v>
      </c>
      <c r="C7390" t="s">
        <v>728</v>
      </c>
      <c r="D7390" t="s">
        <v>1750</v>
      </c>
    </row>
    <row r="7391" spans="1:4" x14ac:dyDescent="0.25">
      <c r="B7391" t="str">
        <f>HYPERLINK("https://www.chemistwarehouse.com.au/buy/74835/Libra-Goodnights-Pads-Ultra-Thin-20"," Libra Goodnights Pads Ultra Thin 20")</f>
        <v xml:space="preserve"> Libra Goodnights Pads Ultra Thin 20</v>
      </c>
      <c r="C7391" t="s">
        <v>240</v>
      </c>
      <c r="D7391" t="s">
        <v>1664</v>
      </c>
    </row>
    <row r="7392" spans="1:4" x14ac:dyDescent="0.25">
      <c r="B7392" t="str">
        <f>HYPERLINK("https://www.chemistwarehouse.com.au/buy/31185/Libra-Tampons-Mini-16"," Libra Tampons - Mini 16")</f>
        <v xml:space="preserve"> Libra Tampons - Mini 16</v>
      </c>
      <c r="C7392" t="s">
        <v>775</v>
      </c>
      <c r="D7392" t="s">
        <v>1751</v>
      </c>
    </row>
    <row r="7393" spans="2:4" x14ac:dyDescent="0.25">
      <c r="B7393" t="str">
        <f>HYPERLINK("https://www.chemistwarehouse.com.au/buy/44797/Libra-Pads-Goodnights-10"," Libra Pads Goodnights 10")</f>
        <v xml:space="preserve"> Libra Pads Goodnights 10</v>
      </c>
      <c r="C7393" t="s">
        <v>120</v>
      </c>
      <c r="D7393" t="s">
        <v>1749</v>
      </c>
    </row>
    <row r="7394" spans="2:4" x14ac:dyDescent="0.25">
      <c r="B7394" t="str">
        <f>HYPERLINK("https://www.chemistwarehouse.com.au/buy/31498/Libra-Pads-Ultra-Thins-with-Wings-Super-12"," Libra Pads Ultra Thins with Wings Super 12")</f>
        <v xml:space="preserve"> Libra Pads Ultra Thins with Wings Super 12</v>
      </c>
      <c r="C7394" t="s">
        <v>120</v>
      </c>
      <c r="D7394" t="s">
        <v>1749</v>
      </c>
    </row>
    <row r="7395" spans="2:4" x14ac:dyDescent="0.25">
      <c r="B7395" t="str">
        <f>HYPERLINK("https://www.chemistwarehouse.com.au/buy/79528/Libra-Liners-Dry-28"," Libra Liners Dry 28")</f>
        <v xml:space="preserve"> Libra Liners Dry 28</v>
      </c>
      <c r="C7395" t="s">
        <v>1488</v>
      </c>
      <c r="D7395" t="s">
        <v>597</v>
      </c>
    </row>
    <row r="7396" spans="2:4" x14ac:dyDescent="0.25">
      <c r="B7396" t="str">
        <f>HYPERLINK("https://www.chemistwarehouse.com.au/buy/59604/Libra-Pads-Invisible-with-Wings-Regular-Aloe-Vera-12"," Libra Pads Invisible with Wings Regular Aloe Vera 12")</f>
        <v xml:space="preserve"> Libra Pads Invisible with Wings Regular Aloe Vera 12</v>
      </c>
      <c r="C7396" t="s">
        <v>120</v>
      </c>
      <c r="D7396" t="s">
        <v>1749</v>
      </c>
    </row>
    <row r="7397" spans="2:4" x14ac:dyDescent="0.25">
      <c r="B7397" t="str">
        <f>HYPERLINK("https://www.chemistwarehouse.com.au/buy/31189/Libra-Tampons-Super-32"," Libra Tampons Super 32")</f>
        <v xml:space="preserve"> Libra Tampons Super 32</v>
      </c>
      <c r="C7397" t="s">
        <v>1752</v>
      </c>
      <c r="D7397" t="s">
        <v>1753</v>
      </c>
    </row>
    <row r="7398" spans="2:4" x14ac:dyDescent="0.25">
      <c r="B7398" t="str">
        <f>HYPERLINK("https://www.chemistwarehouse.com.au/buy/31188/Libra-Tampons-Super-16"," Libra Tampons Super 16")</f>
        <v xml:space="preserve"> Libra Tampons Super 16</v>
      </c>
      <c r="C7398" t="s">
        <v>775</v>
      </c>
      <c r="D7398" t="s">
        <v>588</v>
      </c>
    </row>
    <row r="7399" spans="2:4" x14ac:dyDescent="0.25">
      <c r="B7399" t="str">
        <f>HYPERLINK("https://www.chemistwarehouse.com.au/buy/54582/Libra-Liners-Original-Absorbent-50"," Libra Liners Original Absorbent 50")</f>
        <v xml:space="preserve"> Libra Liners Original Absorbent 50</v>
      </c>
      <c r="C7399" t="s">
        <v>728</v>
      </c>
      <c r="D7399" t="s">
        <v>1750</v>
      </c>
    </row>
    <row r="7400" spans="2:4" x14ac:dyDescent="0.25">
      <c r="B7400" t="str">
        <f>HYPERLINK("https://www.chemistwarehouse.com.au/buy/74836/Libra-Invisible-Pads-Regular-Wing-24"," Libra Invisible Pads Regular Wing 24")</f>
        <v xml:space="preserve"> Libra Invisible Pads Regular Wing 24</v>
      </c>
      <c r="C7400" t="s">
        <v>240</v>
      </c>
      <c r="D7400" t="s">
        <v>1664</v>
      </c>
    </row>
    <row r="7401" spans="2:4" x14ac:dyDescent="0.25">
      <c r="B7401" t="str">
        <f>HYPERLINK("https://www.chemistwarehouse.com.au/buy/62799/Libra-Double-Liners-So-Slim-25"," Libra Double Liners So Slim 25")</f>
        <v xml:space="preserve"> Libra Double Liners So Slim 25</v>
      </c>
      <c r="C7401" t="s">
        <v>1488</v>
      </c>
      <c r="D7401" t="s">
        <v>597</v>
      </c>
    </row>
    <row r="7402" spans="2:4" x14ac:dyDescent="0.25">
      <c r="B7402" t="str">
        <f>HYPERLINK("https://www.chemistwarehouse.com.au/buy/63583/Libra-Tampons-Regular-16-With-Applicator"," Libra Tampons Regular 16 With Applicator")</f>
        <v xml:space="preserve"> Libra Tampons Regular 16 With Applicator</v>
      </c>
      <c r="C7402" t="s">
        <v>120</v>
      </c>
      <c r="D7402" t="s">
        <v>1749</v>
      </c>
    </row>
    <row r="7403" spans="2:4" x14ac:dyDescent="0.25">
      <c r="B7403" t="str">
        <f>HYPERLINK("https://www.chemistwarehouse.com.au/buy/63584/Libra-Tampons-Super-16-With-Applicator"," Libra Tampons Super 16 With Applicator")</f>
        <v xml:space="preserve"> Libra Tampons Super 16 With Applicator</v>
      </c>
      <c r="C7403" t="s">
        <v>120</v>
      </c>
      <c r="D7403" t="s">
        <v>1749</v>
      </c>
    </row>
    <row r="7404" spans="2:4" x14ac:dyDescent="0.25">
      <c r="B7404" t="str">
        <f>HYPERLINK("https://www.chemistwarehouse.com.au/buy/72964/Libra-Liners-Dry-Long-39"," Libra Liners Dry Long 39")</f>
        <v xml:space="preserve"> Libra Liners Dry Long 39</v>
      </c>
      <c r="C7404" t="s">
        <v>1713</v>
      </c>
      <c r="D7404" t="s">
        <v>1754</v>
      </c>
    </row>
    <row r="7405" spans="2:4" x14ac:dyDescent="0.25">
      <c r="B7405" t="str">
        <f>HYPERLINK("https://www.chemistwarehouse.com.au/buy/77342/Libra-Goodnights-Invisible-Flex-10"," Libra Goodnights Invisible Flex 10")</f>
        <v xml:space="preserve"> Libra Goodnights Invisible Flex 10</v>
      </c>
      <c r="C7405" t="s">
        <v>120</v>
      </c>
      <c r="D7405" t="s">
        <v>1749</v>
      </c>
    </row>
    <row r="7406" spans="2:4" x14ac:dyDescent="0.25">
      <c r="B7406" t="str">
        <f>HYPERLINK("https://www.chemistwarehouse.com.au/buy/59615/Libra-Pads-Invisible-with-Wings-Super-Aloe-Vera-10"," Libra Pads Invisible with Wings Super Aloe Vera 10")</f>
        <v xml:space="preserve"> Libra Pads Invisible with Wings Super Aloe Vera 10</v>
      </c>
      <c r="C7406" t="s">
        <v>120</v>
      </c>
      <c r="D7406" t="s">
        <v>1749</v>
      </c>
    </row>
    <row r="7407" spans="2:4" x14ac:dyDescent="0.25">
      <c r="B7407" t="str">
        <f>HYPERLINK("https://www.chemistwarehouse.com.au/buy/31186/Libra-Tampons-Regular-16"," Libra Tampons Regular 16")</f>
        <v xml:space="preserve"> Libra Tampons Regular 16</v>
      </c>
      <c r="C7407" t="s">
        <v>775</v>
      </c>
      <c r="D7407" t="s">
        <v>1751</v>
      </c>
    </row>
    <row r="7408" spans="2:4" x14ac:dyDescent="0.25">
      <c r="B7408" t="str">
        <f>HYPERLINK("https://www.chemistwarehouse.com.au/buy/31193/Libra-Tampons-Tapered-Design-Super-16"," Libra Tampons Tapered Design Super 16")</f>
        <v xml:space="preserve"> Libra Tampons Tapered Design Super 16</v>
      </c>
      <c r="C7408" t="s">
        <v>775</v>
      </c>
      <c r="D7408" t="s">
        <v>150</v>
      </c>
    </row>
    <row r="7409" spans="1:4" x14ac:dyDescent="0.25">
      <c r="B7409" t="str">
        <f>HYPERLINK("https://www.chemistwarehouse.com.au/buy/31202/Libra-Pads-Ultra-Thin-Regular-16"," Libra Pads Ultra Thin Regular 16")</f>
        <v xml:space="preserve"> Libra Pads Ultra Thin Regular 16</v>
      </c>
      <c r="C7409" t="s">
        <v>120</v>
      </c>
      <c r="D7409" t="s">
        <v>1749</v>
      </c>
    </row>
    <row r="7410" spans="1:4" x14ac:dyDescent="0.25">
      <c r="A7410" t="s">
        <v>1755</v>
      </c>
    </row>
    <row r="7411" spans="1:4" x14ac:dyDescent="0.25">
      <c r="B7411" t="str">
        <f>HYPERLINK("https://www.chemistwarehouse.com.au/buy/63937/Moxie-Scanty-Panty-Liners-24-Pack"," Moxie Scanty Panty Liners 24 Pack")</f>
        <v xml:space="preserve"> Moxie Scanty Panty Liners 24 Pack</v>
      </c>
      <c r="C7411" t="s">
        <v>728</v>
      </c>
      <c r="D7411" t="s">
        <v>1340</v>
      </c>
    </row>
    <row r="7412" spans="1:4" x14ac:dyDescent="0.25">
      <c r="B7412" t="str">
        <f>HYPERLINK("https://www.chemistwarehouse.com.au/buy/63938/Moxie-Sleepovers-Pads-10-Pack"," Moxie Sleepovers Pads 10 Pack")</f>
        <v xml:space="preserve"> Moxie Sleepovers Pads 10 Pack</v>
      </c>
      <c r="C7412" t="s">
        <v>556</v>
      </c>
      <c r="D7412" t="s">
        <v>1388</v>
      </c>
    </row>
    <row r="7413" spans="1:4" x14ac:dyDescent="0.25">
      <c r="B7413" t="str">
        <f>HYPERLINK("https://www.chemistwarehouse.com.au/buy/63939/Moxie-Slender-Liners-24-Pack"," Moxie Slender Liners 24 Pack")</f>
        <v xml:space="preserve"> Moxie Slender Liners 24 Pack</v>
      </c>
      <c r="C7413" t="s">
        <v>483</v>
      </c>
      <c r="D7413" t="s">
        <v>1433</v>
      </c>
    </row>
    <row r="7414" spans="1:4" x14ac:dyDescent="0.25">
      <c r="B7414" t="str">
        <f>HYPERLINK("https://www.chemistwarehouse.com.au/buy/63948/Moxie-Tampons-Regular-16"," Moxie Tampons Regular 16")</f>
        <v xml:space="preserve"> Moxie Tampons Regular 16</v>
      </c>
      <c r="C7414" t="s">
        <v>556</v>
      </c>
      <c r="D7414" t="s">
        <v>1424</v>
      </c>
    </row>
    <row r="7415" spans="1:4" x14ac:dyDescent="0.25">
      <c r="B7415" t="str">
        <f>HYPERLINK("https://www.chemistwarehouse.com.au/buy/63949/Moxie-Tampons-Super-16-Pack"," Moxie Tampons Super 16 Pack")</f>
        <v xml:space="preserve"> Moxie Tampons Super 16 Pack</v>
      </c>
      <c r="C7415" t="s">
        <v>556</v>
      </c>
      <c r="D7415" t="s">
        <v>1424</v>
      </c>
    </row>
    <row r="7416" spans="1:4" x14ac:dyDescent="0.25">
      <c r="B7416" t="str">
        <f>HYPERLINK("https://www.chemistwarehouse.com.au/buy/66516/Moxie-Slenders-Pads-12-Pack"," Moxie Slenders Pads 12 Pack")</f>
        <v xml:space="preserve"> Moxie Slenders Pads 12 Pack</v>
      </c>
      <c r="C7416" t="s">
        <v>556</v>
      </c>
      <c r="D7416" t="s">
        <v>755</v>
      </c>
    </row>
    <row r="7417" spans="1:4" x14ac:dyDescent="0.25">
      <c r="B7417" t="str">
        <f>HYPERLINK("https://www.chemistwarehouse.com.au/buy/75912/Moxie-Mini-Tampons-16"," Moxie Mini Tampons 16")</f>
        <v xml:space="preserve"> Moxie Mini Tampons 16</v>
      </c>
      <c r="C7417" t="s">
        <v>238</v>
      </c>
      <c r="D7417" t="s">
        <v>1721</v>
      </c>
    </row>
    <row r="7418" spans="1:4" x14ac:dyDescent="0.25">
      <c r="A7418" t="s">
        <v>1756</v>
      </c>
    </row>
    <row r="7419" spans="1:4" x14ac:dyDescent="0.25">
      <c r="B7419" t="str">
        <f>HYPERLINK("https://www.chemistwarehouse.com.au/buy/64726/Stayfree-14-Ultra-Thin-Regular-Wings"," Stayfree 14 Ultra Thin Regular Wings")</f>
        <v xml:space="preserve"> Stayfree 14 Ultra Thin Regular Wings</v>
      </c>
      <c r="C7419" t="s">
        <v>146</v>
      </c>
      <c r="D7419" t="s">
        <v>318</v>
      </c>
    </row>
    <row r="7420" spans="1:4" x14ac:dyDescent="0.25">
      <c r="B7420" t="str">
        <f>HYPERLINK("https://www.chemistwarehouse.com.au/buy/66566/Stayfree-10-All-Night-Ultrathin-Wing"," Stayfree 10 All Night Ultrathin Wing ")</f>
        <v xml:space="preserve"> Stayfree 10 All Night Ultrathin Wing </v>
      </c>
      <c r="C7420" t="s">
        <v>146</v>
      </c>
      <c r="D7420" t="s">
        <v>318</v>
      </c>
    </row>
    <row r="7421" spans="1:4" x14ac:dyDescent="0.25">
      <c r="B7421" t="str">
        <f>HYPERLINK("https://www.chemistwarehouse.com.au/buy/66115/Stayfree-10-All-Night-Wings"," Stayfree 10 All Night Wings")</f>
        <v xml:space="preserve"> Stayfree 10 All Night Wings</v>
      </c>
      <c r="C7421" t="s">
        <v>146</v>
      </c>
      <c r="D7421" t="s">
        <v>312</v>
      </c>
    </row>
    <row r="7422" spans="1:4" x14ac:dyDescent="0.25">
      <c r="B7422" t="str">
        <f>HYPERLINK("https://www.chemistwarehouse.com.au/buy/66568/Stayfree-Ultra-Thin-Wings-Super-12-Pads"," Stayfree Ultra Thin Wings Super 12 Pads")</f>
        <v xml:space="preserve"> Stayfree Ultra Thin Wings Super 12 Pads</v>
      </c>
      <c r="C7422" t="s">
        <v>146</v>
      </c>
      <c r="D7422" t="s">
        <v>318</v>
      </c>
    </row>
    <row r="7423" spans="1:4" x14ac:dyDescent="0.25">
      <c r="B7423" t="str">
        <f>HYPERLINK("https://www.chemistwarehouse.com.au/buy/66374/Stayfree-20-Regular-Pads-No-Wings"," Stayfree 20 Regular Pads No Wings")</f>
        <v xml:space="preserve"> Stayfree 20 Regular Pads No Wings</v>
      </c>
      <c r="C7423" t="s">
        <v>556</v>
      </c>
      <c r="D7423" t="s">
        <v>371</v>
      </c>
    </row>
    <row r="7424" spans="1:4" x14ac:dyDescent="0.25">
      <c r="B7424" t="str">
        <f>HYPERLINK("https://www.chemistwarehouse.com.au/buy/66567/Stayfree-Ultra-Thin-Wings-Super-20-Pads"," Stayfree Ultra Thin Wings Super 20 Pads")</f>
        <v xml:space="preserve"> Stayfree Ultra Thin Wings Super 20 Pads</v>
      </c>
      <c r="C7424" t="s">
        <v>610</v>
      </c>
      <c r="D7424" t="s">
        <v>561</v>
      </c>
    </row>
    <row r="7425" spans="1:4" x14ac:dyDescent="0.25">
      <c r="B7425" t="str">
        <f>HYPERLINK("https://www.chemistwarehouse.com.au/buy/71845/Stayfree-Ultra-Thin-Pads-With-Wings-Regular-40-Pack"," Stayfree Ultra Thin Pads With Wings Regular 40 Pack")</f>
        <v xml:space="preserve"> Stayfree Ultra Thin Pads With Wings Regular 40 Pack</v>
      </c>
      <c r="C7425" t="s">
        <v>324</v>
      </c>
      <c r="D7425" t="s">
        <v>1388</v>
      </c>
    </row>
    <row r="7426" spans="1:4" x14ac:dyDescent="0.25">
      <c r="B7426" t="str">
        <f>HYPERLINK("https://www.chemistwarehouse.com.au/buy/67839/Stayfree-Maternity-Extra-Long-10-Pads"," Stayfree Maternity Extra Long 10 Pads")</f>
        <v xml:space="preserve"> Stayfree Maternity Extra Long 10 Pads</v>
      </c>
      <c r="C7426" t="s">
        <v>146</v>
      </c>
      <c r="D7426" t="s">
        <v>312</v>
      </c>
    </row>
    <row r="7427" spans="1:4" x14ac:dyDescent="0.25">
      <c r="B7427" t="str">
        <f>HYPERLINK("https://www.chemistwarehouse.com.au/buy/68887/Stayfree-Super-18-Pads"," Stayfree Super 18 Pads ")</f>
        <v xml:space="preserve"> Stayfree Super 18 Pads </v>
      </c>
      <c r="C7427" t="s">
        <v>556</v>
      </c>
      <c r="D7427" t="s">
        <v>371</v>
      </c>
    </row>
    <row r="7428" spans="1:4" x14ac:dyDescent="0.25">
      <c r="B7428" t="str">
        <f>HYPERLINK("https://www.chemistwarehouse.com.au/buy/37871/Stayfree-Super-Wing-12"," Stayfree Super Wing 12")</f>
        <v xml:space="preserve"> Stayfree Super Wing 12</v>
      </c>
      <c r="C7428" t="s">
        <v>146</v>
      </c>
      <c r="D7428" t="s">
        <v>312</v>
      </c>
    </row>
    <row r="7429" spans="1:4" x14ac:dyDescent="0.25">
      <c r="B7429" t="str">
        <f>HYPERLINK("https://www.chemistwarehouse.com.au/buy/53355/Stayfree-14-Regular-Wing"," Stayfree 14 Regular Wing")</f>
        <v xml:space="preserve"> Stayfree 14 Regular Wing</v>
      </c>
      <c r="C7429" t="s">
        <v>146</v>
      </c>
      <c r="D7429" t="s">
        <v>312</v>
      </c>
    </row>
    <row r="7430" spans="1:4" x14ac:dyDescent="0.25">
      <c r="B7430" t="str">
        <f>HYPERLINK("https://www.chemistwarehouse.com.au/buy/31250/Stayfree-UltraThin-Regular-Wings-20"," Stayfree UltraThin Regular Wings 20")</f>
        <v xml:space="preserve"> Stayfree UltraThin Regular Wings 20</v>
      </c>
      <c r="C7430" t="s">
        <v>610</v>
      </c>
      <c r="D7430" t="s">
        <v>611</v>
      </c>
    </row>
    <row r="7431" spans="1:4" x14ac:dyDescent="0.25">
      <c r="A7431" t="s">
        <v>1757</v>
      </c>
    </row>
    <row r="7432" spans="1:4" x14ac:dyDescent="0.25">
      <c r="B7432" t="str">
        <f>HYPERLINK("https://www.chemistwarehouse.com.au/buy/74952/Femfresh-Daily-Wash-250ml"," Femfresh Daily Wash 250ml")</f>
        <v xml:space="preserve"> Femfresh Daily Wash 250ml</v>
      </c>
      <c r="C7432" t="s">
        <v>116</v>
      </c>
      <c r="D7432" t="s">
        <v>1230</v>
      </c>
    </row>
    <row r="7433" spans="1:4" x14ac:dyDescent="0.25">
      <c r="B7433" t="str">
        <f>HYPERLINK("https://www.chemistwarehouse.com.au/buy/74953/Femfresh-Deodorising-Wash-250ml"," Femfresh Deodorising Wash 250ml")</f>
        <v xml:space="preserve"> Femfresh Deodorising Wash 250ml</v>
      </c>
      <c r="C7433" t="s">
        <v>116</v>
      </c>
      <c r="D7433" t="s">
        <v>1230</v>
      </c>
    </row>
    <row r="7434" spans="1:4" x14ac:dyDescent="0.25">
      <c r="B7434" t="str">
        <f>HYPERLINK("https://www.chemistwarehouse.com.au/buy/81265/Femfresh-Pocket-Wipes-10-Travel-Pack"," Femfresh Pocket Wipes 10 Travel Pack")</f>
        <v xml:space="preserve"> Femfresh Pocket Wipes 10 Travel Pack</v>
      </c>
      <c r="C7434" t="s">
        <v>635</v>
      </c>
      <c r="D7434">
        <v>0</v>
      </c>
    </row>
    <row r="7435" spans="1:4" x14ac:dyDescent="0.25">
      <c r="B7435" t="str">
        <f>HYPERLINK("https://www.chemistwarehouse.com.au/buy/53040/Femfresh-Talc-Free-Powder-100G"," Femfresh Talc Free Powder 100G")</f>
        <v xml:space="preserve"> Femfresh Talc Free Powder 100G</v>
      </c>
      <c r="C7435" t="s">
        <v>375</v>
      </c>
      <c r="D7435" t="s">
        <v>1332</v>
      </c>
    </row>
    <row r="7436" spans="1:4" x14ac:dyDescent="0.25">
      <c r="B7436" t="str">
        <f>HYPERLINK("https://www.chemistwarehouse.com.au/buy/53031/Femfresh-Feminine-Wipes-20"," Femfresh Feminine Wipes 20")</f>
        <v xml:space="preserve"> Femfresh Feminine Wipes 20</v>
      </c>
      <c r="C7436" t="s">
        <v>116</v>
      </c>
      <c r="D7436" t="s">
        <v>731</v>
      </c>
    </row>
    <row r="7437" spans="1:4" x14ac:dyDescent="0.25">
      <c r="B7437" t="str">
        <f>HYPERLINK("https://www.chemistwarehouse.com.au/buy/72237/Vagisil-Feminine-Pouch-20-Wipes"," Vagisil Feminine Pouch 20 Wipes ")</f>
        <v xml:space="preserve"> Vagisil Feminine Pouch 20 Wipes </v>
      </c>
      <c r="C7437" t="s">
        <v>1746</v>
      </c>
      <c r="D7437" t="s">
        <v>785</v>
      </c>
    </row>
    <row r="7438" spans="1:4" x14ac:dyDescent="0.25">
      <c r="B7438" t="str">
        <f>HYPERLINK("https://www.chemistwarehouse.com.au/buy/7942/Summers-Eve-Feminine-Powder-198g"," Summers Eve Feminine Powder 198g")</f>
        <v xml:space="preserve"> Summers Eve Feminine Powder 198g</v>
      </c>
      <c r="C7438" t="s">
        <v>116</v>
      </c>
      <c r="D7438" t="s">
        <v>371</v>
      </c>
    </row>
    <row r="7439" spans="1:4" x14ac:dyDescent="0.25">
      <c r="B7439" t="str">
        <f>HYPERLINK("https://www.chemistwarehouse.com.au/buy/8245/Vagisil-Feminine-Itch-Cream-25g"," Vagisil Feminine Itch Cream 25g")</f>
        <v xml:space="preserve"> Vagisil Feminine Itch Cream 25g</v>
      </c>
      <c r="C7439" t="s">
        <v>1618</v>
      </c>
      <c r="D7439">
        <v>0</v>
      </c>
    </row>
    <row r="7440" spans="1:4" x14ac:dyDescent="0.25">
      <c r="B7440" t="str">
        <f>HYPERLINK("https://www.chemistwarehouse.com.au/buy/8246/Vagisil-Feminine-Powder-100g"," Vagisil Feminine Powder 100g")</f>
        <v xml:space="preserve"> Vagisil Feminine Powder 100g</v>
      </c>
      <c r="C7440" t="s">
        <v>1285</v>
      </c>
      <c r="D7440" t="s">
        <v>312</v>
      </c>
    </row>
    <row r="7441" spans="1:4" x14ac:dyDescent="0.25">
      <c r="B7441" t="str">
        <f>HYPERLINK("https://www.chemistwarehouse.com.au/buy/52010/Vagisil-Intimate-Moisturising-Lubricant-60mL"," Vagisil Intimate Moisturising Lubricant 60mL")</f>
        <v xml:space="preserve"> Vagisil Intimate Moisturising Lubricant 60mL</v>
      </c>
      <c r="C7441" t="s">
        <v>1215</v>
      </c>
      <c r="D7441" t="s">
        <v>805</v>
      </c>
    </row>
    <row r="7442" spans="1:4" x14ac:dyDescent="0.25">
      <c r="B7442" t="str">
        <f>HYPERLINK("https://www.chemistwarehouse.com.au/buy/52225/Canesoral-Thrush-Treatment-Duo-Fluconazole-150mg-Capsule-amp-Clotrimazole-Cream"," Canesoral Thrush Treatment Duo Fluconazole 150mg Capsule &amp; Clotrimazole Cream")</f>
        <v xml:space="preserve"> Canesoral Thrush Treatment Duo Fluconazole 150mg Capsule &amp; Clotrimazole Cream</v>
      </c>
      <c r="C7442" t="s">
        <v>316</v>
      </c>
      <c r="D7442">
        <v>0</v>
      </c>
    </row>
    <row r="7443" spans="1:4" x14ac:dyDescent="0.25">
      <c r="B7443" t="str">
        <f>HYPERLINK("https://www.chemistwarehouse.com.au/buy/79981/Vagisil-Intimate-Wash-pH-Plus-240ml"," Vagisil Intimate Wash pH Plus 240ml")</f>
        <v xml:space="preserve"> Vagisil Intimate Wash pH Plus 240ml</v>
      </c>
      <c r="C7443" t="s">
        <v>174</v>
      </c>
      <c r="D7443" t="s">
        <v>612</v>
      </c>
    </row>
    <row r="7444" spans="1:4" x14ac:dyDescent="0.25">
      <c r="B7444" t="str">
        <f>HYPERLINK("https://www.chemistwarehouse.com.au/buy/79516/Vagisil-Anti-Itch-Medicated-12-Wipes"," Vagisil Anti Itch Medicated 12 Wipes")</f>
        <v xml:space="preserve"> Vagisil Anti Itch Medicated 12 Wipes</v>
      </c>
      <c r="C7444" t="s">
        <v>775</v>
      </c>
      <c r="D7444" t="s">
        <v>1086</v>
      </c>
    </row>
    <row r="7445" spans="1:4" x14ac:dyDescent="0.25">
      <c r="B7445" t="str">
        <f>HYPERLINK("https://www.chemistwarehouse.com.au/buy/79517/Vagisil-ProHydrate-External-Hydrating-Gel-30g"," Vagisil ProHydrate External Hydrating Gel 30g")</f>
        <v xml:space="preserve"> Vagisil ProHydrate External Hydrating Gel 30g</v>
      </c>
      <c r="C7445" t="s">
        <v>92</v>
      </c>
      <c r="D7445" t="s">
        <v>115</v>
      </c>
    </row>
    <row r="7446" spans="1:4" x14ac:dyDescent="0.25">
      <c r="B7446" t="str">
        <f>HYPERLINK("https://www.chemistwarehouse.com.au/buy/79518/Vagisil-ProHydrate-Internal-Hydrating-Gel-6-x-5g"," Vagisil ProHydrate Internal Hydrating Gel 6 x 5g")</f>
        <v xml:space="preserve"> Vagisil ProHydrate Internal Hydrating Gel 6 x 5g</v>
      </c>
      <c r="C7446" t="s">
        <v>269</v>
      </c>
      <c r="D7446" t="s">
        <v>206</v>
      </c>
    </row>
    <row r="7447" spans="1:4" x14ac:dyDescent="0.25">
      <c r="B7447" t="str">
        <f>HYPERLINK("https://www.chemistwarehouse.com.au/buy/79980/Vagisil-Intimate-Wash-Fresh-Plus-240ml"," Vagisil Intimate Wash Fresh Plus 240ml")</f>
        <v xml:space="preserve"> Vagisil Intimate Wash Fresh Plus 240ml</v>
      </c>
      <c r="C7447" t="s">
        <v>174</v>
      </c>
      <c r="D7447" t="s">
        <v>612</v>
      </c>
    </row>
    <row r="7448" spans="1:4" x14ac:dyDescent="0.25">
      <c r="B7448" t="str">
        <f>HYPERLINK("https://www.chemistwarehouse.com.au/buy/82324/The-DivaCup-Menstrual-Cup-Model-1"," The DivaCup Menstrual Cup Model 1")</f>
        <v xml:space="preserve"> The DivaCup Menstrual Cup Model 1</v>
      </c>
      <c r="C7448" t="s">
        <v>276</v>
      </c>
      <c r="D7448" t="s">
        <v>160</v>
      </c>
    </row>
    <row r="7449" spans="1:4" x14ac:dyDescent="0.25">
      <c r="B7449" t="str">
        <f>HYPERLINK("https://www.chemistwarehouse.com.au/buy/82325/The-DivaCup-Menstrual-Cup-Model-2"," The DivaCup Menstrual Cup Model 2")</f>
        <v xml:space="preserve"> The DivaCup Menstrual Cup Model 2</v>
      </c>
      <c r="C7449" t="s">
        <v>276</v>
      </c>
      <c r="D7449" t="s">
        <v>160</v>
      </c>
    </row>
    <row r="7450" spans="1:4" x14ac:dyDescent="0.25">
      <c r="B7450" t="str">
        <f>HYPERLINK("https://www.chemistwarehouse.com.au/buy/82823/After-Dark-Intimate-Wipes-26-Pack-Online-Only"," After Dark Intimate Wipes 26 Pack Online Only")</f>
        <v xml:space="preserve"> After Dark Intimate Wipes 26 Pack Online Only</v>
      </c>
      <c r="C7450" t="s">
        <v>430</v>
      </c>
      <c r="D7450" t="s">
        <v>754</v>
      </c>
    </row>
    <row r="7451" spans="1:4" x14ac:dyDescent="0.25">
      <c r="B7451" t="str">
        <f>HYPERLINK("https://www.chemistwarehouse.com.au/buy/52773/Summers-Eve-Feminine-Cleansing-Wipes-Normal-16"," Summers Eve Feminine Cleansing Wipes Normal 16")</f>
        <v xml:space="preserve"> Summers Eve Feminine Cleansing Wipes Normal 16</v>
      </c>
      <c r="C7451" t="s">
        <v>116</v>
      </c>
      <c r="D7451" t="s">
        <v>371</v>
      </c>
    </row>
    <row r="7452" spans="1:4" x14ac:dyDescent="0.25">
      <c r="B7452" t="str">
        <f>HYPERLINK("https://www.chemistwarehouse.com.au/buy/57469/Canesten-Vaginal-1-x-500mg-Pessary-1-Day-Treatment-Cream"," Canesten Vaginal 1 x 500mg Pessary 1 Day Treatment + Cream")</f>
        <v xml:space="preserve"> Canesten Vaginal 1 x 500mg Pessary 1 Day Treatment + Cream</v>
      </c>
      <c r="C7452" t="s">
        <v>8</v>
      </c>
      <c r="D7452">
        <v>0</v>
      </c>
    </row>
    <row r="7453" spans="1:4" x14ac:dyDescent="0.25">
      <c r="B7453" t="str">
        <f>HYPERLINK("https://www.chemistwarehouse.com.au/buy/57471/Canesten-Vaginal-1x500mg-Pessary-1-Day-Treatment"," Canesten Vaginal 1x500mg Pessary 1 Day Treatment")</f>
        <v xml:space="preserve"> Canesten Vaginal 1x500mg Pessary 1 Day Treatment</v>
      </c>
      <c r="C7453" t="s">
        <v>58</v>
      </c>
      <c r="D7453">
        <v>0</v>
      </c>
    </row>
    <row r="7454" spans="1:4" x14ac:dyDescent="0.25">
      <c r="B7454" t="str">
        <f>HYPERLINK("https://www.chemistwarehouse.com.au/buy/59144/Summers-Eve-Feminine-Wash-Sensitive-237mL"," Summers Eve Feminine Wash Sensitive 237mL")</f>
        <v xml:space="preserve"> Summers Eve Feminine Wash Sensitive 237mL</v>
      </c>
      <c r="C7454" t="s">
        <v>116</v>
      </c>
      <c r="D7454" t="s">
        <v>371</v>
      </c>
    </row>
    <row r="7455" spans="1:4" x14ac:dyDescent="0.25">
      <c r="B7455" t="str">
        <f>HYPERLINK("https://www.chemistwarehouse.com.au/buy/59145/Summers-Eve-Vinegar-amp-Water-Douche-133ml"," Summers Eve Vinegar &amp; Water Douche 133ml")</f>
        <v xml:space="preserve"> Summers Eve Vinegar &amp; Water Douche 133ml</v>
      </c>
      <c r="C7455" t="s">
        <v>116</v>
      </c>
      <c r="D7455" t="s">
        <v>371</v>
      </c>
    </row>
    <row r="7456" spans="1:4" x14ac:dyDescent="0.25">
      <c r="A7456" t="s">
        <v>1758</v>
      </c>
    </row>
    <row r="7457" spans="1:4" x14ac:dyDescent="0.25">
      <c r="B7457" t="str">
        <f>HYPERLINK("https://www.chemistwarehouse.com.au/buy/80625/Tampax-Tampons-Regular-20-Pack"," Tampax Tampons Regular 20 Pack")</f>
        <v xml:space="preserve"> Tampax Tampons Regular 20 Pack</v>
      </c>
      <c r="C7457" t="s">
        <v>116</v>
      </c>
      <c r="D7457" t="s">
        <v>727</v>
      </c>
    </row>
    <row r="7458" spans="1:4" x14ac:dyDescent="0.25">
      <c r="B7458" t="str">
        <f>HYPERLINK("https://www.chemistwarehouse.com.au/buy/80626/Tampax-Tampons-Super-20-Pack"," Tampax Tampons Super 20 Pack")</f>
        <v xml:space="preserve"> Tampax Tampons Super 20 Pack</v>
      </c>
      <c r="C7458" t="s">
        <v>92</v>
      </c>
      <c r="D7458" t="s">
        <v>725</v>
      </c>
    </row>
    <row r="7459" spans="1:4" x14ac:dyDescent="0.25">
      <c r="A7459" t="s">
        <v>1759</v>
      </c>
    </row>
    <row r="7460" spans="1:4" x14ac:dyDescent="0.25">
      <c r="B7460" t="str">
        <f>HYPERLINK("https://www.chemistwarehouse.com.au/buy/80118/TOM-Organic-Ultra-Thin-Pads-Super-10-Pack"," TOM Organic Ultra Thin Pads Super 10 Pack")</f>
        <v xml:space="preserve"> TOM Organic Ultra Thin Pads Super 10 Pack</v>
      </c>
      <c r="C7460" t="s">
        <v>92</v>
      </c>
      <c r="D7460" t="s">
        <v>147</v>
      </c>
    </row>
    <row r="7461" spans="1:4" x14ac:dyDescent="0.25">
      <c r="B7461" t="str">
        <f>HYPERLINK("https://www.chemistwarehouse.com.au/buy/80112/TOM-Organic-Maternity-Pads-12-Pack"," TOM Organic Maternity Pads 12 Pack")</f>
        <v xml:space="preserve"> TOM Organic Maternity Pads 12 Pack</v>
      </c>
      <c r="C7461" t="s">
        <v>103</v>
      </c>
      <c r="D7461" t="s">
        <v>147</v>
      </c>
    </row>
    <row r="7462" spans="1:4" x14ac:dyDescent="0.25">
      <c r="B7462" t="str">
        <f>HYPERLINK("https://www.chemistwarehouse.com.au/buy/80114/TOM-Organic-Tampons-Regular-16-Pack"," TOM Organic Tampons Regular 16 Pack")</f>
        <v xml:space="preserve"> TOM Organic Tampons Regular 16 Pack</v>
      </c>
      <c r="C7462" t="s">
        <v>92</v>
      </c>
      <c r="D7462" t="s">
        <v>147</v>
      </c>
    </row>
    <row r="7463" spans="1:4" x14ac:dyDescent="0.25">
      <c r="B7463" t="str">
        <f>HYPERLINK("https://www.chemistwarehouse.com.au/buy/80115/TOM-Organic-Tampons-Super-14-Pack"," TOM Organic Tampons Super 14 Pack")</f>
        <v xml:space="preserve"> TOM Organic Tampons Super 14 Pack</v>
      </c>
      <c r="C7463" t="s">
        <v>92</v>
      </c>
      <c r="D7463" t="s">
        <v>147</v>
      </c>
    </row>
    <row r="7464" spans="1:4" x14ac:dyDescent="0.25">
      <c r="B7464" t="str">
        <f>HYPERLINK("https://www.chemistwarehouse.com.au/buy/80116/TOM-Organic-Ultra-Thin-Liners-Wrapped-26-Pack"," TOM Organic Ultra Thin Liners Wrapped 26 Pack")</f>
        <v xml:space="preserve"> TOM Organic Ultra Thin Liners Wrapped 26 Pack</v>
      </c>
      <c r="C7464" t="s">
        <v>92</v>
      </c>
      <c r="D7464" t="s">
        <v>147</v>
      </c>
    </row>
    <row r="7465" spans="1:4" x14ac:dyDescent="0.25">
      <c r="B7465" t="str">
        <f>HYPERLINK("https://www.chemistwarehouse.com.au/buy/80117/TOM-Organic-Ultra-Thin-Pads-Regular-10-Pack"," TOM Organic Ultra Thin Pads Regular 10 Pack")</f>
        <v xml:space="preserve"> TOM Organic Ultra Thin Pads Regular 10 Pack</v>
      </c>
      <c r="C7465" t="s">
        <v>92</v>
      </c>
      <c r="D7465" t="s">
        <v>147</v>
      </c>
    </row>
    <row r="7466" spans="1:4" x14ac:dyDescent="0.25">
      <c r="B7466" t="str">
        <f>HYPERLINK("https://www.chemistwarehouse.com.au/buy/80113/TOM-Organic-Tampons-Mini-16-Pack"," TOM Organic Tampons Mini 16 Pack")</f>
        <v xml:space="preserve"> TOM Organic Tampons Mini 16 Pack</v>
      </c>
      <c r="C7466" t="s">
        <v>92</v>
      </c>
      <c r="D7466" t="s">
        <v>147</v>
      </c>
    </row>
    <row r="7467" spans="1:4" x14ac:dyDescent="0.25">
      <c r="A7467" t="s">
        <v>1760</v>
      </c>
    </row>
    <row r="7468" spans="1:4" x14ac:dyDescent="0.25">
      <c r="B7468" t="str">
        <f>HYPERLINK("https://www.chemistwarehouse.com.au/buy/81274/Multi-Gyn-FemiWash-100ml-Online-Only"," Multi-Gyn FemiWash 100ml Online Only")</f>
        <v xml:space="preserve"> Multi-Gyn FemiWash 100ml Online Only</v>
      </c>
      <c r="C7468" t="s">
        <v>45</v>
      </c>
      <c r="D7468" t="s">
        <v>165</v>
      </c>
    </row>
    <row r="7469" spans="1:4" x14ac:dyDescent="0.25">
      <c r="B7469" t="str">
        <f>HYPERLINK("https://www.chemistwarehouse.com.au/buy/81275/Multi-Gyn-FloraPlus-5-Pack-Online-Only"," Multi-Gyn FloraPlus 5 Pack Online Only")</f>
        <v xml:space="preserve"> Multi-Gyn FloraPlus 5 Pack Online Only</v>
      </c>
      <c r="C7469" t="s">
        <v>297</v>
      </c>
      <c r="D7469" t="s">
        <v>157</v>
      </c>
    </row>
    <row r="7470" spans="1:4" x14ac:dyDescent="0.25">
      <c r="B7470" t="str">
        <f>HYPERLINK("https://www.chemistwarehouse.com.au/buy/81273/Multi-Gyn-ActiGel-50ml-Online-Only"," Multi-Gyn ActiGel 50ml Online Only")</f>
        <v xml:space="preserve"> Multi-Gyn ActiGel 50ml Online Only</v>
      </c>
      <c r="C7470" t="s">
        <v>10</v>
      </c>
      <c r="D7470" t="s">
        <v>160</v>
      </c>
    </row>
    <row r="7471" spans="1:4" x14ac:dyDescent="0.25">
      <c r="A7471" t="s">
        <v>1761</v>
      </c>
    </row>
    <row r="7472" spans="1:4" x14ac:dyDescent="0.25">
      <c r="B7472" t="str">
        <f>HYPERLINK("https://www.chemistwarehouse.com.au/buy/73580/Comfy-Feet-Corn-Cushions-9-Pieces"," Comfy Feet Corn Cushions 9 Pieces")</f>
        <v xml:space="preserve"> Comfy Feet Corn Cushions 9 Pieces</v>
      </c>
      <c r="C7472" t="s">
        <v>146</v>
      </c>
      <c r="D7472">
        <v>0</v>
      </c>
    </row>
    <row r="7473" spans="2:4" x14ac:dyDescent="0.25">
      <c r="B7473" t="str">
        <f>HYPERLINK("https://www.chemistwarehouse.com.au/buy/73582/Comfy-Feet-Heel-Shields"," Comfy Feet Heel Shields")</f>
        <v xml:space="preserve"> Comfy Feet Heel Shields</v>
      </c>
      <c r="C7473" t="s">
        <v>146</v>
      </c>
      <c r="D7473">
        <v>0</v>
      </c>
    </row>
    <row r="7474" spans="2:4" x14ac:dyDescent="0.25">
      <c r="B7474" t="str">
        <f>HYPERLINK("https://www.chemistwarehouse.com.au/buy/73589/Comfy-Feet-Long-Shoe-Horn"," Comfy Feet Long Shoe Horn")</f>
        <v xml:space="preserve"> Comfy Feet Long Shoe Horn</v>
      </c>
      <c r="C7474" t="s">
        <v>146</v>
      </c>
      <c r="D7474">
        <v>0</v>
      </c>
    </row>
    <row r="7475" spans="2:4" x14ac:dyDescent="0.25">
      <c r="B7475" t="str">
        <f>HYPERLINK("https://www.chemistwarehouse.com.au/buy/73593/Comfy-Feet-Shoe-Horn"," Comfy Feet Shoe Horn")</f>
        <v xml:space="preserve"> Comfy Feet Shoe Horn</v>
      </c>
      <c r="C7475" t="s">
        <v>146</v>
      </c>
      <c r="D7475">
        <v>0</v>
      </c>
    </row>
    <row r="7476" spans="2:4" x14ac:dyDescent="0.25">
      <c r="B7476" t="str">
        <f>HYPERLINK("https://www.chemistwarehouse.com.au/buy/73594/Comfy-Feet-Sore-Spots"," Comfy Feet Sore Spots")</f>
        <v xml:space="preserve"> Comfy Feet Sore Spots</v>
      </c>
      <c r="C7476" t="s">
        <v>146</v>
      </c>
      <c r="D7476">
        <v>0</v>
      </c>
    </row>
    <row r="7477" spans="2:4" x14ac:dyDescent="0.25">
      <c r="B7477" t="str">
        <f>HYPERLINK("https://www.chemistwarehouse.com.au/buy/73595/Comfy-Feet-Suede-Heel-Grips"," Comfy Feet Suede Heel Grips")</f>
        <v xml:space="preserve"> Comfy Feet Suede Heel Grips</v>
      </c>
      <c r="C7477" t="s">
        <v>146</v>
      </c>
      <c r="D7477">
        <v>0</v>
      </c>
    </row>
    <row r="7478" spans="2:4" x14ac:dyDescent="0.25">
      <c r="B7478" t="str">
        <f>HYPERLINK("https://www.chemistwarehouse.com.au/buy/74579/Comfy-Feet-Adhesive-Moleskin-Strip"," Comfy Feet Adhesive Moleskin Strip")</f>
        <v xml:space="preserve"> Comfy Feet Adhesive Moleskin Strip</v>
      </c>
      <c r="C7478" t="s">
        <v>146</v>
      </c>
      <c r="D7478">
        <v>0</v>
      </c>
    </row>
    <row r="7479" spans="2:4" x14ac:dyDescent="0.25">
      <c r="B7479" t="str">
        <f>HYPERLINK("https://www.chemistwarehouse.com.au/buy/74580/Comfy-Feet-Ball-of-foot"," Comfy Feet Ball of foot")</f>
        <v xml:space="preserve"> Comfy Feet Ball of foot</v>
      </c>
      <c r="C7479" t="s">
        <v>146</v>
      </c>
      <c r="D7479">
        <v>0</v>
      </c>
    </row>
    <row r="7480" spans="2:4" x14ac:dyDescent="0.25">
      <c r="B7480" t="str">
        <f>HYPERLINK("https://www.chemistwarehouse.com.au/buy/74581/Comfy-Feet-Callus-Cushions-4-Pieces"," Comfy Feet Callus Cushions 4 Pieces")</f>
        <v xml:space="preserve"> Comfy Feet Callus Cushions 4 Pieces</v>
      </c>
      <c r="C7480" t="s">
        <v>146</v>
      </c>
      <c r="D7480">
        <v>0</v>
      </c>
    </row>
    <row r="7481" spans="2:4" x14ac:dyDescent="0.25">
      <c r="B7481" t="str">
        <f>HYPERLINK("https://www.chemistwarehouse.com.au/buy/73581/Comfy-Feet-Gel-Insoles"," Comfy Feet Gel Insoles")</f>
        <v xml:space="preserve"> Comfy Feet Gel Insoles</v>
      </c>
      <c r="C7481" t="s">
        <v>146</v>
      </c>
      <c r="D7481">
        <v>0</v>
      </c>
    </row>
    <row r="7482" spans="2:4" x14ac:dyDescent="0.25">
      <c r="B7482" t="str">
        <f>HYPERLINK("https://www.chemistwarehouse.com.au/buy/73590/Comfy-Feet-Magnet-Insoles-Men-40-46"," Comfy Feet Magnet Insoles Men 40-46")</f>
        <v xml:space="preserve"> Comfy Feet Magnet Insoles Men 40-46</v>
      </c>
      <c r="C7482" t="s">
        <v>556</v>
      </c>
      <c r="D7482">
        <v>0</v>
      </c>
    </row>
    <row r="7483" spans="2:4" x14ac:dyDescent="0.25">
      <c r="B7483" t="str">
        <f>HYPERLINK("https://www.chemistwarehouse.com.au/buy/73591/Comfy-Feet-Magnet-Insoles-Women-Size-36-41"," Comfy Feet Magnet Insoles Women Size 36-41")</f>
        <v xml:space="preserve"> Comfy Feet Magnet Insoles Women Size 36-41</v>
      </c>
      <c r="C7483" t="s">
        <v>556</v>
      </c>
      <c r="D7483">
        <v>0</v>
      </c>
    </row>
    <row r="7484" spans="2:4" x14ac:dyDescent="0.25">
      <c r="B7484" t="str">
        <f>HYPERLINK("https://www.chemistwarehouse.com.au/buy/73592/Comfy-Feet-Memory-Foam-Insoles"," Comfy Feet Memory Foam Insoles")</f>
        <v xml:space="preserve"> Comfy Feet Memory Foam Insoles</v>
      </c>
      <c r="C7484" t="s">
        <v>146</v>
      </c>
      <c r="D7484">
        <v>0</v>
      </c>
    </row>
    <row r="7485" spans="2:4" x14ac:dyDescent="0.25">
      <c r="B7485" t="str">
        <f>HYPERLINK("https://www.chemistwarehouse.com.au/buy/73583/Comfy-Feet-Insole-for-Hi-Heels-Black"," Comfy Feet Insole for Hi Heels Black")</f>
        <v xml:space="preserve"> Comfy Feet Insole for Hi Heels Black</v>
      </c>
      <c r="C7485" t="s">
        <v>146</v>
      </c>
      <c r="D7485">
        <v>0</v>
      </c>
    </row>
    <row r="7486" spans="2:4" x14ac:dyDescent="0.25">
      <c r="B7486" t="str">
        <f>HYPERLINK("https://www.chemistwarehouse.com.au/buy/73584/Comfy-Feet-Insole-for-Hi-Heels-Leopard"," Comfy Feet Insole for Hi Heels Leopard")</f>
        <v xml:space="preserve"> Comfy Feet Insole for Hi Heels Leopard</v>
      </c>
      <c r="C7486" t="s">
        <v>146</v>
      </c>
      <c r="D7486">
        <v>0</v>
      </c>
    </row>
    <row r="7487" spans="2:4" x14ac:dyDescent="0.25">
      <c r="B7487" t="str">
        <f>HYPERLINK("https://www.chemistwarehouse.com.au/buy/73585/Comfy-Feet-Insole-for-Hi-Heels-Nude"," Comfy Feet Insole for Hi Heels Nude")</f>
        <v xml:space="preserve"> Comfy Feet Insole for Hi Heels Nude</v>
      </c>
      <c r="C7487" t="s">
        <v>146</v>
      </c>
      <c r="D7487">
        <v>0</v>
      </c>
    </row>
    <row r="7488" spans="2:4" x14ac:dyDescent="0.25">
      <c r="B7488" t="str">
        <f>HYPERLINK("https://www.chemistwarehouse.com.au/buy/73586/Comfy-Feet-Insoles-Soft-Lambswool"," Comfy Feet Insoles Soft Lambswool")</f>
        <v xml:space="preserve"> Comfy Feet Insoles Soft Lambswool</v>
      </c>
      <c r="C7488" t="s">
        <v>146</v>
      </c>
      <c r="D7488">
        <v>0</v>
      </c>
    </row>
    <row r="7489" spans="1:4" x14ac:dyDescent="0.25">
      <c r="B7489" t="str">
        <f>HYPERLINK("https://www.chemistwarehouse.com.au/buy/73587/Comfy-Feet-Liquid-Gel-Insoles-Men-Size-40-46"," Comfy Feet Liquid Gel Insoles Men Size 40-46")</f>
        <v xml:space="preserve"> Comfy Feet Liquid Gel Insoles Men Size 40-46</v>
      </c>
      <c r="C7489" t="s">
        <v>556</v>
      </c>
      <c r="D7489">
        <v>0</v>
      </c>
    </row>
    <row r="7490" spans="1:4" x14ac:dyDescent="0.25">
      <c r="B7490" t="str">
        <f>HYPERLINK("https://www.chemistwarehouse.com.au/buy/73588/Comfy-Feet-Liquid-Gel-Insoles-Women-Size-36-41"," Comfy Feet Liquid Gel Insoles Women Size 36-41")</f>
        <v xml:space="preserve"> Comfy Feet Liquid Gel Insoles Women Size 36-41</v>
      </c>
      <c r="C7490" t="s">
        <v>556</v>
      </c>
      <c r="D7490">
        <v>0</v>
      </c>
    </row>
    <row r="7491" spans="1:4" x14ac:dyDescent="0.25">
      <c r="A7491" t="s">
        <v>1762</v>
      </c>
    </row>
    <row r="7492" spans="1:4" x14ac:dyDescent="0.25">
      <c r="B7492" t="str">
        <f>HYPERLINK("https://www.chemistwarehouse.com.au/buy/48107/Ego-QV-Heel-Balm-100g"," Ego QV Heel Balm 100g")</f>
        <v xml:space="preserve"> Ego QV Heel Balm 100g</v>
      </c>
      <c r="C7492" t="s">
        <v>98</v>
      </c>
      <c r="D7492" t="s">
        <v>104</v>
      </c>
    </row>
    <row r="7493" spans="1:4" x14ac:dyDescent="0.25">
      <c r="B7493" t="str">
        <f>HYPERLINK("https://www.chemistwarehouse.com.au/buy/53323/Heros-Chiropody-Sponge"," Heros Chiropody Sponge ")</f>
        <v xml:space="preserve"> Heros Chiropody Sponge </v>
      </c>
      <c r="C7493" t="s">
        <v>691</v>
      </c>
      <c r="D7493" t="s">
        <v>754</v>
      </c>
    </row>
    <row r="7494" spans="1:4" x14ac:dyDescent="0.25">
      <c r="B7494" t="str">
        <f>HYPERLINK("https://www.chemistwarehouse.com.au/buy/59032/Dermal-Therapy-Blistop-32-5ml"," Dermal Therapy Blistop 32.5ml")</f>
        <v xml:space="preserve"> Dermal Therapy Blistop 32.5ml</v>
      </c>
      <c r="C7494" t="s">
        <v>556</v>
      </c>
      <c r="D7494" t="s">
        <v>162</v>
      </c>
    </row>
    <row r="7495" spans="1:4" x14ac:dyDescent="0.25">
      <c r="B7495" t="str">
        <f>HYPERLINK("https://www.chemistwarehouse.com.au/buy/61423/Thursday-Plantation-Tea-Tree-Foot-Spray-50ml"," Thursday Plantation Tea Tree Foot Spray 50ml")</f>
        <v xml:space="preserve"> Thursday Plantation Tea Tree Foot Spray 50ml</v>
      </c>
      <c r="C7495" t="s">
        <v>786</v>
      </c>
      <c r="D7495" t="s">
        <v>1763</v>
      </c>
    </row>
    <row r="7496" spans="1:4" x14ac:dyDescent="0.25">
      <c r="B7496" t="str">
        <f>HYPERLINK("https://www.chemistwarehouse.com.au/buy/64584/Gordochom-Solution-30mL"," Gordochom Solution 30mL")</f>
        <v xml:space="preserve"> Gordochom Solution 30mL</v>
      </c>
      <c r="C7496" t="s">
        <v>111</v>
      </c>
      <c r="D7496" t="s">
        <v>615</v>
      </c>
    </row>
    <row r="7497" spans="1:4" x14ac:dyDescent="0.25">
      <c r="B7497" t="str">
        <f>HYPERLINK("https://www.chemistwarehouse.com.au/buy/65744/Compeed-Blister-Mixed-Pack-5"," Compeed Blister Mixed Pack 5")</f>
        <v xml:space="preserve"> Compeed Blister Mixed Pack 5</v>
      </c>
      <c r="C7497" t="s">
        <v>98</v>
      </c>
      <c r="D7497" t="s">
        <v>150</v>
      </c>
    </row>
    <row r="7498" spans="1:4" x14ac:dyDescent="0.25">
      <c r="B7498" t="str">
        <f>HYPERLINK("https://www.chemistwarehouse.com.au/buy/82750/DUIT-Foot-amp-Heel-Balm-Plus-50g"," DUIT Foot &amp; Heel Balm Plus 50g")</f>
        <v xml:space="preserve"> DUIT Foot &amp; Heel Balm Plus 50g</v>
      </c>
      <c r="C7498" t="s">
        <v>45</v>
      </c>
      <c r="D7498" t="s">
        <v>150</v>
      </c>
    </row>
    <row r="7499" spans="1:4" x14ac:dyDescent="0.25">
      <c r="B7499" t="str">
        <f>HYPERLINK("https://www.chemistwarehouse.com.au/buy/82751/DUIT-Roll-A-Balm-50ml"," DUIT Roll A Balm 50ml")</f>
        <v xml:space="preserve"> DUIT Roll A Balm 50ml</v>
      </c>
      <c r="C7499" t="s">
        <v>98</v>
      </c>
      <c r="D7499" t="s">
        <v>150</v>
      </c>
    </row>
    <row r="7500" spans="1:4" x14ac:dyDescent="0.25">
      <c r="B7500" t="str">
        <f>HYPERLINK("https://www.chemistwarehouse.com.au/buy/63903/Surgipack-6730-Carnation-Corn-Caps-5-Pack"," Surgipack 6730 Carnation Corn Caps 5 Pack")</f>
        <v xml:space="preserve"> Surgipack 6730 Carnation Corn Caps 5 Pack</v>
      </c>
      <c r="C7500" t="s">
        <v>375</v>
      </c>
      <c r="D7500" t="s">
        <v>312</v>
      </c>
    </row>
    <row r="7501" spans="1:4" x14ac:dyDescent="0.25">
      <c r="A7501" t="s">
        <v>1764</v>
      </c>
    </row>
    <row r="7502" spans="1:4" x14ac:dyDescent="0.25">
      <c r="B7502" t="str">
        <f>HYPERLINK("https://www.chemistwarehouse.com.au/buy/69715/Scholl-Velvet-Smooth-Electronic-Foot-File-For-Hard-Skin"," Scholl Velvet Smooth Electronic Foot File For Hard Skin")</f>
        <v xml:space="preserve"> Scholl Velvet Smooth Electronic Foot File For Hard Skin</v>
      </c>
      <c r="C7502" t="s">
        <v>6</v>
      </c>
      <c r="D7502" t="s">
        <v>227</v>
      </c>
    </row>
    <row r="7503" spans="1:4" x14ac:dyDescent="0.25">
      <c r="B7503" t="str">
        <f>HYPERLINK("https://www.chemistwarehouse.com.au/buy/78420/Scholl-Gel-Activ-Insoles-For-Open-Shoes"," Scholl Gel Activ Insoles For Open Shoes")</f>
        <v xml:space="preserve"> Scholl Gel Activ Insoles For Open Shoes</v>
      </c>
      <c r="C7503" t="s">
        <v>237</v>
      </c>
      <c r="D7503" t="s">
        <v>169</v>
      </c>
    </row>
    <row r="7504" spans="1:4" x14ac:dyDescent="0.25">
      <c r="B7504" t="str">
        <f>HYPERLINK("https://www.chemistwarehouse.com.au/buy/81819/Scholl-Eulactol-Heel-Balm-Gold-120ml-Twin-Pack"," Scholl Eulactol Heel Balm Gold 120ml Twin Pack")</f>
        <v xml:space="preserve"> Scholl Eulactol Heel Balm Gold 120ml Twin Pack</v>
      </c>
      <c r="C7504" t="s">
        <v>125</v>
      </c>
      <c r="D7504" t="s">
        <v>64</v>
      </c>
    </row>
    <row r="7505" spans="2:4" x14ac:dyDescent="0.25">
      <c r="B7505" t="str">
        <f>HYPERLINK("https://www.chemistwarehouse.com.au/buy/53162/Scholl-Heel-Plus-Cushion-Standard"," Scholl Heel Plus Cushion Standard")</f>
        <v xml:space="preserve"> Scholl Heel Plus Cushion Standard</v>
      </c>
      <c r="C7505" t="s">
        <v>103</v>
      </c>
      <c r="D7505" t="s">
        <v>150</v>
      </c>
    </row>
    <row r="7506" spans="2:4" x14ac:dyDescent="0.25">
      <c r="B7506" t="str">
        <f>HYPERLINK("https://www.chemistwarehouse.com.au/buy/53169/Scholl-Blister-Gel-Plaster-Mixed-5-Pack"," Scholl Blister Gel Plaster Mixed 5 Pack")</f>
        <v xml:space="preserve"> Scholl Blister Gel Plaster Mixed 5 Pack</v>
      </c>
      <c r="C7506" t="s">
        <v>430</v>
      </c>
      <c r="D7506" t="s">
        <v>325</v>
      </c>
    </row>
    <row r="7507" spans="2:4" x14ac:dyDescent="0.25">
      <c r="B7507" t="str">
        <f>HYPERLINK("https://www.chemistwarehouse.com.au/buy/7536/Scholl-Callus-Removal-Pads"," Scholl Callus Removal Pads")</f>
        <v xml:space="preserve"> Scholl Callus Removal Pads</v>
      </c>
      <c r="C7507" t="s">
        <v>32</v>
      </c>
      <c r="D7507" t="s">
        <v>150</v>
      </c>
    </row>
    <row r="7508" spans="2:4" x14ac:dyDescent="0.25">
      <c r="B7508" t="str">
        <f>HYPERLINK("https://www.chemistwarehouse.com.au/buy/68900/Scholl-Fresh-Step-Shoe-Spray"," Scholl Fresh Step Shoe Spray ")</f>
        <v xml:space="preserve"> Scholl Fresh Step Shoe Spray </v>
      </c>
      <c r="C7508" t="s">
        <v>103</v>
      </c>
      <c r="D7508" t="s">
        <v>115</v>
      </c>
    </row>
    <row r="7509" spans="2:4" x14ac:dyDescent="0.25">
      <c r="B7509" t="str">
        <f>HYPERLINK("https://www.chemistwarehouse.com.au/buy/78419/Scholl-Gel-Activ-Insoles-For-High-Heels"," Scholl Gel Activ Insoles For High Heels")</f>
        <v xml:space="preserve"> Scholl Gel Activ Insoles For High Heels</v>
      </c>
      <c r="C7509" t="s">
        <v>237</v>
      </c>
      <c r="D7509" t="s">
        <v>169</v>
      </c>
    </row>
    <row r="7510" spans="2:4" x14ac:dyDescent="0.25">
      <c r="B7510" t="str">
        <f>HYPERLINK("https://www.chemistwarehouse.com.au/buy/78422/Scholl-Velvet-Smooth-Electronic-Wet-amp-Dry-Foot-File"," Scholl Velvet Smooth Electronic Wet &amp; Dry Foot File ")</f>
        <v xml:space="preserve"> Scholl Velvet Smooth Electronic Wet &amp; Dry Foot File </v>
      </c>
      <c r="C7510" t="s">
        <v>276</v>
      </c>
      <c r="D7510" t="s">
        <v>439</v>
      </c>
    </row>
    <row r="7511" spans="2:4" x14ac:dyDescent="0.25">
      <c r="B7511" t="str">
        <f>HYPERLINK("https://www.chemistwarehouse.com.au/buy/76678/Scholl-Velvet-Smooth-Nail-Care-Refill-Heads-3"," Scholl Velvet Smooth Nail Care Refill Heads 3")</f>
        <v xml:space="preserve"> Scholl Velvet Smooth Nail Care Refill Heads 3</v>
      </c>
      <c r="C7511" t="s">
        <v>61</v>
      </c>
      <c r="D7511" t="s">
        <v>115</v>
      </c>
    </row>
    <row r="7512" spans="2:4" x14ac:dyDescent="0.25">
      <c r="B7512" t="str">
        <f>HYPERLINK("https://www.chemistwarehouse.com.au/buy/74145/Scholl-Gel-Activ-Women-Everyday-Insoles"," Scholl Gel Activ Women Everyday Insoles")</f>
        <v xml:space="preserve"> Scholl Gel Activ Women Everyday Insoles</v>
      </c>
      <c r="C7512" t="s">
        <v>63</v>
      </c>
      <c r="D7512" t="s">
        <v>274</v>
      </c>
    </row>
    <row r="7513" spans="2:4" x14ac:dyDescent="0.25">
      <c r="B7513" t="str">
        <f>HYPERLINK("https://www.chemistwarehouse.com.au/buy/75062/Scholl-Velvet-Smooth-Electronic-Foot-File-For-Hard-Skin-Pink"," Scholl Velvet Smooth Electronic Foot File For Hard Skin - Pink")</f>
        <v xml:space="preserve"> Scholl Velvet Smooth Electronic Foot File For Hard Skin - Pink</v>
      </c>
      <c r="C7513" t="s">
        <v>6</v>
      </c>
      <c r="D7513" t="s">
        <v>227</v>
      </c>
    </row>
    <row r="7514" spans="2:4" x14ac:dyDescent="0.25">
      <c r="B7514" t="str">
        <f>HYPERLINK("https://www.chemistwarehouse.com.au/buy/76676/Scholl-Velvet-Smooth-Electronic-Nail-Care-System-File,-Buff-amp-Shine"," Scholl Velvet Smooth Electronic Nail Care System - File, Buff &amp; Shine")</f>
        <v xml:space="preserve"> Scholl Velvet Smooth Electronic Nail Care System - File, Buff &amp; Shine</v>
      </c>
      <c r="C7514" t="s">
        <v>6</v>
      </c>
      <c r="D7514" t="s">
        <v>110</v>
      </c>
    </row>
    <row r="7515" spans="2:4" x14ac:dyDescent="0.25">
      <c r="B7515" t="str">
        <f>HYPERLINK("https://www.chemistwarehouse.com.au/buy/74144/Scholl-Gel-Activ-Men-Work-Insoles"," Scholl Gel Activ Men Work Insoles")</f>
        <v xml:space="preserve"> Scholl Gel Activ Men Work Insoles</v>
      </c>
      <c r="C7515" t="s">
        <v>63</v>
      </c>
      <c r="D7515" t="s">
        <v>274</v>
      </c>
    </row>
    <row r="7516" spans="2:4" x14ac:dyDescent="0.25">
      <c r="B7516" t="str">
        <f>HYPERLINK("https://www.chemistwarehouse.com.au/buy/74637/Scholl-Velvet-Smooth-Electronic-Foot-File-Refill-Heads-Soft-amp-Coarse"," Scholl Velvet Smooth Electronic Foot File Refill Heads (Soft &amp; Coarse)")</f>
        <v xml:space="preserve"> Scholl Velvet Smooth Electronic Foot File Refill Heads (Soft &amp; Coarse)</v>
      </c>
      <c r="C7516" t="s">
        <v>202</v>
      </c>
      <c r="D7516" t="s">
        <v>64</v>
      </c>
    </row>
    <row r="7517" spans="2:4" x14ac:dyDescent="0.25">
      <c r="B7517" t="str">
        <f>HYPERLINK("https://www.chemistwarehouse.com.au/buy/69716/Scholl-Electronic-Foot-File-Refill-Heads"," Scholl Electronic Foot File Refill Heads")</f>
        <v xml:space="preserve"> Scholl Electronic Foot File Refill Heads</v>
      </c>
      <c r="C7517" t="s">
        <v>187</v>
      </c>
      <c r="D7517" t="s">
        <v>162</v>
      </c>
    </row>
    <row r="7518" spans="2:4" x14ac:dyDescent="0.25">
      <c r="B7518" t="str">
        <f>HYPERLINK("https://www.chemistwarehouse.com.au/buy/7614/Scholl-Pressure-Point-Adhesive-Foam"," Scholl Pressure Point Adhesive Foam")</f>
        <v xml:space="preserve"> Scholl Pressure Point Adhesive Foam</v>
      </c>
      <c r="C7518" t="s">
        <v>430</v>
      </c>
      <c r="D7518" t="s">
        <v>813</v>
      </c>
    </row>
    <row r="7519" spans="2:4" x14ac:dyDescent="0.25">
      <c r="B7519" t="str">
        <f>HYPERLINK("https://www.chemistwarehouse.com.au/buy/7636/Scholl-Toe-Separator-Standard"," Scholl Toe Separator Standard")</f>
        <v xml:space="preserve"> Scholl Toe Separator Standard</v>
      </c>
      <c r="C7519" t="s">
        <v>103</v>
      </c>
      <c r="D7519" t="s">
        <v>147</v>
      </c>
    </row>
    <row r="7520" spans="2:4" x14ac:dyDescent="0.25">
      <c r="B7520" t="str">
        <f>HYPERLINK("https://www.chemistwarehouse.com.au/buy/31655/Scholl-Party-Feet-Gel-Cushions"," Scholl Party Feet Gel Cushions")</f>
        <v xml:space="preserve"> Scholl Party Feet Gel Cushions</v>
      </c>
      <c r="C7520" t="s">
        <v>32</v>
      </c>
      <c r="D7520" t="s">
        <v>147</v>
      </c>
    </row>
    <row r="7521" spans="1:4" x14ac:dyDescent="0.25">
      <c r="B7521" t="str">
        <f>HYPERLINK("https://www.chemistwarehouse.com.au/buy/42866/Scholl-Flight-Socks-Unisex-Size-9-12"," Scholl Flight Socks Unisex Size 9-12")</f>
        <v xml:space="preserve"> Scholl Flight Socks Unisex Size 9-12</v>
      </c>
      <c r="C7521" t="s">
        <v>266</v>
      </c>
      <c r="D7521" t="s">
        <v>154</v>
      </c>
    </row>
    <row r="7522" spans="1:4" x14ac:dyDescent="0.25">
      <c r="B7522" t="str">
        <f>HYPERLINK("https://www.chemistwarehouse.com.au/buy/49847/Scholl-Party-Feet-Gel-Heel-Cushions"," Scholl Party Feet Gel Heel Cushions")</f>
        <v xml:space="preserve"> Scholl Party Feet Gel Heel Cushions</v>
      </c>
      <c r="C7522" t="s">
        <v>32</v>
      </c>
      <c r="D7522" t="s">
        <v>147</v>
      </c>
    </row>
    <row r="7523" spans="1:4" x14ac:dyDescent="0.25">
      <c r="B7523" t="str">
        <f>HYPERLINK("https://www.chemistwarehouse.com.au/buy/52504/Scholl-Party-Feet-Gel-Heel-Shield"," Scholl Party Feet Gel Heel Shield")</f>
        <v xml:space="preserve"> Scholl Party Feet Gel Heel Shield</v>
      </c>
      <c r="C7523" t="s">
        <v>32</v>
      </c>
      <c r="D7523" t="s">
        <v>147</v>
      </c>
    </row>
    <row r="7524" spans="1:4" x14ac:dyDescent="0.25">
      <c r="B7524" t="str">
        <f>HYPERLINK("https://www.chemistwarehouse.com.au/buy/52685/Scholl-Corn-Removal-Plaster-Water-Proof"," Scholl Corn Removal Plaster Water Proof")</f>
        <v xml:space="preserve"> Scholl Corn Removal Plaster Water Proof</v>
      </c>
      <c r="C7524" t="s">
        <v>32</v>
      </c>
      <c r="D7524" t="s">
        <v>150</v>
      </c>
    </row>
    <row r="7525" spans="1:4" x14ac:dyDescent="0.25">
      <c r="B7525" t="str">
        <f>HYPERLINK("https://www.chemistwarehouse.com.au/buy/53150/Scholl-New-Gel-Heel-Cups-Large"," Scholl New Gel Heel Cups - Large")</f>
        <v xml:space="preserve"> Scholl New Gel Heel Cups - Large</v>
      </c>
      <c r="C7525" t="s">
        <v>98</v>
      </c>
      <c r="D7525" t="s">
        <v>145</v>
      </c>
    </row>
    <row r="7526" spans="1:4" x14ac:dyDescent="0.25">
      <c r="A7526" t="s">
        <v>1765</v>
      </c>
    </row>
    <row r="7527" spans="1:4" x14ac:dyDescent="0.25">
      <c r="B7527" t="str">
        <f>HYPERLINK("https://www.chemistwarehouse.com.au/buy/40732/Scholl-Eulactol-Foot-Heel-Balm-200g-Rough-Dry-or-Cracked-Skin"," Scholl Eulactol Foot Heel Balm 200g - Rough Dry or Cracked Skin")</f>
        <v xml:space="preserve"> Scholl Eulactol Foot Heel Balm 200g - Rough Dry or Cracked Skin</v>
      </c>
      <c r="C7527" t="s">
        <v>61</v>
      </c>
      <c r="D7527" t="s">
        <v>93</v>
      </c>
    </row>
    <row r="7528" spans="1:4" x14ac:dyDescent="0.25">
      <c r="B7528" t="str">
        <f>HYPERLINK("https://www.chemistwarehouse.com.au/buy/64583/Scholl-Eulactol-Cuticle-amp-Nail-Cream-Gold-20g"," Scholl Eulactol Cuticle &amp; Nail Cream Gold 20g")</f>
        <v xml:space="preserve"> Scholl Eulactol Cuticle &amp; Nail Cream Gold 20g</v>
      </c>
      <c r="C7528" t="s">
        <v>45</v>
      </c>
      <c r="D7528" t="s">
        <v>371</v>
      </c>
    </row>
    <row r="7529" spans="1:4" x14ac:dyDescent="0.25">
      <c r="B7529" t="str">
        <f>HYPERLINK("https://www.chemistwarehouse.com.au/buy/4501/Scholl-Eulactol-Foot-Heel-Balm-100g-Rough-Dry-or-Cracked-Skin"," Scholl Eulactol Foot Heel Balm 100g - Rough Dry or Cracked Skin")</f>
        <v xml:space="preserve"> Scholl Eulactol Foot Heel Balm 100g - Rough Dry or Cracked Skin</v>
      </c>
      <c r="C7529" t="s">
        <v>237</v>
      </c>
      <c r="D7529" t="s">
        <v>800</v>
      </c>
    </row>
    <row r="7530" spans="1:4" x14ac:dyDescent="0.25">
      <c r="B7530" t="str">
        <f>HYPERLINK("https://www.chemistwarehouse.com.au/buy/55651/Eulactol-Heel-Balm-Gold-60ml"," Eulactol Heel Balm Gold 60ml")</f>
        <v xml:space="preserve"> Eulactol Heel Balm Gold 60ml</v>
      </c>
      <c r="C7530" t="s">
        <v>32</v>
      </c>
      <c r="D7530" t="s">
        <v>718</v>
      </c>
    </row>
    <row r="7531" spans="1:4" x14ac:dyDescent="0.25">
      <c r="B7531" t="str">
        <f>HYPERLINK("https://www.chemistwarehouse.com.au/buy/51055/Eulactol-Heel-Balm-Gold-60mL"," Eulactol Heel Balm Gold 60mL")</f>
        <v xml:space="preserve"> Eulactol Heel Balm Gold 60mL</v>
      </c>
      <c r="C7531" t="s">
        <v>32</v>
      </c>
      <c r="D7531" t="s">
        <v>718</v>
      </c>
    </row>
    <row r="7532" spans="1:4" x14ac:dyDescent="0.25">
      <c r="A7532" t="s">
        <v>1766</v>
      </c>
    </row>
    <row r="7533" spans="1:4" x14ac:dyDescent="0.25">
      <c r="B7533" t="str">
        <f>HYPERLINK("https://www.chemistwarehouse.com.au/buy/6872/Scholl-Orthaheel-Small-Full-Length-Sports-Orthotics"," Scholl Orthaheel Small - Full Length - Sports Orthotics")</f>
        <v xml:space="preserve"> Scholl Orthaheel Small - Full Length - Sports Orthotics</v>
      </c>
      <c r="C7533" t="s">
        <v>1767</v>
      </c>
      <c r="D7533" t="s">
        <v>1768</v>
      </c>
    </row>
    <row r="7534" spans="1:4" x14ac:dyDescent="0.25">
      <c r="B7534" t="str">
        <f>HYPERLINK("https://www.chemistwarehouse.com.au/buy/6878/Orthaheel-Regular-Large"," Orthaheel Regular Large")</f>
        <v xml:space="preserve"> Orthaheel Regular Large</v>
      </c>
      <c r="C7534" t="s">
        <v>266</v>
      </c>
      <c r="D7534" t="s">
        <v>81</v>
      </c>
    </row>
    <row r="7535" spans="1:4" x14ac:dyDescent="0.25">
      <c r="B7535" t="str">
        <f>HYPERLINK("https://www.chemistwarehouse.com.au/buy/49663/Scholl-Orthaheel-Large-3-4-Regular-Orthotics-Heel-amp-Ankle-Stabiliser"," Scholl Orthaheel Large 3/4 Regular Orthotics Heel &amp; Ankle Stabiliser")</f>
        <v xml:space="preserve"> Scholl Orthaheel Large 3/4 Regular Orthotics Heel &amp; Ankle Stabiliser</v>
      </c>
      <c r="C7535" t="s">
        <v>266</v>
      </c>
      <c r="D7535" t="s">
        <v>81</v>
      </c>
    </row>
    <row r="7536" spans="1:4" x14ac:dyDescent="0.25">
      <c r="B7536" t="str">
        <f>HYPERLINK("https://www.chemistwarehouse.com.au/buy/49664/Scholl-Orthaheel-Medium-3-4-Regular-Orthotics-Heel-amp-Ankle-Stabiliser"," Scholl Orthaheel Medium 3/4 Regular Orthotics Heel &amp; Ankle Stabiliser")</f>
        <v xml:space="preserve"> Scholl Orthaheel Medium 3/4 Regular Orthotics Heel &amp; Ankle Stabiliser</v>
      </c>
      <c r="C7536" t="s">
        <v>266</v>
      </c>
      <c r="D7536" t="s">
        <v>81</v>
      </c>
    </row>
    <row r="7537" spans="1:4" x14ac:dyDescent="0.25">
      <c r="B7537" t="str">
        <f>HYPERLINK("https://www.chemistwarehouse.com.au/buy/49665/Orthaheel-Reg-3-4-Small"," Orthaheel Reg 3/4 Small")</f>
        <v xml:space="preserve"> Orthaheel Reg 3/4 Small</v>
      </c>
      <c r="C7537" t="s">
        <v>266</v>
      </c>
      <c r="D7537" t="s">
        <v>81</v>
      </c>
    </row>
    <row r="7538" spans="1:4" x14ac:dyDescent="0.25">
      <c r="B7538" t="str">
        <f>HYPERLINK("https://www.chemistwarehouse.com.au/buy/55102/Orthaheel-Shock-Absorber-Medium"," Orthaheel Shock Absorber Medium")</f>
        <v xml:space="preserve"> Orthaheel Shock Absorber Medium</v>
      </c>
      <c r="C7538" t="s">
        <v>266</v>
      </c>
      <c r="D7538" t="s">
        <v>347</v>
      </c>
    </row>
    <row r="7539" spans="1:4" x14ac:dyDescent="0.25">
      <c r="B7539" t="str">
        <f>HYPERLINK("https://www.chemistwarehouse.com.au/buy/55746/Orthaheel-Shock-Absorber-Small"," Orthaheel Shock Absorber Small")</f>
        <v xml:space="preserve"> Orthaheel Shock Absorber Small</v>
      </c>
      <c r="C7539" t="s">
        <v>266</v>
      </c>
      <c r="D7539" t="s">
        <v>347</v>
      </c>
    </row>
    <row r="7540" spans="1:4" x14ac:dyDescent="0.25">
      <c r="B7540" t="str">
        <f>HYPERLINK("https://www.chemistwarehouse.com.au/buy/55747/Scholl-Orthaheel-Large-Shock-Absorber-Orthotics"," Scholl Orthaheel Large Shock Absorber Orthotics")</f>
        <v xml:space="preserve"> Scholl Orthaheel Large Shock Absorber Orthotics</v>
      </c>
      <c r="C7540" t="s">
        <v>266</v>
      </c>
      <c r="D7540" t="s">
        <v>347</v>
      </c>
    </row>
    <row r="7541" spans="1:4" x14ac:dyDescent="0.25">
      <c r="B7541" t="str">
        <f>HYPERLINK("https://www.chemistwarehouse.com.au/buy/55749/Scholl-Orthaheel-Small-Orthotics-Gel-Heel-Support-amp-Pain-Reliever"," Scholl Orthaheel Small Orthotics Gel Heel Support &amp; Pain Reliever")</f>
        <v xml:space="preserve"> Scholl Orthaheel Small Orthotics Gel Heel Support &amp; Pain Reliever</v>
      </c>
      <c r="C7541" t="s">
        <v>379</v>
      </c>
      <c r="D7541" t="s">
        <v>359</v>
      </c>
    </row>
    <row r="7542" spans="1:4" x14ac:dyDescent="0.25">
      <c r="B7542" t="str">
        <f>HYPERLINK("https://www.chemistwarehouse.com.au/buy/55750/Scholl-Orthaheel-Large-Orthotics-Gel-Heel-Support-amp-Pain-Reliever"," Scholl Orthaheel Large Orthotics Gel Heel Support &amp; Pain Reliever")</f>
        <v xml:space="preserve"> Scholl Orthaheel Large Orthotics Gel Heel Support &amp; Pain Reliever</v>
      </c>
      <c r="C7542" t="s">
        <v>379</v>
      </c>
      <c r="D7542" t="s">
        <v>359</v>
      </c>
    </row>
    <row r="7543" spans="1:4" x14ac:dyDescent="0.25">
      <c r="B7543" t="str">
        <f>HYPERLINK("https://www.chemistwarehouse.com.au/buy/53322/Scholl-Orthaheel-Extra-Small-Full-Length-Sports-Orthotics"," Scholl Orthaheel Extra Small - Full Length - Sports Orthotics")</f>
        <v xml:space="preserve"> Scholl Orthaheel Extra Small - Full Length - Sports Orthotics</v>
      </c>
      <c r="C7543" t="s">
        <v>1767</v>
      </c>
      <c r="D7543" t="s">
        <v>1768</v>
      </c>
    </row>
    <row r="7544" spans="1:4" x14ac:dyDescent="0.25">
      <c r="B7544" t="str">
        <f>HYPERLINK("https://www.chemistwarehouse.com.au/buy/6871/Scholl-Orthaheel-Medium-Full-Length-Sports-Orthotics"," Scholl Orthaheel Medium - Full Length - Sports Orthotics")</f>
        <v xml:space="preserve"> Scholl Orthaheel Medium - Full Length - Sports Orthotics</v>
      </c>
      <c r="C7544" t="s">
        <v>1767</v>
      </c>
      <c r="D7544" t="s">
        <v>1768</v>
      </c>
    </row>
    <row r="7545" spans="1:4" x14ac:dyDescent="0.25">
      <c r="A7545" t="s">
        <v>1769</v>
      </c>
    </row>
    <row r="7546" spans="1:4" x14ac:dyDescent="0.25">
      <c r="A7546" t="s">
        <v>1770</v>
      </c>
    </row>
    <row r="7547" spans="1:4" x14ac:dyDescent="0.25">
      <c r="B7547" t="str">
        <f>HYPERLINK("https://www.chemistwarehouse.com.au/buy/65539/Neat-Feat-Heal-Balm-2x120g"," Neat Feat Heal Balm 2x120g")</f>
        <v xml:space="preserve"> Neat Feat Heal Balm 2x120g</v>
      </c>
      <c r="C7547" t="s">
        <v>187</v>
      </c>
      <c r="D7547" t="s">
        <v>155</v>
      </c>
    </row>
    <row r="7548" spans="1:4" x14ac:dyDescent="0.25">
      <c r="B7548" t="str">
        <f>HYPERLINK("https://www.chemistwarehouse.com.au/buy/64178/Neat-Feat-Orthotics-Footcare-Arch-Cushions-Medium"," Neat Feat Orthotics Footcare Arch Cushions Medium")</f>
        <v xml:space="preserve"> Neat Feat Orthotics Footcare Arch Cushions Medium</v>
      </c>
      <c r="C7548" t="s">
        <v>1</v>
      </c>
      <c r="D7548" t="s">
        <v>1375</v>
      </c>
    </row>
    <row r="7549" spans="1:4" x14ac:dyDescent="0.25">
      <c r="B7549" t="str">
        <f>HYPERLINK("https://www.chemistwarehouse.com.au/buy/64179/Neat-Feat-Orthotics-Footcare-Maximum-Foot-Support-Small"," Neat Feat Orthotics Footcare Maximum Foot Support Small")</f>
        <v xml:space="preserve"> Neat Feat Orthotics Footcare Maximum Foot Support Small</v>
      </c>
      <c r="C7549" t="s">
        <v>153</v>
      </c>
      <c r="D7549" t="s">
        <v>1771</v>
      </c>
    </row>
    <row r="7550" spans="1:4" x14ac:dyDescent="0.25">
      <c r="B7550" t="str">
        <f>HYPERLINK("https://www.chemistwarehouse.com.au/buy/64180/Neat-Feat-Orthotics-Footcare-Arch-Cushions-Small"," Neat Feat Orthotics Footcare Arch Cushions Small")</f>
        <v xml:space="preserve"> Neat Feat Orthotics Footcare Arch Cushions Small</v>
      </c>
      <c r="C7550" t="s">
        <v>1</v>
      </c>
      <c r="D7550" t="s">
        <v>1375</v>
      </c>
    </row>
    <row r="7551" spans="1:4" x14ac:dyDescent="0.25">
      <c r="B7551" t="str">
        <f>HYPERLINK("https://www.chemistwarehouse.com.au/buy/64181/Neat-Feat-Orthotics-Footcare-Diabetic-Self-Moulding-Insole-Small"," Neat Feat Orthotics Footcare Diabetic Self Moulding Insole Small")</f>
        <v xml:space="preserve"> Neat Feat Orthotics Footcare Diabetic Self Moulding Insole Small</v>
      </c>
      <c r="C7551" t="s">
        <v>125</v>
      </c>
      <c r="D7551" t="s">
        <v>446</v>
      </c>
    </row>
    <row r="7552" spans="1:4" x14ac:dyDescent="0.25">
      <c r="B7552" t="str">
        <f>HYPERLINK("https://www.chemistwarehouse.com.au/buy/64182/Neat-Feat-Orthotics-Footcare-Diabetic-Self-Moulding-Insole-Large"," Neat Feat Orthotics Footcare Diabetic Self Moulding Insole Large")</f>
        <v xml:space="preserve"> Neat Feat Orthotics Footcare Diabetic Self Moulding Insole Large</v>
      </c>
      <c r="C7552" t="s">
        <v>125</v>
      </c>
      <c r="D7552" t="s">
        <v>446</v>
      </c>
    </row>
    <row r="7553" spans="1:4" x14ac:dyDescent="0.25">
      <c r="B7553" t="str">
        <f>HYPERLINK("https://www.chemistwarehouse.com.au/buy/64183/Neat-Feat-Roll-On-Antiperspirant-Deodorant-60mL"," Neat Feat Roll On Antiperspirant Deodorant 60mL")</f>
        <v xml:space="preserve"> Neat Feat Roll On Antiperspirant Deodorant 60mL</v>
      </c>
      <c r="C7553" t="s">
        <v>103</v>
      </c>
      <c r="D7553" t="s">
        <v>165</v>
      </c>
    </row>
    <row r="7554" spans="1:4" x14ac:dyDescent="0.25">
      <c r="B7554" t="str">
        <f>HYPERLINK("https://www.chemistwarehouse.com.au/buy/64184/Neat-Feat-Footcare-Geniune-Pumice"," Neat Feat Footcare Geniune Pumice")</f>
        <v xml:space="preserve"> Neat Feat Footcare Geniune Pumice</v>
      </c>
      <c r="C7554" t="s">
        <v>775</v>
      </c>
      <c r="D7554" t="s">
        <v>813</v>
      </c>
    </row>
    <row r="7555" spans="1:4" x14ac:dyDescent="0.25">
      <c r="B7555" t="str">
        <f>HYPERLINK("https://www.chemistwarehouse.com.au/buy/76327/Neat-Feat-Foot-and-Heel-Balm-Spray-125ml"," Neat Feat Foot and Heel Balm Spray 125ml")</f>
        <v xml:space="preserve"> Neat Feat Foot and Heel Balm Spray 125ml</v>
      </c>
      <c r="C7555" t="s">
        <v>237</v>
      </c>
      <c r="D7555" t="s">
        <v>145</v>
      </c>
    </row>
    <row r="7556" spans="1:4" x14ac:dyDescent="0.25">
      <c r="B7556" t="str">
        <f>HYPERLINK("https://www.chemistwarehouse.com.au/buy/6490/Neat-Feat-Foot-amp-Leg-Moisturiser-125g"," Neat Feat Foot &amp; Leg Moisturiser 125g")</f>
        <v xml:space="preserve"> Neat Feat Foot &amp; Leg Moisturiser 125g</v>
      </c>
      <c r="C7556" t="s">
        <v>32</v>
      </c>
      <c r="D7556" t="s">
        <v>145</v>
      </c>
    </row>
    <row r="7557" spans="1:4" x14ac:dyDescent="0.25">
      <c r="B7557" t="str">
        <f>HYPERLINK("https://www.chemistwarehouse.com.au/buy/6492/Neat-Feat-Foot-Scrub-150g"," Neat Feat Foot Scrub 150g")</f>
        <v xml:space="preserve"> Neat Feat Foot Scrub 150g</v>
      </c>
      <c r="C7557" t="s">
        <v>786</v>
      </c>
      <c r="D7557" t="s">
        <v>813</v>
      </c>
    </row>
    <row r="7558" spans="1:4" x14ac:dyDescent="0.25">
      <c r="B7558" t="str">
        <f>HYPERLINK("https://www.chemistwarehouse.com.au/buy/47990/Neat-Feat-Orthotics-Maximum-Foot-Support-Large"," Neat Feat Orthotics Maximum Foot Support - Large")</f>
        <v xml:space="preserve"> Neat Feat Orthotics Maximum Foot Support - Large</v>
      </c>
      <c r="C7558" t="s">
        <v>153</v>
      </c>
      <c r="D7558" t="s">
        <v>1771</v>
      </c>
    </row>
    <row r="7559" spans="1:4" x14ac:dyDescent="0.25">
      <c r="B7559" t="str">
        <f>HYPERLINK("https://www.chemistwarehouse.com.au/buy/47991/Neat-Feat-Orthotics-Maximum-Foot-Support-Medium"," Neat Feat Orthotics Maximum Foot Support - Medium")</f>
        <v xml:space="preserve"> Neat Feat Orthotics Maximum Foot Support - Medium</v>
      </c>
      <c r="C7559" t="s">
        <v>153</v>
      </c>
      <c r="D7559" t="s">
        <v>1771</v>
      </c>
    </row>
    <row r="7560" spans="1:4" x14ac:dyDescent="0.25">
      <c r="B7560" t="str">
        <f>HYPERLINK("https://www.chemistwarehouse.com.au/buy/48052/Neat-Feat-Orthotics-Cushioning-Spur-Pads-Medium"," Neat Feat Orthotics Cushioning Spur Pads Medium")</f>
        <v xml:space="preserve"> Neat Feat Orthotics Cushioning Spur Pads Medium</v>
      </c>
      <c r="C7560" t="s">
        <v>301</v>
      </c>
      <c r="D7560" t="s">
        <v>570</v>
      </c>
    </row>
    <row r="7561" spans="1:4" x14ac:dyDescent="0.25">
      <c r="B7561" t="str">
        <f>HYPERLINK("https://www.chemistwarehouse.com.au/buy/48053/Neat-Feat-Orthotics-Cushioning-Spur-Pads-Large"," Neat Feat Orthotics Cushioning Spur Pads Large")</f>
        <v xml:space="preserve"> Neat Feat Orthotics Cushioning Spur Pads Large</v>
      </c>
      <c r="C7561" t="s">
        <v>301</v>
      </c>
      <c r="D7561" t="s">
        <v>570</v>
      </c>
    </row>
    <row r="7562" spans="1:4" x14ac:dyDescent="0.25">
      <c r="B7562" t="str">
        <f>HYPERLINK("https://www.chemistwarehouse.com.au/buy/51858/Neat-Feat-Heal-Balm-75g-2-for-1"," Neat Feat Heal Balm 75g 2-for-1")</f>
        <v xml:space="preserve"> Neat Feat Heal Balm 75g 2-for-1</v>
      </c>
      <c r="C7562" t="s">
        <v>98</v>
      </c>
      <c r="D7562" t="s">
        <v>165</v>
      </c>
    </row>
    <row r="7563" spans="1:4" x14ac:dyDescent="0.25">
      <c r="B7563" t="str">
        <f>HYPERLINK("https://www.chemistwarehouse.com.au/buy/55524/Neat-Feat-Diabetic-Self-Moulding-Insole-Medium"," Neat Feat Diabetic Self Moulding Insole Medium")</f>
        <v xml:space="preserve"> Neat Feat Diabetic Self Moulding Insole Medium</v>
      </c>
      <c r="C7563" t="s">
        <v>125</v>
      </c>
      <c r="D7563" t="s">
        <v>446</v>
      </c>
    </row>
    <row r="7564" spans="1:4" x14ac:dyDescent="0.25">
      <c r="B7564" t="str">
        <f>HYPERLINK("https://www.chemistwarehouse.com.au/buy/63673/Neat-Feat-Cooling-Foot-Spray-125ml"," Neat Feat Cooling Foot Spray 125ml")</f>
        <v xml:space="preserve"> Neat Feat Cooling Foot Spray 125ml</v>
      </c>
      <c r="C7564" t="s">
        <v>240</v>
      </c>
      <c r="D7564" t="s">
        <v>336</v>
      </c>
    </row>
    <row r="7565" spans="1:4" x14ac:dyDescent="0.25">
      <c r="B7565" t="str">
        <f>HYPERLINK("https://www.chemistwarehouse.com.au/buy/64177/Neat-Feat-Orthotics-Footcare-Arch-Cushions-Large"," Neat Feat Orthotics Footcare Arch Cushions Large")</f>
        <v xml:space="preserve"> Neat Feat Orthotics Footcare Arch Cushions Large</v>
      </c>
      <c r="C7565" t="s">
        <v>1</v>
      </c>
      <c r="D7565" t="s">
        <v>1375</v>
      </c>
    </row>
    <row r="7566" spans="1:4" x14ac:dyDescent="0.25">
      <c r="B7566" t="str">
        <f>HYPERLINK("https://www.chemistwarehouse.com.au/buy/73484/Neat-Effect-3B-Action-Cream-500g"," Neat Effect 3B Action Cream 500g")</f>
        <v xml:space="preserve"> Neat Effect 3B Action Cream 500g</v>
      </c>
      <c r="C7566" t="s">
        <v>123</v>
      </c>
      <c r="D7566" t="s">
        <v>81</v>
      </c>
    </row>
    <row r="7567" spans="1:4" x14ac:dyDescent="0.25">
      <c r="A7567" t="s">
        <v>1772</v>
      </c>
    </row>
    <row r="7568" spans="1:4" x14ac:dyDescent="0.25">
      <c r="B7568" t="str">
        <f>HYPERLINK("https://www.chemistwarehouse.com.au/buy/6765/Odor-Eaters-Foot-Powder-100g"," Odor-Eaters Foot Powder 100g")</f>
        <v xml:space="preserve"> Odor-Eaters Foot Powder 100g</v>
      </c>
      <c r="C7568" t="s">
        <v>326</v>
      </c>
      <c r="D7568" t="s">
        <v>1773</v>
      </c>
    </row>
    <row r="7569" spans="1:4" x14ac:dyDescent="0.25">
      <c r="B7569" t="str">
        <f>HYPERLINK("https://www.chemistwarehouse.com.au/buy/6768/Odor-Eaters-Sneaker-Tamer"," Odor-Eaters Sneaker Tamer")</f>
        <v xml:space="preserve"> Odor-Eaters Sneaker Tamer</v>
      </c>
      <c r="C7569" t="s">
        <v>92</v>
      </c>
      <c r="D7569" t="s">
        <v>1774</v>
      </c>
    </row>
    <row r="7570" spans="1:4" x14ac:dyDescent="0.25">
      <c r="B7570" t="str">
        <f>HYPERLINK("https://www.chemistwarehouse.com.au/buy/6769/Odor-Eaters-Super-Tuff-Work-Wear-1-Pair"," Odor-Eaters Super Tuff Work Wear 1 Pair")</f>
        <v xml:space="preserve"> Odor-Eaters Super Tuff Work Wear 1 Pair</v>
      </c>
      <c r="C7570" t="s">
        <v>92</v>
      </c>
      <c r="D7570" t="s">
        <v>1401</v>
      </c>
    </row>
    <row r="7571" spans="1:4" x14ac:dyDescent="0.25">
      <c r="B7571" t="str">
        <f>HYPERLINK("https://www.chemistwarehouse.com.au/buy/60765/Odor-Eaters-Extreme-Sport-Spray"," Odor Eaters Extreme Sport Spray")</f>
        <v xml:space="preserve"> Odor Eaters Extreme Sport Spray</v>
      </c>
      <c r="C7571" t="s">
        <v>92</v>
      </c>
      <c r="D7571" t="s">
        <v>1774</v>
      </c>
    </row>
    <row r="7572" spans="1:4" x14ac:dyDescent="0.25">
      <c r="B7572" t="str">
        <f>HYPERLINK("https://www.chemistwarehouse.com.au/buy/62944/Odor-Eaters-Odor-Nite-100g"," Odor-Eaters Odor Nite 100g")</f>
        <v xml:space="preserve"> Odor-Eaters Odor Nite 100g</v>
      </c>
      <c r="C7572" t="s">
        <v>326</v>
      </c>
      <c r="D7572" t="s">
        <v>1773</v>
      </c>
    </row>
    <row r="7573" spans="1:4" x14ac:dyDescent="0.25">
      <c r="A7573" t="s">
        <v>1775</v>
      </c>
    </row>
    <row r="7574" spans="1:4" x14ac:dyDescent="0.25">
      <c r="B7574" t="str">
        <f>HYPERLINK("https://www.chemistwarehouse.com.au/buy/58222/Milky-Foot-Exfoliation-Pads-Regular"," Milky Foot Exfoliation Pads Regular")</f>
        <v xml:space="preserve"> Milky Foot Exfoliation Pads Regular</v>
      </c>
      <c r="C7574" t="s">
        <v>109</v>
      </c>
      <c r="D7574" t="s">
        <v>145</v>
      </c>
    </row>
    <row r="7575" spans="1:4" x14ac:dyDescent="0.25">
      <c r="B7575" t="str">
        <f>HYPERLINK("https://www.chemistwarehouse.com.au/buy/72670/Milky-Foot-Exfoliation-Pads-Large"," Milky Foot Exfoliation Pads Large")</f>
        <v xml:space="preserve"> Milky Foot Exfoliation Pads Large</v>
      </c>
      <c r="C7575" t="s">
        <v>109</v>
      </c>
      <c r="D7575" t="s">
        <v>145</v>
      </c>
    </row>
    <row r="7576" spans="1:4" x14ac:dyDescent="0.25">
      <c r="B7576" t="str">
        <f>HYPERLINK("https://www.chemistwarehouse.com.au/buy/74913/Milky-Foot-Active"," Milky Foot Active")</f>
        <v xml:space="preserve"> Milky Foot Active</v>
      </c>
      <c r="C7576" t="s">
        <v>109</v>
      </c>
      <c r="D7576" t="s">
        <v>155</v>
      </c>
    </row>
    <row r="7577" spans="1:4" x14ac:dyDescent="0.25">
      <c r="A7577" t="s">
        <v>1776</v>
      </c>
    </row>
    <row r="7578" spans="1:4" x14ac:dyDescent="0.25">
      <c r="B7578" t="str">
        <f>HYPERLINK("https://www.chemistwarehouse.com.au/buy/71414/Thursday-Plantation-Tea-Tree-Soap-3x125g"," Thursday Plantation Tea Tree Soap 3x125g")</f>
        <v xml:space="preserve"> Thursday Plantation Tea Tree Soap 3x125g</v>
      </c>
      <c r="C7578" t="s">
        <v>782</v>
      </c>
      <c r="D7578" t="s">
        <v>376</v>
      </c>
    </row>
    <row r="7579" spans="1:4" x14ac:dyDescent="0.25">
      <c r="B7579" t="str">
        <f>HYPERLINK("https://www.chemistwarehouse.com.au/buy/38135/Thursday-Plantation-Tea-Tree-Foot-Powder-100g"," Thursday Plantation Tea Tree Foot Powder 100g")</f>
        <v xml:space="preserve"> Thursday Plantation Tea Tree Foot Powder 100g</v>
      </c>
      <c r="C7579" t="s">
        <v>92</v>
      </c>
      <c r="D7579" t="s">
        <v>1086</v>
      </c>
    </row>
    <row r="7580" spans="1:4" x14ac:dyDescent="0.25">
      <c r="A7580" t="s">
        <v>1777</v>
      </c>
    </row>
    <row r="7581" spans="1:4" x14ac:dyDescent="0.25">
      <c r="B7581" t="str">
        <f>HYPERLINK("https://www.chemistwarehouse.com.au/buy/77615/Batiste-Original-Dry-Shampoo-400ml"," Batiste Original Dry Shampoo 400ml")</f>
        <v xml:space="preserve"> Batiste Original Dry Shampoo 400ml</v>
      </c>
      <c r="C7581" t="s">
        <v>237</v>
      </c>
      <c r="D7581" t="s">
        <v>397</v>
      </c>
    </row>
    <row r="7582" spans="1:4" x14ac:dyDescent="0.25">
      <c r="B7582" t="str">
        <f>HYPERLINK("https://www.chemistwarehouse.com.au/buy/77616/Batiste-Medium-amp-Brunette-Dry-Shampoo-200ml"," Batiste Medium &amp; Brunette Dry Shampoo 200ml")</f>
        <v xml:space="preserve"> Batiste Medium &amp; Brunette Dry Shampoo 200ml</v>
      </c>
      <c r="C7582" t="s">
        <v>98</v>
      </c>
      <c r="D7582" t="s">
        <v>150</v>
      </c>
    </row>
    <row r="7583" spans="1:4" x14ac:dyDescent="0.25">
      <c r="B7583" t="str">
        <f>HYPERLINK("https://www.chemistwarehouse.com.au/buy/79352/Batiste-Marrakech-Dry-Shampoo-200ml"," Batiste Marrakech Dry Shampoo 200ml")</f>
        <v xml:space="preserve"> Batiste Marrakech Dry Shampoo 200ml</v>
      </c>
      <c r="C7583" t="s">
        <v>103</v>
      </c>
      <c r="D7583" t="s">
        <v>150</v>
      </c>
    </row>
    <row r="7584" spans="1:4" x14ac:dyDescent="0.25">
      <c r="B7584" t="str">
        <f>HYPERLINK("https://www.chemistwarehouse.com.au/buy/63122/Batiste-Blush-Dry-Shampoo-50ml"," Batiste Blush Dry Shampoo 50ml")</f>
        <v xml:space="preserve"> Batiste Blush Dry Shampoo 50ml</v>
      </c>
      <c r="C7584" t="s">
        <v>483</v>
      </c>
      <c r="D7584" t="s">
        <v>147</v>
      </c>
    </row>
    <row r="7585" spans="1:4" x14ac:dyDescent="0.25">
      <c r="B7585" t="str">
        <f>HYPERLINK("https://www.chemistwarehouse.com.au/buy/63123/Batiste-Original-Dry-Shampoo-50ml"," Batiste Original Dry Shampoo 50ml")</f>
        <v xml:space="preserve"> Batiste Original Dry Shampoo 50ml</v>
      </c>
      <c r="C7585" t="s">
        <v>483</v>
      </c>
      <c r="D7585" t="s">
        <v>147</v>
      </c>
    </row>
    <row r="7586" spans="1:4" x14ac:dyDescent="0.25">
      <c r="B7586" t="str">
        <f>HYPERLINK("https://www.chemistwarehouse.com.au/buy/63124/Batiste-Dry-Shampoo-Tropic-50ml"," Batiste Dry Shampoo Tropic 50ml")</f>
        <v xml:space="preserve"> Batiste Dry Shampoo Tropic 50ml</v>
      </c>
      <c r="C7586" t="s">
        <v>483</v>
      </c>
      <c r="D7586" t="s">
        <v>147</v>
      </c>
    </row>
    <row r="7587" spans="1:4" x14ac:dyDescent="0.25">
      <c r="B7587" t="str">
        <f>HYPERLINK("https://www.chemistwarehouse.com.au/buy/70047/Batiste-Tropical-Dry-Shampoo-200ml"," Batiste Tropical Dry Shampoo 200ml")</f>
        <v xml:space="preserve"> Batiste Tropical Dry Shampoo 200ml</v>
      </c>
      <c r="C7587" t="s">
        <v>103</v>
      </c>
      <c r="D7587" t="s">
        <v>150</v>
      </c>
    </row>
    <row r="7588" spans="1:4" x14ac:dyDescent="0.25">
      <c r="B7588" t="str">
        <f>HYPERLINK("https://www.chemistwarehouse.com.au/buy/70048/Batiste-Original-Dry-Shampoo-200ml"," Batiste Original Dry Shampoo 200ml")</f>
        <v xml:space="preserve"> Batiste Original Dry Shampoo 200ml</v>
      </c>
      <c r="C7588" t="s">
        <v>103</v>
      </c>
      <c r="D7588" t="s">
        <v>150</v>
      </c>
    </row>
    <row r="7589" spans="1:4" x14ac:dyDescent="0.25">
      <c r="B7589" t="str">
        <f>HYPERLINK("https://www.chemistwarehouse.com.au/buy/70049/Batiste-Blush-Dry-Shampoo-200ml"," Batiste Blush Dry Shampoo 200ml")</f>
        <v xml:space="preserve"> Batiste Blush Dry Shampoo 200ml</v>
      </c>
      <c r="C7589" t="s">
        <v>103</v>
      </c>
      <c r="D7589" t="s">
        <v>150</v>
      </c>
    </row>
    <row r="7590" spans="1:4" x14ac:dyDescent="0.25">
      <c r="B7590" t="str">
        <f>HYPERLINK("https://www.chemistwarehouse.com.au/buy/75534/Batiste-XXL-Volume-Dry-Shampoo-200ml"," Batiste XXL Volume Dry Shampoo 200ml")</f>
        <v xml:space="preserve"> Batiste XXL Volume Dry Shampoo 200ml</v>
      </c>
      <c r="C7590" t="s">
        <v>32</v>
      </c>
      <c r="D7590" t="s">
        <v>145</v>
      </c>
    </row>
    <row r="7591" spans="1:4" x14ac:dyDescent="0.25">
      <c r="B7591" t="str">
        <f>HYPERLINK("https://www.chemistwarehouse.com.au/buy/75535/Batiste-Fresh-Dry-Shampoo-200ml"," Batiste Fresh Dry Shampoo 200ml")</f>
        <v xml:space="preserve"> Batiste Fresh Dry Shampoo 200ml</v>
      </c>
      <c r="C7591" t="s">
        <v>103</v>
      </c>
      <c r="D7591" t="s">
        <v>150</v>
      </c>
    </row>
    <row r="7592" spans="1:4" x14ac:dyDescent="0.25">
      <c r="B7592" t="str">
        <f>HYPERLINK("https://www.chemistwarehouse.com.au/buy/75536/Batiste-Mamba-Dry-Shampoo-200ml"," Batiste Mamba Dry Shampoo 200ml")</f>
        <v xml:space="preserve"> Batiste Mamba Dry Shampoo 200ml</v>
      </c>
      <c r="C7592" t="s">
        <v>103</v>
      </c>
      <c r="D7592" t="s">
        <v>150</v>
      </c>
    </row>
    <row r="7593" spans="1:4" x14ac:dyDescent="0.25">
      <c r="B7593" t="str">
        <f>HYPERLINK("https://www.chemistwarehouse.com.au/buy/75537/Batiste-Cherry-Dry-Shampoo-200ml"," Batiste Cherry Dry Shampoo 200ml")</f>
        <v xml:space="preserve"> Batiste Cherry Dry Shampoo 200ml</v>
      </c>
      <c r="C7593" t="s">
        <v>103</v>
      </c>
      <c r="D7593" t="s">
        <v>150</v>
      </c>
    </row>
    <row r="7594" spans="1:4" x14ac:dyDescent="0.25">
      <c r="B7594" t="str">
        <f>HYPERLINK("https://www.chemistwarehouse.com.au/buy/76662/Batiste-Sweet-amp-Seductive-Ella-Henderson-Dry-Shampoo-200ml"," Batiste Sweet &amp; Seductive Ella Henderson Dry Shampoo 200ml")</f>
        <v xml:space="preserve"> Batiste Sweet &amp; Seductive Ella Henderson Dry Shampoo 200ml</v>
      </c>
      <c r="C7594" t="s">
        <v>103</v>
      </c>
      <c r="D7594" t="s">
        <v>150</v>
      </c>
    </row>
    <row r="7595" spans="1:4" x14ac:dyDescent="0.25">
      <c r="B7595" t="str">
        <f>HYPERLINK("https://www.chemistwarehouse.com.au/buy/76892/Batiste-Cherry-Dry-Shampoo-50ml"," Batiste Cherry Dry Shampoo 50ml")</f>
        <v xml:space="preserve"> Batiste Cherry Dry Shampoo 50ml</v>
      </c>
      <c r="C7595" t="s">
        <v>483</v>
      </c>
      <c r="D7595" t="s">
        <v>147</v>
      </c>
    </row>
    <row r="7596" spans="1:4" x14ac:dyDescent="0.25">
      <c r="B7596" t="str">
        <f>HYPERLINK("https://www.chemistwarehouse.com.au/buy/77613/Batiste-Blush-Dry-Shampoo-400ml"," Batiste Blush Dry Shampoo 400ml")</f>
        <v xml:space="preserve"> Batiste Blush Dry Shampoo 400ml</v>
      </c>
      <c r="C7596" t="s">
        <v>237</v>
      </c>
      <c r="D7596" t="s">
        <v>397</v>
      </c>
    </row>
    <row r="7597" spans="1:4" x14ac:dyDescent="0.25">
      <c r="B7597" t="str">
        <f>HYPERLINK("https://www.chemistwarehouse.com.au/buy/77614/Batiste-Tropical-Dry-Shampoo-400ml"," Batiste Tropical Dry Shampoo 400ml")</f>
        <v xml:space="preserve"> Batiste Tropical Dry Shampoo 400ml</v>
      </c>
      <c r="C7597" t="s">
        <v>237</v>
      </c>
      <c r="D7597" t="s">
        <v>397</v>
      </c>
    </row>
    <row r="7598" spans="1:4" x14ac:dyDescent="0.25">
      <c r="A7598" t="s">
        <v>1778</v>
      </c>
    </row>
    <row r="7599" spans="1:4" x14ac:dyDescent="0.25">
      <c r="B7599" t="str">
        <f>HYPERLINK("https://www.chemistwarehouse.com.au/buy/82654/Kerastase-Nutritive-Fondant-Magistral-Conditioner-200ml"," Kerastase Nutritive Fondant Magistral Conditioner 200ml")</f>
        <v xml:space="preserve"> Kerastase Nutritive Fondant Magistral Conditioner 200ml</v>
      </c>
      <c r="C7599" t="s">
        <v>166</v>
      </c>
      <c r="D7599" t="s">
        <v>615</v>
      </c>
    </row>
    <row r="7600" spans="1:4" x14ac:dyDescent="0.25">
      <c r="A7600" t="s">
        <v>1779</v>
      </c>
    </row>
    <row r="7601" spans="1:4" x14ac:dyDescent="0.25">
      <c r="B7601" t="str">
        <f>HYPERLINK("https://www.chemistwarehouse.com.au/buy/73347/Lynx-Dual-2-In-1-Shampoo-amp-Conditioner-355ml"," Lynx Dual 2 In 1 Shampoo &amp; Conditioner 355ml")</f>
        <v xml:space="preserve"> Lynx Dual 2 In 1 Shampoo &amp; Conditioner 355ml</v>
      </c>
      <c r="C7601" t="s">
        <v>610</v>
      </c>
      <c r="D7601" t="s">
        <v>1230</v>
      </c>
    </row>
    <row r="7602" spans="1:4" x14ac:dyDescent="0.25">
      <c r="B7602" t="str">
        <f>HYPERLINK("https://www.chemistwarehouse.com.au/buy/73348/Lynx-Shield-2-In-1-Anti-Dandruff-Shampoo-amp-Conditioner-355ml"," Lynx Shield 2 In 1 Anti-Dandruff Shampoo &amp; Conditioner 355ml")</f>
        <v xml:space="preserve"> Lynx Shield 2 In 1 Anti-Dandruff Shampoo &amp; Conditioner 355ml</v>
      </c>
      <c r="C7602" t="s">
        <v>610</v>
      </c>
      <c r="D7602" t="s">
        <v>1230</v>
      </c>
    </row>
    <row r="7603" spans="1:4" x14ac:dyDescent="0.25">
      <c r="A7603" t="s">
        <v>1780</v>
      </c>
    </row>
    <row r="7604" spans="1:4" x14ac:dyDescent="0.25">
      <c r="B7604" t="str">
        <f>HYPERLINK("https://www.chemistwarehouse.com.au/buy/79290/Dove-Daily-Moisture-Shampoo-250ml"," Dove Daily Moisture Shampoo 250ml")</f>
        <v xml:space="preserve"> Dove Daily Moisture Shampoo 250ml</v>
      </c>
      <c r="C7604" t="s">
        <v>146</v>
      </c>
      <c r="D7604">
        <v>0</v>
      </c>
    </row>
    <row r="7605" spans="1:4" x14ac:dyDescent="0.25">
      <c r="B7605" t="str">
        <f>HYPERLINK("https://www.chemistwarehouse.com.au/buy/79291/Dove-Intense-Repair-Shampoo-250ml"," Dove Intense Repair Shampoo 250ml")</f>
        <v xml:space="preserve"> Dove Intense Repair Shampoo 250ml</v>
      </c>
      <c r="C7605" t="s">
        <v>146</v>
      </c>
      <c r="D7605">
        <v>0</v>
      </c>
    </row>
    <row r="7606" spans="1:4" x14ac:dyDescent="0.25">
      <c r="B7606" t="str">
        <f>HYPERLINK("https://www.chemistwarehouse.com.au/buy/79293/Dove-Nourishing-Oil-Shampoo-250ml"," Dove Nourishing Oil Shampoo 250ml")</f>
        <v xml:space="preserve"> Dove Nourishing Oil Shampoo 250ml</v>
      </c>
      <c r="C7606" t="s">
        <v>146</v>
      </c>
      <c r="D7606">
        <v>0</v>
      </c>
    </row>
    <row r="7607" spans="1:4" x14ac:dyDescent="0.25">
      <c r="A7607" t="s">
        <v>1781</v>
      </c>
    </row>
    <row r="7608" spans="1:4" x14ac:dyDescent="0.25">
      <c r="B7608" t="str">
        <f>HYPERLINK("https://www.chemistwarehouse.com.au/buy/74153/Dove-Conditioner-Intense-Repair-200ml"," Dove Conditioner Intense Repair 200ml")</f>
        <v xml:space="preserve"> Dove Conditioner Intense Repair 200ml</v>
      </c>
      <c r="C7608" t="s">
        <v>146</v>
      </c>
      <c r="D7608">
        <v>0</v>
      </c>
    </row>
    <row r="7609" spans="1:4" x14ac:dyDescent="0.25">
      <c r="B7609" t="str">
        <f>HYPERLINK("https://www.chemistwarehouse.com.au/buy/79289/Dove-Daily-Moisture-Conditioner-200ml"," Dove Daily Moisture Conditioner 200ml")</f>
        <v xml:space="preserve"> Dove Daily Moisture Conditioner 200ml</v>
      </c>
      <c r="C7609" t="s">
        <v>146</v>
      </c>
      <c r="D7609">
        <v>0</v>
      </c>
    </row>
    <row r="7610" spans="1:4" x14ac:dyDescent="0.25">
      <c r="B7610" t="str">
        <f>HYPERLINK("https://www.chemistwarehouse.com.au/buy/79292/Dove-Nourishing-Oil-Conditioner-200ml"," Dove Nourishing Oil Conditioner 200ml")</f>
        <v xml:space="preserve"> Dove Nourishing Oil Conditioner 200ml</v>
      </c>
      <c r="C7610" t="s">
        <v>146</v>
      </c>
      <c r="D7610">
        <v>0</v>
      </c>
    </row>
    <row r="7611" spans="1:4" x14ac:dyDescent="0.25">
      <c r="A7611" t="s">
        <v>1782</v>
      </c>
    </row>
    <row r="7612" spans="1:4" x14ac:dyDescent="0.25">
      <c r="B7612" t="str">
        <f>HYPERLINK("https://www.chemistwarehouse.com.au/buy/74356/Alchemy-Unscented-Very-Gentle-Shampoo-500ml"," Alchemy Unscented Very Gentle Shampoo 500ml")</f>
        <v xml:space="preserve"> Alchemy Unscented Very Gentle Shampoo 500ml</v>
      </c>
      <c r="C7612" t="s">
        <v>401</v>
      </c>
      <c r="D7612" t="s">
        <v>408</v>
      </c>
    </row>
    <row r="7613" spans="1:4" x14ac:dyDescent="0.25">
      <c r="B7613" t="str">
        <f>HYPERLINK("https://www.chemistwarehouse.com.au/buy/78791/Akin-By-Alchemy-Dry-Shampoo-150ml"," Akin By Alchemy Dry Shampoo 150ml")</f>
        <v xml:space="preserve"> Akin By Alchemy Dry Shampoo 150ml</v>
      </c>
      <c r="C7613" t="s">
        <v>45</v>
      </c>
      <c r="D7613" t="s">
        <v>165</v>
      </c>
    </row>
    <row r="7614" spans="1:4" x14ac:dyDescent="0.25">
      <c r="B7614" t="str">
        <f>HYPERLINK("https://www.chemistwarehouse.com.au/buy/74354/Alchemy-Rosemary-Shampoo-500ml"," Alchemy Rosemary Shampoo 500ml")</f>
        <v xml:space="preserve"> Alchemy Rosemary Shampoo 500ml</v>
      </c>
      <c r="C7614" t="s">
        <v>401</v>
      </c>
      <c r="D7614" t="s">
        <v>408</v>
      </c>
    </row>
    <row r="7615" spans="1:4" x14ac:dyDescent="0.25">
      <c r="B7615" t="str">
        <f>HYPERLINK("https://www.chemistwarehouse.com.au/buy/74355/Alchemy-Ylang-Ylang-Shampoo-500ml"," Alchemy Ylang Ylang Shampoo 500ml")</f>
        <v xml:space="preserve"> Alchemy Ylang Ylang Shampoo 500ml</v>
      </c>
      <c r="C7615" t="s">
        <v>401</v>
      </c>
      <c r="D7615" t="s">
        <v>408</v>
      </c>
    </row>
    <row r="7616" spans="1:4" x14ac:dyDescent="0.25">
      <c r="A7616" t="s">
        <v>1783</v>
      </c>
    </row>
    <row r="7617" spans="1:4" x14ac:dyDescent="0.25">
      <c r="B7617" t="str">
        <f>HYPERLINK("https://www.chemistwarehouse.com.au/buy/74359/Alchemy-Unscented-Very-Gentle-Conditioner-500ml"," Alchemy Unscented Very Gentle Conditioner 500ml")</f>
        <v xml:space="preserve"> Alchemy Unscented Very Gentle Conditioner 500ml</v>
      </c>
      <c r="C7617" t="s">
        <v>401</v>
      </c>
      <c r="D7617" t="s">
        <v>408</v>
      </c>
    </row>
    <row r="7618" spans="1:4" x14ac:dyDescent="0.25">
      <c r="B7618" t="str">
        <f>HYPERLINK("https://www.chemistwarehouse.com.au/buy/74353/Alchemy-Lavender-amp-Anthyliss-Leave-In-Conditioner-150ml"," Alchemy Lavender &amp; Anthyliss Leave In Conditioner 150ml")</f>
        <v xml:space="preserve"> Alchemy Lavender &amp; Anthyliss Leave In Conditioner 150ml</v>
      </c>
      <c r="C7618" t="s">
        <v>443</v>
      </c>
      <c r="D7618" t="s">
        <v>821</v>
      </c>
    </row>
    <row r="7619" spans="1:4" x14ac:dyDescent="0.25">
      <c r="B7619" t="str">
        <f>HYPERLINK("https://www.chemistwarehouse.com.au/buy/74357/Alchemy-Avocado-amp-Calendula-Conditioner-500ml"," Alchemy Avocado &amp; Calendula Conditioner 500ml")</f>
        <v xml:space="preserve"> Alchemy Avocado &amp; Calendula Conditioner 500ml</v>
      </c>
      <c r="C7619" t="s">
        <v>401</v>
      </c>
      <c r="D7619" t="s">
        <v>408</v>
      </c>
    </row>
    <row r="7620" spans="1:4" x14ac:dyDescent="0.25">
      <c r="B7620" t="str">
        <f>HYPERLINK("https://www.chemistwarehouse.com.au/buy/74358/Alchemy-Macadamia-amp-Wheat-Protein-Conditioner-500ml"," Alchemy Macadamia &amp; Wheat Protein Conditioner 500ml")</f>
        <v xml:space="preserve"> Alchemy Macadamia &amp; Wheat Protein Conditioner 500ml</v>
      </c>
      <c r="C7620" t="s">
        <v>401</v>
      </c>
      <c r="D7620" t="s">
        <v>408</v>
      </c>
    </row>
    <row r="7621" spans="1:4" x14ac:dyDescent="0.25">
      <c r="A7621" t="s">
        <v>1784</v>
      </c>
    </row>
    <row r="7622" spans="1:4" x14ac:dyDescent="0.25">
      <c r="B7622" t="str">
        <f>HYPERLINK("https://www.chemistwarehouse.com.au/buy/31656/Garnier-Fructis-Fortifying-Shampoo-Normal-Hair-250mL"," Garnier Fructis Fortifying Shampoo - Normal Hair 250mL")</f>
        <v xml:space="preserve"> Garnier Fructis Fortifying Shampoo - Normal Hair 250mL</v>
      </c>
      <c r="C7622" t="s">
        <v>691</v>
      </c>
      <c r="D7622" t="s">
        <v>376</v>
      </c>
    </row>
    <row r="7623" spans="1:4" x14ac:dyDescent="0.25">
      <c r="B7623" t="str">
        <f>HYPERLINK("https://www.chemistwarehouse.com.au/buy/53255/Garnier-Fructis-Shampoo-Oily-Roots-Dry-Ends-250ml"," Garnier Fructis Shampoo Oily Roots Dry Ends 250ml")</f>
        <v xml:space="preserve"> Garnier Fructis Shampoo Oily Roots Dry Ends 250ml</v>
      </c>
      <c r="C7623" t="s">
        <v>691</v>
      </c>
      <c r="D7623" t="s">
        <v>376</v>
      </c>
    </row>
    <row r="7624" spans="1:4" x14ac:dyDescent="0.25">
      <c r="B7624" t="str">
        <f>HYPERLINK("https://www.chemistwarehouse.com.au/buy/31771/Garnier-Fructis-Fortifying-Shampoo-Coloured-or-Highlighted-Hair-250mL"," Garnier Fructis Fortifying Shampoo - Coloured or Highlighted Hair 250mL")</f>
        <v xml:space="preserve"> Garnier Fructis Fortifying Shampoo - Coloured or Highlighted Hair 250mL</v>
      </c>
      <c r="C7624" t="s">
        <v>691</v>
      </c>
      <c r="D7624" t="s">
        <v>376</v>
      </c>
    </row>
    <row r="7625" spans="1:4" x14ac:dyDescent="0.25">
      <c r="B7625" t="str">
        <f>HYPERLINK("https://www.chemistwarehouse.com.au/buy/64155/Garnier-Fructis-Pure-Shine-Strengthening-Shampoo-250ml"," Garnier Fructis Pure Shine Strengthening Shampoo 250ml")</f>
        <v xml:space="preserve"> Garnier Fructis Pure Shine Strengthening Shampoo 250ml</v>
      </c>
      <c r="C7625" t="s">
        <v>691</v>
      </c>
      <c r="D7625" t="s">
        <v>376</v>
      </c>
    </row>
    <row r="7626" spans="1:4" x14ac:dyDescent="0.25">
      <c r="B7626" t="str">
        <f>HYPERLINK("https://www.chemistwarehouse.com.au/buy/66192/Garnier-Fructis-Pure-Volume-Dry-Shampoo-150ml"," Garnier Fructis Pure Volume Dry Shampoo 150ml")</f>
        <v xml:space="preserve"> Garnier Fructis Pure Volume Dry Shampoo 150ml</v>
      </c>
      <c r="C7626" t="s">
        <v>120</v>
      </c>
      <c r="D7626" t="s">
        <v>336</v>
      </c>
    </row>
    <row r="7627" spans="1:4" x14ac:dyDescent="0.25">
      <c r="B7627" t="str">
        <f>HYPERLINK("https://www.chemistwarehouse.com.au/buy/70069/Garnier-Fructis-Goodbye-Damage-Shampoo-250ml"," Garnier Fructis Goodbye Damage Shampoo 250ml")</f>
        <v xml:space="preserve"> Garnier Fructis Goodbye Damage Shampoo 250ml</v>
      </c>
      <c r="C7627" t="s">
        <v>691</v>
      </c>
      <c r="D7627" t="s">
        <v>376</v>
      </c>
    </row>
    <row r="7628" spans="1:4" x14ac:dyDescent="0.25">
      <c r="B7628" t="str">
        <f>HYPERLINK("https://www.chemistwarehouse.com.au/buy/75027/Garnier-Fructis-Full-and-Luscious-Shampoo-250ml"," Garnier Fructis Full and Luscious Shampoo 250ml")</f>
        <v xml:space="preserve"> Garnier Fructis Full and Luscious Shampoo 250ml</v>
      </c>
      <c r="C7628" t="s">
        <v>691</v>
      </c>
      <c r="D7628" t="s">
        <v>376</v>
      </c>
    </row>
    <row r="7629" spans="1:4" x14ac:dyDescent="0.25">
      <c r="B7629" t="str">
        <f>HYPERLINK("https://www.chemistwarehouse.com.au/buy/53197/Garnier-Fructis-Shampoo-Nutri-Oil-Repair-250ml"," Garnier Fructis Shampoo Nutri-Oil Repair 250ml")</f>
        <v xml:space="preserve"> Garnier Fructis Shampoo Nutri-Oil Repair 250ml</v>
      </c>
      <c r="C7629" t="s">
        <v>691</v>
      </c>
      <c r="D7629" t="s">
        <v>376</v>
      </c>
    </row>
    <row r="7630" spans="1:4" x14ac:dyDescent="0.25">
      <c r="B7630" t="str">
        <f>HYPERLINK("https://www.chemistwarehouse.com.au/buy/53325/Garnier-Fructis-Shampoo-Sleek-amp-Shine-250ml"," Garnier Fructis Shampoo Sleek &amp; Shine 250ml")</f>
        <v xml:space="preserve"> Garnier Fructis Shampoo Sleek &amp; Shine 250ml</v>
      </c>
      <c r="C7630" t="s">
        <v>691</v>
      </c>
      <c r="D7630" t="s">
        <v>376</v>
      </c>
    </row>
    <row r="7631" spans="1:4" x14ac:dyDescent="0.25">
      <c r="B7631" t="str">
        <f>HYPERLINK("https://www.chemistwarehouse.com.au/buy/79058/Garnier-Fructis-Grow-Strong-Shampoo-250ml"," Garnier Fructis Grow Strong Shampoo 250ml")</f>
        <v xml:space="preserve"> Garnier Fructis Grow Strong Shampoo 250ml</v>
      </c>
      <c r="C7631" t="s">
        <v>691</v>
      </c>
      <c r="D7631" t="s">
        <v>376</v>
      </c>
    </row>
    <row r="7632" spans="1:4" x14ac:dyDescent="0.25">
      <c r="A7632" t="s">
        <v>1785</v>
      </c>
    </row>
    <row r="7633" spans="1:4" x14ac:dyDescent="0.25">
      <c r="B7633" t="str">
        <f>HYPERLINK("https://www.chemistwarehouse.com.au/buy/53256/Garnier-Fructis-Conditioner-Oily-Roots-Dry-Ends-250ml"," Garnier Fructis Conditioner Oily Roots Dry Ends 250ml")</f>
        <v xml:space="preserve"> Garnier Fructis Conditioner Oily Roots Dry Ends 250ml</v>
      </c>
      <c r="C7633" t="s">
        <v>691</v>
      </c>
      <c r="D7633" t="s">
        <v>376</v>
      </c>
    </row>
    <row r="7634" spans="1:4" x14ac:dyDescent="0.25">
      <c r="B7634" t="str">
        <f>HYPERLINK("https://www.chemistwarehouse.com.au/buy/31654/Garnier-Fructis-Fortifying-Conditioner-Coloured-or-Highlighted-Hair-250mL"," Garnier Fructis Fortifying Conditioner - Coloured or Highlighted Hair 250mL")</f>
        <v xml:space="preserve"> Garnier Fructis Fortifying Conditioner - Coloured or Highlighted Hair 250mL</v>
      </c>
      <c r="C7634" t="s">
        <v>691</v>
      </c>
      <c r="D7634" t="s">
        <v>376</v>
      </c>
    </row>
    <row r="7635" spans="1:4" x14ac:dyDescent="0.25">
      <c r="B7635" t="str">
        <f>HYPERLINK("https://www.chemistwarehouse.com.au/buy/31550/Garnier-Fructis-Fortifying-Conditioner-Normal-Hair-250mL"," Garnier Fructis Fortifying Conditioner - Normal Hair 250mL")</f>
        <v xml:space="preserve"> Garnier Fructis Fortifying Conditioner - Normal Hair 250mL</v>
      </c>
      <c r="C7635" t="s">
        <v>691</v>
      </c>
      <c r="D7635" t="s">
        <v>376</v>
      </c>
    </row>
    <row r="7636" spans="1:4" x14ac:dyDescent="0.25">
      <c r="B7636" t="str">
        <f>HYPERLINK("https://www.chemistwarehouse.com.au/buy/53193/Garnier-Fructis-Conditioner-Nutri-Oil-Repair-250ml"," Garnier Fructis Conditioner Nutri-Oil Repair 250ml")</f>
        <v xml:space="preserve"> Garnier Fructis Conditioner Nutri-Oil Repair 250ml</v>
      </c>
      <c r="C7636" t="s">
        <v>691</v>
      </c>
      <c r="D7636" t="s">
        <v>376</v>
      </c>
    </row>
    <row r="7637" spans="1:4" x14ac:dyDescent="0.25">
      <c r="B7637" t="str">
        <f>HYPERLINK("https://www.chemistwarehouse.com.au/buy/53328/Garnier-Fructis-Conditioner-Sleek-amp-Shine-250ml"," Garnier Fructis Conditioner Sleek &amp; Shine 250ml")</f>
        <v xml:space="preserve"> Garnier Fructis Conditioner Sleek &amp; Shine 250ml</v>
      </c>
      <c r="C7637" t="s">
        <v>691</v>
      </c>
      <c r="D7637" t="s">
        <v>376</v>
      </c>
    </row>
    <row r="7638" spans="1:4" x14ac:dyDescent="0.25">
      <c r="B7638" t="str">
        <f>HYPERLINK("https://www.chemistwarehouse.com.au/buy/64156/Garnier-Fructis-Pure-Shine-Strengthening-Conditioner-250ml"," Garnier Fructis Pure Shine Strengthening Conditioner 250ml")</f>
        <v xml:space="preserve"> Garnier Fructis Pure Shine Strengthening Conditioner 250ml</v>
      </c>
      <c r="C7638" t="s">
        <v>691</v>
      </c>
      <c r="D7638" t="s">
        <v>376</v>
      </c>
    </row>
    <row r="7639" spans="1:4" x14ac:dyDescent="0.25">
      <c r="B7639" t="str">
        <f>HYPERLINK("https://www.chemistwarehouse.com.au/buy/70018/Garnier-Fructis-Goodbye-Damage-Conditioner-250ml"," Garnier Fructis Goodbye Damage Conditioner 250ml")</f>
        <v xml:space="preserve"> Garnier Fructis Goodbye Damage Conditioner 250ml</v>
      </c>
      <c r="C7639" t="s">
        <v>691</v>
      </c>
      <c r="D7639" t="s">
        <v>376</v>
      </c>
    </row>
    <row r="7640" spans="1:4" x14ac:dyDescent="0.25">
      <c r="B7640" t="str">
        <f>HYPERLINK("https://www.chemistwarehouse.com.au/buy/75026/Garnier-Fructis-Full-and-Luscious-Conditioner-250ml"," Garnier Fructis Full and Luscious Conditioner 250ml")</f>
        <v xml:space="preserve"> Garnier Fructis Full and Luscious Conditioner 250ml</v>
      </c>
      <c r="C7640" t="s">
        <v>691</v>
      </c>
      <c r="D7640" t="s">
        <v>376</v>
      </c>
    </row>
    <row r="7641" spans="1:4" x14ac:dyDescent="0.25">
      <c r="B7641" t="str">
        <f>HYPERLINK("https://www.chemistwarehouse.com.au/buy/79057/Garnier-Fructis-Grow-Strong-Conditioner-250ml"," Garnier Fructis Grow Strong Conditioner 250ml")</f>
        <v xml:space="preserve"> Garnier Fructis Grow Strong Conditioner 250ml</v>
      </c>
      <c r="C7641" t="s">
        <v>691</v>
      </c>
      <c r="D7641" t="s">
        <v>376</v>
      </c>
    </row>
    <row r="7642" spans="1:4" x14ac:dyDescent="0.25">
      <c r="A7642" t="s">
        <v>1786</v>
      </c>
    </row>
    <row r="7643" spans="1:4" x14ac:dyDescent="0.25">
      <c r="B7643" t="str">
        <f>HYPERLINK("https://www.chemistwarehouse.com.au/buy/75800/Head-amp-Shoulders-Itchy-Scalp-Care-Shampoo-620ml"," Head &amp; Shoulders Itchy Scalp Care Shampoo 620ml")</f>
        <v xml:space="preserve"> Head &amp; Shoulders Itchy Scalp Care Shampoo 620ml</v>
      </c>
      <c r="C7643" t="s">
        <v>237</v>
      </c>
      <c r="D7643" t="s">
        <v>115</v>
      </c>
    </row>
    <row r="7644" spans="1:4" x14ac:dyDescent="0.25">
      <c r="B7644" t="str">
        <f>HYPERLINK("https://www.chemistwarehouse.com.au/buy/75801/Head-amp-Shoulders-Clean-amp-Balanced-Shampoo-620ml"," Head &amp; Shoulders Clean &amp; Balanced Shampoo 620ml")</f>
        <v xml:space="preserve"> Head &amp; Shoulders Clean &amp; Balanced Shampoo 620ml</v>
      </c>
      <c r="C7644" t="s">
        <v>237</v>
      </c>
      <c r="D7644" t="s">
        <v>115</v>
      </c>
    </row>
    <row r="7645" spans="1:4" x14ac:dyDescent="0.25">
      <c r="B7645" t="str">
        <f>HYPERLINK("https://www.chemistwarehouse.com.au/buy/54444/Head-amp-Shoulders-Shampoo-Clean-amp-Balanced-400ml"," Head &amp; Shoulders Shampoo Clean &amp; Balanced 400ml")</f>
        <v xml:space="preserve"> Head &amp; Shoulders Shampoo Clean &amp; Balanced 400ml</v>
      </c>
      <c r="C7645" t="s">
        <v>211</v>
      </c>
      <c r="D7645" t="s">
        <v>612</v>
      </c>
    </row>
    <row r="7646" spans="1:4" x14ac:dyDescent="0.25">
      <c r="B7646" t="str">
        <f>HYPERLINK("https://www.chemistwarehouse.com.au/buy/54694/Head-amp-Shoulders-Dry-Scalp-Shampoo-400mL"," Head &amp; Shoulders Dry Scalp Shampoo 400mL")</f>
        <v xml:space="preserve"> Head &amp; Shoulders Dry Scalp Shampoo 400mL</v>
      </c>
      <c r="C7646" t="s">
        <v>211</v>
      </c>
      <c r="D7646" t="s">
        <v>612</v>
      </c>
    </row>
    <row r="7647" spans="1:4" x14ac:dyDescent="0.25">
      <c r="B7647" t="str">
        <f>HYPERLINK("https://www.chemistwarehouse.com.au/buy/56463/Head-amp-Shoulders-Smooth-amp-Silky-Shampoo-400ml"," Head &amp; Shoulders Smooth &amp; Silky Shampoo 400ml")</f>
        <v xml:space="preserve"> Head &amp; Shoulders Smooth &amp; Silky Shampoo 400ml</v>
      </c>
      <c r="C7647" t="s">
        <v>211</v>
      </c>
      <c r="D7647" t="s">
        <v>612</v>
      </c>
    </row>
    <row r="7648" spans="1:4" x14ac:dyDescent="0.25">
      <c r="B7648" t="str">
        <f>HYPERLINK("https://www.chemistwarehouse.com.au/buy/62227/Head-amp-Shoulders-Shampoo-Itchy-Scalp-Care-200ml"," Head &amp; Shoulders Shampoo Itchy Scalp Care 200ml")</f>
        <v xml:space="preserve"> Head &amp; Shoulders Shampoo Itchy Scalp Care 200ml</v>
      </c>
      <c r="C7648" t="s">
        <v>375</v>
      </c>
      <c r="D7648" t="s">
        <v>1763</v>
      </c>
    </row>
    <row r="7649" spans="1:4" x14ac:dyDescent="0.25">
      <c r="B7649" t="str">
        <f>HYPERLINK("https://www.chemistwarehouse.com.au/buy/63473/Head-amp-Shoulders-Shampoo-Dry-Scalp-Care-200mL"," Head &amp; Shoulders Shampoo Dry Scalp Care 200mL")</f>
        <v xml:space="preserve"> Head &amp; Shoulders Shampoo Dry Scalp Care 200mL</v>
      </c>
      <c r="C7649" t="s">
        <v>375</v>
      </c>
      <c r="D7649" t="s">
        <v>1763</v>
      </c>
    </row>
    <row r="7650" spans="1:4" x14ac:dyDescent="0.25">
      <c r="B7650" t="str">
        <f>HYPERLINK("https://www.chemistwarehouse.com.au/buy/71883/Head-amp-Shoulders-Shampoo-Apple-Fresh-200ml"," Head &amp; Shoulders Shampoo Apple Fresh 200ml")</f>
        <v xml:space="preserve"> Head &amp; Shoulders Shampoo Apple Fresh 200ml</v>
      </c>
      <c r="C7650" t="s">
        <v>375</v>
      </c>
      <c r="D7650" t="s">
        <v>1763</v>
      </c>
    </row>
    <row r="7651" spans="1:4" x14ac:dyDescent="0.25">
      <c r="B7651" t="str">
        <f>HYPERLINK("https://www.chemistwarehouse.com.au/buy/71884/Head-amp-Shoulders-Shampoo-Apple-Fresh-400ml"," Head &amp; Shoulders Shampoo Apple Fresh 400ml")</f>
        <v xml:space="preserve"> Head &amp; Shoulders Shampoo Apple Fresh 400ml</v>
      </c>
      <c r="C7651" t="s">
        <v>211</v>
      </c>
      <c r="D7651" t="s">
        <v>612</v>
      </c>
    </row>
    <row r="7652" spans="1:4" x14ac:dyDescent="0.25">
      <c r="B7652" t="str">
        <f>HYPERLINK("https://www.chemistwarehouse.com.au/buy/71885/Head-amp-Shoulders-Shampoo-Itchy-Scalp-400ml"," Head &amp; Shoulders Shampoo Itchy Scalp 400ml")</f>
        <v xml:space="preserve"> Head &amp; Shoulders Shampoo Itchy Scalp 400ml</v>
      </c>
      <c r="C7652" t="s">
        <v>211</v>
      </c>
      <c r="D7652" t="s">
        <v>612</v>
      </c>
    </row>
    <row r="7653" spans="1:4" x14ac:dyDescent="0.25">
      <c r="B7653" t="str">
        <f>HYPERLINK("https://www.chemistwarehouse.com.au/buy/75798/Head-amp-Shoulders-Smooth-amp-Silky-Shampoo-620ml"," Head &amp; Shoulders Smooth &amp; Silky Shampoo 620ml")</f>
        <v xml:space="preserve"> Head &amp; Shoulders Smooth &amp; Silky Shampoo 620ml</v>
      </c>
      <c r="C7653" t="s">
        <v>237</v>
      </c>
      <c r="D7653" t="s">
        <v>115</v>
      </c>
    </row>
    <row r="7654" spans="1:4" x14ac:dyDescent="0.25">
      <c r="B7654" t="str">
        <f>HYPERLINK("https://www.chemistwarehouse.com.au/buy/75799/Head-amp-Shoulders-Apple-Fresh-Shampoo-620ml"," Head &amp; Shoulders Apple Fresh Shampoo 620ml")</f>
        <v xml:space="preserve"> Head &amp; Shoulders Apple Fresh Shampoo 620ml</v>
      </c>
      <c r="C7654" t="s">
        <v>237</v>
      </c>
      <c r="D7654" t="s">
        <v>115</v>
      </c>
    </row>
    <row r="7655" spans="1:4" x14ac:dyDescent="0.25">
      <c r="B7655" t="str">
        <f>HYPERLINK("https://www.chemistwarehouse.com.au/buy/76865/Head-amp-Shoulders-Glossy-Colour-Shampoo-350ml"," Head &amp; Shoulders Glossy Colour Shampoo 350ml ")</f>
        <v xml:space="preserve"> Head &amp; Shoulders Glossy Colour Shampoo 350ml </v>
      </c>
      <c r="C7655" t="s">
        <v>211</v>
      </c>
      <c r="D7655" t="s">
        <v>612</v>
      </c>
    </row>
    <row r="7656" spans="1:4" x14ac:dyDescent="0.25">
      <c r="B7656" t="str">
        <f>HYPERLINK("https://www.chemistwarehouse.com.au/buy/41093/Head-amp-Shoulders-Shampoo-Smooth-amp-Silky-200ml"," Head &amp; Shoulders Shampoo Smooth &amp; Silky 200ml")</f>
        <v xml:space="preserve"> Head &amp; Shoulders Shampoo Smooth &amp; Silky 200ml</v>
      </c>
      <c r="C7656" t="s">
        <v>375</v>
      </c>
      <c r="D7656" t="s">
        <v>1763</v>
      </c>
    </row>
    <row r="7657" spans="1:4" x14ac:dyDescent="0.25">
      <c r="B7657" t="str">
        <f>HYPERLINK("https://www.chemistwarehouse.com.au/buy/43182/Head-amp-Shoulders-Shampoo-Clean-amp-Balance-200mL"," Head &amp; Shoulders Shampoo Clean &amp; Balance 200mL")</f>
        <v xml:space="preserve"> Head &amp; Shoulders Shampoo Clean &amp; Balance 200mL</v>
      </c>
      <c r="C7657" t="s">
        <v>375</v>
      </c>
      <c r="D7657" t="s">
        <v>1763</v>
      </c>
    </row>
    <row r="7658" spans="1:4" x14ac:dyDescent="0.25">
      <c r="B7658" t="str">
        <f>HYPERLINK("https://www.chemistwarehouse.com.au/buy/76867/Head-amp-Shoulders-Damage-Rescue-Shampoo-350ml"," Head &amp; Shoulders Damage Rescue Shampoo 350ml ")</f>
        <v xml:space="preserve"> Head &amp; Shoulders Damage Rescue Shampoo 350ml </v>
      </c>
      <c r="C7658" t="s">
        <v>211</v>
      </c>
      <c r="D7658" t="s">
        <v>612</v>
      </c>
    </row>
    <row r="7659" spans="1:4" x14ac:dyDescent="0.25">
      <c r="B7659" t="str">
        <f>HYPERLINK("https://www.chemistwarehouse.com.au/buy/76866/Head-amp-Shoulders-Thick-amp-Strong-Shampoo-350ml"," Head &amp; Shoulders Thick &amp; Strong Shampoo 350ml")</f>
        <v xml:space="preserve"> Head &amp; Shoulders Thick &amp; Strong Shampoo 350ml</v>
      </c>
      <c r="C7659" t="s">
        <v>211</v>
      </c>
      <c r="D7659" t="s">
        <v>612</v>
      </c>
    </row>
    <row r="7660" spans="1:4" x14ac:dyDescent="0.25">
      <c r="A7660" t="s">
        <v>1787</v>
      </c>
    </row>
    <row r="7661" spans="1:4" x14ac:dyDescent="0.25">
      <c r="B7661" t="str">
        <f>HYPERLINK("https://www.chemistwarehouse.com.au/buy/51478/Head-amp-Shoulders-Conditioner-Clean-amp-Balanced-200ml"," Head &amp; Shoulders Conditioner Clean &amp; Balanced 200ml")</f>
        <v xml:space="preserve"> Head &amp; Shoulders Conditioner Clean &amp; Balanced 200ml</v>
      </c>
      <c r="C7661" t="s">
        <v>375</v>
      </c>
      <c r="D7661" t="s">
        <v>1763</v>
      </c>
    </row>
    <row r="7662" spans="1:4" x14ac:dyDescent="0.25">
      <c r="B7662" t="str">
        <f>HYPERLINK("https://www.chemistwarehouse.com.au/buy/54610/Head-amp-Shoulders-Dry-Scalp-Conditioner-400ml"," Head &amp; Shoulders Dry Scalp Conditioner 400ml")</f>
        <v xml:space="preserve"> Head &amp; Shoulders Dry Scalp Conditioner 400ml</v>
      </c>
      <c r="C7662" t="s">
        <v>211</v>
      </c>
      <c r="D7662" t="s">
        <v>612</v>
      </c>
    </row>
    <row r="7663" spans="1:4" x14ac:dyDescent="0.25">
      <c r="B7663" t="str">
        <f>HYPERLINK("https://www.chemistwarehouse.com.au/buy/54611/Head-amp-Shoulders-Smooth-amp-Silky-Conditioner-400ml"," Head &amp; Shoulders Smooth &amp; Silky Conditioner 400ml")</f>
        <v xml:space="preserve"> Head &amp; Shoulders Smooth &amp; Silky Conditioner 400ml</v>
      </c>
      <c r="C7663" t="s">
        <v>211</v>
      </c>
      <c r="D7663" t="s">
        <v>612</v>
      </c>
    </row>
    <row r="7664" spans="1:4" x14ac:dyDescent="0.25">
      <c r="B7664" t="str">
        <f>HYPERLINK("https://www.chemistwarehouse.com.au/buy/54640/Head-amp-Shoulders-Conditioner-Clean-amp-Balanced-400ml"," Head &amp; Shoulders Conditioner Clean &amp; Balanced 400ml")</f>
        <v xml:space="preserve"> Head &amp; Shoulders Conditioner Clean &amp; Balanced 400ml</v>
      </c>
      <c r="C7664" t="s">
        <v>211</v>
      </c>
      <c r="D7664" t="s">
        <v>612</v>
      </c>
    </row>
    <row r="7665" spans="1:4" x14ac:dyDescent="0.25">
      <c r="B7665" t="str">
        <f>HYPERLINK("https://www.chemistwarehouse.com.au/buy/62228/Head-amp-Shoulders-Conditioner-Itchy-Scalp-Care-200ml"," Head &amp; Shoulders Conditioner Itchy Scalp Care 200ml")</f>
        <v xml:space="preserve"> Head &amp; Shoulders Conditioner Itchy Scalp Care 200ml</v>
      </c>
      <c r="C7665" t="s">
        <v>375</v>
      </c>
      <c r="D7665" t="s">
        <v>1763</v>
      </c>
    </row>
    <row r="7666" spans="1:4" x14ac:dyDescent="0.25">
      <c r="B7666" t="str">
        <f>HYPERLINK("https://www.chemistwarehouse.com.au/buy/71882/Head-amp-Shoulders-Conditioner-Apple-Fresh-200ml"," Head &amp; Shoulders Conditioner Apple Fresh 200ml")</f>
        <v xml:space="preserve"> Head &amp; Shoulders Conditioner Apple Fresh 200ml</v>
      </c>
      <c r="C7666" t="s">
        <v>375</v>
      </c>
      <c r="D7666" t="s">
        <v>1763</v>
      </c>
    </row>
    <row r="7667" spans="1:4" x14ac:dyDescent="0.25">
      <c r="B7667" t="str">
        <f>HYPERLINK("https://www.chemistwarehouse.com.au/buy/78979/Head-amp-Shoulders-Glossy-Colour-Conditioner-350ml"," Head &amp; Shoulders Glossy Colour Conditioner 350ml")</f>
        <v xml:space="preserve"> Head &amp; Shoulders Glossy Colour Conditioner 350ml</v>
      </c>
      <c r="C7667" t="s">
        <v>211</v>
      </c>
      <c r="D7667" t="s">
        <v>612</v>
      </c>
    </row>
    <row r="7668" spans="1:4" x14ac:dyDescent="0.25">
      <c r="B7668" t="str">
        <f>HYPERLINK("https://www.chemistwarehouse.com.au/buy/78980/Head-amp-Shoulders-Damage-Rescue-Conditioner-350ml"," Head &amp; Shoulders Damage Rescue Conditioner 350ml")</f>
        <v xml:space="preserve"> Head &amp; Shoulders Damage Rescue Conditioner 350ml</v>
      </c>
      <c r="C7668" t="s">
        <v>211</v>
      </c>
      <c r="D7668" t="s">
        <v>612</v>
      </c>
    </row>
    <row r="7669" spans="1:4" x14ac:dyDescent="0.25">
      <c r="B7669" t="str">
        <f>HYPERLINK("https://www.chemistwarehouse.com.au/buy/78981/Head-amp-Shoulders-Thick-amp-Strong-Conditioner-350ml"," Head &amp; Shoulders Thick &amp; Strong Conditioner 350ml")</f>
        <v xml:space="preserve"> Head &amp; Shoulders Thick &amp; Strong Conditioner 350ml</v>
      </c>
      <c r="C7669" t="s">
        <v>211</v>
      </c>
      <c r="D7669" t="s">
        <v>612</v>
      </c>
    </row>
    <row r="7670" spans="1:4" x14ac:dyDescent="0.25">
      <c r="B7670" t="str">
        <f>HYPERLINK("https://www.chemistwarehouse.com.au/buy/33810/Head-amp-Shoulders-Conditioner-Dry-Scalp-Care-200mL"," Head &amp; Shoulders Conditioner Dry Scalp Care 200mL")</f>
        <v xml:space="preserve"> Head &amp; Shoulders Conditioner Dry Scalp Care 200mL</v>
      </c>
      <c r="C7670" t="s">
        <v>375</v>
      </c>
      <c r="D7670" t="s">
        <v>1763</v>
      </c>
    </row>
    <row r="7671" spans="1:4" x14ac:dyDescent="0.25">
      <c r="B7671" t="str">
        <f>HYPERLINK("https://www.chemistwarehouse.com.au/buy/40612/Head-amp-Shoulders-Conditioner-Smooth-amp-Silky-200mL"," Head &amp; Shoulders Conditioner Smooth &amp; Silky 200mL")</f>
        <v xml:space="preserve"> Head &amp; Shoulders Conditioner Smooth &amp; Silky 200mL</v>
      </c>
      <c r="C7671" t="s">
        <v>375</v>
      </c>
      <c r="D7671" t="s">
        <v>1763</v>
      </c>
    </row>
    <row r="7672" spans="1:4" x14ac:dyDescent="0.25">
      <c r="A7672" t="s">
        <v>1788</v>
      </c>
    </row>
    <row r="7673" spans="1:4" x14ac:dyDescent="0.25">
      <c r="B7673" t="str">
        <f>HYPERLINK("https://www.chemistwarehouse.com.au/buy/74780/Head-amp-Shoulders-Extra-Strengthening-Tonic-100ml"," Head &amp; Shoulders Extra Strengthening Tonic 100ml")</f>
        <v xml:space="preserve"> Head &amp; Shoulders Extra Strengthening Tonic 100ml</v>
      </c>
      <c r="C7673" t="s">
        <v>556</v>
      </c>
      <c r="D7673" t="s">
        <v>274</v>
      </c>
    </row>
    <row r="7674" spans="1:4" x14ac:dyDescent="0.25">
      <c r="A7674" t="s">
        <v>1789</v>
      </c>
    </row>
    <row r="7675" spans="1:4" x14ac:dyDescent="0.25">
      <c r="B7675" t="str">
        <f>HYPERLINK("https://www.chemistwarehouse.com.au/buy/74863/Headgear-Chill-Out-Mint-Infused-Shampoo-300ml"," Headgear Chill Out Mint Infused Shampoo 300ml")</f>
        <v xml:space="preserve"> Headgear Chill Out Mint Infused Shampoo 300ml</v>
      </c>
      <c r="C7675" t="s">
        <v>556</v>
      </c>
      <c r="D7675" t="s">
        <v>46</v>
      </c>
    </row>
    <row r="7676" spans="1:4" x14ac:dyDescent="0.25">
      <c r="A7676" t="s">
        <v>1790</v>
      </c>
    </row>
    <row r="7677" spans="1:4" x14ac:dyDescent="0.25">
      <c r="B7677" t="str">
        <f>HYPERLINK("https://www.chemistwarehouse.com.au/buy/66200/Herbal-Essences-Classics-490ml-Replenishing-Shampoo"," Herbal Essences Classics 490ml Replenishing Shampoo")</f>
        <v xml:space="preserve"> Herbal Essences Classics 490ml Replenishing Shampoo</v>
      </c>
      <c r="C7677" t="s">
        <v>103</v>
      </c>
      <c r="D7677" t="s">
        <v>593</v>
      </c>
    </row>
    <row r="7678" spans="1:4" x14ac:dyDescent="0.25">
      <c r="B7678" t="str">
        <f>HYPERLINK("https://www.chemistwarehouse.com.au/buy/51763/Herbal-Essences-Hello-Hydration-Shampoo-300ml"," Herbal Essences Hello Hydration Shampoo 300ml")</f>
        <v xml:space="preserve"> Herbal Essences Hello Hydration Shampoo 300ml</v>
      </c>
      <c r="C7678" t="s">
        <v>691</v>
      </c>
      <c r="D7678" t="s">
        <v>806</v>
      </c>
    </row>
    <row r="7679" spans="1:4" x14ac:dyDescent="0.25">
      <c r="B7679" t="str">
        <f>HYPERLINK("https://www.chemistwarehouse.com.au/buy/61576/Herbal-Essence-Shampoo-Tousle-Me-Softly-300ml"," Herbal Essence Shampoo Tousle Me Softly 300ml")</f>
        <v xml:space="preserve"> Herbal Essence Shampoo Tousle Me Softly 300ml</v>
      </c>
      <c r="C7679" t="s">
        <v>691</v>
      </c>
      <c r="D7679" t="s">
        <v>806</v>
      </c>
    </row>
    <row r="7680" spans="1:4" x14ac:dyDescent="0.25">
      <c r="B7680" t="str">
        <f>HYPERLINK("https://www.chemistwarehouse.com.au/buy/66199/Herbal-Essences-Classics-490ml-Normal-Shampoo"," Herbal Essences Classics 490ml Normal Shampoo")</f>
        <v xml:space="preserve"> Herbal Essences Classics 490ml Normal Shampoo</v>
      </c>
      <c r="C7680" t="s">
        <v>103</v>
      </c>
      <c r="D7680" t="s">
        <v>593</v>
      </c>
    </row>
    <row r="7681" spans="1:4" x14ac:dyDescent="0.25">
      <c r="B7681" t="str">
        <f>HYPERLINK("https://www.chemistwarehouse.com.au/buy/51762/Herbal-Essences-Drama-Clean-Shampoo-300ml"," Herbal Essences Drama Clean Shampoo 300ml")</f>
        <v xml:space="preserve"> Herbal Essences Drama Clean Shampoo 300ml</v>
      </c>
      <c r="C7681" t="s">
        <v>691</v>
      </c>
      <c r="D7681" t="s">
        <v>806</v>
      </c>
    </row>
    <row r="7682" spans="1:4" x14ac:dyDescent="0.25">
      <c r="B7682" t="str">
        <f>HYPERLINK("https://www.chemistwarehouse.com.au/buy/51760/Herbal-Essences-Colour-me-Happy-Shampoo-300ml"," Herbal Essences Colour me Happy Shampoo 300ml")</f>
        <v xml:space="preserve"> Herbal Essences Colour me Happy Shampoo 300ml</v>
      </c>
      <c r="C7682" t="s">
        <v>691</v>
      </c>
      <c r="D7682" t="s">
        <v>806</v>
      </c>
    </row>
    <row r="7683" spans="1:4" x14ac:dyDescent="0.25">
      <c r="B7683" t="str">
        <f>HYPERLINK("https://www.chemistwarehouse.com.au/buy/68471/Herbal-Essences-Honey-Im-Strong-Shampoo-300ml"," Herbal Essences Honey Im Strong Shampoo 300ml")</f>
        <v xml:space="preserve"> Herbal Essences Honey Im Strong Shampoo 300ml</v>
      </c>
      <c r="C7683" t="s">
        <v>691</v>
      </c>
      <c r="D7683" t="s">
        <v>806</v>
      </c>
    </row>
    <row r="7684" spans="1:4" x14ac:dyDescent="0.25">
      <c r="B7684" t="str">
        <f>HYPERLINK("https://www.chemistwarehouse.com.au/buy/71694/Herbal-Essences-Naked-Volume-Shampoo-300ml"," Herbal Essences Naked Volume Shampoo 300ml")</f>
        <v xml:space="preserve"> Herbal Essences Naked Volume Shampoo 300ml</v>
      </c>
      <c r="C7684" t="s">
        <v>691</v>
      </c>
      <c r="D7684" t="s">
        <v>806</v>
      </c>
    </row>
    <row r="7685" spans="1:4" x14ac:dyDescent="0.25">
      <c r="B7685" t="str">
        <f>HYPERLINK("https://www.chemistwarehouse.com.au/buy/75639/Herbal-Essences-Naked-Dry-Shampoo-140g"," Herbal Essences Naked Dry Shampoo 140g")</f>
        <v xml:space="preserve"> Herbal Essences Naked Dry Shampoo 140g</v>
      </c>
      <c r="C7685" t="s">
        <v>556</v>
      </c>
      <c r="D7685" t="s">
        <v>162</v>
      </c>
    </row>
    <row r="7686" spans="1:4" x14ac:dyDescent="0.25">
      <c r="B7686" t="str">
        <f>HYPERLINK("https://www.chemistwarehouse.com.au/buy/75674/Herbal-Essences-Moroccan-My-Shine-Shampoo-300ml"," Herbal Essences Moroccan My Shine Shampoo 300ml ")</f>
        <v xml:space="preserve"> Herbal Essences Moroccan My Shine Shampoo 300ml </v>
      </c>
      <c r="C7686" t="s">
        <v>691</v>
      </c>
      <c r="D7686" t="s">
        <v>806</v>
      </c>
    </row>
    <row r="7687" spans="1:4" x14ac:dyDescent="0.25">
      <c r="B7687" t="str">
        <f>HYPERLINK("https://www.chemistwarehouse.com.au/buy/79775/Harmony-Herbal-Shampoo-Normal-Fine-Hair-250ml"," Harmony Herbal Shampoo Normal Fine Hair 250ml")</f>
        <v xml:space="preserve"> Harmony Herbal Shampoo Normal Fine Hair 250ml</v>
      </c>
      <c r="C7687" t="s">
        <v>635</v>
      </c>
      <c r="D7687" t="s">
        <v>115</v>
      </c>
    </row>
    <row r="7688" spans="1:4" x14ac:dyDescent="0.25">
      <c r="B7688" t="str">
        <f>HYPERLINK("https://www.chemistwarehouse.com.au/buy/79776/Herbal-Essences-Uplifting-Volume-Citrus-Dry-Shampoo-65ml"," Herbal Essences Uplifting Volume Citrus Dry Shampoo 65ml")</f>
        <v xml:space="preserve"> Herbal Essences Uplifting Volume Citrus Dry Shampoo 65ml</v>
      </c>
      <c r="C7688" t="s">
        <v>146</v>
      </c>
      <c r="D7688" t="s">
        <v>115</v>
      </c>
    </row>
    <row r="7689" spans="1:4" x14ac:dyDescent="0.25">
      <c r="B7689" t="str">
        <f>HYPERLINK("https://www.chemistwarehouse.com.au/buy/79777/Herbal-Essences-Natural-Tapioca-Dry-Shampoo-65ml"," Herbal Essences Natural Tapioca Dry Shampoo 65ml ")</f>
        <v xml:space="preserve"> Herbal Essences Natural Tapioca Dry Shampoo 65ml </v>
      </c>
      <c r="C7689" t="s">
        <v>146</v>
      </c>
      <c r="D7689" t="s">
        <v>115</v>
      </c>
    </row>
    <row r="7690" spans="1:4" x14ac:dyDescent="0.25">
      <c r="B7690" t="str">
        <f>HYPERLINK("https://www.chemistwarehouse.com.au/buy/82253/Herbal-Essences-Hello-Hydration-Shampoo-amp-Conditioner-300ml-Bundle-Pack"," Herbal Essences Hello Hydration Shampoo &amp; Conditioner 300ml Bundle Pack")</f>
        <v xml:space="preserve"> Herbal Essences Hello Hydration Shampoo &amp; Conditioner 300ml Bundle Pack</v>
      </c>
      <c r="C7690" t="s">
        <v>116</v>
      </c>
      <c r="D7690" t="s">
        <v>556</v>
      </c>
    </row>
    <row r="7691" spans="1:4" x14ac:dyDescent="0.25">
      <c r="B7691" t="str">
        <f>HYPERLINK("https://www.chemistwarehouse.com.au/buy/82254/Herbal-Essences-Drama-Clean-Shampoo-amp-Conditioner-300ml-Bundle-Pack"," Herbal Essences Drama Clean Shampoo &amp; Conditioner 300ml Bundle Pack")</f>
        <v xml:space="preserve"> Herbal Essences Drama Clean Shampoo &amp; Conditioner 300ml Bundle Pack</v>
      </c>
      <c r="C7691" t="s">
        <v>116</v>
      </c>
      <c r="D7691" t="s">
        <v>556</v>
      </c>
    </row>
    <row r="7692" spans="1:4" x14ac:dyDescent="0.25">
      <c r="B7692" t="str">
        <f>HYPERLINK("https://www.chemistwarehouse.com.au/buy/71692/Herbal-Essences-Naked-Moisture-Shampoo-300ml"," Herbal Essences Naked Moisture Shampoo 300ml")</f>
        <v xml:space="preserve"> Herbal Essences Naked Moisture Shampoo 300ml</v>
      </c>
      <c r="C7692" t="s">
        <v>691</v>
      </c>
      <c r="D7692" t="s">
        <v>806</v>
      </c>
    </row>
    <row r="7693" spans="1:4" x14ac:dyDescent="0.25">
      <c r="B7693" t="str">
        <f>HYPERLINK("https://www.chemistwarehouse.com.au/buy/71693/Herbal-Essences-Naked-Shine-Shampoo-300ml"," Herbal Essences Naked Shine Shampoo 300ml")</f>
        <v xml:space="preserve"> Herbal Essences Naked Shine Shampoo 300ml</v>
      </c>
      <c r="C7693" t="s">
        <v>691</v>
      </c>
      <c r="D7693" t="s">
        <v>806</v>
      </c>
    </row>
    <row r="7694" spans="1:4" x14ac:dyDescent="0.25">
      <c r="A7694" t="s">
        <v>1791</v>
      </c>
    </row>
    <row r="7695" spans="1:4" x14ac:dyDescent="0.25">
      <c r="B7695" t="str">
        <f>HYPERLINK("https://www.chemistwarehouse.com.au/buy/51757/Herbal-Essences-Hello-Hydration-Conditioner-300ml"," Herbal Essences Hello Hydration Conditioner 300ml")</f>
        <v xml:space="preserve"> Herbal Essences Hello Hydration Conditioner 300ml</v>
      </c>
      <c r="C7695" t="s">
        <v>691</v>
      </c>
      <c r="D7695" t="s">
        <v>806</v>
      </c>
    </row>
    <row r="7696" spans="1:4" x14ac:dyDescent="0.25">
      <c r="B7696" t="str">
        <f>HYPERLINK("https://www.chemistwarehouse.com.au/buy/61519/Herbal-Essence-Conditioner-Tousle-Me-Softly-300ml"," Herbal Essence Conditioner Tousle Me Softly 300ml")</f>
        <v xml:space="preserve"> Herbal Essence Conditioner Tousle Me Softly 300ml</v>
      </c>
      <c r="C7696" t="s">
        <v>691</v>
      </c>
      <c r="D7696" t="s">
        <v>806</v>
      </c>
    </row>
    <row r="7697" spans="1:4" x14ac:dyDescent="0.25">
      <c r="B7697" t="str">
        <f>HYPERLINK("https://www.chemistwarehouse.com.au/buy/66165/Herbal-Essences-Classics-490ml-Replenishing-Conditioner"," Herbal Essences Classics 490ml Replenishing Conditioner")</f>
        <v xml:space="preserve"> Herbal Essences Classics 490ml Replenishing Conditioner</v>
      </c>
      <c r="C7697" t="s">
        <v>103</v>
      </c>
      <c r="D7697" t="s">
        <v>593</v>
      </c>
    </row>
    <row r="7698" spans="1:4" x14ac:dyDescent="0.25">
      <c r="B7698" t="str">
        <f>HYPERLINK("https://www.chemistwarehouse.com.au/buy/66168/Herbal-Essences-Classics-490ml-Normal-Conditioner"," Herbal Essences Classics 490ml Normal Conditioner")</f>
        <v xml:space="preserve"> Herbal Essences Classics 490ml Normal Conditioner</v>
      </c>
      <c r="C7698" t="s">
        <v>103</v>
      </c>
      <c r="D7698" t="s">
        <v>593</v>
      </c>
    </row>
    <row r="7699" spans="1:4" x14ac:dyDescent="0.25">
      <c r="B7699" t="str">
        <f>HYPERLINK("https://www.chemistwarehouse.com.au/buy/68409/Herbal-Essences-Honey-Im-Strong-Conditioner-300ml"," Herbal Essences Honey Im Strong Conditioner 300ml")</f>
        <v xml:space="preserve"> Herbal Essences Honey Im Strong Conditioner 300ml</v>
      </c>
      <c r="C7699" t="s">
        <v>691</v>
      </c>
      <c r="D7699" t="s">
        <v>806</v>
      </c>
    </row>
    <row r="7700" spans="1:4" x14ac:dyDescent="0.25">
      <c r="B7700" t="str">
        <f>HYPERLINK("https://www.chemistwarehouse.com.au/buy/51754/Herbal-Essences-Colour-Me-Happy-Conditioner-300ml"," Herbal Essences Colour Me Happy Conditioner 300ml")</f>
        <v xml:space="preserve"> Herbal Essences Colour Me Happy Conditioner 300ml</v>
      </c>
      <c r="C7700" t="s">
        <v>691</v>
      </c>
      <c r="D7700" t="s">
        <v>806</v>
      </c>
    </row>
    <row r="7701" spans="1:4" x14ac:dyDescent="0.25">
      <c r="B7701" t="str">
        <f>HYPERLINK("https://www.chemistwarehouse.com.au/buy/51755/Herbal-Essences-Drama-Clean-Conditioner-300ml"," Herbal Essences Drama Clean Conditioner 300ml")</f>
        <v xml:space="preserve"> Herbal Essences Drama Clean Conditioner 300ml</v>
      </c>
      <c r="C7701" t="s">
        <v>691</v>
      </c>
      <c r="D7701" t="s">
        <v>806</v>
      </c>
    </row>
    <row r="7702" spans="1:4" x14ac:dyDescent="0.25">
      <c r="B7702" t="str">
        <f>HYPERLINK("https://www.chemistwarehouse.com.au/buy/75673/Herbal-Essences-Moroccan-My-Shine-Conditioner-300ml"," Herbal Essences Moroccan My Shine Conditioner 300ml ")</f>
        <v xml:space="preserve"> Herbal Essences Moroccan My Shine Conditioner 300ml </v>
      </c>
      <c r="C7702" t="s">
        <v>691</v>
      </c>
      <c r="D7702" t="s">
        <v>806</v>
      </c>
    </row>
    <row r="7703" spans="1:4" x14ac:dyDescent="0.25">
      <c r="B7703" t="str">
        <f>HYPERLINK("https://www.chemistwarehouse.com.au/buy/71689/Herbal-Essences-Naked-Moisture-Conditioner-300ml"," Herbal Essences Naked Moisture Conditioner 300ml")</f>
        <v xml:space="preserve"> Herbal Essences Naked Moisture Conditioner 300ml</v>
      </c>
      <c r="C7703" t="s">
        <v>691</v>
      </c>
      <c r="D7703" t="s">
        <v>806</v>
      </c>
    </row>
    <row r="7704" spans="1:4" x14ac:dyDescent="0.25">
      <c r="B7704" t="str">
        <f>HYPERLINK("https://www.chemistwarehouse.com.au/buy/71690/Herbal-Essences-Naked-Shine-Conditioner-300ml"," Herbal Essences Naked Shine Conditioner 300ml")</f>
        <v xml:space="preserve"> Herbal Essences Naked Shine Conditioner 300ml</v>
      </c>
      <c r="C7704" t="s">
        <v>691</v>
      </c>
      <c r="D7704" t="s">
        <v>806</v>
      </c>
    </row>
    <row r="7705" spans="1:4" x14ac:dyDescent="0.25">
      <c r="B7705" t="str">
        <f>HYPERLINK("https://www.chemistwarehouse.com.au/buy/71691/Herbal-Essences-Naked-Volume-Conditioner-300ml"," Herbal Essences Naked Volume Conditioner 300ml")</f>
        <v xml:space="preserve"> Herbal Essences Naked Volume Conditioner 300ml</v>
      </c>
      <c r="C7705" t="s">
        <v>691</v>
      </c>
      <c r="D7705" t="s">
        <v>806</v>
      </c>
    </row>
    <row r="7706" spans="1:4" x14ac:dyDescent="0.25">
      <c r="A7706" t="s">
        <v>1792</v>
      </c>
    </row>
    <row r="7707" spans="1:4" x14ac:dyDescent="0.25">
      <c r="B7707" t="str">
        <f>HYPERLINK("https://www.chemistwarehouse.com.au/buy/79272/John-Frieda-Sheer-Blonde-Go-Blonder-Shampoo-250ml"," John Frieda Sheer Blonde Go Blonder Shampoo 250ml")</f>
        <v xml:space="preserve"> John Frieda Sheer Blonde Go Blonder Shampoo 250ml</v>
      </c>
      <c r="C7707" t="s">
        <v>187</v>
      </c>
      <c r="D7707" t="s">
        <v>115</v>
      </c>
    </row>
    <row r="7708" spans="1:4" x14ac:dyDescent="0.25">
      <c r="B7708" t="str">
        <f>HYPERLINK("https://www.chemistwarehouse.com.au/buy/79274/John-Frieda-Sheer-Blonde-Hi-Impact-Shampoo-250ml"," John Frieda Sheer Blonde Hi Impact Shampoo 250ml")</f>
        <v xml:space="preserve"> John Frieda Sheer Blonde Hi Impact Shampoo 250ml</v>
      </c>
      <c r="C7708" t="s">
        <v>228</v>
      </c>
      <c r="D7708" t="s">
        <v>121</v>
      </c>
    </row>
    <row r="7709" spans="1:4" x14ac:dyDescent="0.25">
      <c r="B7709" t="str">
        <f>HYPERLINK("https://www.chemistwarehouse.com.au/buy/75243/John-Frieda-Frizz-Ease-Forever-Smooth-Shampoo-250ml"," John Frieda Frizz Ease Forever Smooth Shampoo 250ml")</f>
        <v xml:space="preserve"> John Frieda Frizz Ease Forever Smooth Shampoo 250ml</v>
      </c>
      <c r="C7709" t="s">
        <v>228</v>
      </c>
      <c r="D7709" t="s">
        <v>121</v>
      </c>
    </row>
    <row r="7710" spans="1:4" x14ac:dyDescent="0.25">
      <c r="B7710" t="str">
        <f>HYPERLINK("https://www.chemistwarehouse.com.au/buy/79266/John-Frieda-Brilliant-Brunette-Visibly-Brighter-Shampoo-250ml"," John Frieda Brilliant Brunette Visibly Brighter Shampoo 250ml")</f>
        <v xml:space="preserve"> John Frieda Brilliant Brunette Visibly Brighter Shampoo 250ml</v>
      </c>
      <c r="C7710" t="s">
        <v>187</v>
      </c>
      <c r="D7710" t="s">
        <v>115</v>
      </c>
    </row>
    <row r="7711" spans="1:4" x14ac:dyDescent="0.25">
      <c r="B7711" t="str">
        <f>HYPERLINK("https://www.chemistwarehouse.com.au/buy/56205/John-Frieda-Sheer-Blonde-Shampoo-Moisturising-250mL"," John Frieda Sheer Blonde Shampoo Moisturising 250mL")</f>
        <v xml:space="preserve"> John Frieda Sheer Blonde Shampoo Moisturising 250mL</v>
      </c>
      <c r="C7711" t="s">
        <v>228</v>
      </c>
      <c r="D7711" t="s">
        <v>121</v>
      </c>
    </row>
    <row r="7712" spans="1:4" x14ac:dyDescent="0.25">
      <c r="B7712" t="str">
        <f>HYPERLINK("https://www.chemistwarehouse.com.au/buy/56304/John-Frieda-Brilliant-Brunette-Shampoo-Moisturising-250ml"," John Frieda Brilliant Brunette Shampoo Moisturising 250ml")</f>
        <v xml:space="preserve"> John Frieda Brilliant Brunette Shampoo Moisturising 250ml</v>
      </c>
      <c r="C7712" t="s">
        <v>228</v>
      </c>
      <c r="D7712" t="s">
        <v>121</v>
      </c>
    </row>
    <row r="7713" spans="1:4" x14ac:dyDescent="0.25">
      <c r="B7713" t="str">
        <f>HYPERLINK("https://www.chemistwarehouse.com.au/buy/58652/John-Frieda-Sheer-Blonde-Tone-Restoring-Shampoo-250ml"," John Frieda Sheer Blonde Tone Restoring Shampoo 250ml")</f>
        <v xml:space="preserve"> John Frieda Sheer Blonde Tone Restoring Shampoo 250ml</v>
      </c>
      <c r="C7713" t="s">
        <v>187</v>
      </c>
      <c r="D7713" t="s">
        <v>115</v>
      </c>
    </row>
    <row r="7714" spans="1:4" x14ac:dyDescent="0.25">
      <c r="B7714" t="str">
        <f>HYPERLINK("https://www.chemistwarehouse.com.au/buy/59754/John-Frieda-Luxurious-Volume-Shampoo-250ml"," John Frieda Luxurious Volume Shampoo 250ml")</f>
        <v xml:space="preserve"> John Frieda Luxurious Volume Shampoo 250ml</v>
      </c>
      <c r="C7714" t="s">
        <v>228</v>
      </c>
      <c r="D7714" t="s">
        <v>121</v>
      </c>
    </row>
    <row r="7715" spans="1:4" x14ac:dyDescent="0.25">
      <c r="B7715" t="str">
        <f>HYPERLINK("https://www.chemistwarehouse.com.au/buy/59756/John-Frieda-Smooth-Start-Repairing-Shampoo-250ml"," John Frieda Smooth Start Repairing Shampoo 250ml")</f>
        <v xml:space="preserve"> John Frieda Smooth Start Repairing Shampoo 250ml</v>
      </c>
      <c r="C7715" t="s">
        <v>228</v>
      </c>
      <c r="D7715" t="s">
        <v>121</v>
      </c>
    </row>
    <row r="7716" spans="1:4" x14ac:dyDescent="0.25">
      <c r="B7716" t="str">
        <f>HYPERLINK("https://www.chemistwarehouse.com.au/buy/59758/John-Frieda-Dream-Curls-Shampoo-250ml"," John Frieda Dream Curls Shampoo 250ml")</f>
        <v xml:space="preserve"> John Frieda Dream Curls Shampoo 250ml</v>
      </c>
      <c r="C7716" t="s">
        <v>228</v>
      </c>
      <c r="D7716" t="s">
        <v>121</v>
      </c>
    </row>
    <row r="7717" spans="1:4" x14ac:dyDescent="0.25">
      <c r="B7717" t="str">
        <f>HYPERLINK("https://www.chemistwarehouse.com.au/buy/63575/John-Frieda-Full-Repair-Full-Body-Shampoo-250ml"," John Frieda Full Repair Full Body Shampoo 250ml")</f>
        <v xml:space="preserve"> John Frieda Full Repair Full Body Shampoo 250ml</v>
      </c>
      <c r="C7717" t="s">
        <v>228</v>
      </c>
      <c r="D7717" t="s">
        <v>121</v>
      </c>
    </row>
    <row r="7718" spans="1:4" x14ac:dyDescent="0.25">
      <c r="B7718" t="str">
        <f>HYPERLINK("https://www.chemistwarehouse.com.au/buy/68615/John-Frieda-Radiant-Red-Shampoo-250ml"," John Frieda Radiant Red Shampoo 250ml")</f>
        <v xml:space="preserve"> John Frieda Radiant Red Shampoo 250ml</v>
      </c>
      <c r="C7718" t="s">
        <v>228</v>
      </c>
      <c r="D7718" t="s">
        <v>121</v>
      </c>
    </row>
    <row r="7719" spans="1:4" x14ac:dyDescent="0.25">
      <c r="B7719" t="str">
        <f>HYPERLINK("https://www.chemistwarehouse.com.au/buy/74271/John-Frieda-Beach-Blonde-Cool-Dip-Purifying-Shampoo-295ml"," John Frieda Beach Blonde Cool Dip Purifying Shampoo 295ml ")</f>
        <v xml:space="preserve"> John Frieda Beach Blonde Cool Dip Purifying Shampoo 295ml </v>
      </c>
      <c r="C7719" t="s">
        <v>283</v>
      </c>
      <c r="D7719" t="s">
        <v>92</v>
      </c>
    </row>
    <row r="7720" spans="1:4" x14ac:dyDescent="0.25">
      <c r="A7720" t="s">
        <v>1793</v>
      </c>
    </row>
    <row r="7721" spans="1:4" x14ac:dyDescent="0.25">
      <c r="B7721" t="str">
        <f>HYPERLINK("https://www.chemistwarehouse.com.au/buy/75242/John-Frieda-Frizz-Ease-Forever-Smooth-Conditioner-250ml"," John Frieda Frizz Ease Forever Smooth Conditioner 250ml")</f>
        <v xml:space="preserve"> John Frieda Frizz Ease Forever Smooth Conditioner 250ml</v>
      </c>
      <c r="C7721" t="s">
        <v>228</v>
      </c>
      <c r="D7721" t="s">
        <v>121</v>
      </c>
    </row>
    <row r="7722" spans="1:4" x14ac:dyDescent="0.25">
      <c r="B7722" t="str">
        <f>HYPERLINK("https://www.chemistwarehouse.com.au/buy/79273/John-Frieda-Sheer-Blonde-Hi-Impact-Conditioner-250ml"," John Frieda Sheer Blonde Hi Impact Conditioner 250ml")</f>
        <v xml:space="preserve"> John Frieda Sheer Blonde Hi Impact Conditioner 250ml</v>
      </c>
      <c r="C7722" t="s">
        <v>228</v>
      </c>
      <c r="D7722" t="s">
        <v>121</v>
      </c>
    </row>
    <row r="7723" spans="1:4" x14ac:dyDescent="0.25">
      <c r="B7723" t="str">
        <f>HYPERLINK("https://www.chemistwarehouse.com.au/buy/63502/John-Frieda-Full-Repair-Full-Body-Conditioner-250ml"," John Frieda Full Repair Full Body Conditioner 250ml")</f>
        <v xml:space="preserve"> John Frieda Full Repair Full Body Conditioner 250ml</v>
      </c>
      <c r="C7723" t="s">
        <v>228</v>
      </c>
      <c r="D7723" t="s">
        <v>121</v>
      </c>
    </row>
    <row r="7724" spans="1:4" x14ac:dyDescent="0.25">
      <c r="B7724" t="str">
        <f>HYPERLINK("https://www.chemistwarehouse.com.au/buy/68606/John-Frieda-Precision-Foam-Colour-After-Colour-Conditioner-150ml"," John Frieda Precision Foam Colour After Colour Conditioner 150ml")</f>
        <v xml:space="preserve"> John Frieda Precision Foam Colour After Colour Conditioner 150ml</v>
      </c>
      <c r="C7724" t="s">
        <v>292</v>
      </c>
      <c r="D7724" t="s">
        <v>121</v>
      </c>
    </row>
    <row r="7725" spans="1:4" x14ac:dyDescent="0.25">
      <c r="B7725" t="str">
        <f>HYPERLINK("https://www.chemistwarehouse.com.au/buy/68607/John-Frieda-Radiant-Red-Conditioner-250ml"," John Frieda Radiant Red Conditioner 250ml")</f>
        <v xml:space="preserve"> John Frieda Radiant Red Conditioner 250ml</v>
      </c>
      <c r="C7725" t="s">
        <v>228</v>
      </c>
      <c r="D7725" t="s">
        <v>121</v>
      </c>
    </row>
    <row r="7726" spans="1:4" x14ac:dyDescent="0.25">
      <c r="B7726" t="str">
        <f>HYPERLINK("https://www.chemistwarehouse.com.au/buy/56209/John-Frieda-Brilliant-Brunette-Moisturizing-Conditioner-250ml"," John Frieda Brilliant Brunette Moisturizing Conditioner 250ml")</f>
        <v xml:space="preserve"> John Frieda Brilliant Brunette Moisturizing Conditioner 250ml</v>
      </c>
      <c r="C7726" t="s">
        <v>228</v>
      </c>
      <c r="D7726" t="s">
        <v>121</v>
      </c>
    </row>
    <row r="7727" spans="1:4" x14ac:dyDescent="0.25">
      <c r="B7727" t="str">
        <f>HYPERLINK("https://www.chemistwarehouse.com.au/buy/58653/John-Frieda-Sheer-Blonde-Tone-Restoring-Conditioner-250ml"," John Frieda Sheer Blonde Tone Restoring Conditioner 250ml")</f>
        <v xml:space="preserve"> John Frieda Sheer Blonde Tone Restoring Conditioner 250ml</v>
      </c>
      <c r="C7727" t="s">
        <v>187</v>
      </c>
      <c r="D7727" t="s">
        <v>115</v>
      </c>
    </row>
    <row r="7728" spans="1:4" x14ac:dyDescent="0.25">
      <c r="B7728" t="str">
        <f>HYPERLINK("https://www.chemistwarehouse.com.au/buy/59753/John-Frieda-Sheer-Blonde-Highlight-Activating-Moisturizing-Conditioner-Lighter-250mL"," John Frieda Sheer Blonde Highlight Activating Moisturizing Conditioner Lighter 250mL")</f>
        <v xml:space="preserve"> John Frieda Sheer Blonde Highlight Activating Moisturizing Conditioner Lighter 250mL</v>
      </c>
      <c r="C7728" t="s">
        <v>228</v>
      </c>
      <c r="D7728" t="s">
        <v>121</v>
      </c>
    </row>
    <row r="7729" spans="1:4" x14ac:dyDescent="0.25">
      <c r="B7729" t="str">
        <f>HYPERLINK("https://www.chemistwarehouse.com.au/buy/59755/John-Frieda-Luxurious-Volume-Conditioner-250ml"," John Frieda Luxurious Volume Conditioner 250ml")</f>
        <v xml:space="preserve"> John Frieda Luxurious Volume Conditioner 250ml</v>
      </c>
      <c r="C7729" t="s">
        <v>228</v>
      </c>
      <c r="D7729" t="s">
        <v>121</v>
      </c>
    </row>
    <row r="7730" spans="1:4" x14ac:dyDescent="0.25">
      <c r="B7730" t="str">
        <f>HYPERLINK("https://www.chemistwarehouse.com.au/buy/59757/John-Frieda-Smooth-Start-Repairing-Conditioner-250ml"," John Frieda Smooth Start Repairing Conditioner 250ml")</f>
        <v xml:space="preserve"> John Frieda Smooth Start Repairing Conditioner 250ml</v>
      </c>
      <c r="C7730" t="s">
        <v>228</v>
      </c>
      <c r="D7730" t="s">
        <v>121</v>
      </c>
    </row>
    <row r="7731" spans="1:4" x14ac:dyDescent="0.25">
      <c r="B7731" t="str">
        <f>HYPERLINK("https://www.chemistwarehouse.com.au/buy/59759/John-Frieda-Dream-Curls-Conditioner-250ml"," John Frieda Dream Curls Conditioner 250ml")</f>
        <v xml:space="preserve"> John Frieda Dream Curls Conditioner 250ml</v>
      </c>
      <c r="C7731" t="s">
        <v>228</v>
      </c>
      <c r="D7731" t="s">
        <v>121</v>
      </c>
    </row>
    <row r="7732" spans="1:4" x14ac:dyDescent="0.25">
      <c r="B7732" t="str">
        <f>HYPERLINK("https://www.chemistwarehouse.com.au/buy/79265/John-Frieda-Brilliant-Brunette-Visibly-Brighter-Conditioner-250ml"," John Frieda Brilliant Brunette Visibly Brighter Conditioner 250ml")</f>
        <v xml:space="preserve"> John Frieda Brilliant Brunette Visibly Brighter Conditioner 250ml</v>
      </c>
      <c r="C7732" t="s">
        <v>187</v>
      </c>
      <c r="D7732" t="s">
        <v>115</v>
      </c>
    </row>
    <row r="7733" spans="1:4" x14ac:dyDescent="0.25">
      <c r="B7733" t="str">
        <f>HYPERLINK("https://www.chemistwarehouse.com.au/buy/79267/John-Frieda-Brilliant-Brunette-Visibly-Deeper-Conditioner-250ml"," John Frieda Brilliant Brunette Visibly Deeper Conditioner 250ml")</f>
        <v xml:space="preserve"> John Frieda Brilliant Brunette Visibly Deeper Conditioner 250ml</v>
      </c>
      <c r="C7733" t="s">
        <v>187</v>
      </c>
      <c r="D7733" t="s">
        <v>115</v>
      </c>
    </row>
    <row r="7734" spans="1:4" x14ac:dyDescent="0.25">
      <c r="B7734" t="str">
        <f>HYPERLINK("https://www.chemistwarehouse.com.au/buy/79268/John-Frieda-Brilliant-Brunette-Visibly-Deeper-Shampoo-250ml"," John Frieda Brilliant Brunette Visibly Deeper Shampoo 250ml")</f>
        <v xml:space="preserve"> John Frieda Brilliant Brunette Visibly Deeper Shampoo 250ml</v>
      </c>
      <c r="C7734" t="s">
        <v>187</v>
      </c>
      <c r="D7734" t="s">
        <v>115</v>
      </c>
    </row>
    <row r="7735" spans="1:4" x14ac:dyDescent="0.25">
      <c r="B7735" t="str">
        <f>HYPERLINK("https://www.chemistwarehouse.com.au/buy/79271/John-Frieda-Sheer-Blonde-Go-Blonder-Conditioner-250ml"," John Frieda Sheer Blonde Go Blonder Conditioner 250ml")</f>
        <v xml:space="preserve"> John Frieda Sheer Blonde Go Blonder Conditioner 250ml</v>
      </c>
      <c r="C7735" t="s">
        <v>187</v>
      </c>
      <c r="D7735" t="s">
        <v>115</v>
      </c>
    </row>
    <row r="7736" spans="1:4" x14ac:dyDescent="0.25">
      <c r="B7736" t="str">
        <f>HYPERLINK("https://www.chemistwarehouse.com.au/buy/74272/John-Frieda-Beach-Blonde-Smooth-Seas-Detangling-Conditioner-295ml"," John Frieda Beach Blonde Smooth Seas Detangling Conditioner 295ml ")</f>
        <v xml:space="preserve"> John Frieda Beach Blonde Smooth Seas Detangling Conditioner 295ml </v>
      </c>
      <c r="C7736" t="s">
        <v>283</v>
      </c>
      <c r="D7736" t="s">
        <v>92</v>
      </c>
    </row>
    <row r="7737" spans="1:4" x14ac:dyDescent="0.25">
      <c r="A7737" t="s">
        <v>1794</v>
      </c>
    </row>
    <row r="7738" spans="1:4" x14ac:dyDescent="0.25">
      <c r="B7738" t="str">
        <f>HYPERLINK("https://www.chemistwarehouse.com.au/buy/64090/Klorane-Fortifying-Shampoo-Quinine-and-B6-200ml"," Klorane Fortifying Shampoo Quinine and B6 200ml")</f>
        <v xml:space="preserve"> Klorane Fortifying Shampoo Quinine and B6 200ml</v>
      </c>
      <c r="C7738" t="s">
        <v>98</v>
      </c>
      <c r="D7738" t="s">
        <v>397</v>
      </c>
    </row>
    <row r="7739" spans="1:4" x14ac:dyDescent="0.25">
      <c r="B7739" t="str">
        <f>HYPERLINK("https://www.chemistwarehouse.com.au/buy/66775/Klorane-Oil-Control-Dry-Shampoo-with-Nettle-150ml"," Klorane Oil Control Dry Shampoo with Nettle 150ml")</f>
        <v xml:space="preserve"> Klorane Oil Control Dry Shampoo with Nettle 150ml</v>
      </c>
      <c r="C7739" t="s">
        <v>212</v>
      </c>
      <c r="D7739" t="s">
        <v>376</v>
      </c>
    </row>
    <row r="7740" spans="1:4" x14ac:dyDescent="0.25">
      <c r="B7740" t="str">
        <f>HYPERLINK("https://www.chemistwarehouse.com.au/buy/68904/Klorane-Oil-Control-Shampoo-With-Nettle-200ml"," Klorane Oil Control Shampoo With Nettle 200ml")</f>
        <v xml:space="preserve"> Klorane Oil Control Shampoo With Nettle 200ml</v>
      </c>
      <c r="C7740" t="s">
        <v>98</v>
      </c>
      <c r="D7740" t="s">
        <v>397</v>
      </c>
    </row>
    <row r="7741" spans="1:4" x14ac:dyDescent="0.25">
      <c r="B7741" t="str">
        <f>HYPERLINK("https://www.chemistwarehouse.com.au/buy/76895/Klorane-Oat-Milk-Natural-Tint-Dry-Shampoo-for-Brown-to-Dark-Brown-Hair-150ml"," Klorane Oat Milk Natural Tint Dry Shampoo for Brown to Dark Brown Hair 150ml")</f>
        <v xml:space="preserve"> Klorane Oat Milk Natural Tint Dry Shampoo for Brown to Dark Brown Hair 150ml</v>
      </c>
      <c r="C7741" t="s">
        <v>212</v>
      </c>
      <c r="D7741" t="s">
        <v>376</v>
      </c>
    </row>
    <row r="7742" spans="1:4" x14ac:dyDescent="0.25">
      <c r="B7742" t="str">
        <f>HYPERLINK("https://www.chemistwarehouse.com.au/buy/77741/Klorane-Oat-Milk-Dry-Shampoo-50ml"," Klorane Oat Milk Dry Shampoo 50ml")</f>
        <v xml:space="preserve"> Klorane Oat Milk Dry Shampoo 50ml</v>
      </c>
      <c r="C7742" t="s">
        <v>239</v>
      </c>
      <c r="D7742" t="s">
        <v>1795</v>
      </c>
    </row>
    <row r="7743" spans="1:4" x14ac:dyDescent="0.25">
      <c r="B7743" t="str">
        <f>HYPERLINK("https://www.chemistwarehouse.com.au/buy/77742/Klorane-Oat-Milk-Natural-Tint-Dry-Shampoo-for-Brown-to-Dark-Brown-Hair-50ml"," Klorane Oat Milk Natural Tint Dry Shampoo for Brown to Dark Brown Hair 50ml")</f>
        <v xml:space="preserve"> Klorane Oat Milk Natural Tint Dry Shampoo for Brown to Dark Brown Hair 50ml</v>
      </c>
      <c r="C7743" t="s">
        <v>261</v>
      </c>
      <c r="D7743" t="s">
        <v>1795</v>
      </c>
    </row>
    <row r="7744" spans="1:4" x14ac:dyDescent="0.25">
      <c r="B7744" t="str">
        <f>HYPERLINK("https://www.chemistwarehouse.com.au/buy/78798/Klorane-Volume-and-Texture-Linen-Shampoo-with-Flax-Fiber-200ml"," Klorane Volume and Texture Linen Shampoo with Flax Fiber 200ml")</f>
        <v xml:space="preserve"> Klorane Volume and Texture Linen Shampoo with Flax Fiber 200ml</v>
      </c>
      <c r="C7744" t="s">
        <v>98</v>
      </c>
      <c r="D7744" t="s">
        <v>397</v>
      </c>
    </row>
    <row r="7745" spans="1:4" x14ac:dyDescent="0.25">
      <c r="B7745" t="str">
        <f>HYPERLINK("https://www.chemistwarehouse.com.au/buy/54276/Klorane-Oat-Milk-Dry-Shampoo-150ml"," Klorane Oat Milk Dry Shampoo 150ml")</f>
        <v xml:space="preserve"> Klorane Oat Milk Dry Shampoo 150ml</v>
      </c>
      <c r="C7745" t="s">
        <v>290</v>
      </c>
      <c r="D7745" t="s">
        <v>376</v>
      </c>
    </row>
    <row r="7746" spans="1:4" x14ac:dyDescent="0.25">
      <c r="B7746" t="str">
        <f>HYPERLINK("https://www.chemistwarehouse.com.au/buy/64087/Klorane-Nourishing-Shampoo-Mango-Butter-200ml"," Klorane Nourishing Shampoo Mango Butter 200ml")</f>
        <v xml:space="preserve"> Klorane Nourishing Shampoo Mango Butter 200ml</v>
      </c>
      <c r="C7746" t="s">
        <v>98</v>
      </c>
      <c r="D7746" t="s">
        <v>397</v>
      </c>
    </row>
    <row r="7747" spans="1:4" x14ac:dyDescent="0.25">
      <c r="B7747" t="str">
        <f>HYPERLINK("https://www.chemistwarehouse.com.au/buy/64088/Klorane-Colour-Enhancing-Shampoo-Pomegranate-200ml"," Klorane Colour Enhancing Shampoo Pomegranate 200ml")</f>
        <v xml:space="preserve"> Klorane Colour Enhancing Shampoo Pomegranate 200ml</v>
      </c>
      <c r="C7747" t="s">
        <v>98</v>
      </c>
      <c r="D7747" t="s">
        <v>397</v>
      </c>
    </row>
    <row r="7748" spans="1:4" x14ac:dyDescent="0.25">
      <c r="B7748" t="str">
        <f>HYPERLINK("https://www.chemistwarehouse.com.au/buy/64089/Klorane-Camomile-Shampoo-200ml"," Klorane Camomile Shampoo 200ml")</f>
        <v xml:space="preserve"> Klorane Camomile Shampoo 200ml</v>
      </c>
      <c r="C7748" t="s">
        <v>98</v>
      </c>
      <c r="D7748" t="s">
        <v>397</v>
      </c>
    </row>
    <row r="7749" spans="1:4" x14ac:dyDescent="0.25">
      <c r="B7749" t="str">
        <f>HYPERLINK("https://www.chemistwarehouse.com.au/buy/82350/Klorane-Oat-Milk-Natural-Tint-Dry-Shampoo-Duo-Pack-2-x-150ml"," Klorane Oat Milk Natural Tint Dry Shampoo Duo Pack 2 x 150ml")</f>
        <v xml:space="preserve"> Klorane Oat Milk Natural Tint Dry Shampoo Duo Pack 2 x 150ml</v>
      </c>
      <c r="C7749" t="s">
        <v>61</v>
      </c>
      <c r="D7749" t="s">
        <v>397</v>
      </c>
    </row>
    <row r="7750" spans="1:4" x14ac:dyDescent="0.25">
      <c r="B7750" t="str">
        <f>HYPERLINK("https://www.chemistwarehouse.com.au/buy/82348/Klorane-Oat-Milk-Dry-Shampoo-Duo-Pack-2-x-150ml"," Klorane Oat Milk Dry Shampoo Duo Pack 2 x 150ml")</f>
        <v xml:space="preserve"> Klorane Oat Milk Dry Shampoo Duo Pack 2 x 150ml</v>
      </c>
      <c r="C7750" t="s">
        <v>58</v>
      </c>
      <c r="D7750" t="s">
        <v>145</v>
      </c>
    </row>
    <row r="7751" spans="1:4" x14ac:dyDescent="0.25">
      <c r="B7751" t="str">
        <f>HYPERLINK("https://www.chemistwarehouse.com.au/buy/82349/Klorane-Oil-Control-with-Nettle-Dry-Shampoo-Duo-Pack-2-x-150ml"," Klorane Oil Control with Nettle Dry Shampoo Duo Pack 2 x 150ml")</f>
        <v xml:space="preserve"> Klorane Oil Control with Nettle Dry Shampoo Duo Pack 2 x 150ml</v>
      </c>
      <c r="C7751" t="s">
        <v>61</v>
      </c>
      <c r="D7751" t="s">
        <v>397</v>
      </c>
    </row>
    <row r="7752" spans="1:4" x14ac:dyDescent="0.25">
      <c r="A7752" t="s">
        <v>1796</v>
      </c>
    </row>
    <row r="7753" spans="1:4" x14ac:dyDescent="0.25">
      <c r="B7753" t="str">
        <f>HYPERLINK("https://www.chemistwarehouse.com.au/buy/64062/Klorane-Brightening-Cream-Conditioner-with-Camomile-150ml"," Klorane Brightening Cream Conditioner with Camomile 150ml")</f>
        <v xml:space="preserve"> Klorane Brightening Cream Conditioner with Camomile 150ml</v>
      </c>
      <c r="C7753" t="s">
        <v>98</v>
      </c>
      <c r="D7753" t="s">
        <v>397</v>
      </c>
    </row>
    <row r="7754" spans="1:4" x14ac:dyDescent="0.25">
      <c r="B7754" t="str">
        <f>HYPERLINK("https://www.chemistwarehouse.com.au/buy/64067/Klorane-Nourishing-and-Untangling-Conditioning-Balm-Mango-Butter-150ml"," Klorane Nourishing and Untangling Conditioning Balm Mango Butter 150ml")</f>
        <v xml:space="preserve"> Klorane Nourishing and Untangling Conditioning Balm Mango Butter 150ml</v>
      </c>
      <c r="C7754" t="s">
        <v>98</v>
      </c>
      <c r="D7754" t="s">
        <v>397</v>
      </c>
    </row>
    <row r="7755" spans="1:4" x14ac:dyDescent="0.25">
      <c r="B7755" t="str">
        <f>HYPERLINK("https://www.chemistwarehouse.com.au/buy/64068/Klorane-Fortifying-and-Detangling-Conditioning-Balm-Quinine-and-B6-150ml"," Klorane Fortifying and Detangling Conditioning Balm Quinine and B6 150ml")</f>
        <v xml:space="preserve"> Klorane Fortifying and Detangling Conditioning Balm Quinine and B6 150ml</v>
      </c>
      <c r="C7755" t="s">
        <v>98</v>
      </c>
      <c r="D7755" t="s">
        <v>397</v>
      </c>
    </row>
    <row r="7756" spans="1:4" x14ac:dyDescent="0.25">
      <c r="B7756" t="str">
        <f>HYPERLINK("https://www.chemistwarehouse.com.au/buy/64069/Klorane-Colour-Enhancing-Conditioning-Balm-Pomegranate-150ml"," Klorane Colour Enhancing Conditioning Balm Pomegranate 150ml")</f>
        <v xml:space="preserve"> Klorane Colour Enhancing Conditioning Balm Pomegranate 150ml</v>
      </c>
      <c r="C7756" t="s">
        <v>98</v>
      </c>
      <c r="D7756" t="s">
        <v>397</v>
      </c>
    </row>
    <row r="7757" spans="1:4" x14ac:dyDescent="0.25">
      <c r="B7757" t="str">
        <f>HYPERLINK("https://www.chemistwarehouse.com.au/buy/78799/Klorane-Volume-and-Texture-Linen-Conditioning-Balm-with-Flax-Fiber-150ml"," Klorane Volume and Texture Linen Conditioning Balm with Flax Fiber 150ml")</f>
        <v xml:space="preserve"> Klorane Volume and Texture Linen Conditioning Balm with Flax Fiber 150ml</v>
      </c>
      <c r="C7757" t="s">
        <v>98</v>
      </c>
      <c r="D7757" t="s">
        <v>397</v>
      </c>
    </row>
    <row r="7758" spans="1:4" x14ac:dyDescent="0.25">
      <c r="A7758" t="s">
        <v>1797</v>
      </c>
    </row>
    <row r="7759" spans="1:4" x14ac:dyDescent="0.25">
      <c r="B7759" t="str">
        <f>HYPERLINK("https://www.chemistwarehouse.com.au/buy/72310/L-39-Oreal-Elvive-Fibralogy-Shampoo-250ml"," L'Oreal Elvive Fibralogy Shampoo 250ml")</f>
        <v xml:space="preserve"> L'Oreal Elvive Fibralogy Shampoo 250ml</v>
      </c>
      <c r="C7759" t="s">
        <v>483</v>
      </c>
      <c r="D7759" t="s">
        <v>150</v>
      </c>
    </row>
    <row r="7760" spans="1:4" x14ac:dyDescent="0.25">
      <c r="B7760" t="str">
        <f>HYPERLINK("https://www.chemistwarehouse.com.au/buy/53834/L-39-Oreal-Elvive-Colour-Protect-Shampoo-250mL"," L'Oreal Elvive Colour Protect Shampoo 250mL")</f>
        <v xml:space="preserve"> L'Oreal Elvive Colour Protect Shampoo 250mL</v>
      </c>
      <c r="C7760" t="s">
        <v>483</v>
      </c>
      <c r="D7760" t="s">
        <v>150</v>
      </c>
    </row>
    <row r="7761" spans="1:4" x14ac:dyDescent="0.25">
      <c r="B7761" t="str">
        <f>HYPERLINK("https://www.chemistwarehouse.com.au/buy/59585/L-39-Oreal-Elvive-Total-Repair5-Shampoo-250ml"," L'Oreal Elvive Total Repair5 Shampoo 250ml")</f>
        <v xml:space="preserve"> L'Oreal Elvive Total Repair5 Shampoo 250ml</v>
      </c>
      <c r="C7761" t="s">
        <v>483</v>
      </c>
      <c r="D7761" t="s">
        <v>150</v>
      </c>
    </row>
    <row r="7762" spans="1:4" x14ac:dyDescent="0.25">
      <c r="B7762" t="str">
        <f>HYPERLINK("https://www.chemistwarehouse.com.au/buy/68664/L-39-Oreal-Elvive-Arginine-Resist-3-Shampoo-250ml"," L'Oreal Elvive Arginine Resist 3 Shampoo 250ml")</f>
        <v xml:space="preserve"> L'Oreal Elvive Arginine Resist 3 Shampoo 250ml</v>
      </c>
      <c r="C7762" t="s">
        <v>483</v>
      </c>
      <c r="D7762" t="s">
        <v>150</v>
      </c>
    </row>
    <row r="7763" spans="1:4" x14ac:dyDescent="0.25">
      <c r="B7763" t="str">
        <f>HYPERLINK("https://www.chemistwarehouse.com.au/buy/71523/L-39-Oreal-Elvive-Colour-Protect-Shampoo-700ml"," L'Oreal Elvive Colour Protect Shampoo 700ml")</f>
        <v xml:space="preserve"> L'Oreal Elvive Colour Protect Shampoo 700ml</v>
      </c>
      <c r="C7763" t="s">
        <v>45</v>
      </c>
      <c r="D7763" t="s">
        <v>165</v>
      </c>
    </row>
    <row r="7764" spans="1:4" x14ac:dyDescent="0.25">
      <c r="B7764" t="str">
        <f>HYPERLINK("https://www.chemistwarehouse.com.au/buy/75794/L-39-Oreal-Elvive-Extraordinary-Oil-Shampoo-250ml"," L'Oreal Elvive Extraordinary Oil Shampoo 250ml")</f>
        <v xml:space="preserve"> L'Oreal Elvive Extraordinary Oil Shampoo 250ml</v>
      </c>
      <c r="C7764" t="s">
        <v>483</v>
      </c>
      <c r="D7764" t="s">
        <v>150</v>
      </c>
    </row>
    <row r="7765" spans="1:4" x14ac:dyDescent="0.25">
      <c r="B7765" t="str">
        <f>HYPERLINK("https://www.chemistwarehouse.com.au/buy/78699/L-39-Oreal-Elvive-Fibralogy-Shampoo-700ml"," L'Oreal Elvive Fibralogy Shampoo 700ml")</f>
        <v xml:space="preserve"> L'Oreal Elvive Fibralogy Shampoo 700ml</v>
      </c>
      <c r="C7765" t="s">
        <v>45</v>
      </c>
      <c r="D7765" t="s">
        <v>165</v>
      </c>
    </row>
    <row r="7766" spans="1:4" x14ac:dyDescent="0.25">
      <c r="B7766" t="str">
        <f>HYPERLINK("https://www.chemistwarehouse.com.au/buy/78700/L-39-Oreal-Elvive-Total-Repair-5-Shampoo-700ml"," L'Oreal Elvive Total Repair 5 Shampoo 700ml")</f>
        <v xml:space="preserve"> L'Oreal Elvive Total Repair 5 Shampoo 700ml</v>
      </c>
      <c r="C7766" t="s">
        <v>45</v>
      </c>
      <c r="D7766" t="s">
        <v>165</v>
      </c>
    </row>
    <row r="7767" spans="1:4" x14ac:dyDescent="0.25">
      <c r="B7767" t="str">
        <f>HYPERLINK("https://www.chemistwarehouse.com.au/buy/51973/L-39-Oreal-Elvive-Anti-Breakage-Shampoo-250mL"," L'Oreal Elvive Anti Breakage Shampoo 250mL")</f>
        <v xml:space="preserve"> L'Oreal Elvive Anti Breakage Shampoo 250mL</v>
      </c>
      <c r="C7767" t="s">
        <v>483</v>
      </c>
      <c r="D7767" t="s">
        <v>150</v>
      </c>
    </row>
    <row r="7768" spans="1:4" x14ac:dyDescent="0.25">
      <c r="B7768" t="str">
        <f>HYPERLINK("https://www.chemistwarehouse.com.au/buy/51981/L-39-Oreal-Elvive-Smooth-Intense-Shampoo-250mL"," L'Oreal Elvive Smooth Intense Shampoo 250mL")</f>
        <v xml:space="preserve"> L'Oreal Elvive Smooth Intense Shampoo 250mL</v>
      </c>
      <c r="C7768" t="s">
        <v>483</v>
      </c>
      <c r="D7768" t="s">
        <v>150</v>
      </c>
    </row>
    <row r="7769" spans="1:4" x14ac:dyDescent="0.25">
      <c r="A7769" t="s">
        <v>1798</v>
      </c>
    </row>
    <row r="7770" spans="1:4" x14ac:dyDescent="0.25">
      <c r="B7770" t="str">
        <f>HYPERLINK("https://www.chemistwarehouse.com.au/buy/59573/L-39-Oreal-Elvive-Conditioner-Total-Repair5-200ml"," L'Oreal Elvive Conditioner Total Repair5 200ml")</f>
        <v xml:space="preserve"> L'Oreal Elvive Conditioner Total Repair5 200ml</v>
      </c>
      <c r="C7770" t="s">
        <v>483</v>
      </c>
      <c r="D7770" t="s">
        <v>150</v>
      </c>
    </row>
    <row r="7771" spans="1:4" x14ac:dyDescent="0.25">
      <c r="B7771" t="str">
        <f>HYPERLINK("https://www.chemistwarehouse.com.au/buy/53833/L-39-Oreal-Elvive-Colour-Protect-Conditioner-250ml"," L'Oreal Elvive Colour Protect Conditioner 250ml")</f>
        <v xml:space="preserve"> L'Oreal Elvive Colour Protect Conditioner 250ml</v>
      </c>
      <c r="C7771" t="s">
        <v>483</v>
      </c>
      <c r="D7771" t="s">
        <v>150</v>
      </c>
    </row>
    <row r="7772" spans="1:4" x14ac:dyDescent="0.25">
      <c r="B7772" t="str">
        <f>HYPERLINK("https://www.chemistwarehouse.com.au/buy/55498/L-39-Oreal-Elvive-Conditioner-ReNutrition-250ml"," L'Oreal Elvive Conditioner ReNutrition 250ml")</f>
        <v xml:space="preserve"> L'Oreal Elvive Conditioner ReNutrition 250ml</v>
      </c>
      <c r="C7772" t="s">
        <v>483</v>
      </c>
      <c r="D7772" t="s">
        <v>150</v>
      </c>
    </row>
    <row r="7773" spans="1:4" x14ac:dyDescent="0.25">
      <c r="B7773" t="str">
        <f>HYPERLINK("https://www.chemistwarehouse.com.au/buy/75795/L-39-Oreal-Elvive-Extraordinary-Oil-Conditioner-250ml"," L'Oreal Elvive Extraordinary Oil Conditioner 250ml")</f>
        <v xml:space="preserve"> L'Oreal Elvive Extraordinary Oil Conditioner 250ml</v>
      </c>
      <c r="C7773" t="s">
        <v>483</v>
      </c>
      <c r="D7773" t="s">
        <v>150</v>
      </c>
    </row>
    <row r="7774" spans="1:4" x14ac:dyDescent="0.25">
      <c r="B7774" t="str">
        <f>HYPERLINK("https://www.chemistwarehouse.com.au/buy/78698/L-39-Oreal-Elvive-Fibralogy-Conditioner-700ml"," L'Oreal Elvive Fibralogy Conditioner 700ml")</f>
        <v xml:space="preserve"> L'Oreal Elvive Fibralogy Conditioner 700ml</v>
      </c>
      <c r="C7774" t="s">
        <v>45</v>
      </c>
      <c r="D7774" t="s">
        <v>165</v>
      </c>
    </row>
    <row r="7775" spans="1:4" x14ac:dyDescent="0.25">
      <c r="B7775" t="str">
        <f>HYPERLINK("https://www.chemistwarehouse.com.au/buy/78701/L-39-Oreal-Elvive-Total-Repair-5-Conditioner-700ml"," L'Oreal Elvive Total Repair 5 Conditioner 700ml")</f>
        <v xml:space="preserve"> L'Oreal Elvive Total Repair 5 Conditioner 700ml</v>
      </c>
      <c r="C7775" t="s">
        <v>45</v>
      </c>
      <c r="D7775" t="s">
        <v>165</v>
      </c>
    </row>
    <row r="7776" spans="1:4" x14ac:dyDescent="0.25">
      <c r="B7776" t="str">
        <f>HYPERLINK("https://www.chemistwarehouse.com.au/buy/58636/L-39-Oreal-Elvive-Conditioner-Spray-Colour-Protect-200mL"," L'Oreal Elvive Conditioner Spray Colour Protect 200mL")</f>
        <v xml:space="preserve"> L'Oreal Elvive Conditioner Spray Colour Protect 200mL</v>
      </c>
      <c r="C7776" t="s">
        <v>375</v>
      </c>
      <c r="D7776" t="s">
        <v>325</v>
      </c>
    </row>
    <row r="7777" spans="1:4" x14ac:dyDescent="0.25">
      <c r="B7777" t="str">
        <f>HYPERLINK("https://www.chemistwarehouse.com.au/buy/51970/L-39-Oreal-Elvive-Anti-Breakage-Conditioner-250mL"," L'Oreal Elvive Anti Breakage Conditioner 250mL")</f>
        <v xml:space="preserve"> L'Oreal Elvive Anti Breakage Conditioner 250mL</v>
      </c>
      <c r="C7777" t="s">
        <v>483</v>
      </c>
      <c r="D7777" t="s">
        <v>150</v>
      </c>
    </row>
    <row r="7778" spans="1:4" x14ac:dyDescent="0.25">
      <c r="B7778" t="str">
        <f>HYPERLINK("https://www.chemistwarehouse.com.au/buy/51978/L-39-Oreal-Elvive-Smooth-Intense-Anti-Frizz-Creme-Conditioner-250mL"," L'Oreal Elvive Smooth Intense Anti-Frizz Creme Conditioner 250mL")</f>
        <v xml:space="preserve"> L'Oreal Elvive Smooth Intense Anti-Frizz Creme Conditioner 250mL</v>
      </c>
      <c r="C7778" t="s">
        <v>483</v>
      </c>
      <c r="D7778" t="s">
        <v>150</v>
      </c>
    </row>
    <row r="7779" spans="1:4" x14ac:dyDescent="0.25">
      <c r="B7779" t="str">
        <f>HYPERLINK("https://www.chemistwarehouse.com.au/buy/68638/L-39-Oreal-Elvive-Arginine-Resist-3-Conditioner-250ml"," L'Oreal Elvive Arginine Resist 3 Conditioner 250ml")</f>
        <v xml:space="preserve"> L'Oreal Elvive Arginine Resist 3 Conditioner 250ml</v>
      </c>
      <c r="C7779" t="s">
        <v>483</v>
      </c>
      <c r="D7779" t="s">
        <v>150</v>
      </c>
    </row>
    <row r="7780" spans="1:4" x14ac:dyDescent="0.25">
      <c r="B7780" t="str">
        <f>HYPERLINK("https://www.chemistwarehouse.com.au/buy/71488/L-39-Oreal-Elvive-Colour-Protect-Conditioner-700ml"," L'Oreal Elvive Colour Protect Conditioner 700ml")</f>
        <v xml:space="preserve"> L'Oreal Elvive Colour Protect Conditioner 700ml</v>
      </c>
      <c r="C7780" t="s">
        <v>45</v>
      </c>
      <c r="D7780" t="s">
        <v>165</v>
      </c>
    </row>
    <row r="7781" spans="1:4" x14ac:dyDescent="0.25">
      <c r="B7781" t="str">
        <f>HYPERLINK("https://www.chemistwarehouse.com.au/buy/72311/L-39-Oreal-Elvive-Fibralogy-Conditioner-250ml"," L'Oreal Elvive Fibralogy Conditioner 250ml")</f>
        <v xml:space="preserve"> L'Oreal Elvive Fibralogy Conditioner 250ml</v>
      </c>
      <c r="C7781" t="s">
        <v>483</v>
      </c>
      <c r="D7781" t="s">
        <v>150</v>
      </c>
    </row>
    <row r="7782" spans="1:4" x14ac:dyDescent="0.25">
      <c r="A7782" t="s">
        <v>1799</v>
      </c>
    </row>
    <row r="7783" spans="1:4" x14ac:dyDescent="0.25">
      <c r="B7783" t="str">
        <f>HYPERLINK("https://www.chemistwarehouse.com.au/buy/75897/Palmolive-Naturals-Active-Nourishment-Shampoo-700ml"," Palmolive Naturals Active Nourishment Shampoo 700ml")</f>
        <v xml:space="preserve"> Palmolive Naturals Active Nourishment Shampoo 700ml</v>
      </c>
      <c r="C7783" t="s">
        <v>375</v>
      </c>
      <c r="D7783" t="s">
        <v>318</v>
      </c>
    </row>
    <row r="7784" spans="1:4" x14ac:dyDescent="0.25">
      <c r="B7784" t="str">
        <f>HYPERLINK("https://www.chemistwarehouse.com.au/buy/75899/Palmolive-Naturals-Intensive-Moisture-Shampoo-700ml"," Palmolive Naturals Intensive Moisture Shampoo 700ml")</f>
        <v xml:space="preserve"> Palmolive Naturals Intensive Moisture Shampoo 700ml</v>
      </c>
      <c r="C7784" t="s">
        <v>375</v>
      </c>
      <c r="D7784" t="s">
        <v>318</v>
      </c>
    </row>
    <row r="7785" spans="1:4" x14ac:dyDescent="0.25">
      <c r="B7785" t="str">
        <f>HYPERLINK("https://www.chemistwarehouse.com.au/buy/79616/Palmolive-Naturals-Healthy-amp-Smooth-Shampoo-amp-Conditioner-90ml"," Palmolive Naturals Healthy &amp; Smooth Shampoo &amp; Conditioner 90ml ")</f>
        <v xml:space="preserve"> Palmolive Naturals Healthy &amp; Smooth Shampoo &amp; Conditioner 90ml </v>
      </c>
      <c r="C7785" t="s">
        <v>312</v>
      </c>
      <c r="D7785">
        <v>0</v>
      </c>
    </row>
    <row r="7786" spans="1:4" x14ac:dyDescent="0.25">
      <c r="B7786" t="str">
        <f>HYPERLINK("https://www.chemistwarehouse.com.au/buy/75665/Palmolive-Naturals-Vibrant-Colour-Shampoo-350ml"," Palmolive Naturals Vibrant Colour Shampoo 350ml")</f>
        <v xml:space="preserve"> Palmolive Naturals Vibrant Colour Shampoo 350ml</v>
      </c>
      <c r="C7786" t="s">
        <v>483</v>
      </c>
      <c r="D7786" t="s">
        <v>371</v>
      </c>
    </row>
    <row r="7787" spans="1:4" x14ac:dyDescent="0.25">
      <c r="B7787" t="str">
        <f>HYPERLINK("https://www.chemistwarehouse.com.au/buy/75666/Palmolive-Naturals-Damage-Repair-Shampoo-350ml"," Palmolive Naturals Damage Repair Shampoo 350ml")</f>
        <v xml:space="preserve"> Palmolive Naturals Damage Repair Shampoo 350ml</v>
      </c>
      <c r="C7787" t="s">
        <v>483</v>
      </c>
      <c r="D7787" t="s">
        <v>371</v>
      </c>
    </row>
    <row r="7788" spans="1:4" x14ac:dyDescent="0.25">
      <c r="B7788" t="str">
        <f>HYPERLINK("https://www.chemistwarehouse.com.au/buy/75669/Palmolive-Naturals-Active-Nourishment-Shampoo-350ml"," Palmolive Naturals Active Nourishment Shampoo 350ml")</f>
        <v xml:space="preserve"> Palmolive Naturals Active Nourishment Shampoo 350ml</v>
      </c>
      <c r="C7788" t="s">
        <v>483</v>
      </c>
      <c r="D7788" t="s">
        <v>371</v>
      </c>
    </row>
    <row r="7789" spans="1:4" x14ac:dyDescent="0.25">
      <c r="A7789" t="s">
        <v>1800</v>
      </c>
    </row>
    <row r="7790" spans="1:4" x14ac:dyDescent="0.25">
      <c r="B7790" t="str">
        <f>HYPERLINK("https://www.chemistwarehouse.com.au/buy/75670/Palmolive-Naturals-Active-Nourishment-Conditioner-350ml"," Palmolive Naturals Active Nourishment Conditioner 350ml")</f>
        <v xml:space="preserve"> Palmolive Naturals Active Nourishment Conditioner 350ml</v>
      </c>
      <c r="C7790" t="s">
        <v>483</v>
      </c>
      <c r="D7790" t="s">
        <v>371</v>
      </c>
    </row>
    <row r="7791" spans="1:4" x14ac:dyDescent="0.25">
      <c r="B7791" t="str">
        <f>HYPERLINK("https://www.chemistwarehouse.com.au/buy/75896/Palmolive-Naturals-Active-Nourishment-Conditioner-700ml"," Palmolive Naturals Active Nourishment Conditioner 700ml")</f>
        <v xml:space="preserve"> Palmolive Naturals Active Nourishment Conditioner 700ml</v>
      </c>
      <c r="C7791" t="s">
        <v>375</v>
      </c>
      <c r="D7791" t="s">
        <v>318</v>
      </c>
    </row>
    <row r="7792" spans="1:4" x14ac:dyDescent="0.25">
      <c r="B7792" t="str">
        <f>HYPERLINK("https://www.chemistwarehouse.com.au/buy/75898/Palmolive-Naturals-Intensive-Moisture-Conditioner-700ml"," Palmolive Naturals Intensive Moisture Conditioner 700ml")</f>
        <v xml:space="preserve"> Palmolive Naturals Intensive Moisture Conditioner 700ml</v>
      </c>
      <c r="C7792" t="s">
        <v>375</v>
      </c>
      <c r="D7792" t="s">
        <v>318</v>
      </c>
    </row>
    <row r="7793" spans="1:4" x14ac:dyDescent="0.25">
      <c r="B7793" t="str">
        <f>HYPERLINK("https://www.chemistwarehouse.com.au/buy/75667/Palmolive-Naturals-Vibrant-Colour-Conditioner-350ml"," Palmolive Naturals Vibrant Colour Conditioner 350ml")</f>
        <v xml:space="preserve"> Palmolive Naturals Vibrant Colour Conditioner 350ml</v>
      </c>
      <c r="C7793" t="s">
        <v>483</v>
      </c>
      <c r="D7793" t="s">
        <v>371</v>
      </c>
    </row>
    <row r="7794" spans="1:4" x14ac:dyDescent="0.25">
      <c r="B7794" t="str">
        <f>HYPERLINK("https://www.chemistwarehouse.com.au/buy/75668/Palmolive-Naturals-Damage-Repair-Conditioner-350ml"," Palmolive Naturals Damage Repair Conditioner 350ml")</f>
        <v xml:space="preserve"> Palmolive Naturals Damage Repair Conditioner 350ml</v>
      </c>
      <c r="C7794" t="s">
        <v>483</v>
      </c>
      <c r="D7794" t="s">
        <v>371</v>
      </c>
    </row>
    <row r="7795" spans="1:4" x14ac:dyDescent="0.25">
      <c r="A7795" t="s">
        <v>1801</v>
      </c>
    </row>
    <row r="7796" spans="1:4" x14ac:dyDescent="0.25">
      <c r="B7796" t="str">
        <f>HYPERLINK("https://www.chemistwarehouse.com.au/buy/75903/Pantene-Classic-Clean-Shampoo-900ml"," Pantene Classic Clean Shampoo 900ml")</f>
        <v xml:space="preserve"> Pantene Classic Clean Shampoo 900ml</v>
      </c>
      <c r="C7796" t="s">
        <v>237</v>
      </c>
      <c r="D7796" t="s">
        <v>808</v>
      </c>
    </row>
    <row r="7797" spans="1:4" x14ac:dyDescent="0.25">
      <c r="B7797" t="str">
        <f>HYPERLINK("https://www.chemistwarehouse.com.au/buy/75905/Pantene-Colour-Therapy-Shampoo-900ml"," Pantene Colour Therapy Shampoo 900ml")</f>
        <v xml:space="preserve"> Pantene Colour Therapy Shampoo 900ml</v>
      </c>
      <c r="C7797" t="s">
        <v>237</v>
      </c>
      <c r="D7797" t="s">
        <v>808</v>
      </c>
    </row>
    <row r="7798" spans="1:4" x14ac:dyDescent="0.25">
      <c r="B7798" t="str">
        <f>HYPERLINK("https://www.chemistwarehouse.com.au/buy/73214/Pantene-Ultimate-10-Shampoo-350ml"," Pantene Ultimate 10 Shampoo 350ml")</f>
        <v xml:space="preserve"> Pantene Ultimate 10 Shampoo 350ml</v>
      </c>
      <c r="C7798" t="s">
        <v>116</v>
      </c>
      <c r="D7798" t="s">
        <v>371</v>
      </c>
    </row>
    <row r="7799" spans="1:4" x14ac:dyDescent="0.25">
      <c r="B7799" t="str">
        <f>HYPERLINK("https://www.chemistwarehouse.com.au/buy/59990/Pantene-Daily-Moisture-Renewal-Shampoo-350ml"," Pantene Daily Moisture Renewal Shampoo 350ml")</f>
        <v xml:space="preserve"> Pantene Daily Moisture Renewal Shampoo 350ml</v>
      </c>
      <c r="C7799" t="s">
        <v>116</v>
      </c>
      <c r="D7799" t="s">
        <v>371</v>
      </c>
    </row>
    <row r="7800" spans="1:4" x14ac:dyDescent="0.25">
      <c r="B7800" t="str">
        <f>HYPERLINK("https://www.chemistwarehouse.com.au/buy/59991/Pantene-Classic-Clean-Shampoo-350ml"," Pantene Classic Clean Shampoo 350ml")</f>
        <v xml:space="preserve"> Pantene Classic Clean Shampoo 350ml</v>
      </c>
      <c r="C7800" t="s">
        <v>116</v>
      </c>
      <c r="D7800" t="s">
        <v>371</v>
      </c>
    </row>
    <row r="7801" spans="1:4" x14ac:dyDescent="0.25">
      <c r="B7801" t="str">
        <f>HYPERLINK("https://www.chemistwarehouse.com.au/buy/75901/Pantene-Always-Smooth-Shampoo-900ml"," Pantene Always Smooth Shampoo 900ml")</f>
        <v xml:space="preserve"> Pantene Always Smooth Shampoo 900ml</v>
      </c>
      <c r="C7801" t="s">
        <v>237</v>
      </c>
      <c r="D7801" t="s">
        <v>808</v>
      </c>
    </row>
    <row r="7802" spans="1:4" x14ac:dyDescent="0.25">
      <c r="B7802" t="str">
        <f>HYPERLINK("https://www.chemistwarehouse.com.au/buy/73354/Pantene-Ultimate-10-Shampoo-75ml"," Pantene Ultimate 10 Shampoo 75ml")</f>
        <v xml:space="preserve"> Pantene Ultimate 10 Shampoo 75ml</v>
      </c>
      <c r="C7802" t="s">
        <v>312</v>
      </c>
      <c r="D7802">
        <v>0</v>
      </c>
    </row>
    <row r="7803" spans="1:4" x14ac:dyDescent="0.25">
      <c r="B7803" t="str">
        <f>HYPERLINK("https://www.chemistwarehouse.com.au/buy/75907/Pantene-Daily-Moisture-Renewal-Shampoo-900ml"," Pantene Daily Moisture Renewal Shampoo 900ml")</f>
        <v xml:space="preserve"> Pantene Daily Moisture Renewal Shampoo 900ml</v>
      </c>
      <c r="C7803" t="s">
        <v>237</v>
      </c>
      <c r="D7803" t="s">
        <v>808</v>
      </c>
    </row>
    <row r="7804" spans="1:4" x14ac:dyDescent="0.25">
      <c r="B7804" t="str">
        <f>HYPERLINK("https://www.chemistwarehouse.com.au/buy/75909/Pantene-Ice-Shine-Shampoo-900ml"," Pantene Ice Shine Shampoo 900ml")</f>
        <v xml:space="preserve"> Pantene Ice Shine Shampoo 900ml</v>
      </c>
      <c r="C7804" t="s">
        <v>237</v>
      </c>
      <c r="D7804" t="s">
        <v>808</v>
      </c>
    </row>
    <row r="7805" spans="1:4" x14ac:dyDescent="0.25">
      <c r="B7805" t="str">
        <f>HYPERLINK("https://www.chemistwarehouse.com.au/buy/75911/Pantene-Ultimate-10-Shampoo-900ml"," Pantene Ultimate 10 Shampoo 900ml")</f>
        <v xml:space="preserve"> Pantene Ultimate 10 Shampoo 900ml</v>
      </c>
      <c r="C7805" t="s">
        <v>237</v>
      </c>
      <c r="D7805" t="s">
        <v>808</v>
      </c>
    </row>
    <row r="7806" spans="1:4" x14ac:dyDescent="0.25">
      <c r="B7806" t="str">
        <f>HYPERLINK("https://www.chemistwarehouse.com.au/buy/78975/Pantene-Sheer-Volume-Shampoo-350ml"," Pantene Sheer Volume Shampoo 350ml")</f>
        <v xml:space="preserve"> Pantene Sheer Volume Shampoo 350ml</v>
      </c>
      <c r="C7806" t="s">
        <v>116</v>
      </c>
      <c r="D7806" t="s">
        <v>371</v>
      </c>
    </row>
    <row r="7807" spans="1:4" x14ac:dyDescent="0.25">
      <c r="B7807" t="str">
        <f>HYPERLINK("https://www.chemistwarehouse.com.au/buy/59993/Pantene-Pro-V-Colour-Protection-Shampoo-350mL"," Pantene Pro-V Colour Protection Shampoo 350mL")</f>
        <v xml:space="preserve"> Pantene Pro-V Colour Protection Shampoo 350mL</v>
      </c>
      <c r="C7807" t="s">
        <v>116</v>
      </c>
      <c r="D7807" t="s">
        <v>371</v>
      </c>
    </row>
    <row r="7808" spans="1:4" x14ac:dyDescent="0.25">
      <c r="B7808" t="str">
        <f>HYPERLINK("https://www.chemistwarehouse.com.au/buy/64149/Pantene-Nature-Fusion-Shampoo-350mL"," Pantene Nature Fusion Shampoo 350mL")</f>
        <v xml:space="preserve"> Pantene Nature Fusion Shampoo 350mL</v>
      </c>
      <c r="C7808" t="s">
        <v>116</v>
      </c>
      <c r="D7808" t="s">
        <v>371</v>
      </c>
    </row>
    <row r="7809" spans="1:4" x14ac:dyDescent="0.25">
      <c r="B7809" t="str">
        <f>HYPERLINK("https://www.chemistwarehouse.com.au/buy/71524/Pantene-Always-Smooth-Shampoo-350ml"," Pantene Always Smooth Shampoo 350ml")</f>
        <v xml:space="preserve"> Pantene Always Smooth Shampoo 350ml</v>
      </c>
      <c r="C7809" t="s">
        <v>116</v>
      </c>
      <c r="D7809" t="s">
        <v>371</v>
      </c>
    </row>
    <row r="7810" spans="1:4" x14ac:dyDescent="0.25">
      <c r="B7810" t="str">
        <f>HYPERLINK("https://www.chemistwarehouse.com.au/buy/71526/Pantene-Ice-Shine-Shampoo-350ml"," Pantene Ice Shine Shampoo 350ml")</f>
        <v xml:space="preserve"> Pantene Ice Shine Shampoo 350ml</v>
      </c>
      <c r="C7810" t="s">
        <v>116</v>
      </c>
      <c r="D7810" t="s">
        <v>371</v>
      </c>
    </row>
    <row r="7811" spans="1:4" x14ac:dyDescent="0.25">
      <c r="B7811" t="str">
        <f>HYPERLINK("https://www.chemistwarehouse.com.au/buy/73175/Pantene-Dry-Shampoo-Nature-Fresh-140g"," Pantene Dry Shampoo Nature Fresh 140g")</f>
        <v xml:space="preserve"> Pantene Dry Shampoo Nature Fresh 140g</v>
      </c>
      <c r="C7811" t="s">
        <v>240</v>
      </c>
      <c r="D7811" t="s">
        <v>561</v>
      </c>
    </row>
    <row r="7812" spans="1:4" x14ac:dyDescent="0.25">
      <c r="B7812" t="str">
        <f>HYPERLINK("https://www.chemistwarehouse.com.au/buy/73176/Pantene-Dry-Shampoo-Volume-Boost-140g"," Pantene Dry Shampoo Volume Boost 140g")</f>
        <v xml:space="preserve"> Pantene Dry Shampoo Volume Boost 140g</v>
      </c>
      <c r="C7812" t="s">
        <v>240</v>
      </c>
      <c r="D7812" t="s">
        <v>561</v>
      </c>
    </row>
    <row r="7813" spans="1:4" x14ac:dyDescent="0.25">
      <c r="B7813" t="str">
        <f>HYPERLINK("https://www.chemistwarehouse.com.au/buy/80055/Pantene-Sheer-Volume-Shampoo-900ml"," Pantene Sheer Volume Shampoo 900ml")</f>
        <v xml:space="preserve"> Pantene Sheer Volume Shampoo 900ml</v>
      </c>
      <c r="C7813" t="s">
        <v>237</v>
      </c>
      <c r="D7813" t="s">
        <v>808</v>
      </c>
    </row>
    <row r="7814" spans="1:4" x14ac:dyDescent="0.25">
      <c r="B7814" t="str">
        <f>HYPERLINK("https://www.chemistwarehouse.com.au/buy/82660/Pantene-Daily-Moisture-Renewal-Shampoo-350ml-amp-3MM-Conditioner-Bundle-Pack"," Pantene Daily Moisture Renewal Shampoo 350ml &amp; 3MM Conditioner Bundle Pack")</f>
        <v xml:space="preserve"> Pantene Daily Moisture Renewal Shampoo 350ml &amp; 3MM Conditioner Bundle Pack</v>
      </c>
      <c r="C7814" t="s">
        <v>92</v>
      </c>
      <c r="D7814" t="s">
        <v>92</v>
      </c>
    </row>
    <row r="7815" spans="1:4" x14ac:dyDescent="0.25">
      <c r="B7815" t="str">
        <f>HYPERLINK("https://www.chemistwarehouse.com.au/buy/82661/Pantene-Ultimate-10-Shampoo-350ml-amp-3MM-Conditioner-Bundle-Pack"," Pantene Ultimate 10 Shampoo 350ml &amp; 3MM Conditioner Bundle Pack")</f>
        <v xml:space="preserve"> Pantene Ultimate 10 Shampoo 350ml &amp; 3MM Conditioner Bundle Pack</v>
      </c>
      <c r="C7815" t="s">
        <v>92</v>
      </c>
      <c r="D7815" t="s">
        <v>92</v>
      </c>
    </row>
    <row r="7816" spans="1:4" x14ac:dyDescent="0.25">
      <c r="B7816" t="str">
        <f>HYPERLINK("https://www.chemistwarehouse.com.au/buy/82662/Pantene-Colour-Protection-Shampoo-350ml-amp-3MM-Conditioner-Bundle-Pack"," Pantene Colour Protection Shampoo 350ml &amp; 3MM Conditioner Bundle Pack")</f>
        <v xml:space="preserve"> Pantene Colour Protection Shampoo 350ml &amp; 3MM Conditioner Bundle Pack</v>
      </c>
      <c r="C7816" t="s">
        <v>92</v>
      </c>
      <c r="D7816" t="s">
        <v>92</v>
      </c>
    </row>
    <row r="7817" spans="1:4" x14ac:dyDescent="0.25">
      <c r="B7817" t="str">
        <f>HYPERLINK("https://www.chemistwarehouse.com.au/buy/82205/Pantene-Dry-Shampoo-Colour-Saviour-65ml"," Pantene Dry Shampoo Colour Saviour 65ml")</f>
        <v xml:space="preserve"> Pantene Dry Shampoo Colour Saviour 65ml</v>
      </c>
      <c r="C7817" t="s">
        <v>146</v>
      </c>
      <c r="D7817">
        <v>0</v>
      </c>
    </row>
    <row r="7818" spans="1:4" x14ac:dyDescent="0.25">
      <c r="B7818" t="str">
        <f>HYPERLINK("https://www.chemistwarehouse.com.au/buy/79778/Pantene-Volume-Booster-Dry-Shampoo-65ml"," Pantene Volume Booster Dry Shampoo 65ml")</f>
        <v xml:space="preserve"> Pantene Volume Booster Dry Shampoo 65ml</v>
      </c>
      <c r="C7818" t="s">
        <v>146</v>
      </c>
      <c r="D7818" t="s">
        <v>115</v>
      </c>
    </row>
    <row r="7819" spans="1:4" x14ac:dyDescent="0.25">
      <c r="B7819" t="str">
        <f>HYPERLINK("https://www.chemistwarehouse.com.au/buy/73352/Pantene-Daily-Moisture-Renewal-Shampoo-75ml"," Pantene Daily Moisture Renewal Shampoo 75ml")</f>
        <v xml:space="preserve"> Pantene Daily Moisture Renewal Shampoo 75ml</v>
      </c>
      <c r="C7819" t="s">
        <v>312</v>
      </c>
      <c r="D7819">
        <v>0</v>
      </c>
    </row>
    <row r="7820" spans="1:4" x14ac:dyDescent="0.25">
      <c r="A7820" t="s">
        <v>1802</v>
      </c>
    </row>
    <row r="7821" spans="1:4" x14ac:dyDescent="0.25">
      <c r="B7821" t="str">
        <f>HYPERLINK("https://www.chemistwarehouse.com.au/buy/75902/Pantene-Classic-Clean-Conditioner-900ml"," Pantene Classic Clean Conditioner 900ml")</f>
        <v xml:space="preserve"> Pantene Classic Clean Conditioner 900ml</v>
      </c>
      <c r="C7821" t="s">
        <v>237</v>
      </c>
      <c r="D7821" t="s">
        <v>808</v>
      </c>
    </row>
    <row r="7822" spans="1:4" x14ac:dyDescent="0.25">
      <c r="B7822" t="str">
        <f>HYPERLINK("https://www.chemistwarehouse.com.au/buy/75904/Pantene-Colour-Therapy-Conditioner-900ml"," Pantene Colour Therapy Conditioner 900ml")</f>
        <v xml:space="preserve"> Pantene Colour Therapy Conditioner 900ml</v>
      </c>
      <c r="C7822" t="s">
        <v>237</v>
      </c>
      <c r="D7822" t="s">
        <v>808</v>
      </c>
    </row>
    <row r="7823" spans="1:4" x14ac:dyDescent="0.25">
      <c r="B7823" t="str">
        <f>HYPERLINK("https://www.chemistwarehouse.com.au/buy/59927/Pantene-Classic-Clean-Conditioner-350ml"," Pantene Classic Clean Conditioner 350ml")</f>
        <v xml:space="preserve"> Pantene Classic Clean Conditioner 350ml</v>
      </c>
      <c r="C7823" t="s">
        <v>116</v>
      </c>
      <c r="D7823" t="s">
        <v>371</v>
      </c>
    </row>
    <row r="7824" spans="1:4" x14ac:dyDescent="0.25">
      <c r="B7824" t="str">
        <f>HYPERLINK("https://www.chemistwarehouse.com.au/buy/73213/Pantene-Ultimate-10-Conditioner-350ml"," Pantene Ultimate 10 Conditioner 350ml")</f>
        <v xml:space="preserve"> Pantene Ultimate 10 Conditioner 350ml</v>
      </c>
      <c r="C7824" t="s">
        <v>116</v>
      </c>
      <c r="D7824" t="s">
        <v>371</v>
      </c>
    </row>
    <row r="7825" spans="2:4" x14ac:dyDescent="0.25">
      <c r="B7825" t="str">
        <f>HYPERLINK("https://www.chemistwarehouse.com.au/buy/73353/Pantene-Ultimate-10-Conditioner-75ml"," Pantene Ultimate 10 Conditioner 75ml")</f>
        <v xml:space="preserve"> Pantene Ultimate 10 Conditioner 75ml</v>
      </c>
      <c r="C7825" t="s">
        <v>312</v>
      </c>
      <c r="D7825">
        <v>0</v>
      </c>
    </row>
    <row r="7826" spans="2:4" x14ac:dyDescent="0.25">
      <c r="B7826" t="str">
        <f>HYPERLINK("https://www.chemistwarehouse.com.au/buy/59931/Pantene-Pro-V-Colour-Protection-Conditioner-350mL"," Pantene Pro-V Colour Protection Conditioner 350mL")</f>
        <v xml:space="preserve"> Pantene Pro-V Colour Protection Conditioner 350mL</v>
      </c>
      <c r="C7826" t="s">
        <v>116</v>
      </c>
      <c r="D7826" t="s">
        <v>371</v>
      </c>
    </row>
    <row r="7827" spans="2:4" x14ac:dyDescent="0.25">
      <c r="B7827" t="str">
        <f>HYPERLINK("https://www.chemistwarehouse.com.au/buy/64150/Pantene-Nature-Fusion-Conditioner-350ml"," Pantene Nature Fusion Conditioner 350ml")</f>
        <v xml:space="preserve"> Pantene Nature Fusion Conditioner 350ml</v>
      </c>
      <c r="C7827" t="s">
        <v>116</v>
      </c>
      <c r="D7827" t="s">
        <v>371</v>
      </c>
    </row>
    <row r="7828" spans="2:4" x14ac:dyDescent="0.25">
      <c r="B7828" t="str">
        <f>HYPERLINK("https://www.chemistwarehouse.com.au/buy/71491/Pantene-Always-Smooth-Conditioner-350ml"," Pantene Always Smooth Conditioner 350ml")</f>
        <v xml:space="preserve"> Pantene Always Smooth Conditioner 350ml</v>
      </c>
      <c r="C7828" t="s">
        <v>116</v>
      </c>
      <c r="D7828" t="s">
        <v>371</v>
      </c>
    </row>
    <row r="7829" spans="2:4" x14ac:dyDescent="0.25">
      <c r="B7829" t="str">
        <f>HYPERLINK("https://www.chemistwarehouse.com.au/buy/71492/Pantene-Ice-Shine-Conditioner-350ml"," Pantene Ice Shine Conditioner 350ml")</f>
        <v xml:space="preserve"> Pantene Ice Shine Conditioner 350ml</v>
      </c>
      <c r="C7829" t="s">
        <v>116</v>
      </c>
      <c r="D7829" t="s">
        <v>371</v>
      </c>
    </row>
    <row r="7830" spans="2:4" x14ac:dyDescent="0.25">
      <c r="B7830" t="str">
        <f>HYPERLINK("https://www.chemistwarehouse.com.au/buy/75906/Pantene-Daily-Moisture-Renewal-Conditioner-900ml"," Pantene Daily Moisture Renewal Conditioner 900ml")</f>
        <v xml:space="preserve"> Pantene Daily Moisture Renewal Conditioner 900ml</v>
      </c>
      <c r="C7830" t="s">
        <v>237</v>
      </c>
      <c r="D7830" t="s">
        <v>808</v>
      </c>
    </row>
    <row r="7831" spans="2:4" x14ac:dyDescent="0.25">
      <c r="B7831" t="str">
        <f>HYPERLINK("https://www.chemistwarehouse.com.au/buy/75908/Pantene-Ice-Shine-Conditioner-900ml"," Pantene Ice Shine Conditioner 900ml")</f>
        <v xml:space="preserve"> Pantene Ice Shine Conditioner 900ml</v>
      </c>
      <c r="C7831" t="s">
        <v>237</v>
      </c>
      <c r="D7831" t="s">
        <v>808</v>
      </c>
    </row>
    <row r="7832" spans="2:4" x14ac:dyDescent="0.25">
      <c r="B7832" t="str">
        <f>HYPERLINK("https://www.chemistwarehouse.com.au/buy/75910/Pantene-Ultimate-10-Conditioner-900ml"," Pantene Ultimate 10 Conditioner 900ml")</f>
        <v xml:space="preserve"> Pantene Ultimate 10 Conditioner 900ml</v>
      </c>
      <c r="C7832" t="s">
        <v>237</v>
      </c>
      <c r="D7832" t="s">
        <v>808</v>
      </c>
    </row>
    <row r="7833" spans="2:4" x14ac:dyDescent="0.25">
      <c r="B7833" t="str">
        <f>HYPERLINK("https://www.chemistwarehouse.com.au/buy/78974/Pantene-Sheer-Volume-Conditioner-350ml"," Pantene Sheer Volume Conditioner 350ml")</f>
        <v xml:space="preserve"> Pantene Sheer Volume Conditioner 350ml</v>
      </c>
      <c r="C7833" t="s">
        <v>116</v>
      </c>
      <c r="D7833" t="s">
        <v>371</v>
      </c>
    </row>
    <row r="7834" spans="2:4" x14ac:dyDescent="0.25">
      <c r="B7834" t="str">
        <f>HYPERLINK("https://www.chemistwarehouse.com.au/buy/79298/Pantene-3-Minute-Miracle-Colour-Protection-Conditioner-180ml"," Pantene 3 Minute Miracle Colour Protection Conditioner 180ml")</f>
        <v xml:space="preserve"> Pantene 3 Minute Miracle Colour Protection Conditioner 180ml</v>
      </c>
      <c r="C7834" t="s">
        <v>116</v>
      </c>
      <c r="D7834" t="s">
        <v>371</v>
      </c>
    </row>
    <row r="7835" spans="2:4" x14ac:dyDescent="0.25">
      <c r="B7835" t="str">
        <f>HYPERLINK("https://www.chemistwarehouse.com.au/buy/79299/Pantene-3-Minute-Miracle-Daily-Moisture-Renewal-Conditioner-180ml"," Pantene 3 Minute Miracle Daily Moisture Renewal Conditioner 180ml")</f>
        <v xml:space="preserve"> Pantene 3 Minute Miracle Daily Moisture Renewal Conditioner 180ml</v>
      </c>
      <c r="C7835" t="s">
        <v>116</v>
      </c>
      <c r="D7835" t="s">
        <v>371</v>
      </c>
    </row>
    <row r="7836" spans="2:4" x14ac:dyDescent="0.25">
      <c r="B7836" t="str">
        <f>HYPERLINK("https://www.chemistwarehouse.com.au/buy/79300/Pantene-3-Minute-Miracle-Repair-amp-Protect-Conditioner-180ml"," Pantene 3 Minute Miracle Repair &amp; Protect Conditioner 180ml")</f>
        <v xml:space="preserve"> Pantene 3 Minute Miracle Repair &amp; Protect Conditioner 180ml</v>
      </c>
      <c r="C7836" t="s">
        <v>116</v>
      </c>
      <c r="D7836" t="s">
        <v>371</v>
      </c>
    </row>
    <row r="7837" spans="2:4" x14ac:dyDescent="0.25">
      <c r="B7837" t="str">
        <f>HYPERLINK("https://www.chemistwarehouse.com.au/buy/80056/Pantene-Sheer-Volume-Conditioner-900ml"," Pantene Sheer Volume Conditioner 900ml")</f>
        <v xml:space="preserve"> Pantene Sheer Volume Conditioner 900ml</v>
      </c>
      <c r="C7837" t="s">
        <v>237</v>
      </c>
      <c r="D7837" t="s">
        <v>808</v>
      </c>
    </row>
    <row r="7838" spans="2:4" x14ac:dyDescent="0.25">
      <c r="B7838" t="str">
        <f>HYPERLINK("https://www.chemistwarehouse.com.au/buy/75900/Pantene-Always-Smooth-Conditioner-900ml"," Pantene Always Smooth Conditioner 900ml")</f>
        <v xml:space="preserve"> Pantene Always Smooth Conditioner 900ml</v>
      </c>
      <c r="C7838" t="s">
        <v>237</v>
      </c>
      <c r="D7838" t="s">
        <v>808</v>
      </c>
    </row>
    <row r="7839" spans="2:4" x14ac:dyDescent="0.25">
      <c r="B7839" t="str">
        <f>HYPERLINK("https://www.chemistwarehouse.com.au/buy/59925/Pantene-Daily-Moisture-Renewal-Conditioner-350ml"," Pantene Daily Moisture Renewal Conditioner 350ml")</f>
        <v xml:space="preserve"> Pantene Daily Moisture Renewal Conditioner 350ml</v>
      </c>
      <c r="C7839" t="s">
        <v>116</v>
      </c>
      <c r="D7839" t="s">
        <v>371</v>
      </c>
    </row>
    <row r="7840" spans="2:4" x14ac:dyDescent="0.25">
      <c r="B7840" t="str">
        <f>HYPERLINK("https://www.chemistwarehouse.com.au/buy/73351/Pantene-Daily-Moisture-Renewal-Conditioner-75ml"," Pantene Daily Moisture Renewal Conditioner 75ml")</f>
        <v xml:space="preserve"> Pantene Daily Moisture Renewal Conditioner 75ml</v>
      </c>
      <c r="C7840" t="s">
        <v>312</v>
      </c>
      <c r="D7840">
        <v>0</v>
      </c>
    </row>
    <row r="7841" spans="1:4" x14ac:dyDescent="0.25">
      <c r="A7841" t="s">
        <v>1803</v>
      </c>
    </row>
    <row r="7842" spans="1:4" x14ac:dyDescent="0.25">
      <c r="B7842" t="str">
        <f>HYPERLINK("https://www.chemistwarehouse.com.au/buy/82192/Redken-Pillow-Proof-Two-Day-Extender-Dry-Shampoo-153ml"," Redken Pillow Proof Two Day Extender Dry Shampoo 153ml")</f>
        <v xml:space="preserve"> Redken Pillow Proof Two Day Extender Dry Shampoo 153ml</v>
      </c>
      <c r="C7842" t="s">
        <v>10</v>
      </c>
      <c r="D7842" t="s">
        <v>154</v>
      </c>
    </row>
    <row r="7843" spans="1:4" x14ac:dyDescent="0.25">
      <c r="B7843" t="str">
        <f>HYPERLINK("https://www.chemistwarehouse.com.au/buy/82659/Redken-High-Rise-Volume-Shampoo-300ml"," Redken High Rise Volume Shampoo 300ml")</f>
        <v xml:space="preserve"> Redken High Rise Volume Shampoo 300ml</v>
      </c>
      <c r="C7843" t="s">
        <v>1</v>
      </c>
      <c r="D7843" t="s">
        <v>490</v>
      </c>
    </row>
    <row r="7844" spans="1:4" x14ac:dyDescent="0.25">
      <c r="A7844" t="s">
        <v>1804</v>
      </c>
    </row>
    <row r="7845" spans="1:4" x14ac:dyDescent="0.25">
      <c r="B7845" t="str">
        <f>HYPERLINK("https://www.chemistwarehouse.com.au/buy/82658/Redken-High-Rise-Volume-Conditioner-250ml"," Redken High Rise Volume Conditioner 250ml")</f>
        <v xml:space="preserve"> Redken High Rise Volume Conditioner 250ml</v>
      </c>
      <c r="C7845" t="s">
        <v>1</v>
      </c>
      <c r="D7845" t="s">
        <v>490</v>
      </c>
    </row>
    <row r="7846" spans="1:4" x14ac:dyDescent="0.25">
      <c r="A7846" t="s">
        <v>1805</v>
      </c>
    </row>
    <row r="7847" spans="1:4" x14ac:dyDescent="0.25">
      <c r="B7847" t="str">
        <f>HYPERLINK("https://www.chemistwarehouse.com.au/buy/52080/Schwarzkopf-Extra-Care-Shampoo-Liquid-Silk-400mL"," Schwarzkopf Extra Care Shampoo Liquid Silk 400mL")</f>
        <v xml:space="preserve"> Schwarzkopf Extra Care Shampoo Liquid Silk 400mL</v>
      </c>
      <c r="C7847" t="s">
        <v>483</v>
      </c>
      <c r="D7847" t="s">
        <v>115</v>
      </c>
    </row>
    <row r="7848" spans="1:4" x14ac:dyDescent="0.25">
      <c r="B7848" t="str">
        <f>HYPERLINK("https://www.chemistwarehouse.com.au/buy/55588/Schwarzkopf-Extra-Care-Shampoo-Colour-Protect-400ml"," Schwarzkopf Extra Care Shampoo Colour Protect 400ml")</f>
        <v xml:space="preserve"> Schwarzkopf Extra Care Shampoo Colour Protect 400ml</v>
      </c>
      <c r="C7848" t="s">
        <v>483</v>
      </c>
      <c r="D7848" t="s">
        <v>115</v>
      </c>
    </row>
    <row r="7849" spans="1:4" x14ac:dyDescent="0.25">
      <c r="B7849" t="str">
        <f>HYPERLINK("https://www.chemistwarehouse.com.au/buy/64154/Schwarzkopf-Extra-Care-Push-Up-Volume-Shampoo-400ml"," Schwarzkopf Extra Care Push Up Volume Shampoo 400ml")</f>
        <v xml:space="preserve"> Schwarzkopf Extra Care Push Up Volume Shampoo 400ml</v>
      </c>
      <c r="C7849" t="s">
        <v>483</v>
      </c>
      <c r="D7849" t="s">
        <v>115</v>
      </c>
    </row>
    <row r="7850" spans="1:4" x14ac:dyDescent="0.25">
      <c r="B7850" t="str">
        <f>HYPERLINK("https://www.chemistwarehouse.com.au/buy/66201/Schwarzkopf-Extra-Care-Marrakesh-Oil-amp-Coconut-Milk-Shampoo-400ml"," Schwarzkopf Extra Care Marrakesh Oil &amp; Coconut Milk Shampoo 400ml")</f>
        <v xml:space="preserve"> Schwarzkopf Extra Care Marrakesh Oil &amp; Coconut Milk Shampoo 400ml</v>
      </c>
      <c r="C7850" t="s">
        <v>483</v>
      </c>
      <c r="D7850" t="s">
        <v>115</v>
      </c>
    </row>
    <row r="7851" spans="1:4" x14ac:dyDescent="0.25">
      <c r="B7851" t="str">
        <f>HYPERLINK("https://www.chemistwarehouse.com.au/buy/71036/Schwarzkopf-Extra-Care-Dry-Shampoo-125g"," Schwarzkopf Extra Care Dry Shampoo 125g")</f>
        <v xml:space="preserve"> Schwarzkopf Extra Care Dry Shampoo 125g</v>
      </c>
      <c r="C7851" t="s">
        <v>326</v>
      </c>
      <c r="D7851" t="s">
        <v>108</v>
      </c>
    </row>
    <row r="7852" spans="1:4" x14ac:dyDescent="0.25">
      <c r="B7852" t="str">
        <f>HYPERLINK("https://www.chemistwarehouse.com.au/buy/71676/Schwarzkopf-Extra-Care-Moisture-Gloss-Shampoo-400ml"," Schwarzkopf Extra Care Moisture Gloss Shampoo 400ml")</f>
        <v xml:space="preserve"> Schwarzkopf Extra Care Moisture Gloss Shampoo 400ml</v>
      </c>
      <c r="C7852" t="s">
        <v>483</v>
      </c>
      <c r="D7852" t="s">
        <v>115</v>
      </c>
    </row>
    <row r="7853" spans="1:4" x14ac:dyDescent="0.25">
      <c r="B7853" t="str">
        <f>HYPERLINK("https://www.chemistwarehouse.com.au/buy/74866/Schwarzkopf-Extra-Care-Colour-Protect-Shampoo-600ml"," Schwarzkopf Extra Care Colour Protect Shampoo 600ml")</f>
        <v xml:space="preserve"> Schwarzkopf Extra Care Colour Protect Shampoo 600ml</v>
      </c>
      <c r="C7853" t="s">
        <v>239</v>
      </c>
      <c r="D7853" t="s">
        <v>1264</v>
      </c>
    </row>
    <row r="7854" spans="1:4" x14ac:dyDescent="0.25">
      <c r="B7854" t="str">
        <f>HYPERLINK("https://www.chemistwarehouse.com.au/buy/60120/Schwarzkopf-Extra-Care-Deep-Nutrition-Shampoo-400mL"," Schwarzkopf Extra Care Deep Nutrition Shampoo 400mL")</f>
        <v xml:space="preserve"> Schwarzkopf Extra Care Deep Nutrition Shampoo 400mL</v>
      </c>
      <c r="C7854" t="s">
        <v>483</v>
      </c>
      <c r="D7854" t="s">
        <v>115</v>
      </c>
    </row>
    <row r="7855" spans="1:4" x14ac:dyDescent="0.25">
      <c r="B7855" t="str">
        <f>HYPERLINK("https://www.chemistwarehouse.com.au/buy/63578/Schwarzkopf-Extra-Care-Ultimate-Repair-Shampoo-400ml"," Schwarzkopf Extra Care Ultimate Repair Shampoo 400ml")</f>
        <v xml:space="preserve"> Schwarzkopf Extra Care Ultimate Repair Shampoo 400ml</v>
      </c>
      <c r="C7855" t="s">
        <v>483</v>
      </c>
      <c r="D7855" t="s">
        <v>115</v>
      </c>
    </row>
    <row r="7856" spans="1:4" x14ac:dyDescent="0.25">
      <c r="B7856" t="str">
        <f>HYPERLINK("https://www.chemistwarehouse.com.au/buy/74870/Schwarzkopf-Extra-Care-Ultimate-Repair-Shampoo-600ml"," Schwarzkopf Extra Care Ultimate Repair Shampoo 600ml")</f>
        <v xml:space="preserve"> Schwarzkopf Extra Care Ultimate Repair Shampoo 600ml</v>
      </c>
      <c r="C7856" t="s">
        <v>239</v>
      </c>
      <c r="D7856" t="s">
        <v>1264</v>
      </c>
    </row>
    <row r="7857" spans="1:4" x14ac:dyDescent="0.25">
      <c r="B7857" t="str">
        <f>HYPERLINK("https://www.chemistwarehouse.com.au/buy/75672/Schwarzkopf-Extra-Care-Serum-Deep-Repair-Shampoo-400ml"," Schwarzkopf Extra Care Serum Deep Repair Shampoo 400ml")</f>
        <v xml:space="preserve"> Schwarzkopf Extra Care Serum Deep Repair Shampoo 400ml</v>
      </c>
      <c r="C7857" t="s">
        <v>483</v>
      </c>
      <c r="D7857" t="s">
        <v>115</v>
      </c>
    </row>
    <row r="7858" spans="1:4" x14ac:dyDescent="0.25">
      <c r="B7858" t="str">
        <f>HYPERLINK("https://www.chemistwarehouse.com.au/buy/77540/Schwarzkopf-Extra-Care-Oil-Nutritive-Shampoo-400ml"," Schwarzkopf Extra Care Oil Nutritive Shampoo 400ml")</f>
        <v xml:space="preserve"> Schwarzkopf Extra Care Oil Nutritive Shampoo 400ml</v>
      </c>
      <c r="C7858" t="s">
        <v>483</v>
      </c>
      <c r="D7858" t="s">
        <v>115</v>
      </c>
    </row>
    <row r="7859" spans="1:4" x14ac:dyDescent="0.25">
      <c r="B7859" t="str">
        <f>HYPERLINK("https://www.chemistwarehouse.com.au/buy/79132/Schwarzkopf-Extra-Care-Magnificent-Strength-Shampoo-400ml"," Schwarzkopf Extra Care Magnificent Strength Shampoo 400ml")</f>
        <v xml:space="preserve"> Schwarzkopf Extra Care Magnificent Strength Shampoo 400ml</v>
      </c>
      <c r="C7859" t="s">
        <v>483</v>
      </c>
      <c r="D7859" t="s">
        <v>115</v>
      </c>
    </row>
    <row r="7860" spans="1:4" x14ac:dyDescent="0.25">
      <c r="B7860" t="str">
        <f>HYPERLINK("https://www.chemistwarehouse.com.au/buy/79134/Schwarzkopf-Extra-Care-Purify-amp-Protect-Shampoo-400ml"," Schwarzkopf Extra Care Purify &amp; Protect Shampoo 400ml")</f>
        <v xml:space="preserve"> Schwarzkopf Extra Care Purify &amp; Protect Shampoo 400ml</v>
      </c>
      <c r="C7860" t="s">
        <v>483</v>
      </c>
      <c r="D7860" t="s">
        <v>115</v>
      </c>
    </row>
    <row r="7861" spans="1:4" x14ac:dyDescent="0.25">
      <c r="B7861" t="str">
        <f>HYPERLINK("https://www.chemistwarehouse.com.au/buy/81681/Schwarzkopf-Extra-Care-Sun-Repair-Shampoo-400ml"," Schwarzkopf Extra Care Sun Repair Shampoo 400ml")</f>
        <v xml:space="preserve"> Schwarzkopf Extra Care Sun Repair Shampoo 400ml</v>
      </c>
      <c r="C7861" t="s">
        <v>483</v>
      </c>
      <c r="D7861" t="s">
        <v>115</v>
      </c>
    </row>
    <row r="7862" spans="1:4" x14ac:dyDescent="0.25">
      <c r="B7862" t="str">
        <f>HYPERLINK("https://www.chemistwarehouse.com.au/buy/74868/Schwarzkopf-Extra-Care-Marrakesh-Oil-amp-Coconut-Shampoo-600ml"," Schwarzkopf Extra Care Marrakesh Oil &amp; Coconut Shampoo 600ml")</f>
        <v xml:space="preserve"> Schwarzkopf Extra Care Marrakesh Oil &amp; Coconut Shampoo 600ml</v>
      </c>
      <c r="C7862" t="s">
        <v>239</v>
      </c>
      <c r="D7862" t="s">
        <v>1264</v>
      </c>
    </row>
    <row r="7863" spans="1:4" x14ac:dyDescent="0.25">
      <c r="A7863" t="s">
        <v>1806</v>
      </c>
    </row>
    <row r="7864" spans="1:4" x14ac:dyDescent="0.25">
      <c r="B7864" t="str">
        <f>HYPERLINK("https://www.chemistwarehouse.com.au/buy/66221/Schwarzkopf-Extra-Care-Marrakesh-Oil-amp-Coconut-Milk-Conditioner-400ml"," Schwarzkopf Extra Care Marrakesh Oil &amp; Coconut Milk Conditioner 400ml")</f>
        <v xml:space="preserve"> Schwarzkopf Extra Care Marrakesh Oil &amp; Coconut Milk Conditioner 400ml</v>
      </c>
      <c r="C7864" t="s">
        <v>483</v>
      </c>
      <c r="D7864" t="s">
        <v>115</v>
      </c>
    </row>
    <row r="7865" spans="1:4" x14ac:dyDescent="0.25">
      <c r="B7865" t="str">
        <f>HYPERLINK("https://www.chemistwarehouse.com.au/buy/71667/Schwarzkopf-Extra-Care-Moisture-Gloss-Conditioner-400ml"," Schwarzkopf Extra Care Moisture Gloss Conditioner 400ml")</f>
        <v xml:space="preserve"> Schwarzkopf Extra Care Moisture Gloss Conditioner 400ml</v>
      </c>
      <c r="C7865" t="s">
        <v>483</v>
      </c>
      <c r="D7865" t="s">
        <v>115</v>
      </c>
    </row>
    <row r="7866" spans="1:4" x14ac:dyDescent="0.25">
      <c r="B7866" t="str">
        <f>HYPERLINK("https://www.chemistwarehouse.com.au/buy/74865/Schwarzkopf-Extra-Care-Colour-Protect-Conditioner-600ml"," Schwarzkopf Extra Care Colour Protect Conditioner 600ml")</f>
        <v xml:space="preserve"> Schwarzkopf Extra Care Colour Protect Conditioner 600ml</v>
      </c>
      <c r="C7866" t="s">
        <v>239</v>
      </c>
      <c r="D7866" t="s">
        <v>1264</v>
      </c>
    </row>
    <row r="7867" spans="1:4" x14ac:dyDescent="0.25">
      <c r="B7867" t="str">
        <f>HYPERLINK("https://www.chemistwarehouse.com.au/buy/74869/Schwarzkopf-Extra-Care-Ultimate-Repair-Conditioner-600ml"," Schwarzkopf Extra Care Ultimate Repair Conditioner 600ml")</f>
        <v xml:space="preserve"> Schwarzkopf Extra Care Ultimate Repair Conditioner 600ml</v>
      </c>
      <c r="C7867" t="s">
        <v>239</v>
      </c>
      <c r="D7867" t="s">
        <v>1264</v>
      </c>
    </row>
    <row r="7868" spans="1:4" x14ac:dyDescent="0.25">
      <c r="B7868" t="str">
        <f>HYPERLINK("https://www.chemistwarehouse.com.au/buy/75671/Schwarzkopf-Extra-Care-Serum-Deep-Repair-Conditioner-400ml"," Schwarzkopf Extra Care Serum Deep Repair Conditioner 400ml")</f>
        <v xml:space="preserve"> Schwarzkopf Extra Care Serum Deep Repair Conditioner 400ml</v>
      </c>
      <c r="C7868" t="s">
        <v>483</v>
      </c>
      <c r="D7868" t="s">
        <v>115</v>
      </c>
    </row>
    <row r="7869" spans="1:4" x14ac:dyDescent="0.25">
      <c r="B7869" t="str">
        <f>HYPERLINK("https://www.chemistwarehouse.com.au/buy/77539/Schwarzkopf-Extra-Care-Oil-Nutritive-Conditioner-400ml"," Schwarzkopf Extra Care Oil Nutritive Conditioner 400ml")</f>
        <v xml:space="preserve"> Schwarzkopf Extra Care Oil Nutritive Conditioner 400ml</v>
      </c>
      <c r="C7869" t="s">
        <v>483</v>
      </c>
      <c r="D7869" t="s">
        <v>115</v>
      </c>
    </row>
    <row r="7870" spans="1:4" x14ac:dyDescent="0.25">
      <c r="B7870" t="str">
        <f>HYPERLINK("https://www.chemistwarehouse.com.au/buy/79131/Schwarzkopf-Extra-Care-Magnificent-Strength-Conditioner-400ml"," Schwarzkopf Extra Care Magnificent Strength Conditioner 400ml")</f>
        <v xml:space="preserve"> Schwarzkopf Extra Care Magnificent Strength Conditioner 400ml</v>
      </c>
      <c r="C7870" t="s">
        <v>483</v>
      </c>
      <c r="D7870" t="s">
        <v>115</v>
      </c>
    </row>
    <row r="7871" spans="1:4" x14ac:dyDescent="0.25">
      <c r="B7871" t="str">
        <f>HYPERLINK("https://www.chemistwarehouse.com.au/buy/79133/Schwarzkopf-Extra-Care-Purify-amp-Protect-Conditioner-400ml"," Schwarzkopf Extra Care Purify &amp; Protect Conditioner 400ml")</f>
        <v xml:space="preserve"> Schwarzkopf Extra Care Purify &amp; Protect Conditioner 400ml</v>
      </c>
      <c r="C7871" t="s">
        <v>483</v>
      </c>
      <c r="D7871" t="s">
        <v>115</v>
      </c>
    </row>
    <row r="7872" spans="1:4" x14ac:dyDescent="0.25">
      <c r="B7872" t="str">
        <f>HYPERLINK("https://www.chemistwarehouse.com.au/buy/81626/Schwarzkopf-Extra-Care-Sun-Repair-Leave-In-Spray-Conditioner-150ml"," Schwarzkopf Extra Care Sun Repair Leave In Spray Conditioner 150ml")</f>
        <v xml:space="preserve"> Schwarzkopf Extra Care Sun Repair Leave In Spray Conditioner 150ml</v>
      </c>
      <c r="C7872" t="s">
        <v>326</v>
      </c>
      <c r="D7872" t="s">
        <v>108</v>
      </c>
    </row>
    <row r="7873" spans="1:4" x14ac:dyDescent="0.25">
      <c r="B7873" t="str">
        <f>HYPERLINK("https://www.chemistwarehouse.com.au/buy/81680/Schwarzkopf-Extra-Care-Sun-Repair-Conditioner-400ml"," Schwarzkopf Extra Care Sun Repair Conditioner 400ml")</f>
        <v xml:space="preserve"> Schwarzkopf Extra Care Sun Repair Conditioner 400ml</v>
      </c>
      <c r="C7873" t="s">
        <v>483</v>
      </c>
      <c r="D7873" t="s">
        <v>115</v>
      </c>
    </row>
    <row r="7874" spans="1:4" x14ac:dyDescent="0.25">
      <c r="B7874" t="str">
        <f>HYPERLINK("https://www.chemistwarehouse.com.au/buy/52079/Schwarzkopf-Extra-Care-Conditioner-Liquid-Silk-400mL"," Schwarzkopf Extra Care Conditioner Liquid Silk 400mL")</f>
        <v xml:space="preserve"> Schwarzkopf Extra Care Conditioner Liquid Silk 400mL</v>
      </c>
      <c r="C7874" t="s">
        <v>483</v>
      </c>
      <c r="D7874" t="s">
        <v>115</v>
      </c>
    </row>
    <row r="7875" spans="1:4" x14ac:dyDescent="0.25">
      <c r="B7875" t="str">
        <f>HYPERLINK("https://www.chemistwarehouse.com.au/buy/55439/Schwarzkopf-Extra-Care-Conditioner-Colour-Protect-400ml"," Schwarzkopf Extra Care Conditioner Colour Protect 400ml")</f>
        <v xml:space="preserve"> Schwarzkopf Extra Care Conditioner Colour Protect 400ml</v>
      </c>
      <c r="C7875" t="s">
        <v>483</v>
      </c>
      <c r="D7875" t="s">
        <v>115</v>
      </c>
    </row>
    <row r="7876" spans="1:4" x14ac:dyDescent="0.25">
      <c r="B7876" t="str">
        <f>HYPERLINK("https://www.chemistwarehouse.com.au/buy/60032/Schwarzkopf-Extra-Care-Deep-Nutrition-Conditioner-400mL"," Schwarzkopf Extra Care Deep Nutrition Conditioner 400mL")</f>
        <v xml:space="preserve"> Schwarzkopf Extra Care Deep Nutrition Conditioner 400mL</v>
      </c>
      <c r="C7876" t="s">
        <v>483</v>
      </c>
      <c r="D7876" t="s">
        <v>115</v>
      </c>
    </row>
    <row r="7877" spans="1:4" x14ac:dyDescent="0.25">
      <c r="B7877" t="str">
        <f>HYPERLINK("https://www.chemistwarehouse.com.au/buy/63505/Schwarzkopf-Extra-Care-Ultimate-Repair-Conditioner-400ml"," Schwarzkopf Extra Care Ultimate Repair Conditioner 400ml")</f>
        <v xml:space="preserve"> Schwarzkopf Extra Care Ultimate Repair Conditioner 400ml</v>
      </c>
      <c r="C7877" t="s">
        <v>483</v>
      </c>
      <c r="D7877" t="s">
        <v>115</v>
      </c>
    </row>
    <row r="7878" spans="1:4" x14ac:dyDescent="0.25">
      <c r="B7878" t="str">
        <f>HYPERLINK("https://www.chemistwarehouse.com.au/buy/64153/Schwarzkopf-Extra-Care-Push-Up-Volume-Conditioner-400ml"," Schwarzkopf Extra Care Push Up Volume Conditioner 400ml")</f>
        <v xml:space="preserve"> Schwarzkopf Extra Care Push Up Volume Conditioner 400ml</v>
      </c>
      <c r="C7878" t="s">
        <v>483</v>
      </c>
      <c r="D7878" t="s">
        <v>115</v>
      </c>
    </row>
    <row r="7879" spans="1:4" x14ac:dyDescent="0.25">
      <c r="A7879" t="s">
        <v>1807</v>
      </c>
    </row>
    <row r="7880" spans="1:4" x14ac:dyDescent="0.25">
      <c r="B7880" t="str">
        <f>HYPERLINK("https://www.chemistwarehouse.com.au/buy/60033/Sunsilk-Conditioner-Brilliant-Shine-200ml"," Sunsilk Conditioner Brilliant Shine 200ml")</f>
        <v xml:space="preserve"> Sunsilk Conditioner Brilliant Shine 200ml</v>
      </c>
      <c r="C7880" t="s">
        <v>104</v>
      </c>
      <c r="D7880" t="s">
        <v>1808</v>
      </c>
    </row>
    <row r="7881" spans="1:4" x14ac:dyDescent="0.25">
      <c r="B7881" t="str">
        <f>HYPERLINK("https://www.chemistwarehouse.com.au/buy/80608/Sunsilk-Refreshing-Hydration-Conditioner-400ml"," Sunsilk Refreshing Hydration Conditioner 400ml")</f>
        <v xml:space="preserve"> Sunsilk Refreshing Hydration Conditioner 400ml</v>
      </c>
      <c r="C7881" t="s">
        <v>115</v>
      </c>
      <c r="D7881" t="s">
        <v>1809</v>
      </c>
    </row>
    <row r="7882" spans="1:4" x14ac:dyDescent="0.25">
      <c r="B7882" t="str">
        <f>HYPERLINK("https://www.chemistwarehouse.com.au/buy/80610/Sunsilk-Longer-and-Stronger-Conditioner-400ml"," Sunsilk Longer and Stronger Conditioner 400ml")</f>
        <v xml:space="preserve"> Sunsilk Longer and Stronger Conditioner 400ml</v>
      </c>
      <c r="C7882" t="s">
        <v>115</v>
      </c>
      <c r="D7882" t="s">
        <v>1809</v>
      </c>
    </row>
    <row r="7883" spans="1:4" x14ac:dyDescent="0.25">
      <c r="A7883" t="s">
        <v>1810</v>
      </c>
    </row>
    <row r="7884" spans="1:4" x14ac:dyDescent="0.25">
      <c r="B7884" t="str">
        <f>HYPERLINK("https://www.chemistwarehouse.com.au/buy/66776/Thursday-Plantation-Tea-Tree-Original-Anti-Dandruff-Shampoo-250ml"," Thursday Plantation Tea Tree Original Anti-Dandruff Shampoo 250ml")</f>
        <v xml:space="preserve"> Thursday Plantation Tea Tree Original Anti-Dandruff Shampoo 250ml</v>
      </c>
      <c r="C7884" t="s">
        <v>116</v>
      </c>
      <c r="D7884" t="s">
        <v>560</v>
      </c>
    </row>
    <row r="7885" spans="1:4" x14ac:dyDescent="0.25">
      <c r="B7885" t="str">
        <f>HYPERLINK("https://www.chemistwarehouse.com.au/buy/67849/Thursday-Plantation-Tea-Tree-Everyday-Shampoo-250ml"," Thursday Plantation Tea Tree Everyday Shampoo 250ml")</f>
        <v xml:space="preserve"> Thursday Plantation Tea Tree Everyday Shampoo 250ml</v>
      </c>
      <c r="C7885" t="s">
        <v>116</v>
      </c>
      <c r="D7885" t="s">
        <v>817</v>
      </c>
    </row>
    <row r="7886" spans="1:4" x14ac:dyDescent="0.25">
      <c r="B7886" t="str">
        <f>HYPERLINK("https://www.chemistwarehouse.com.au/buy/60926/Thursday-Plantation-Tea-Tree-Shampoo-Organic-200ml"," Thursday Plantation Tea Tree Shampoo (Organic) 200ml")</f>
        <v xml:space="preserve"> Thursday Plantation Tea Tree Shampoo (Organic) 200ml</v>
      </c>
      <c r="C7886" t="s">
        <v>782</v>
      </c>
      <c r="D7886" t="s">
        <v>1322</v>
      </c>
    </row>
    <row r="7887" spans="1:4" x14ac:dyDescent="0.25">
      <c r="B7887" t="str">
        <f>HYPERLINK("https://www.chemistwarehouse.com.au/buy/60928/Thursday-Plantation-Tea-Tree-Conditioner-Organic-200ml"," Thursday Plantation Tea Tree Conditioner (Organic) 200ml")</f>
        <v xml:space="preserve"> Thursday Plantation Tea Tree Conditioner (Organic) 200ml</v>
      </c>
      <c r="C7887" t="s">
        <v>782</v>
      </c>
      <c r="D7887" t="s">
        <v>1322</v>
      </c>
    </row>
    <row r="7888" spans="1:4" x14ac:dyDescent="0.25">
      <c r="A7888" t="s">
        <v>1811</v>
      </c>
    </row>
    <row r="7889" spans="1:4" x14ac:dyDescent="0.25">
      <c r="B7889" t="str">
        <f>HYPERLINK("https://www.chemistwarehouse.com.au/buy/67829/Thursday-Plantation-Tea-Tree-Everyday-Conditioner-250ml"," Thursday Plantation Tea Tree Everyday Conditioner 250ml")</f>
        <v xml:space="preserve"> Thursday Plantation Tea Tree Everyday Conditioner 250ml</v>
      </c>
      <c r="C7889" t="s">
        <v>116</v>
      </c>
      <c r="D7889" t="s">
        <v>817</v>
      </c>
    </row>
    <row r="7890" spans="1:4" x14ac:dyDescent="0.25">
      <c r="A7890" t="s">
        <v>1812</v>
      </c>
    </row>
    <row r="7891" spans="1:4" x14ac:dyDescent="0.25">
      <c r="B7891" t="str">
        <f>HYPERLINK("https://www.chemistwarehouse.com.au/buy/74904/Tresemme-Volume-Fullness-Shampoo-900ml"," Tresemme Volume Fullness Shampoo 900ml")</f>
        <v xml:space="preserve"> Tresemme Volume Fullness Shampoo 900ml</v>
      </c>
      <c r="C7891" t="s">
        <v>326</v>
      </c>
      <c r="D7891" t="s">
        <v>270</v>
      </c>
    </row>
    <row r="7892" spans="1:4" x14ac:dyDescent="0.25">
      <c r="B7892" t="str">
        <f>HYPERLINK("https://www.chemistwarehouse.com.au/buy/49358/Tresemme-Shampoo-Colour-Revitalising-Hair-900ml"," Tresemme Shampoo Colour Revitalising Hair 900ml")</f>
        <v xml:space="preserve"> Tresemme Shampoo Colour Revitalising Hair 900ml</v>
      </c>
      <c r="C7892" t="s">
        <v>326</v>
      </c>
      <c r="D7892" t="s">
        <v>1813</v>
      </c>
    </row>
    <row r="7893" spans="1:4" x14ac:dyDescent="0.25">
      <c r="B7893" t="str">
        <f>HYPERLINK("https://www.chemistwarehouse.com.au/buy/79559/Tresemme-Botanique-Restore-amp-Shine-Coconut-Shampoo-750ml"," Tresemme Botanique Restore &amp; Shine Coconut Shampoo 750ml")</f>
        <v xml:space="preserve"> Tresemme Botanique Restore &amp; Shine Coconut Shampoo 750ml</v>
      </c>
      <c r="C7893" t="s">
        <v>326</v>
      </c>
      <c r="D7893" t="s">
        <v>270</v>
      </c>
    </row>
    <row r="7894" spans="1:4" x14ac:dyDescent="0.25">
      <c r="B7894" t="str">
        <f>HYPERLINK("https://www.chemistwarehouse.com.au/buy/72640/Tresemme-Keratin-7-Day-Smooth-Shampoo-250ml"," Tresemme Keratin 7 Day Smooth Shampoo 250ml")</f>
        <v xml:space="preserve"> Tresemme Keratin 7 Day Smooth Shampoo 250ml</v>
      </c>
      <c r="C7894" t="s">
        <v>326</v>
      </c>
      <c r="D7894" t="s">
        <v>270</v>
      </c>
    </row>
    <row r="7895" spans="1:4" x14ac:dyDescent="0.25">
      <c r="B7895" t="str">
        <f>HYPERLINK("https://www.chemistwarehouse.com.au/buy/72643/Tresemme-Platinum-Strength-Shampoo-750ml"," Tresemme Platinum Strength Shampoo 750ml")</f>
        <v xml:space="preserve"> Tresemme Platinum Strength Shampoo 750ml</v>
      </c>
      <c r="C7895" t="s">
        <v>326</v>
      </c>
      <c r="D7895" t="s">
        <v>270</v>
      </c>
    </row>
    <row r="7896" spans="1:4" x14ac:dyDescent="0.25">
      <c r="B7896" t="str">
        <f>HYPERLINK("https://www.chemistwarehouse.com.au/buy/76974/Tresemme-Moisture-Rich-Shampoo-100ml"," Tresemme Moisture Rich Shampoo 100ml")</f>
        <v xml:space="preserve"> Tresemme Moisture Rich Shampoo 100ml</v>
      </c>
      <c r="C7896" t="s">
        <v>115</v>
      </c>
      <c r="D7896" t="s">
        <v>1397</v>
      </c>
    </row>
    <row r="7897" spans="1:4" x14ac:dyDescent="0.25">
      <c r="B7897" t="str">
        <f>HYPERLINK("https://www.chemistwarehouse.com.au/buy/79557/Tresemme-Botanique-Damage-Recovery-Macadamia-Oil-Shampoo-750ml"," Tresemme Botanique Damage Recovery Macadamia Oil Shampoo 750ml")</f>
        <v xml:space="preserve"> Tresemme Botanique Damage Recovery Macadamia Oil Shampoo 750ml</v>
      </c>
      <c r="C7897" t="s">
        <v>326</v>
      </c>
      <c r="D7897" t="s">
        <v>270</v>
      </c>
    </row>
    <row r="7898" spans="1:4" x14ac:dyDescent="0.25">
      <c r="B7898" t="str">
        <f>HYPERLINK("https://www.chemistwarehouse.com.au/buy/51110/Tresemme-Shampoo-Deep-Cleansing-900ml"," Tresemme Shampoo Deep Cleansing 900ml")</f>
        <v xml:space="preserve"> Tresemme Shampoo Deep Cleansing 900ml</v>
      </c>
      <c r="C7898" t="s">
        <v>326</v>
      </c>
      <c r="D7898" t="s">
        <v>1813</v>
      </c>
    </row>
    <row r="7899" spans="1:4" x14ac:dyDescent="0.25">
      <c r="B7899" t="str">
        <f>HYPERLINK("https://www.chemistwarehouse.com.au/buy/51111/Tresemme-Shampoo-Moisture-Rich-900ml"," Tresemme Shampoo Moisture Rich 900ml")</f>
        <v xml:space="preserve"> Tresemme Shampoo Moisture Rich 900ml</v>
      </c>
      <c r="C7899" t="s">
        <v>326</v>
      </c>
      <c r="D7899" t="s">
        <v>1813</v>
      </c>
    </row>
    <row r="7900" spans="1:4" x14ac:dyDescent="0.25">
      <c r="B7900" t="str">
        <f>HYPERLINK("https://www.chemistwarehouse.com.au/buy/52105/Tresemme-Shampoo-Conditioner-Duo-Pack-Moisture-Rich"," Tresemme Shampoo/Conditioner Duo Pack Moisture Rich")</f>
        <v xml:space="preserve"> Tresemme Shampoo/Conditioner Duo Pack Moisture Rich</v>
      </c>
      <c r="C7900" t="s">
        <v>116</v>
      </c>
      <c r="D7900" t="s">
        <v>145</v>
      </c>
    </row>
    <row r="7901" spans="1:4" x14ac:dyDescent="0.25">
      <c r="B7901" t="str">
        <f>HYPERLINK("https://www.chemistwarehouse.com.au/buy/75622/Tresemme-Perfectly-UnDone-Shampoo-750ml"," Tresemme Perfectly UnDone Shampoo 750ml ")</f>
        <v xml:space="preserve"> Tresemme Perfectly UnDone Shampoo 750ml </v>
      </c>
      <c r="C7901" t="s">
        <v>326</v>
      </c>
      <c r="D7901" t="s">
        <v>270</v>
      </c>
    </row>
    <row r="7902" spans="1:4" x14ac:dyDescent="0.25">
      <c r="B7902" t="str">
        <f>HYPERLINK("https://www.chemistwarehouse.com.au/buy/71035/Tresemme-Keratin-Smooth-Shampoo-750ml"," Tresemme Keratin Smooth Shampoo 750ml")</f>
        <v xml:space="preserve"> Tresemme Keratin Smooth Shampoo 750ml</v>
      </c>
      <c r="C7902" t="s">
        <v>326</v>
      </c>
      <c r="D7902" t="s">
        <v>270</v>
      </c>
    </row>
    <row r="7903" spans="1:4" x14ac:dyDescent="0.25">
      <c r="B7903" t="str">
        <f>HYPERLINK("https://www.chemistwarehouse.com.au/buy/76663/Tresemme-Instant-Refresh-Cleansing-Dry-Shampoo-200ml"," Tresemme Instant Refresh Cleansing Dry Shampoo 200ml")</f>
        <v xml:space="preserve"> Tresemme Instant Refresh Cleansing Dry Shampoo 200ml</v>
      </c>
      <c r="C7903" t="s">
        <v>116</v>
      </c>
      <c r="D7903" t="s">
        <v>162</v>
      </c>
    </row>
    <row r="7904" spans="1:4" x14ac:dyDescent="0.25">
      <c r="B7904" t="str">
        <f>HYPERLINK("https://www.chemistwarehouse.com.au/buy/76664/Tresemme-Instant-Refresh-Volumising-Dry-Shampoo-200ml"," Tresemme Instant Refresh Volumising Dry Shampoo 200ml")</f>
        <v xml:space="preserve"> Tresemme Instant Refresh Volumising Dry Shampoo 200ml</v>
      </c>
      <c r="C7904" t="s">
        <v>116</v>
      </c>
      <c r="D7904" t="s">
        <v>162</v>
      </c>
    </row>
    <row r="7905" spans="1:4" x14ac:dyDescent="0.25">
      <c r="A7905" t="s">
        <v>1814</v>
      </c>
    </row>
    <row r="7906" spans="1:4" x14ac:dyDescent="0.25">
      <c r="B7906" t="str">
        <f>HYPERLINK("https://www.chemistwarehouse.com.au/buy/51106/Tresemme-Conditioner-Moisture-Rich-900ml"," Tresemme Conditioner Moisture Rich 900ml")</f>
        <v xml:space="preserve"> Tresemme Conditioner Moisture Rich 900ml</v>
      </c>
      <c r="C7906" t="s">
        <v>326</v>
      </c>
      <c r="D7906" t="s">
        <v>1813</v>
      </c>
    </row>
    <row r="7907" spans="1:4" x14ac:dyDescent="0.25">
      <c r="B7907" t="str">
        <f>HYPERLINK("https://www.chemistwarehouse.com.au/buy/49359/Tresemme-Conditioner-Colour-Revital-900ml"," Tresemme Conditioner Colour Revital 900ml")</f>
        <v xml:space="preserve"> Tresemme Conditioner Colour Revital 900ml</v>
      </c>
      <c r="C7907" t="s">
        <v>326</v>
      </c>
      <c r="D7907" t="s">
        <v>1813</v>
      </c>
    </row>
    <row r="7908" spans="1:4" x14ac:dyDescent="0.25">
      <c r="B7908" t="str">
        <f>HYPERLINK("https://www.chemistwarehouse.com.au/buy/72639/Tresemme-Platinum-Strength-Conditioner-750ml"," Tresemme Platinum Strength Conditioner 750ml")</f>
        <v xml:space="preserve"> Tresemme Platinum Strength Conditioner 750ml</v>
      </c>
      <c r="C7908" t="s">
        <v>326</v>
      </c>
      <c r="D7908" t="s">
        <v>270</v>
      </c>
    </row>
    <row r="7909" spans="1:4" x14ac:dyDescent="0.25">
      <c r="B7909" t="str">
        <f>HYPERLINK("https://www.chemistwarehouse.com.au/buy/74903/Tresemme-Volume-Fullness-Conditioner-900ml"," Tresemme Volume Fullness Conditioner  900ml")</f>
        <v xml:space="preserve"> Tresemme Volume Fullness Conditioner  900ml</v>
      </c>
      <c r="C7909" t="s">
        <v>326</v>
      </c>
      <c r="D7909" t="s">
        <v>270</v>
      </c>
    </row>
    <row r="7910" spans="1:4" x14ac:dyDescent="0.25">
      <c r="B7910" t="str">
        <f>HYPERLINK("https://www.chemistwarehouse.com.au/buy/76973/Tresemme-Moisture-Rich-Conditioner-100ml"," Tresemme Moisture Rich Conditioner 100ml")</f>
        <v xml:space="preserve"> Tresemme Moisture Rich Conditioner 100ml</v>
      </c>
      <c r="C7910" t="s">
        <v>115</v>
      </c>
      <c r="D7910" t="s">
        <v>1397</v>
      </c>
    </row>
    <row r="7911" spans="1:4" x14ac:dyDescent="0.25">
      <c r="B7911" t="str">
        <f>HYPERLINK("https://www.chemistwarehouse.com.au/buy/51105/Tresemme-Conditioner-Deep-Cleansing-900ml"," Tresemme Conditioner Deep Cleansing 900ml")</f>
        <v xml:space="preserve"> Tresemme Conditioner Deep Cleansing 900ml</v>
      </c>
      <c r="C7911" t="s">
        <v>326</v>
      </c>
      <c r="D7911" t="s">
        <v>1813</v>
      </c>
    </row>
    <row r="7912" spans="1:4" x14ac:dyDescent="0.25">
      <c r="B7912" t="str">
        <f>HYPERLINK("https://www.chemistwarehouse.com.au/buy/71005/Tresemme-Keratin-Smooth-Conditioner-750ml"," Tresemme Keratin Smooth Conditioner 750ml")</f>
        <v xml:space="preserve"> Tresemme Keratin Smooth Conditioner 750ml</v>
      </c>
      <c r="C7912" t="s">
        <v>326</v>
      </c>
      <c r="D7912" t="s">
        <v>270</v>
      </c>
    </row>
    <row r="7913" spans="1:4" x14ac:dyDescent="0.25">
      <c r="B7913" t="str">
        <f>HYPERLINK("https://www.chemistwarehouse.com.au/buy/72638/Tresemme-Keratin-7-Day-Smooth-Conditioner-250ml"," Tresemme Keratin 7 Day Smooth Conditioner 250ml")</f>
        <v xml:space="preserve"> Tresemme Keratin 7 Day Smooth Conditioner 250ml</v>
      </c>
      <c r="C7913" t="s">
        <v>326</v>
      </c>
      <c r="D7913" t="s">
        <v>270</v>
      </c>
    </row>
    <row r="7914" spans="1:4" x14ac:dyDescent="0.25">
      <c r="B7914" t="str">
        <f>HYPERLINK("https://www.chemistwarehouse.com.au/buy/79558/Tresemme-Botanique-Restore-amp-Shine-Coconut-Conditioner-750ml"," Tresemme Botanique Restore &amp; Shine Coconut Conditioner 750ml")</f>
        <v xml:space="preserve"> Tresemme Botanique Restore &amp; Shine Coconut Conditioner 750ml</v>
      </c>
      <c r="C7914" t="s">
        <v>326</v>
      </c>
      <c r="D7914" t="s">
        <v>270</v>
      </c>
    </row>
    <row r="7915" spans="1:4" x14ac:dyDescent="0.25">
      <c r="B7915" t="str">
        <f>HYPERLINK("https://www.chemistwarehouse.com.au/buy/79556/Tresemme-Botanique-Damage-Recovery-Macadamia-Oil-Conditioner-750ml"," Tresemme Botanique Damage Recovery Macadamia Oil Conditioner 750ml")</f>
        <v xml:space="preserve"> Tresemme Botanique Damage Recovery Macadamia Oil Conditioner 750ml</v>
      </c>
      <c r="C7915" t="s">
        <v>326</v>
      </c>
      <c r="D7915" t="s">
        <v>270</v>
      </c>
    </row>
    <row r="7916" spans="1:4" x14ac:dyDescent="0.25">
      <c r="B7916" t="str">
        <f>HYPERLINK("https://www.chemistwarehouse.com.au/buy/75620/Tresemme-Perfectly-UnDone-Conditioner-750ml"," Tresemme Perfectly UnDone Conditioner 750ml ")</f>
        <v xml:space="preserve"> Tresemme Perfectly UnDone Conditioner 750ml </v>
      </c>
      <c r="C7916" t="s">
        <v>326</v>
      </c>
      <c r="D7916" t="s">
        <v>270</v>
      </c>
    </row>
    <row r="7917" spans="1:4" x14ac:dyDescent="0.25">
      <c r="A7917" t="s">
        <v>1815</v>
      </c>
    </row>
    <row r="7918" spans="1:4" x14ac:dyDescent="0.25">
      <c r="B7918" t="str">
        <f>HYPERLINK("https://www.chemistwarehouse.com.au/buy/76688/VO5-Herbal-Escapes-Ocean-Refresh-Conditioner-370ml"," VO5 Herbal Escapes Ocean Refresh Conditioner 370ml")</f>
        <v xml:space="preserve"> VO5 Herbal Escapes Ocean Refresh Conditioner 370ml</v>
      </c>
      <c r="C7918" t="s">
        <v>635</v>
      </c>
      <c r="D7918">
        <v>0</v>
      </c>
    </row>
    <row r="7919" spans="1:4" x14ac:dyDescent="0.25">
      <c r="B7919" t="str">
        <f>HYPERLINK("https://www.chemistwarehouse.com.au/buy/80613/VO5-Moisture-Milks-Island-Coconut-Conditioner-370ml"," VO5 Moisture Milks Island Coconut Conditioner 370ml")</f>
        <v xml:space="preserve"> VO5 Moisture Milks Island Coconut Conditioner 370ml</v>
      </c>
      <c r="C7919" t="s">
        <v>635</v>
      </c>
      <c r="D7919">
        <v>0</v>
      </c>
    </row>
    <row r="7920" spans="1:4" x14ac:dyDescent="0.25">
      <c r="B7920" t="str">
        <f>HYPERLINK("https://www.chemistwarehouse.com.au/buy/76685/VO5-Extra-Body-Conditoner-370ml"," VO5 Extra Body Conditoner 370ml")</f>
        <v xml:space="preserve"> VO5 Extra Body Conditoner 370ml</v>
      </c>
      <c r="C7920" t="s">
        <v>635</v>
      </c>
      <c r="D7920">
        <v>0</v>
      </c>
    </row>
    <row r="7921" spans="1:4" x14ac:dyDescent="0.25">
      <c r="A7921" t="s">
        <v>1816</v>
      </c>
    </row>
    <row r="7922" spans="1:4" x14ac:dyDescent="0.25">
      <c r="B7922" t="str">
        <f>HYPERLINK("https://www.chemistwarehouse.com.au/buy/76687/VO5-Herbal-Escapes-Ocean-Refresh-Shampoo-370ml"," VO5 Herbal Escapes Ocean Refresh Shampoo 370ml")</f>
        <v xml:space="preserve"> VO5 Herbal Escapes Ocean Refresh Shampoo 370ml</v>
      </c>
      <c r="C7922" t="s">
        <v>635</v>
      </c>
      <c r="D7922">
        <v>0</v>
      </c>
    </row>
    <row r="7923" spans="1:4" x14ac:dyDescent="0.25">
      <c r="B7923" t="str">
        <f>HYPERLINK("https://www.chemistwarehouse.com.au/buy/80612/VO5-Moisture-Milks-Island-Coconut-Shampoo-370ml"," VO5 Moisture Milks Island Coconut Shampoo 370ml")</f>
        <v xml:space="preserve"> VO5 Moisture Milks Island Coconut Shampoo 370ml</v>
      </c>
      <c r="C7923" t="s">
        <v>635</v>
      </c>
      <c r="D7923">
        <v>0</v>
      </c>
    </row>
    <row r="7924" spans="1:4" x14ac:dyDescent="0.25">
      <c r="B7924" t="str">
        <f>HYPERLINK("https://www.chemistwarehouse.com.au/buy/75036/VO5-Plump-Me-Up-Dry-Shampoo-200ml"," VO5 Plump Me Up Dry Shampoo 200ml")</f>
        <v xml:space="preserve"> VO5 Plump Me Up Dry Shampoo 200ml</v>
      </c>
      <c r="C7924" t="s">
        <v>554</v>
      </c>
      <c r="D7924" t="s">
        <v>611</v>
      </c>
    </row>
    <row r="7925" spans="1:4" x14ac:dyDescent="0.25">
      <c r="B7925" t="str">
        <f>HYPERLINK("https://www.chemistwarehouse.com.au/buy/76686/VO5-Extra-Body-Shampoo-370ml"," VO5 Extra Body Shampoo 370ml")</f>
        <v xml:space="preserve"> VO5 Extra Body Shampoo 370ml</v>
      </c>
      <c r="C7925" t="s">
        <v>635</v>
      </c>
      <c r="D7925">
        <v>0</v>
      </c>
    </row>
    <row r="7926" spans="1:4" x14ac:dyDescent="0.25">
      <c r="A7926" t="s">
        <v>1817</v>
      </c>
    </row>
    <row r="7927" spans="1:4" x14ac:dyDescent="0.25">
      <c r="B7927" t="str">
        <f>HYPERLINK("https://www.chemistwarehouse.com.au/buy/68470/OGX-Biotin-amp-Collagen-Shampoo-385ml"," OGX Biotin &amp; Collagen Shampoo 385ml ")</f>
        <v xml:space="preserve"> OGX Biotin &amp; Collagen Shampoo 385ml </v>
      </c>
      <c r="C7927" t="s">
        <v>61</v>
      </c>
      <c r="D7927" t="s">
        <v>371</v>
      </c>
    </row>
    <row r="7928" spans="1:4" x14ac:dyDescent="0.25">
      <c r="B7928" t="str">
        <f>HYPERLINK("https://www.chemistwarehouse.com.au/buy/63594/OGX-Renewing-Moroccan-Argan-Oil-Shampoo-385mL"," OGX Renewing Moroccan Argan Oil Shampoo 385mL")</f>
        <v xml:space="preserve"> OGX Renewing Moroccan Argan Oil Shampoo 385mL</v>
      </c>
      <c r="C7928" t="s">
        <v>61</v>
      </c>
      <c r="D7928" t="s">
        <v>371</v>
      </c>
    </row>
    <row r="7929" spans="1:4" x14ac:dyDescent="0.25">
      <c r="B7929" t="str">
        <f>HYPERLINK("https://www.chemistwarehouse.com.au/buy/78970/OGX-Extra-Strength-Hydrate-Repair-Argan-Oil-of-Morocco-Shampoo-385ml"," OGX Extra Strength Hydrate + Repair Argan Oil of Morocco Shampoo 385ml")</f>
        <v xml:space="preserve"> OGX Extra Strength Hydrate + Repair Argan Oil of Morocco Shampoo 385ml</v>
      </c>
      <c r="C7929" t="s">
        <v>187</v>
      </c>
      <c r="D7929" t="s">
        <v>115</v>
      </c>
    </row>
    <row r="7930" spans="1:4" x14ac:dyDescent="0.25">
      <c r="B7930" t="str">
        <f>HYPERLINK("https://www.chemistwarehouse.com.au/buy/61564/OGX-Coconut-Milk-Shampoo-385ml"," OGX Coconut Milk Shampoo 385ml")</f>
        <v xml:space="preserve"> OGX Coconut Milk Shampoo 385ml</v>
      </c>
      <c r="C7930" t="s">
        <v>61</v>
      </c>
      <c r="D7930" t="s">
        <v>371</v>
      </c>
    </row>
    <row r="7931" spans="1:4" x14ac:dyDescent="0.25">
      <c r="B7931" t="str">
        <f>HYPERLINK("https://www.chemistwarehouse.com.au/buy/75557/OGX-Moisture-amp-Vitamin-B5-Shampoo-385ml"," OGX Moisture &amp; Vitamin B5 Shampoo 385ml")</f>
        <v xml:space="preserve"> OGX Moisture &amp; Vitamin B5 Shampoo 385ml</v>
      </c>
      <c r="C7931" t="s">
        <v>187</v>
      </c>
      <c r="D7931" t="s">
        <v>115</v>
      </c>
    </row>
    <row r="7932" spans="1:4" x14ac:dyDescent="0.25">
      <c r="B7932" t="str">
        <f>HYPERLINK("https://www.chemistwarehouse.com.au/buy/75558/OGX-Healing-amp-Vitamin-E-Shampoo-385ml"," OGX Healing &amp; Vitamin E Shampoo 385ml")</f>
        <v xml:space="preserve"> OGX Healing &amp; Vitamin E Shampoo 385ml</v>
      </c>
      <c r="C7932" t="s">
        <v>187</v>
      </c>
      <c r="D7932" t="s">
        <v>115</v>
      </c>
    </row>
    <row r="7933" spans="1:4" x14ac:dyDescent="0.25">
      <c r="B7933" t="str">
        <f>HYPERLINK("https://www.chemistwarehouse.com.au/buy/75559/OGX-Sensually-Soft-Tsubaki-Blossom-Shampoo-385ml"," OGX Sensually Soft Tsubaki Blossom Shampoo 385ml")</f>
        <v xml:space="preserve"> OGX Sensually Soft Tsubaki Blossom Shampoo 385ml</v>
      </c>
      <c r="C7933" t="s">
        <v>187</v>
      </c>
      <c r="D7933" t="s">
        <v>115</v>
      </c>
    </row>
    <row r="7934" spans="1:4" x14ac:dyDescent="0.25">
      <c r="B7934" t="str">
        <f>HYPERLINK("https://www.chemistwarehouse.com.au/buy/75916/OGX-Coconut-Milk-Shampoo-88-7ml"," OGX Coconut Milk Shampoo 88.7ml")</f>
        <v xml:space="preserve"> OGX Coconut Milk Shampoo 88.7ml</v>
      </c>
      <c r="C7934" t="s">
        <v>104</v>
      </c>
      <c r="D7934">
        <v>0</v>
      </c>
    </row>
    <row r="7935" spans="1:4" x14ac:dyDescent="0.25">
      <c r="B7935" t="str">
        <f>HYPERLINK("https://www.chemistwarehouse.com.au/buy/75918/OGX-Coconut-Water-Shampoo-88-7ml"," OGX Coconut Water Shampoo 88.7ml")</f>
        <v xml:space="preserve"> OGX Coconut Water Shampoo 88.7ml</v>
      </c>
      <c r="C7935" t="s">
        <v>104</v>
      </c>
      <c r="D7935">
        <v>0</v>
      </c>
    </row>
    <row r="7936" spans="1:4" x14ac:dyDescent="0.25">
      <c r="B7936" t="str">
        <f>HYPERLINK("https://www.chemistwarehouse.com.au/buy/75920/OGX-Renewing-Moroccan-Argan-Oil-Shampoo-88-7ml"," OGX Renewing Moroccan Argan Oil Shampoo 88.7ml")</f>
        <v xml:space="preserve"> OGX Renewing Moroccan Argan Oil Shampoo 88.7ml</v>
      </c>
      <c r="C7936" t="s">
        <v>104</v>
      </c>
      <c r="D7936">
        <v>0</v>
      </c>
    </row>
    <row r="7937" spans="1:4" x14ac:dyDescent="0.25">
      <c r="B7937" t="str">
        <f>HYPERLINK("https://www.chemistwarehouse.com.au/buy/78968/OGX-Anti-Gravity-Hydration-O2-Shampoo-385ml"," OGX Anti-Gravity + Hydration O2 Shampoo 385ml")</f>
        <v xml:space="preserve"> OGX Anti-Gravity + Hydration O2 Shampoo 385ml</v>
      </c>
      <c r="C7937" t="s">
        <v>187</v>
      </c>
      <c r="D7937" t="s">
        <v>115</v>
      </c>
    </row>
    <row r="7938" spans="1:4" x14ac:dyDescent="0.25">
      <c r="B7938" t="str">
        <f>HYPERLINK("https://www.chemistwarehouse.com.au/buy/78972/OGX-Strength-Body-Bamboo-Fiber-Full-Shampoo-385ml"," OGX Strength + Body Bamboo Fiber Full Shampoo 385ml")</f>
        <v xml:space="preserve"> OGX Strength + Body Bamboo Fiber Full Shampoo 385ml</v>
      </c>
      <c r="C7938" t="s">
        <v>187</v>
      </c>
      <c r="D7938" t="s">
        <v>115</v>
      </c>
    </row>
    <row r="7939" spans="1:4" x14ac:dyDescent="0.25">
      <c r="B7939" t="str">
        <f>HYPERLINK("https://www.chemistwarehouse.com.au/buy/75556/OGX-Heavenly-Hydration-Cherry-Blossom-Shampoo-385ml"," OGX Heavenly Hydration Cherry Blossom Shampoo 385ml")</f>
        <v xml:space="preserve"> OGX Heavenly Hydration Cherry Blossom Shampoo 385ml</v>
      </c>
      <c r="C7939" t="s">
        <v>187</v>
      </c>
      <c r="D7939" t="s">
        <v>115</v>
      </c>
    </row>
    <row r="7940" spans="1:4" x14ac:dyDescent="0.25">
      <c r="B7940" t="str">
        <f>HYPERLINK("https://www.chemistwarehouse.com.au/buy/80603/OGX-Macadamia-Oil-Shampoo-50-More"," OGX Macadamia Oil Shampoo 50% More")</f>
        <v xml:space="preserve"> OGX Macadamia Oil Shampoo 50% More</v>
      </c>
      <c r="C7940" t="s">
        <v>237</v>
      </c>
      <c r="D7940" t="s">
        <v>162</v>
      </c>
    </row>
    <row r="7941" spans="1:4" x14ac:dyDescent="0.25">
      <c r="B7941" t="str">
        <f>HYPERLINK("https://www.chemistwarehouse.com.au/buy/63589/OGX-Brazillian-Keratin-Therapy-Ever-Straight-Shampoo-385mL"," OGX Brazillian Keratin Therapy Ever Straight Shampoo 385mL")</f>
        <v xml:space="preserve"> OGX Brazillian Keratin Therapy Ever Straight Shampoo 385mL</v>
      </c>
      <c r="C7941" t="s">
        <v>61</v>
      </c>
      <c r="D7941" t="s">
        <v>371</v>
      </c>
    </row>
    <row r="7942" spans="1:4" x14ac:dyDescent="0.25">
      <c r="B7942" t="str">
        <f>HYPERLINK("https://www.chemistwarehouse.com.au/buy/65590/OGX-Hydrating-Macadamia-Oil-Shampoo-385mL"," OGX Hydrating Macadamia Oil Shampoo 385mL")</f>
        <v xml:space="preserve"> OGX Hydrating Macadamia Oil Shampoo 385mL</v>
      </c>
      <c r="C7942" t="s">
        <v>61</v>
      </c>
      <c r="D7942" t="s">
        <v>371</v>
      </c>
    </row>
    <row r="7943" spans="1:4" x14ac:dyDescent="0.25">
      <c r="B7943" t="str">
        <f>HYPERLINK("https://www.chemistwarehouse.com.au/buy/72020/OGX-Kukui-Oil-Shampoo-385ml"," OGX Kukui Oil Shampoo 385ml")</f>
        <v xml:space="preserve"> OGX Kukui Oil Shampoo 385ml</v>
      </c>
      <c r="C7943" t="s">
        <v>187</v>
      </c>
      <c r="D7943" t="s">
        <v>115</v>
      </c>
    </row>
    <row r="7944" spans="1:4" x14ac:dyDescent="0.25">
      <c r="B7944" t="str">
        <f>HYPERLINK("https://www.chemistwarehouse.com.au/buy/72125/OGX-Lemon-Highlights-Shampoo-385ml"," OGX Lemon Highlights Shampoo 385ml")</f>
        <v xml:space="preserve"> OGX Lemon Highlights Shampoo 385ml</v>
      </c>
      <c r="C7944" t="s">
        <v>103</v>
      </c>
      <c r="D7944" t="s">
        <v>46</v>
      </c>
    </row>
    <row r="7945" spans="1:4" x14ac:dyDescent="0.25">
      <c r="B7945" t="str">
        <f>HYPERLINK("https://www.chemistwarehouse.com.au/buy/72127/OGX-Sea-Mineral-Moisture-Shampoo-385ml"," OGX Sea Mineral Moisture Shampoo 385ml")</f>
        <v xml:space="preserve"> OGX Sea Mineral Moisture Shampoo 385ml</v>
      </c>
      <c r="C7945" t="s">
        <v>32</v>
      </c>
      <c r="D7945" t="s">
        <v>283</v>
      </c>
    </row>
    <row r="7946" spans="1:4" x14ac:dyDescent="0.25">
      <c r="B7946" t="str">
        <f>HYPERLINK("https://www.chemistwarehouse.com.au/buy/74394/OGX-Coconut-Milk-Shampoo-50-More"," OGX Coconut Milk Shampoo 50% More")</f>
        <v xml:space="preserve"> OGX Coconut Milk Shampoo 50% More</v>
      </c>
      <c r="C7946" t="s">
        <v>237</v>
      </c>
      <c r="D7946" t="s">
        <v>162</v>
      </c>
    </row>
    <row r="7947" spans="1:4" x14ac:dyDescent="0.25">
      <c r="B7947" t="str">
        <f>HYPERLINK("https://www.chemistwarehouse.com.au/buy/74396/OGX-Renewing-Moroccan-Argan-Oil-Shampoo-50-More"," OGX Renewing Moroccan Argan Oil Shampoo 50% More")</f>
        <v xml:space="preserve"> OGX Renewing Moroccan Argan Oil Shampoo 50% More</v>
      </c>
      <c r="C7947" t="s">
        <v>237</v>
      </c>
      <c r="D7947" t="s">
        <v>162</v>
      </c>
    </row>
    <row r="7948" spans="1:4" x14ac:dyDescent="0.25">
      <c r="B7948" t="str">
        <f>HYPERLINK("https://www.chemistwarehouse.com.au/buy/80601/OGX-Biotin-and-Collagen-Shampoo-50-More"," OGX Biotin and Collagen Shampoo 50% More")</f>
        <v xml:space="preserve"> OGX Biotin and Collagen Shampoo 50% More</v>
      </c>
      <c r="C7948" t="s">
        <v>237</v>
      </c>
      <c r="D7948" t="s">
        <v>162</v>
      </c>
    </row>
    <row r="7949" spans="1:4" x14ac:dyDescent="0.25">
      <c r="A7949" t="s">
        <v>1818</v>
      </c>
    </row>
    <row r="7950" spans="1:4" x14ac:dyDescent="0.25">
      <c r="B7950" t="str">
        <f>HYPERLINK("https://www.chemistwarehouse.com.au/buy/68411/OGX-Biotin-amp-Collagen-Conditioner-385ml"," OGX Biotin &amp; Collagen Conditioner 385ml ")</f>
        <v xml:space="preserve"> OGX Biotin &amp; Collagen Conditioner 385ml </v>
      </c>
      <c r="C7950" t="s">
        <v>61</v>
      </c>
      <c r="D7950" t="s">
        <v>371</v>
      </c>
    </row>
    <row r="7951" spans="1:4" x14ac:dyDescent="0.25">
      <c r="B7951" t="str">
        <f>HYPERLINK("https://www.chemistwarehouse.com.au/buy/78969/OGX-Extra-Strength-Hydrate-Repair-Argan-Oil-of-Morocco-Conditioner-385ml"," OGX Extra Strength Hydrate + Repair Argan Oil of Morocco Conditioner 385ml")</f>
        <v xml:space="preserve"> OGX Extra Strength Hydrate + Repair Argan Oil of Morocco Conditioner 385ml</v>
      </c>
      <c r="C7951" t="s">
        <v>187</v>
      </c>
      <c r="D7951" t="s">
        <v>115</v>
      </c>
    </row>
    <row r="7952" spans="1:4" x14ac:dyDescent="0.25">
      <c r="B7952" t="str">
        <f>HYPERLINK("https://www.chemistwarehouse.com.au/buy/61510/OGX-Coconut-Milk-Conditioner-385ml"," OGX Coconut Milk Conditioner 385ml")</f>
        <v xml:space="preserve"> OGX Coconut Milk Conditioner 385ml</v>
      </c>
      <c r="C7952" t="s">
        <v>61</v>
      </c>
      <c r="D7952" t="s">
        <v>371</v>
      </c>
    </row>
    <row r="7953" spans="2:4" x14ac:dyDescent="0.25">
      <c r="B7953" t="str">
        <f>HYPERLINK("https://www.chemistwarehouse.com.au/buy/63595/OGX-Renewing-Moroccan-Argan-Oil-Conditioner-385mL"," OGX Renewing Moroccan Argan Oil Conditioner 385mL")</f>
        <v xml:space="preserve"> OGX Renewing Moroccan Argan Oil Conditioner 385mL</v>
      </c>
      <c r="C7953" t="s">
        <v>61</v>
      </c>
      <c r="D7953" t="s">
        <v>371</v>
      </c>
    </row>
    <row r="7954" spans="2:4" x14ac:dyDescent="0.25">
      <c r="B7954" t="str">
        <f>HYPERLINK("https://www.chemistwarehouse.com.au/buy/75554/OGX-Moisture-amp-Vitamin-B5-Conditioner-385ml"," OGX Moisture &amp; Vitamin B5 Conditioner 385ml")</f>
        <v xml:space="preserve"> OGX Moisture &amp; Vitamin B5 Conditioner 385ml</v>
      </c>
      <c r="C7954" t="s">
        <v>187</v>
      </c>
      <c r="D7954" t="s">
        <v>115</v>
      </c>
    </row>
    <row r="7955" spans="2:4" x14ac:dyDescent="0.25">
      <c r="B7955" t="str">
        <f>HYPERLINK("https://www.chemistwarehouse.com.au/buy/75555/OGX-Sensually-Soft-Tsubaki-Blossom-Conditioner-385ml"," OGX Sensually Soft Tsubaki Blossom Conditioner 385ml")</f>
        <v xml:space="preserve"> OGX Sensually Soft Tsubaki Blossom Conditioner 385ml</v>
      </c>
      <c r="C7955" t="s">
        <v>187</v>
      </c>
      <c r="D7955" t="s">
        <v>115</v>
      </c>
    </row>
    <row r="7956" spans="2:4" x14ac:dyDescent="0.25">
      <c r="B7956" t="str">
        <f>HYPERLINK("https://www.chemistwarehouse.com.au/buy/75560/OGX-Heavenly-Hydration-Cherry-Blossom-Conditioner-385ml"," OGX Heavenly Hydration Cherry Blossom Conditioner 385ml")</f>
        <v xml:space="preserve"> OGX Heavenly Hydration Cherry Blossom Conditioner 385ml</v>
      </c>
      <c r="C7956" t="s">
        <v>187</v>
      </c>
      <c r="D7956" t="s">
        <v>115</v>
      </c>
    </row>
    <row r="7957" spans="2:4" x14ac:dyDescent="0.25">
      <c r="B7957" t="str">
        <f>HYPERLINK("https://www.chemistwarehouse.com.au/buy/75915/OGX-Coconut-Milk-Conditioner-88-7ml"," OGX Coconut Milk Conditioner 88.7ml")</f>
        <v xml:space="preserve"> OGX Coconut Milk Conditioner 88.7ml</v>
      </c>
      <c r="C7957" t="s">
        <v>104</v>
      </c>
      <c r="D7957">
        <v>0</v>
      </c>
    </row>
    <row r="7958" spans="2:4" x14ac:dyDescent="0.25">
      <c r="B7958" t="str">
        <f>HYPERLINK("https://www.chemistwarehouse.com.au/buy/75917/OGX-Coconut-Water-Conditioner-88-7ml"," OGX Coconut Water Conditioner 88.7ml")</f>
        <v xml:space="preserve"> OGX Coconut Water Conditioner 88.7ml</v>
      </c>
      <c r="C7958" t="s">
        <v>104</v>
      </c>
      <c r="D7958">
        <v>0</v>
      </c>
    </row>
    <row r="7959" spans="2:4" x14ac:dyDescent="0.25">
      <c r="B7959" t="str">
        <f>HYPERLINK("https://www.chemistwarehouse.com.au/buy/75919/OGX-Renewing-Moroccan-Argan-Oil-Conditioner-88-7ml"," OGX Renewing Moroccan Argan Oil Conditioner 88.7ml")</f>
        <v xml:space="preserve"> OGX Renewing Moroccan Argan Oil Conditioner 88.7ml</v>
      </c>
      <c r="C7959" t="s">
        <v>104</v>
      </c>
      <c r="D7959">
        <v>0</v>
      </c>
    </row>
    <row r="7960" spans="2:4" x14ac:dyDescent="0.25">
      <c r="B7960" t="str">
        <f>HYPERLINK("https://www.chemistwarehouse.com.au/buy/78967/OGX-Anti-Gravity-Hydration-O2-Conditioner-385ml"," OGX Anti-Gravity + Hydration O2 Conditioner 385ml")</f>
        <v xml:space="preserve"> OGX Anti-Gravity + Hydration O2 Conditioner 385ml</v>
      </c>
      <c r="C7960" t="s">
        <v>187</v>
      </c>
      <c r="D7960" t="s">
        <v>115</v>
      </c>
    </row>
    <row r="7961" spans="2:4" x14ac:dyDescent="0.25">
      <c r="B7961" t="str">
        <f>HYPERLINK("https://www.chemistwarehouse.com.au/buy/78971/OGX-Strength-Body-Bamboo-Fiber-Full-Conditioner-385ml"," OGX Strength + Body Bamboo Fiber Full Conditioner 385ml")</f>
        <v xml:space="preserve"> OGX Strength + Body Bamboo Fiber Full Conditioner 385ml</v>
      </c>
      <c r="C7961" t="s">
        <v>187</v>
      </c>
      <c r="D7961" t="s">
        <v>115</v>
      </c>
    </row>
    <row r="7962" spans="2:4" x14ac:dyDescent="0.25">
      <c r="B7962" t="str">
        <f>HYPERLINK("https://www.chemistwarehouse.com.au/buy/75553/OGX-Healing-amp-Vitamin-E-Conditioner-385ml"," OGX Healing  &amp; Vitamin E  Conditioner 385ml")</f>
        <v xml:space="preserve"> OGX Healing  &amp; Vitamin E  Conditioner 385ml</v>
      </c>
      <c r="C7962" t="s">
        <v>187</v>
      </c>
      <c r="D7962" t="s">
        <v>115</v>
      </c>
    </row>
    <row r="7963" spans="2:4" x14ac:dyDescent="0.25">
      <c r="B7963" t="str">
        <f>HYPERLINK("https://www.chemistwarehouse.com.au/buy/80604/OGX-Macadamia-Oil-Conditioner-50-More"," OGX Macadamia Oil Conditioner 50% More")</f>
        <v xml:space="preserve"> OGX Macadamia Oil Conditioner 50% More</v>
      </c>
      <c r="C7963" t="s">
        <v>237</v>
      </c>
      <c r="D7963" t="s">
        <v>162</v>
      </c>
    </row>
    <row r="7964" spans="2:4" x14ac:dyDescent="0.25">
      <c r="B7964" t="str">
        <f>HYPERLINK("https://www.chemistwarehouse.com.au/buy/65569/OGX-Hydrating-Macadamia-Oil-Conditioner-385mL"," OGX Hydrating Macadamia Oil Conditioner 385mL")</f>
        <v xml:space="preserve"> OGX Hydrating Macadamia Oil Conditioner 385mL</v>
      </c>
      <c r="C7964" t="s">
        <v>61</v>
      </c>
      <c r="D7964" t="s">
        <v>371</v>
      </c>
    </row>
    <row r="7965" spans="2:4" x14ac:dyDescent="0.25">
      <c r="B7965" t="str">
        <f>HYPERLINK("https://www.chemistwarehouse.com.au/buy/63590/OGX-Brazillian-Keratin-Therapy-Ever-Straight-Conditioner-385mL"," OGX Brazillian Keratin Therapy Ever Straight Conditioner 385mL")</f>
        <v xml:space="preserve"> OGX Brazillian Keratin Therapy Ever Straight Conditioner 385mL</v>
      </c>
      <c r="C7965" t="s">
        <v>61</v>
      </c>
      <c r="D7965" t="s">
        <v>371</v>
      </c>
    </row>
    <row r="7966" spans="2:4" x14ac:dyDescent="0.25">
      <c r="B7966" t="str">
        <f>HYPERLINK("https://www.chemistwarehouse.com.au/buy/71995/OGX-Kukui-Oil-Conditioner-385ml"," OGX Kukui Oil Conditioner 385ml")</f>
        <v xml:space="preserve"> OGX Kukui Oil Conditioner 385ml</v>
      </c>
      <c r="C7966" t="s">
        <v>187</v>
      </c>
      <c r="D7966" t="s">
        <v>115</v>
      </c>
    </row>
    <row r="7967" spans="2:4" x14ac:dyDescent="0.25">
      <c r="B7967" t="str">
        <f>HYPERLINK("https://www.chemistwarehouse.com.au/buy/72128/OGX-Coconut-Water-Conditioner-385ml"," OGX Coconut Water Conditioner 385ml")</f>
        <v xml:space="preserve"> OGX Coconut Water Conditioner 385ml</v>
      </c>
      <c r="C7967" t="s">
        <v>187</v>
      </c>
      <c r="D7967" t="s">
        <v>115</v>
      </c>
    </row>
    <row r="7968" spans="2:4" x14ac:dyDescent="0.25">
      <c r="B7968" t="str">
        <f>HYPERLINK("https://www.chemistwarehouse.com.au/buy/72129/OGX-Lemon-Highlights-Conditioner-385ml"," OGX Lemon Highlights Conditioner 385ml")</f>
        <v xml:space="preserve"> OGX Lemon Highlights Conditioner 385ml</v>
      </c>
      <c r="C7968" t="s">
        <v>103</v>
      </c>
      <c r="D7968" t="s">
        <v>46</v>
      </c>
    </row>
    <row r="7969" spans="1:4" x14ac:dyDescent="0.25">
      <c r="B7969" t="str">
        <f>HYPERLINK("https://www.chemistwarehouse.com.au/buy/72130/OGX-Sea-Mineral-Moisture-Conditioner-385ml"," OGX Sea Mineral Moisture Conditioner 385ml")</f>
        <v xml:space="preserve"> OGX Sea Mineral Moisture Conditioner 385ml</v>
      </c>
      <c r="C7969" t="s">
        <v>32</v>
      </c>
      <c r="D7969" t="s">
        <v>283</v>
      </c>
    </row>
    <row r="7970" spans="1:4" x14ac:dyDescent="0.25">
      <c r="B7970" t="str">
        <f>HYPERLINK("https://www.chemistwarehouse.com.au/buy/74395/OGX-Coconut-Milk-Conditioner-50-More"," OGX Coconut Milk Conditioner 50% More")</f>
        <v xml:space="preserve"> OGX Coconut Milk Conditioner 50% More</v>
      </c>
      <c r="C7970" t="s">
        <v>237</v>
      </c>
      <c r="D7970" t="s">
        <v>162</v>
      </c>
    </row>
    <row r="7971" spans="1:4" x14ac:dyDescent="0.25">
      <c r="B7971" t="str">
        <f>HYPERLINK("https://www.chemistwarehouse.com.au/buy/74397/OGX-Renewing-Moroccan-Argan-Oil-Conditioner-50-More"," OGX Renewing Moroccan Argan Oil Conditioner 50% More")</f>
        <v xml:space="preserve"> OGX Renewing Moroccan Argan Oil Conditioner 50% More</v>
      </c>
      <c r="C7971" t="s">
        <v>237</v>
      </c>
      <c r="D7971" t="s">
        <v>162</v>
      </c>
    </row>
    <row r="7972" spans="1:4" x14ac:dyDescent="0.25">
      <c r="B7972" t="str">
        <f>HYPERLINK("https://www.chemistwarehouse.com.au/buy/80602/OGX-Biotin-and-Collagen-Conditioner-50-More"," OGX Biotin and Collagen Conditioner 50% More")</f>
        <v xml:space="preserve"> OGX Biotin and Collagen Conditioner 50% More</v>
      </c>
      <c r="C7972" t="s">
        <v>237</v>
      </c>
      <c r="D7972" t="s">
        <v>162</v>
      </c>
    </row>
    <row r="7973" spans="1:4" x14ac:dyDescent="0.25">
      <c r="A7973" t="s">
        <v>1819</v>
      </c>
    </row>
    <row r="7974" spans="1:4" x14ac:dyDescent="0.25">
      <c r="B7974" t="str">
        <f>HYPERLINK("https://www.chemistwarehouse.com.au/buy/79353/Cedel-Dry-Shampoo-For-Light-Hair-387ml"," Cedel Dry Shampoo For Light Hair 387ml")</f>
        <v xml:space="preserve"> Cedel Dry Shampoo For Light Hair 387ml</v>
      </c>
      <c r="C7974" t="s">
        <v>317</v>
      </c>
      <c r="D7974" t="s">
        <v>441</v>
      </c>
    </row>
    <row r="7975" spans="1:4" x14ac:dyDescent="0.25">
      <c r="B7975" t="str">
        <f>HYPERLINK("https://www.chemistwarehouse.com.au/buy/79354/Cedel-Dry-Shampoo-For-Dark-Hair-387ml"," Cedel Dry Shampoo For Dark Hair 387ml")</f>
        <v xml:space="preserve"> Cedel Dry Shampoo For Dark Hair 387ml</v>
      </c>
      <c r="C7975" t="s">
        <v>317</v>
      </c>
      <c r="D7975" t="s">
        <v>441</v>
      </c>
    </row>
    <row r="7976" spans="1:4" x14ac:dyDescent="0.25">
      <c r="A7976" t="s">
        <v>1820</v>
      </c>
    </row>
    <row r="7977" spans="1:4" x14ac:dyDescent="0.25">
      <c r="B7977" t="str">
        <f>HYPERLINK("https://www.chemistwarehouse.com.au/buy/82369/Daily-Defense-Argan-Oil-Shampoo-473ml"," Daily Defense Argan Oil Shampoo 473ml")</f>
        <v xml:space="preserve"> Daily Defense Argan Oil Shampoo 473ml</v>
      </c>
      <c r="C7977" t="s">
        <v>146</v>
      </c>
      <c r="D7977">
        <v>0</v>
      </c>
    </row>
    <row r="7978" spans="1:4" x14ac:dyDescent="0.25">
      <c r="B7978" t="str">
        <f>HYPERLINK("https://www.chemistwarehouse.com.au/buy/82370/Daily-Defense-Macadamia-Oil-Shampoo-473ml"," Daily Defense Macadamia Oil Shampoo 473ml")</f>
        <v xml:space="preserve"> Daily Defense Macadamia Oil Shampoo 473ml</v>
      </c>
      <c r="C7978" t="s">
        <v>146</v>
      </c>
      <c r="D7978">
        <v>0</v>
      </c>
    </row>
    <row r="7979" spans="1:4" x14ac:dyDescent="0.25">
      <c r="B7979" t="str">
        <f>HYPERLINK("https://www.chemistwarehouse.com.au/buy/82373/Daily-Defense-Keratin-Shampoo-473ml"," Daily Defense Keratin Shampoo 473ml")</f>
        <v xml:space="preserve"> Daily Defense Keratin Shampoo 473ml</v>
      </c>
      <c r="C7979" t="s">
        <v>146</v>
      </c>
      <c r="D7979">
        <v>0</v>
      </c>
    </row>
    <row r="7980" spans="1:4" x14ac:dyDescent="0.25">
      <c r="B7980" t="str">
        <f>HYPERLINK("https://www.chemistwarehouse.com.au/buy/79284/Daily-Defense-Argan-Oil-Shampoo-946ml"," Daily Defense Argan Oil Shampoo 946ml ")</f>
        <v xml:space="preserve"> Daily Defense Argan Oil Shampoo 946ml </v>
      </c>
      <c r="C7980" t="s">
        <v>556</v>
      </c>
      <c r="D7980">
        <v>0</v>
      </c>
    </row>
    <row r="7981" spans="1:4" x14ac:dyDescent="0.25">
      <c r="B7981" t="str">
        <f>HYPERLINK("https://www.chemistwarehouse.com.au/buy/79286/Daily-Defense-Keratin-Shampoo-946ml"," Daily Defense Keratin Shampoo 946ml ")</f>
        <v xml:space="preserve"> Daily Defense Keratin Shampoo 946ml </v>
      </c>
      <c r="C7981" t="s">
        <v>556</v>
      </c>
      <c r="D7981">
        <v>0</v>
      </c>
    </row>
    <row r="7982" spans="1:4" x14ac:dyDescent="0.25">
      <c r="B7982" t="str">
        <f>HYPERLINK("https://www.chemistwarehouse.com.au/buy/79288/Daily-Defense-Macadamia-Oil-Shampoo-946ml"," Daily Defense Macadamia Oil Shampoo 946ml ")</f>
        <v xml:space="preserve"> Daily Defense Macadamia Oil Shampoo 946ml </v>
      </c>
      <c r="C7982" t="s">
        <v>556</v>
      </c>
      <c r="D7982">
        <v>0</v>
      </c>
    </row>
    <row r="7983" spans="1:4" x14ac:dyDescent="0.25">
      <c r="A7983" t="s">
        <v>1821</v>
      </c>
    </row>
    <row r="7984" spans="1:4" x14ac:dyDescent="0.25">
      <c r="B7984" t="str">
        <f>HYPERLINK("https://www.chemistwarehouse.com.au/buy/79283/Daily-Defense-Argan-Oil-Conditioner-946ml"," Daily Defense Argan Oil Conditioner 946ml ")</f>
        <v xml:space="preserve"> Daily Defense Argan Oil Conditioner 946ml </v>
      </c>
      <c r="C7984" t="s">
        <v>556</v>
      </c>
      <c r="D7984">
        <v>0</v>
      </c>
    </row>
    <row r="7985" spans="1:4" x14ac:dyDescent="0.25">
      <c r="B7985" t="str">
        <f>HYPERLINK("https://www.chemistwarehouse.com.au/buy/79285/Daily-Defense-Keratin-Conditioner-946ml"," Daily Defense Keratin Conditioner 946ml ")</f>
        <v xml:space="preserve"> Daily Defense Keratin Conditioner 946ml </v>
      </c>
      <c r="C7985" t="s">
        <v>556</v>
      </c>
      <c r="D7985">
        <v>0</v>
      </c>
    </row>
    <row r="7986" spans="1:4" x14ac:dyDescent="0.25">
      <c r="B7986" t="str">
        <f>HYPERLINK("https://www.chemistwarehouse.com.au/buy/79287/Daily-Defense-Macadamia-Oil-Conditioner-946ml"," Daily Defense Macadamia Oil Conditioner 946ml ")</f>
        <v xml:space="preserve"> Daily Defense Macadamia Oil Conditioner 946ml </v>
      </c>
      <c r="C7986" t="s">
        <v>556</v>
      </c>
      <c r="D7986">
        <v>0</v>
      </c>
    </row>
    <row r="7987" spans="1:4" x14ac:dyDescent="0.25">
      <c r="B7987" t="str">
        <f>HYPERLINK("https://www.chemistwarehouse.com.au/buy/82367/Daily-Defense-Keratin-Conditioner-473ml"," Daily Defense Keratin Conditioner 473ml")</f>
        <v xml:space="preserve"> Daily Defense Keratin Conditioner 473ml</v>
      </c>
      <c r="C7987" t="s">
        <v>146</v>
      </c>
      <c r="D7987">
        <v>0</v>
      </c>
    </row>
    <row r="7988" spans="1:4" x14ac:dyDescent="0.25">
      <c r="B7988" t="str">
        <f>HYPERLINK("https://www.chemistwarehouse.com.au/buy/82368/Daily-Defense-Macadamia-Oil-Conditioner-473ml"," Daily Defense Macadamia Oil Conditioner 473ml")</f>
        <v xml:space="preserve"> Daily Defense Macadamia Oil Conditioner 473ml</v>
      </c>
      <c r="C7988" t="s">
        <v>146</v>
      </c>
      <c r="D7988">
        <v>0</v>
      </c>
    </row>
    <row r="7989" spans="1:4" x14ac:dyDescent="0.25">
      <c r="B7989" t="str">
        <f>HYPERLINK("https://www.chemistwarehouse.com.au/buy/82372/Daily-Defense-Argan-Oil-Conditioner-473ml"," Daily Defense Argan Oil Conditioner 473ml")</f>
        <v xml:space="preserve"> Daily Defense Argan Oil Conditioner 473ml</v>
      </c>
      <c r="C7989" t="s">
        <v>146</v>
      </c>
      <c r="D7989">
        <v>0</v>
      </c>
    </row>
    <row r="7990" spans="1:4" x14ac:dyDescent="0.25">
      <c r="A7990" t="s">
        <v>1822</v>
      </c>
    </row>
    <row r="7991" spans="1:4" x14ac:dyDescent="0.25">
      <c r="B7991" t="str">
        <f>HYPERLINK("https://www.chemistwarehouse.com.au/buy/63944/Ego-QV-Gentle-Shampoo-200g"," Ego QV Gentle Shampoo 200g")</f>
        <v xml:space="preserve"> Ego QV Gentle Shampoo 200g</v>
      </c>
      <c r="C7991" t="s">
        <v>32</v>
      </c>
      <c r="D7991" t="s">
        <v>1320</v>
      </c>
    </row>
    <row r="7992" spans="1:4" x14ac:dyDescent="0.25">
      <c r="B7992" t="str">
        <f>HYPERLINK("https://www.chemistwarehouse.com.au/buy/71616/Ego-QV-Nourishing-Shampoo-200g"," Ego QV Nourishing Shampoo 200g")</f>
        <v xml:space="preserve"> Ego QV Nourishing Shampoo 200g</v>
      </c>
      <c r="C7992" t="s">
        <v>240</v>
      </c>
      <c r="D7992" t="s">
        <v>813</v>
      </c>
    </row>
    <row r="7993" spans="1:4" x14ac:dyDescent="0.25">
      <c r="A7993" t="s">
        <v>1823</v>
      </c>
    </row>
    <row r="7994" spans="1:4" x14ac:dyDescent="0.25">
      <c r="B7994" t="str">
        <f>HYPERLINK("https://www.chemistwarehouse.com.au/buy/71615/Ego-QV-Nourishing-Conditioner-200g"," Ego QV Nourishing Conditioner 200g")</f>
        <v xml:space="preserve"> Ego QV Nourishing Conditioner 200g</v>
      </c>
      <c r="C7994" t="s">
        <v>240</v>
      </c>
      <c r="D7994" t="s">
        <v>813</v>
      </c>
    </row>
    <row r="7995" spans="1:4" x14ac:dyDescent="0.25">
      <c r="B7995" t="str">
        <f>HYPERLINK("https://www.chemistwarehouse.com.au/buy/63883/Ego-QV-Gentle-Conditioner-200g"," Ego QV Gentle Conditioner 200g")</f>
        <v xml:space="preserve"> Ego QV Gentle Conditioner 200g</v>
      </c>
      <c r="C7995" t="s">
        <v>32</v>
      </c>
      <c r="D7995" t="s">
        <v>1320</v>
      </c>
    </row>
    <row r="7996" spans="1:4" x14ac:dyDescent="0.25">
      <c r="A7996" t="s">
        <v>1824</v>
      </c>
    </row>
    <row r="7997" spans="1:4" x14ac:dyDescent="0.25">
      <c r="B7997" t="str">
        <f>HYPERLINK("https://www.chemistwarehouse.com.au/buy/70152/Enya-Daily-Nourishment-Shampoo-1-Litre"," Enya Daily Nourishment Shampoo 1 Litre")</f>
        <v xml:space="preserve"> Enya Daily Nourishment Shampoo 1 Litre</v>
      </c>
      <c r="C7997" t="s">
        <v>483</v>
      </c>
      <c r="D7997" t="s">
        <v>371</v>
      </c>
    </row>
    <row r="7998" spans="1:4" x14ac:dyDescent="0.25">
      <c r="B7998" t="str">
        <f>HYPERLINK("https://www.chemistwarehouse.com.au/buy/75891/Enya-Classic-Clean-and-Shine-Shampoo-600ml"," Enya Classic Clean and Shine Shampoo 600ml")</f>
        <v xml:space="preserve"> Enya Classic Clean and Shine Shampoo 600ml</v>
      </c>
      <c r="C7998" t="s">
        <v>146</v>
      </c>
      <c r="D7998" t="s">
        <v>371</v>
      </c>
    </row>
    <row r="7999" spans="1:4" x14ac:dyDescent="0.25">
      <c r="B7999" t="str">
        <f>HYPERLINK("https://www.chemistwarehouse.com.au/buy/75893/Enya-Moisture-Therapy-Shampoo-600ml"," Enya Moisture Therapy Shampoo 600ml")</f>
        <v xml:space="preserve"> Enya Moisture Therapy Shampoo 600ml</v>
      </c>
      <c r="C7999" t="s">
        <v>146</v>
      </c>
      <c r="D7999" t="s">
        <v>371</v>
      </c>
    </row>
    <row r="8000" spans="1:4" x14ac:dyDescent="0.25">
      <c r="B8000" t="str">
        <f>HYPERLINK("https://www.chemistwarehouse.com.au/buy/65332/Enya-Moisture-Therapy-Shampoo-1-Litre"," Enya Moisture Therapy Shampoo 1 Litre")</f>
        <v xml:space="preserve"> Enya Moisture Therapy Shampoo 1 Litre</v>
      </c>
      <c r="C8000" t="s">
        <v>483</v>
      </c>
      <c r="D8000" t="s">
        <v>371</v>
      </c>
    </row>
    <row r="8001" spans="1:4" x14ac:dyDescent="0.25">
      <c r="A8001" t="s">
        <v>1825</v>
      </c>
    </row>
    <row r="8002" spans="1:4" x14ac:dyDescent="0.25">
      <c r="B8002" t="str">
        <f>HYPERLINK("https://www.chemistwarehouse.com.au/buy/65317/Enya-Moisture-Therapy-Conditioner-1-Litre"," Enya Moisture Therapy Conditioner 1 Litre")</f>
        <v xml:space="preserve"> Enya Moisture Therapy Conditioner 1 Litre</v>
      </c>
      <c r="C8002" t="s">
        <v>483</v>
      </c>
      <c r="D8002" t="s">
        <v>371</v>
      </c>
    </row>
    <row r="8003" spans="1:4" x14ac:dyDescent="0.25">
      <c r="B8003" t="str">
        <f>HYPERLINK("https://www.chemistwarehouse.com.au/buy/70132/Enya-Daily-Nourishment-Conditioner-1-Litre"," Enya Daily Nourishment Conditioner 1 Litre")</f>
        <v xml:space="preserve"> Enya Daily Nourishment Conditioner 1 Litre</v>
      </c>
      <c r="C8003" t="s">
        <v>483</v>
      </c>
      <c r="D8003" t="s">
        <v>371</v>
      </c>
    </row>
    <row r="8004" spans="1:4" x14ac:dyDescent="0.25">
      <c r="B8004" t="str">
        <f>HYPERLINK("https://www.chemistwarehouse.com.au/buy/75890/Enya-Classic-Clean-and-Shine-Conditioner-600ml"," Enya Classic Clean and Shine Conditioner 600ml")</f>
        <v xml:space="preserve"> Enya Classic Clean and Shine Conditioner 600ml</v>
      </c>
      <c r="C8004" t="s">
        <v>146</v>
      </c>
      <c r="D8004" t="s">
        <v>371</v>
      </c>
    </row>
    <row r="8005" spans="1:4" x14ac:dyDescent="0.25">
      <c r="B8005" t="str">
        <f>HYPERLINK("https://www.chemistwarehouse.com.au/buy/75892/Enya-Moisture-Therapy-Conditioner-600ml"," Enya Moisture Therapy Conditioner 600ml")</f>
        <v xml:space="preserve"> Enya Moisture Therapy Conditioner 600ml</v>
      </c>
      <c r="C8005" t="s">
        <v>146</v>
      </c>
      <c r="D8005" t="s">
        <v>371</v>
      </c>
    </row>
    <row r="8006" spans="1:4" x14ac:dyDescent="0.25">
      <c r="A8006" t="s">
        <v>1826</v>
      </c>
    </row>
    <row r="8007" spans="1:4" x14ac:dyDescent="0.25">
      <c r="B8007" t="str">
        <f>HYPERLINK("https://www.chemistwarehouse.com.au/buy/77580/Goat-Shampoo-Original-300ml"," Goat Shampoo Original 300ml")</f>
        <v xml:space="preserve"> Goat Shampoo Original 300ml</v>
      </c>
      <c r="C8007" t="s">
        <v>103</v>
      </c>
      <c r="D8007">
        <v>0</v>
      </c>
    </row>
    <row r="8008" spans="1:4" x14ac:dyDescent="0.25">
      <c r="B8008" t="str">
        <f>HYPERLINK("https://www.chemistwarehouse.com.au/buy/77581/Goat-Shampoo-With-Argan-Oil-300ml"," Goat Shampoo With Argan Oil 300ml ")</f>
        <v xml:space="preserve"> Goat Shampoo With Argan Oil 300ml </v>
      </c>
      <c r="C8008" t="s">
        <v>103</v>
      </c>
      <c r="D8008">
        <v>0</v>
      </c>
    </row>
    <row r="8009" spans="1:4" x14ac:dyDescent="0.25">
      <c r="B8009" t="str">
        <f>HYPERLINK("https://www.chemistwarehouse.com.au/buy/77582/Goat-Shampoo-With-Coconut-Oil-300ml"," Goat Shampoo With Coconut Oil 300ml")</f>
        <v xml:space="preserve"> Goat Shampoo With Coconut Oil 300ml</v>
      </c>
      <c r="C8009" t="s">
        <v>103</v>
      </c>
      <c r="D8009">
        <v>0</v>
      </c>
    </row>
    <row r="8010" spans="1:4" x14ac:dyDescent="0.25">
      <c r="B8010" t="str">
        <f>HYPERLINK("https://www.chemistwarehouse.com.au/buy/77584/Goat-Shampoo-With-Manuka-Honey-300ml"," Goat Shampoo With Manuka Honey 300ml ")</f>
        <v xml:space="preserve"> Goat Shampoo With Manuka Honey 300ml </v>
      </c>
      <c r="C8010" t="s">
        <v>103</v>
      </c>
      <c r="D8010">
        <v>0</v>
      </c>
    </row>
    <row r="8011" spans="1:4" x14ac:dyDescent="0.25">
      <c r="B8011" t="str">
        <f>HYPERLINK("https://www.chemistwarehouse.com.au/buy/77585/Goat-Shampoo-With-Oatmeal-300ml"," Goat Shampoo With Oatmeal 300ml ")</f>
        <v xml:space="preserve"> Goat Shampoo With Oatmeal 300ml </v>
      </c>
      <c r="C8011" t="s">
        <v>103</v>
      </c>
      <c r="D8011">
        <v>0</v>
      </c>
    </row>
    <row r="8012" spans="1:4" x14ac:dyDescent="0.25">
      <c r="B8012" t="str">
        <f>HYPERLINK("https://www.chemistwarehouse.com.au/buy/77583/Goat-Shampoo-With-Lemon-Myrtle-300ml"," Goat Shampoo With Lemon Myrtle 300ml")</f>
        <v xml:space="preserve"> Goat Shampoo With Lemon Myrtle 300ml</v>
      </c>
      <c r="C8012" t="s">
        <v>103</v>
      </c>
      <c r="D8012">
        <v>0</v>
      </c>
    </row>
    <row r="8013" spans="1:4" x14ac:dyDescent="0.25">
      <c r="A8013" t="s">
        <v>1827</v>
      </c>
    </row>
    <row r="8014" spans="1:4" x14ac:dyDescent="0.25">
      <c r="B8014" t="str">
        <f>HYPERLINK("https://www.chemistwarehouse.com.au/buy/77579/Goat-Conditioner-Original-300ml"," Goat Conditioner Original 300ml")</f>
        <v xml:space="preserve"> Goat Conditioner Original 300ml</v>
      </c>
      <c r="C8014" t="s">
        <v>103</v>
      </c>
      <c r="D8014">
        <v>0</v>
      </c>
    </row>
    <row r="8015" spans="1:4" x14ac:dyDescent="0.25">
      <c r="B8015" t="str">
        <f>HYPERLINK("https://www.chemistwarehouse.com.au/buy/77574/Goat-Conditioner-With-Argan-Oil-300ml"," Goat Conditioner With Argan Oil 300ml ")</f>
        <v xml:space="preserve"> Goat Conditioner With Argan Oil 300ml </v>
      </c>
      <c r="C8015" t="s">
        <v>103</v>
      </c>
      <c r="D8015">
        <v>0</v>
      </c>
    </row>
    <row r="8016" spans="1:4" x14ac:dyDescent="0.25">
      <c r="B8016" t="str">
        <f>HYPERLINK("https://www.chemistwarehouse.com.au/buy/77575/Goat-Conditioner-With-Coconut-Oil-300ml"," Goat Conditioner With Coconut Oil 300ml ")</f>
        <v xml:space="preserve"> Goat Conditioner With Coconut Oil 300ml </v>
      </c>
      <c r="C8016" t="s">
        <v>103</v>
      </c>
      <c r="D8016">
        <v>0</v>
      </c>
    </row>
    <row r="8017" spans="1:4" x14ac:dyDescent="0.25">
      <c r="B8017" t="str">
        <f>HYPERLINK("https://www.chemistwarehouse.com.au/buy/77576/Goat-Conditioner-With-Lemon-Myrtle-300ml"," Goat Conditioner With Lemon Myrtle 300ml ")</f>
        <v xml:space="preserve"> Goat Conditioner With Lemon Myrtle 300ml </v>
      </c>
      <c r="C8017" t="s">
        <v>103</v>
      </c>
      <c r="D8017">
        <v>0</v>
      </c>
    </row>
    <row r="8018" spans="1:4" x14ac:dyDescent="0.25">
      <c r="B8018" t="str">
        <f>HYPERLINK("https://www.chemistwarehouse.com.au/buy/77577/Goat-Conditioner-With-Manuka-Honey-300ml"," Goat Conditioner With Manuka Honey 300ml ")</f>
        <v xml:space="preserve"> Goat Conditioner With Manuka Honey 300ml </v>
      </c>
      <c r="C8018" t="s">
        <v>103</v>
      </c>
      <c r="D8018">
        <v>0</v>
      </c>
    </row>
    <row r="8019" spans="1:4" x14ac:dyDescent="0.25">
      <c r="B8019" t="str">
        <f>HYPERLINK("https://www.chemistwarehouse.com.au/buy/77578/Goat-Conditioner-With-Oatmeal-300ml"," Goat Conditioner With Oatmeal 300ml")</f>
        <v xml:space="preserve"> Goat Conditioner With Oatmeal 300ml</v>
      </c>
      <c r="C8019" t="s">
        <v>103</v>
      </c>
      <c r="D8019">
        <v>0</v>
      </c>
    </row>
    <row r="8020" spans="1:4" x14ac:dyDescent="0.25">
      <c r="A8020" t="s">
        <v>1828</v>
      </c>
    </row>
    <row r="8021" spans="1:4" x14ac:dyDescent="0.25">
      <c r="B8021" t="str">
        <f>HYPERLINK("https://www.chemistwarehouse.com.au/buy/60168/Tea-Tree-amp-Witch-Hazel-Clarifying-Shampoo-250mL"," Tea Tree &amp; Witch Hazel Clarifying Shampoo 250mL")</f>
        <v xml:space="preserve"> Tea Tree &amp; Witch Hazel Clarifying Shampoo 250mL</v>
      </c>
      <c r="C8021" t="s">
        <v>103</v>
      </c>
      <c r="D8021">
        <v>0</v>
      </c>
    </row>
    <row r="8022" spans="1:4" x14ac:dyDescent="0.25">
      <c r="A8022" t="s">
        <v>1829</v>
      </c>
    </row>
    <row r="8023" spans="1:4" x14ac:dyDescent="0.25">
      <c r="B8023" t="str">
        <f>HYPERLINK("https://www.chemistwarehouse.com.au/buy/73318/Toni-amp-Guy-Cleanse-Dry-Shampoo-250ml"," Toni &amp; Guy Cleanse Dry Shampoo 250ml")</f>
        <v xml:space="preserve"> Toni &amp; Guy Cleanse Dry Shampoo 250ml</v>
      </c>
      <c r="C8023" t="s">
        <v>228</v>
      </c>
      <c r="D8023" t="s">
        <v>121</v>
      </c>
    </row>
    <row r="8024" spans="1:4" x14ac:dyDescent="0.25">
      <c r="B8024" t="str">
        <f>HYPERLINK("https://www.chemistwarehouse.com.au/buy/73319/Toni-amp-Guy-Cleanse-Shampoo-For-Damaged-Hair-250ml"," Toni &amp; Guy Cleanse Shampoo For Damaged Hair 250ml")</f>
        <v xml:space="preserve"> Toni &amp; Guy Cleanse Shampoo For Damaged Hair 250ml</v>
      </c>
      <c r="C8024" t="s">
        <v>228</v>
      </c>
      <c r="D8024" t="s">
        <v>121</v>
      </c>
    </row>
    <row r="8025" spans="1:4" x14ac:dyDescent="0.25">
      <c r="B8025" t="str">
        <f>HYPERLINK("https://www.chemistwarehouse.com.au/buy/73320/Toni-amp-Guy-Cleanse-Shampoo-For-Fine-Hair-250ml"," Toni &amp; Guy Cleanse Shampoo For Fine Hair 250ml")</f>
        <v xml:space="preserve"> Toni &amp; Guy Cleanse Shampoo For Fine Hair 250ml</v>
      </c>
      <c r="C8025" t="s">
        <v>228</v>
      </c>
      <c r="D8025" t="s">
        <v>121</v>
      </c>
    </row>
    <row r="8026" spans="1:4" x14ac:dyDescent="0.25">
      <c r="B8026" t="str">
        <f>HYPERLINK("https://www.chemistwarehouse.com.au/buy/73321/Toni-amp-Guy-Cleanse-Shampoo-For-Normal-Hair-250ml"," Toni &amp; Guy Cleanse Shampoo For Normal Hair 250ml")</f>
        <v xml:space="preserve"> Toni &amp; Guy Cleanse Shampoo For Normal Hair 250ml</v>
      </c>
      <c r="C8026" t="s">
        <v>228</v>
      </c>
      <c r="D8026" t="s">
        <v>121</v>
      </c>
    </row>
    <row r="8027" spans="1:4" x14ac:dyDescent="0.25">
      <c r="B8027" t="str">
        <f>HYPERLINK("https://www.chemistwarehouse.com.au/buy/75640/Toni-amp-Guy-Casual-Matte-Texture-Dry-Shampoo-250ml"," Toni &amp; Guy Casual Matte Texture Dry Shampoo 250ml")</f>
        <v xml:space="preserve"> Toni &amp; Guy Casual Matte Texture Dry Shampoo 250ml</v>
      </c>
      <c r="C8027" t="s">
        <v>228</v>
      </c>
      <c r="D8027" t="s">
        <v>121</v>
      </c>
    </row>
    <row r="8028" spans="1:4" x14ac:dyDescent="0.25">
      <c r="B8028" t="str">
        <f>HYPERLINK("https://www.chemistwarehouse.com.au/buy/75641/Toni-amp-Guy-Glamour-Sky-High-Dry-Shampoo-250ml"," Toni &amp; Guy Glamour Sky High Dry Shampoo 250ml ")</f>
        <v xml:space="preserve"> Toni &amp; Guy Glamour Sky High Dry Shampoo 250ml </v>
      </c>
      <c r="C8028" t="s">
        <v>228</v>
      </c>
      <c r="D8028" t="s">
        <v>121</v>
      </c>
    </row>
    <row r="8029" spans="1:4" x14ac:dyDescent="0.25">
      <c r="B8029" t="str">
        <f>HYPERLINK("https://www.chemistwarehouse.com.au/buy/79401/Toni-amp-Guy-Cleanse-Shampoo-For-Dry-Hair-250ml"," Toni &amp; Guy Cleanse Shampoo For Dry Hair 250ml")</f>
        <v xml:space="preserve"> Toni &amp; Guy Cleanse Shampoo For Dry Hair 250ml</v>
      </c>
      <c r="C8029" t="s">
        <v>228</v>
      </c>
      <c r="D8029" t="s">
        <v>121</v>
      </c>
    </row>
    <row r="8030" spans="1:4" x14ac:dyDescent="0.25">
      <c r="B8030" t="str">
        <f>HYPERLINK("https://www.chemistwarehouse.com.au/buy/82912/Toni-amp-Guy-Cleanse-Dry-Shampoo-100ml"," Toni &amp; Guy Cleanse Dry Shampoo 100ml")</f>
        <v xml:space="preserve"> Toni &amp; Guy Cleanse Dry Shampoo 100ml</v>
      </c>
      <c r="C8030" t="s">
        <v>116</v>
      </c>
      <c r="D8030" t="s">
        <v>371</v>
      </c>
    </row>
    <row r="8031" spans="1:4" x14ac:dyDescent="0.25">
      <c r="B8031" t="str">
        <f>HYPERLINK("https://www.chemistwarehouse.com.au/buy/82913/Toni-amp-Guy-Cleanse-Shampoo-For-Damaged-Hair-50ml"," Toni &amp; Guy Cleanse Shampoo For Damaged Hair 50ml")</f>
        <v xml:space="preserve"> Toni &amp; Guy Cleanse Shampoo For Damaged Hair 50ml</v>
      </c>
      <c r="C8031" t="s">
        <v>483</v>
      </c>
      <c r="D8031" t="s">
        <v>371</v>
      </c>
    </row>
    <row r="8032" spans="1:4" x14ac:dyDescent="0.25">
      <c r="A8032" t="s">
        <v>1830</v>
      </c>
    </row>
    <row r="8033" spans="1:4" x14ac:dyDescent="0.25">
      <c r="B8033" t="str">
        <f>HYPERLINK("https://www.chemistwarehouse.com.au/buy/73322/Toni-amp-Guy-Nourish-Conditioner-For-Damaged-Hair-250ml"," Toni &amp; Guy Nourish Conditioner For Damaged Hair 250ml")</f>
        <v xml:space="preserve"> Toni &amp; Guy Nourish Conditioner For Damaged Hair 250ml</v>
      </c>
      <c r="C8033" t="s">
        <v>228</v>
      </c>
      <c r="D8033" t="s">
        <v>121</v>
      </c>
    </row>
    <row r="8034" spans="1:4" x14ac:dyDescent="0.25">
      <c r="B8034" t="str">
        <f>HYPERLINK("https://www.chemistwarehouse.com.au/buy/73323/Toni-amp-Guy-Nourish-Conditioner-For-Fine-Hair-250ml"," Toni &amp; Guy Nourish Conditioner For Fine Hair 250ml")</f>
        <v xml:space="preserve"> Toni &amp; Guy Nourish Conditioner For Fine Hair 250ml</v>
      </c>
      <c r="C8034" t="s">
        <v>228</v>
      </c>
      <c r="D8034" t="s">
        <v>121</v>
      </c>
    </row>
    <row r="8035" spans="1:4" x14ac:dyDescent="0.25">
      <c r="B8035" t="str">
        <f>HYPERLINK("https://www.chemistwarehouse.com.au/buy/73324/Toni-amp-Guy-Nourish-Conditioner-For-Normal-Hair-250ml"," Toni &amp; Guy Nourish Conditioner For Normal Hair 250ml")</f>
        <v xml:space="preserve"> Toni &amp; Guy Nourish Conditioner For Normal Hair 250ml</v>
      </c>
      <c r="C8035" t="s">
        <v>228</v>
      </c>
      <c r="D8035" t="s">
        <v>121</v>
      </c>
    </row>
    <row r="8036" spans="1:4" x14ac:dyDescent="0.25">
      <c r="B8036" t="str">
        <f>HYPERLINK("https://www.chemistwarehouse.com.au/buy/73340/Toni-amp-Guy-Prep-Leave-In-Conditioner-100ml"," Toni &amp; Guy Prep Leave In Conditioner 100ml")</f>
        <v xml:space="preserve"> Toni &amp; Guy Prep Leave In Conditioner 100ml</v>
      </c>
      <c r="C8036" t="s">
        <v>228</v>
      </c>
      <c r="D8036" t="s">
        <v>121</v>
      </c>
    </row>
    <row r="8037" spans="1:4" x14ac:dyDescent="0.25">
      <c r="B8037" t="str">
        <f>HYPERLINK("https://www.chemistwarehouse.com.au/buy/79399/Toni-amp-Guy-Cleanse-Conditioner-For-Dry-Hair-250ml"," Toni &amp; Guy Cleanse Conditioner For Dry Hair 250ml")</f>
        <v xml:space="preserve"> Toni &amp; Guy Cleanse Conditioner For Dry Hair 250ml</v>
      </c>
      <c r="C8037" t="s">
        <v>228</v>
      </c>
      <c r="D8037" t="s">
        <v>121</v>
      </c>
    </row>
    <row r="8038" spans="1:4" x14ac:dyDescent="0.25">
      <c r="B8038" t="str">
        <f>HYPERLINK("https://www.chemistwarehouse.com.au/buy/82914/Toni-amp-Guy-Nourish-Conditioner-For-Damaged-Hair-50ml"," Toni &amp; Guy Nourish Conditioner For Damaged Hair 50ml")</f>
        <v xml:space="preserve"> Toni &amp; Guy Nourish Conditioner For Damaged Hair 50ml</v>
      </c>
      <c r="C8038" t="s">
        <v>483</v>
      </c>
      <c r="D8038" t="s">
        <v>371</v>
      </c>
    </row>
    <row r="8039" spans="1:4" x14ac:dyDescent="0.25">
      <c r="A8039" t="s">
        <v>1831</v>
      </c>
    </row>
    <row r="8040" spans="1:4" x14ac:dyDescent="0.25">
      <c r="B8040" t="str">
        <f>HYPERLINK("https://www.chemistwarehouse.com.au/buy/67948/Seven-Wonders-Moroccan-Argan-Oil-Shampoo-250ml"," Seven Wonders Moroccan Argan Oil Shampoo 250ml")</f>
        <v xml:space="preserve"> Seven Wonders Moroccan Argan Oil Shampoo 250ml</v>
      </c>
      <c r="C8040" t="s">
        <v>443</v>
      </c>
      <c r="D8040" t="s">
        <v>799</v>
      </c>
    </row>
    <row r="8041" spans="1:4" x14ac:dyDescent="0.25">
      <c r="B8041" t="str">
        <f>HYPERLINK("https://www.chemistwarehouse.com.au/buy/73760/Seven-Wonders-Moroccan-Argan-Oil-Dry-Shampoo-150ml"," Seven Wonders Moroccan Argan Oil Dry Shampoo 150ml")</f>
        <v xml:space="preserve"> Seven Wonders Moroccan Argan Oil Dry Shampoo 150ml</v>
      </c>
      <c r="C8041" t="s">
        <v>98</v>
      </c>
      <c r="D8041" t="s">
        <v>150</v>
      </c>
    </row>
    <row r="8042" spans="1:4" x14ac:dyDescent="0.25">
      <c r="B8042" t="str">
        <f>HYPERLINK("https://www.chemistwarehouse.com.au/buy/75274/Seven-Wonders-Coconut-Oil-Shampoo-250ml"," Seven Wonders Coconut Oil Shampoo 250ml")</f>
        <v xml:space="preserve"> Seven Wonders Coconut Oil Shampoo 250ml</v>
      </c>
      <c r="C8042" t="s">
        <v>228</v>
      </c>
      <c r="D8042" t="s">
        <v>329</v>
      </c>
    </row>
    <row r="8043" spans="1:4" x14ac:dyDescent="0.25">
      <c r="B8043" t="str">
        <f>HYPERLINK("https://www.chemistwarehouse.com.au/buy/78320/Seven-Wonders-Coconut-Oil-Dry-Shampoo-150ml"," Seven Wonders Coconut Oil Dry Shampoo 150ml")</f>
        <v xml:space="preserve"> Seven Wonders Coconut Oil Dry Shampoo 150ml</v>
      </c>
      <c r="C8043" t="s">
        <v>98</v>
      </c>
      <c r="D8043" t="s">
        <v>150</v>
      </c>
    </row>
    <row r="8044" spans="1:4" x14ac:dyDescent="0.25">
      <c r="A8044" t="s">
        <v>1832</v>
      </c>
    </row>
    <row r="8045" spans="1:4" x14ac:dyDescent="0.25">
      <c r="B8045" t="str">
        <f>HYPERLINK("https://www.chemistwarehouse.com.au/buy/67949/Seven-Wonders-Moroccan-Argan-Oil-Conditioner-250ml"," Seven Wonders Moroccan Argan Oil Conditioner 250ml")</f>
        <v xml:space="preserve"> Seven Wonders Moroccan Argan Oil Conditioner 250ml</v>
      </c>
      <c r="C8045" t="s">
        <v>443</v>
      </c>
      <c r="D8045" t="s">
        <v>799</v>
      </c>
    </row>
    <row r="8046" spans="1:4" x14ac:dyDescent="0.25">
      <c r="B8046" t="str">
        <f>HYPERLINK("https://www.chemistwarehouse.com.au/buy/75273/Seven-Wonders-Coconut-Oil-Conditioner-250ml"," Seven Wonders Coconut Oil Conditioner 250ml")</f>
        <v xml:space="preserve"> Seven Wonders Coconut Oil Conditioner 250ml</v>
      </c>
      <c r="C8046" t="s">
        <v>228</v>
      </c>
      <c r="D8046" t="s">
        <v>329</v>
      </c>
    </row>
    <row r="8047" spans="1:4" x14ac:dyDescent="0.25">
      <c r="A8047" t="s">
        <v>1833</v>
      </c>
    </row>
    <row r="8048" spans="1:4" x14ac:dyDescent="0.25">
      <c r="B8048" t="str">
        <f>HYPERLINK("https://www.chemistwarehouse.com.au/buy/68160/Marc-Daniels-Blue-Cypress-Blonde-Shampoo-300ml"," Marc Daniels Blue Cypress Blonde Shampoo 300ml")</f>
        <v xml:space="preserve"> Marc Daniels Blue Cypress Blonde Shampoo 300ml</v>
      </c>
      <c r="C8048" t="s">
        <v>98</v>
      </c>
      <c r="D8048" t="s">
        <v>312</v>
      </c>
    </row>
    <row r="8049" spans="1:4" x14ac:dyDescent="0.25">
      <c r="B8049" t="str">
        <f>HYPERLINK("https://www.chemistwarehouse.com.au/buy/79398/Marc-Daniels-Ultra-Moisture-Shampoo-300ml"," Marc Daniels Ultra Moisture Shampoo 300ml")</f>
        <v xml:space="preserve"> Marc Daniels Ultra Moisture Shampoo 300ml</v>
      </c>
      <c r="C8049" t="s">
        <v>116</v>
      </c>
      <c r="D8049" t="s">
        <v>169</v>
      </c>
    </row>
    <row r="8050" spans="1:4" x14ac:dyDescent="0.25">
      <c r="A8050" t="s">
        <v>1834</v>
      </c>
    </row>
    <row r="8051" spans="1:4" x14ac:dyDescent="0.25">
      <c r="B8051" t="str">
        <f>HYPERLINK("https://www.chemistwarehouse.com.au/buy/68094/Marc-Daniels-Blue-Cypress-Blonde-Conditioner-300ml"," Marc Daniels Blue Cypress Blonde Conditioner 300ml")</f>
        <v xml:space="preserve"> Marc Daniels Blue Cypress Blonde Conditioner 300ml</v>
      </c>
      <c r="C8051" t="s">
        <v>98</v>
      </c>
      <c r="D8051" t="s">
        <v>312</v>
      </c>
    </row>
    <row r="8052" spans="1:4" x14ac:dyDescent="0.25">
      <c r="B8052" t="str">
        <f>HYPERLINK("https://www.chemistwarehouse.com.au/buy/79400/Marc-Daniels-Ultra-Moisture-Conditioner-300ml"," Marc Daniels Ultra Moisture Conditioner 300ml")</f>
        <v xml:space="preserve"> Marc Daniels Ultra Moisture Conditioner 300ml</v>
      </c>
      <c r="C8052" t="s">
        <v>116</v>
      </c>
      <c r="D8052" t="s">
        <v>169</v>
      </c>
    </row>
    <row r="8053" spans="1:4" x14ac:dyDescent="0.25">
      <c r="B8053" t="str">
        <f>HYPERLINK("https://www.chemistwarehouse.com.au/buy/82859/Marc-Daniels-Ultra-Moisture-Conditioner-50ml"," Marc Daniels Ultra Moisture Conditioner 50ml")</f>
        <v xml:space="preserve"> Marc Daniels Ultra Moisture Conditioner 50ml</v>
      </c>
      <c r="C8053" t="s">
        <v>115</v>
      </c>
      <c r="D8053">
        <v>0</v>
      </c>
    </row>
    <row r="8054" spans="1:4" x14ac:dyDescent="0.25">
      <c r="A8054" t="s">
        <v>1835</v>
      </c>
    </row>
    <row r="8055" spans="1:4" x14ac:dyDescent="0.25">
      <c r="B8055" t="str">
        <f>HYPERLINK("https://www.chemistwarehouse.com.au/buy/68207/DermaVeen-Oatmeal-Shampoo-1-Litre"," DermaVeen Oatmeal Shampoo 1 Litre")</f>
        <v xml:space="preserve"> DermaVeen Oatmeal Shampoo 1 Litre</v>
      </c>
      <c r="C8055" t="s">
        <v>61</v>
      </c>
      <c r="D8055" t="s">
        <v>169</v>
      </c>
    </row>
    <row r="8056" spans="1:4" x14ac:dyDescent="0.25">
      <c r="B8056" t="str">
        <f>HYPERLINK("https://www.chemistwarehouse.com.au/buy/57170/DermaVeen-Oatmeal-Shampoo-250mL"," DermaVeen Oatmeal Shampoo 250mL")</f>
        <v xml:space="preserve"> DermaVeen Oatmeal Shampoo 250mL</v>
      </c>
      <c r="C8056" t="s">
        <v>45</v>
      </c>
      <c r="D8056" t="s">
        <v>312</v>
      </c>
    </row>
    <row r="8057" spans="1:4" x14ac:dyDescent="0.25">
      <c r="A8057" t="s">
        <v>1836</v>
      </c>
    </row>
    <row r="8058" spans="1:4" x14ac:dyDescent="0.25">
      <c r="B8058" t="str">
        <f>HYPERLINK("https://www.chemistwarehouse.com.au/buy/68206/DermaVeen-Oatmeal-Conditioner-1-Litre"," DermaVeen Oatmeal Conditioner 1 Litre")</f>
        <v xml:space="preserve"> DermaVeen Oatmeal Conditioner 1 Litre</v>
      </c>
      <c r="C8058" t="s">
        <v>61</v>
      </c>
      <c r="D8058" t="s">
        <v>169</v>
      </c>
    </row>
    <row r="8059" spans="1:4" x14ac:dyDescent="0.25">
      <c r="B8059" t="str">
        <f>HYPERLINK("https://www.chemistwarehouse.com.au/buy/57169/DermaVeen-Oatmeal-Conditioner-250ml"," DermaVeen Oatmeal Conditioner 250ml")</f>
        <v xml:space="preserve"> DermaVeen Oatmeal Conditioner 250ml</v>
      </c>
      <c r="C8059" t="s">
        <v>45</v>
      </c>
      <c r="D8059" t="s">
        <v>312</v>
      </c>
    </row>
    <row r="8060" spans="1:4" x14ac:dyDescent="0.25">
      <c r="A8060" t="s">
        <v>1837</v>
      </c>
    </row>
    <row r="8061" spans="1:4" x14ac:dyDescent="0.25">
      <c r="B8061" t="str">
        <f>HYPERLINK("https://www.chemistwarehouse.com.au/buy/58100/Vitapointe-Conditioner-30g"," Vitapointe Conditioner 30g")</f>
        <v xml:space="preserve"> Vitapointe Conditioner 30g</v>
      </c>
      <c r="C8061" t="s">
        <v>92</v>
      </c>
      <c r="D8061" t="s">
        <v>1838</v>
      </c>
    </row>
    <row r="8062" spans="1:4" x14ac:dyDescent="0.25">
      <c r="A8062" t="s">
        <v>1839</v>
      </c>
    </row>
    <row r="8063" spans="1:4" x14ac:dyDescent="0.25">
      <c r="B8063" t="str">
        <f>HYPERLINK("https://www.chemistwarehouse.com.au/buy/68639/Olivella-The-Olive-Conditioner-250ml"," Olivella The Olive Conditioner 250ml")</f>
        <v xml:space="preserve"> Olivella The Olive Conditioner 250ml</v>
      </c>
      <c r="C8063" t="s">
        <v>103</v>
      </c>
      <c r="D8063">
        <v>0</v>
      </c>
    </row>
    <row r="8064" spans="1:4" x14ac:dyDescent="0.25">
      <c r="A8064" t="s">
        <v>1840</v>
      </c>
    </row>
    <row r="8065" spans="1:4" x14ac:dyDescent="0.25">
      <c r="B8065" t="str">
        <f>HYPERLINK("https://www.chemistwarehouse.com.au/buy/68663/Olivella-The-Olive-Shampoo-250ml"," Olivella The Olive Shampoo 250ml")</f>
        <v xml:space="preserve"> Olivella The Olive Shampoo 250ml</v>
      </c>
      <c r="C8065" t="s">
        <v>103</v>
      </c>
      <c r="D8065">
        <v>0</v>
      </c>
    </row>
    <row r="8066" spans="1:4" x14ac:dyDescent="0.25">
      <c r="A8066" t="s">
        <v>1841</v>
      </c>
    </row>
    <row r="8067" spans="1:4" x14ac:dyDescent="0.25">
      <c r="B8067" t="str">
        <f>HYPERLINK("https://www.chemistwarehouse.com.au/buy/70057/My-Organics-Thickening-Shampoo-with-Orange-amp-Lemon-250ml"," My Organics Thickening Shampoo with Orange &amp; Lemon 250ml")</f>
        <v xml:space="preserve"> My Organics Thickening Shampoo with Orange &amp; Lemon 250ml</v>
      </c>
      <c r="C8067" t="s">
        <v>237</v>
      </c>
      <c r="D8067">
        <v>0</v>
      </c>
    </row>
    <row r="8068" spans="1:4" x14ac:dyDescent="0.25">
      <c r="B8068" t="str">
        <f>HYPERLINK("https://www.chemistwarehouse.com.au/buy/74902/My-Organics-Pro-Keratin-Shampoo-with-Argan-amp-Avocado-250ml"," My Organics Pro-Keratin Shampoo with Argan &amp; Avocado 250ml")</f>
        <v xml:space="preserve"> My Organics Pro-Keratin Shampoo with Argan &amp; Avocado 250ml</v>
      </c>
      <c r="C8068" t="s">
        <v>237</v>
      </c>
      <c r="D8068">
        <v>0</v>
      </c>
    </row>
    <row r="8069" spans="1:4" x14ac:dyDescent="0.25">
      <c r="B8069" t="str">
        <f>HYPERLINK("https://www.chemistwarehouse.com.au/buy/76383/My-Organics-The-Organic-Revitalizing-Shampoo-with-Neem-and-Peppermint-250ml"," My Organics The Organic Revitalizing Shampoo with Neem and Peppermint 250ml")</f>
        <v xml:space="preserve"> My Organics The Organic Revitalizing Shampoo with Neem and Peppermint 250ml</v>
      </c>
      <c r="C8069" t="s">
        <v>237</v>
      </c>
      <c r="D8069">
        <v>0</v>
      </c>
    </row>
    <row r="8070" spans="1:4" x14ac:dyDescent="0.25">
      <c r="B8070" t="str">
        <f>HYPERLINK("https://www.chemistwarehouse.com.au/buy/76384/My-Organics-The-Organic-Sebum-Control-Shampoo-with-Neem-and-Lavender-250ml"," My Organics The Organic Sebum Control Shampoo with Neem and Lavender 250ml ")</f>
        <v xml:space="preserve"> My Organics The Organic Sebum Control Shampoo with Neem and Lavender 250ml </v>
      </c>
      <c r="C8070" t="s">
        <v>237</v>
      </c>
      <c r="D8070">
        <v>0</v>
      </c>
    </row>
    <row r="8071" spans="1:4" x14ac:dyDescent="0.25">
      <c r="B8071" t="str">
        <f>HYPERLINK("https://www.chemistwarehouse.com.au/buy/81876/My-Organics-Colour-Protect-Shampoo-with-Aloe-and-Calendula-250ml"," My Organics Colour Protect Shampoo with Aloe and Calendula 250ml")</f>
        <v xml:space="preserve"> My Organics Colour Protect Shampoo with Aloe and Calendula 250ml</v>
      </c>
      <c r="C8071" t="s">
        <v>237</v>
      </c>
      <c r="D8071" t="s">
        <v>312</v>
      </c>
    </row>
    <row r="8072" spans="1:4" x14ac:dyDescent="0.25">
      <c r="B8072" t="str">
        <f>HYPERLINK("https://www.chemistwarehouse.com.au/buy/81877/My-Organics-Goji-Supreme-Shampoo-250ml"," My Organics Goji Supreme Shampoo 250ml")</f>
        <v xml:space="preserve"> My Organics Goji Supreme Shampoo 250ml</v>
      </c>
      <c r="C8072" t="s">
        <v>237</v>
      </c>
      <c r="D8072" t="s">
        <v>312</v>
      </c>
    </row>
    <row r="8073" spans="1:4" x14ac:dyDescent="0.25">
      <c r="B8073" t="str">
        <f>HYPERLINK("https://www.chemistwarehouse.com.au/buy/76381/My-Organics-The-Organic-Exfoliating-Shampoo-with-Neem-and-Lemon-250ml"," My Organics The Organic Exfoliating Shampoo with Neem and Lemon 250ml ")</f>
        <v xml:space="preserve"> My Organics The Organic Exfoliating Shampoo with Neem and Lemon 250ml </v>
      </c>
      <c r="C8073" t="s">
        <v>237</v>
      </c>
      <c r="D8073">
        <v>0</v>
      </c>
    </row>
    <row r="8074" spans="1:4" x14ac:dyDescent="0.25">
      <c r="B8074" t="str">
        <f>HYPERLINK("https://www.chemistwarehouse.com.au/buy/70051/My-Organics-Hydrating-Shampoo-with-Sweet-Fennel-amp-Aloe-200ml"," My Organics Hydrating Shampoo with Sweet Fennel &amp; Aloe 200ml")</f>
        <v xml:space="preserve"> My Organics Hydrating Shampoo with Sweet Fennel &amp; Aloe 200ml</v>
      </c>
      <c r="C8074" t="s">
        <v>237</v>
      </c>
      <c r="D8074">
        <v>0</v>
      </c>
    </row>
    <row r="8075" spans="1:4" x14ac:dyDescent="0.25">
      <c r="B8075" t="str">
        <f>HYPERLINK("https://www.chemistwarehouse.com.au/buy/70054/My-Organics-Restructuring-Argan-Shampoo-250ml"," My Organics Restructuring Argan Shampoo 250ml")</f>
        <v xml:space="preserve"> My Organics Restructuring Argan Shampoo 250ml</v>
      </c>
      <c r="C8075" t="s">
        <v>237</v>
      </c>
      <c r="D8075">
        <v>0</v>
      </c>
    </row>
    <row r="8076" spans="1:4" x14ac:dyDescent="0.25">
      <c r="A8076" t="s">
        <v>1842</v>
      </c>
    </row>
    <row r="8077" spans="1:4" x14ac:dyDescent="0.25">
      <c r="B8077" t="str">
        <f>HYPERLINK("https://www.chemistwarehouse.com.au/buy/70056/My-Organics-Thickening-Conditioner-with-Mango-amp-Rose-200ml"," My Organics Thickening Conditioner with Mango &amp; Rose 200ml")</f>
        <v xml:space="preserve"> My Organics Thickening Conditioner with Mango &amp; Rose 200ml</v>
      </c>
      <c r="C8077" t="s">
        <v>237</v>
      </c>
      <c r="D8077">
        <v>0</v>
      </c>
    </row>
    <row r="8078" spans="1:4" x14ac:dyDescent="0.25">
      <c r="B8078" t="str">
        <f>HYPERLINK("https://www.chemistwarehouse.com.au/buy/70053/My-Organics-Restructuring-Argan-Deep-Conditioner-250ml"," My Organics Restructuring Argan Deep Conditioner 250ml")</f>
        <v xml:space="preserve"> My Organics Restructuring Argan Deep Conditioner 250ml</v>
      </c>
      <c r="C8078" t="s">
        <v>237</v>
      </c>
      <c r="D8078">
        <v>0</v>
      </c>
    </row>
    <row r="8079" spans="1:4" x14ac:dyDescent="0.25">
      <c r="B8079" t="str">
        <f>HYPERLINK("https://www.chemistwarehouse.com.au/buy/70050/My-Organics-Hydrating-Conditioner-with-Yogurt-250ml"," My Organics Hydrating Conditioner with Yogurt 250ml")</f>
        <v xml:space="preserve"> My Organics Hydrating Conditioner with Yogurt 250ml</v>
      </c>
      <c r="C8079" t="s">
        <v>237</v>
      </c>
      <c r="D8079">
        <v>0</v>
      </c>
    </row>
    <row r="8080" spans="1:4" x14ac:dyDescent="0.25">
      <c r="B8080" t="str">
        <f>HYPERLINK("https://www.chemistwarehouse.com.au/buy/74901/My-Organics-Pro-Keratin-Conditioner-with-Argan-amp-Avocado-250ml"," My Organics Pro-Keratin Conditioner with Argan &amp; Avocado 250ml")</f>
        <v xml:space="preserve"> My Organics Pro-Keratin Conditioner with Argan &amp; Avocado 250ml</v>
      </c>
      <c r="C8080" t="s">
        <v>237</v>
      </c>
      <c r="D8080">
        <v>0</v>
      </c>
    </row>
    <row r="8081" spans="1:4" x14ac:dyDescent="0.25">
      <c r="B8081" t="str">
        <f>HYPERLINK("https://www.chemistwarehouse.com.au/buy/76382/My-Organics-The-Organic-Fortifying-Conditioner-with-Neem-and-Oat-250ml"," My Organics The Organic Fortifying Conditioner with Neem and Oat 250ml")</f>
        <v xml:space="preserve"> My Organics The Organic Fortifying Conditioner with Neem and Oat 250ml</v>
      </c>
      <c r="C8081" t="s">
        <v>237</v>
      </c>
      <c r="D8081">
        <v>0</v>
      </c>
    </row>
    <row r="8082" spans="1:4" x14ac:dyDescent="0.25">
      <c r="B8082" t="str">
        <f>HYPERLINK("https://www.chemistwarehouse.com.au/buy/81875/My-Organics-Colour-Protect-Conditioner-with-Oat-and-Eucalyptus-250ml"," My Organics Colour Protect Conditioner with Oat and Eucalyptus 250ml")</f>
        <v xml:space="preserve"> My Organics Colour Protect Conditioner with Oat and Eucalyptus 250ml</v>
      </c>
      <c r="C8082" t="s">
        <v>237</v>
      </c>
      <c r="D8082" t="s">
        <v>312</v>
      </c>
    </row>
    <row r="8083" spans="1:4" x14ac:dyDescent="0.25">
      <c r="A8083" t="s">
        <v>1843</v>
      </c>
    </row>
    <row r="8084" spans="1:4" x14ac:dyDescent="0.25">
      <c r="B8084" t="str">
        <f>HYPERLINK("https://www.chemistwarehouse.com.au/buy/75783/L-39-Oreal-Hair-Expertise-Ever-Strong-Strengthening-and-Repairing-Shampoo-250ml"," L'Oreal Hair Expertise Ever Strong Strengthening and Repairing Shampoo 250ml")</f>
        <v xml:space="preserve"> L'Oreal Hair Expertise Ever Strong Strengthening and Repairing Shampoo 250ml</v>
      </c>
      <c r="C8084" t="s">
        <v>283</v>
      </c>
      <c r="D8084" t="s">
        <v>353</v>
      </c>
    </row>
    <row r="8085" spans="1:4" x14ac:dyDescent="0.25">
      <c r="B8085" t="str">
        <f>HYPERLINK("https://www.chemistwarehouse.com.au/buy/75788/L-39-Oreal-Hair-Expertise-Super-Sleek-Smoothing-and-Taming-Shampoo-250ml"," L'Oreal Hair Expertise Super Sleek Smoothing and Taming Shampoo 250ml")</f>
        <v xml:space="preserve"> L'Oreal Hair Expertise Super Sleek Smoothing and Taming Shampoo 250ml</v>
      </c>
      <c r="C8085" t="s">
        <v>283</v>
      </c>
      <c r="D8085" t="s">
        <v>353</v>
      </c>
    </row>
    <row r="8086" spans="1:4" x14ac:dyDescent="0.25">
      <c r="B8086" t="str">
        <f>HYPERLINK("https://www.chemistwarehouse.com.au/buy/75786/L-39-Oreal-Hair-Expertise-Pure-Colour-Radiant-Colour-and-Moisture-Shampoo-250ml"," L'Oreal Hair Expertise Pure Colour Radiant Colour and Moisture Shampoo 250ml")</f>
        <v xml:space="preserve"> L'Oreal Hair Expertise Pure Colour Radiant Colour and Moisture Shampoo 250ml</v>
      </c>
      <c r="C8086" t="s">
        <v>283</v>
      </c>
      <c r="D8086" t="s">
        <v>353</v>
      </c>
    </row>
    <row r="8087" spans="1:4" x14ac:dyDescent="0.25">
      <c r="B8087" t="str">
        <f>HYPERLINK("https://www.chemistwarehouse.com.au/buy/75791/L-39-Oreal-Hair-Expertise-Ultra-Rich-Nourishing-and-Taming-Shampoo-250ml"," L'Oreal Hair Expertise Ultra Rich Nourishing and Taming Shampoo 250ml")</f>
        <v xml:space="preserve"> L'Oreal Hair Expertise Ultra Rich Nourishing and Taming Shampoo 250ml</v>
      </c>
      <c r="C8087" t="s">
        <v>283</v>
      </c>
      <c r="D8087" t="s">
        <v>353</v>
      </c>
    </row>
    <row r="8088" spans="1:4" x14ac:dyDescent="0.25">
      <c r="A8088" t="s">
        <v>1844</v>
      </c>
    </row>
    <row r="8089" spans="1:4" x14ac:dyDescent="0.25">
      <c r="B8089" t="str">
        <f>HYPERLINK("https://www.chemistwarehouse.com.au/buy/75781/L-39-Oreal-Hair-Expertise-Ever-Strong-Strengthening-and-Repairing-Conditioner-250ml"," L'Oreal Hair Expertise Ever Strong Strengthening and Repairing Conditioner 250ml")</f>
        <v xml:space="preserve"> L'Oreal Hair Expertise Ever Strong Strengthening and Repairing Conditioner 250ml</v>
      </c>
      <c r="C8089" t="s">
        <v>283</v>
      </c>
      <c r="D8089" t="s">
        <v>353</v>
      </c>
    </row>
    <row r="8090" spans="1:4" x14ac:dyDescent="0.25">
      <c r="B8090" t="str">
        <f>HYPERLINK("https://www.chemistwarehouse.com.au/buy/75785/L-39-Oreal-Hair-Expertise-Pure-Colour-Radiant-Colour-and-Moisture-Conditioner-250ml"," L'Oreal Hair Expertise Pure Colour Radiant Colour and Moisture Conditioner 250ml")</f>
        <v xml:space="preserve"> L'Oreal Hair Expertise Pure Colour Radiant Colour and Moisture Conditioner 250ml</v>
      </c>
      <c r="C8090" t="s">
        <v>283</v>
      </c>
      <c r="D8090" t="s">
        <v>353</v>
      </c>
    </row>
    <row r="8091" spans="1:4" x14ac:dyDescent="0.25">
      <c r="B8091" t="str">
        <f>HYPERLINK("https://www.chemistwarehouse.com.au/buy/75787/L-39-Oreal-Hair-Expertise-Super-Sleek-Smoothing-and-Taming-Conditioner-250ml"," L'Oreal Hair Expertise Super Sleek Smoothing and Taming Conditioner 250ml")</f>
        <v xml:space="preserve"> L'Oreal Hair Expertise Super Sleek Smoothing and Taming Conditioner 250ml</v>
      </c>
      <c r="C8091" t="s">
        <v>283</v>
      </c>
      <c r="D8091" t="s">
        <v>353</v>
      </c>
    </row>
    <row r="8092" spans="1:4" x14ac:dyDescent="0.25">
      <c r="B8092" t="str">
        <f>HYPERLINK("https://www.chemistwarehouse.com.au/buy/75790/L-39-Oreal-Hair-Expertise-Ultra-Rich-Nourishing-and-Taming-Conditioner-250ml"," L'Oreal Hair Expertise Ultra Rich Nourishing and Taming Conditioner 250ml")</f>
        <v xml:space="preserve"> L'Oreal Hair Expertise Ultra Rich Nourishing and Taming Conditioner 250ml</v>
      </c>
      <c r="C8092" t="s">
        <v>283</v>
      </c>
      <c r="D8092" t="s">
        <v>353</v>
      </c>
    </row>
    <row r="8093" spans="1:4" x14ac:dyDescent="0.25">
      <c r="A8093" t="s">
        <v>1845</v>
      </c>
    </row>
    <row r="8094" spans="1:4" x14ac:dyDescent="0.25">
      <c r="B8094" t="str">
        <f>HYPERLINK("https://www.chemistwarehouse.com.au/buy/76945/Natural-Beauty-Shampoo-Kiwi-amp-Coconut-500ml"," Natural Beauty Shampoo Kiwi &amp; Coconut 500ml")</f>
        <v xml:space="preserve"> Natural Beauty Shampoo Kiwi &amp; Coconut 500ml</v>
      </c>
      <c r="C8094" t="s">
        <v>146</v>
      </c>
      <c r="D8094">
        <v>0</v>
      </c>
    </row>
    <row r="8095" spans="1:4" x14ac:dyDescent="0.25">
      <c r="B8095" t="str">
        <f>HYPERLINK("https://www.chemistwarehouse.com.au/buy/76947/Natural-Beauty-Shampoo-Mango-amp-Orange-500ml"," Natural Beauty Shampoo Mango &amp; Orange 500ml")</f>
        <v xml:space="preserve"> Natural Beauty Shampoo Mango &amp; Orange 500ml</v>
      </c>
      <c r="C8095" t="s">
        <v>146</v>
      </c>
      <c r="D8095">
        <v>0</v>
      </c>
    </row>
    <row r="8096" spans="1:4" x14ac:dyDescent="0.25">
      <c r="B8096" t="str">
        <f>HYPERLINK("https://www.chemistwarehouse.com.au/buy/76948/Natural-Beauty-Shampoo-Pomegranate-amp-Pineapple-500ml"," Natural Beauty Shampoo Pomegranate &amp; Pineapple 500ml")</f>
        <v xml:space="preserve"> Natural Beauty Shampoo Pomegranate &amp; Pineapple 500ml</v>
      </c>
      <c r="C8096" t="s">
        <v>146</v>
      </c>
      <c r="D8096">
        <v>0</v>
      </c>
    </row>
    <row r="8097" spans="1:4" x14ac:dyDescent="0.25">
      <c r="A8097" t="s">
        <v>1846</v>
      </c>
    </row>
    <row r="8098" spans="1:4" x14ac:dyDescent="0.25">
      <c r="B8098" t="str">
        <f>HYPERLINK("https://www.chemistwarehouse.com.au/buy/76941/Natural-Beauty-Conditioner-Kiwi-amp-Coconut-500ml"," Natural Beauty Conditioner Kiwi &amp; Coconut 500ml")</f>
        <v xml:space="preserve"> Natural Beauty Conditioner Kiwi &amp; Coconut 500ml</v>
      </c>
      <c r="C8098" t="s">
        <v>146</v>
      </c>
      <c r="D8098">
        <v>0</v>
      </c>
    </row>
    <row r="8099" spans="1:4" x14ac:dyDescent="0.25">
      <c r="B8099" t="str">
        <f>HYPERLINK("https://www.chemistwarehouse.com.au/buy/76943/Natural-Beauty-Conditioner-Mango-amp-Orange-500ml"," Natural Beauty Conditioner Mango &amp; Orange 500ml")</f>
        <v xml:space="preserve"> Natural Beauty Conditioner Mango &amp; Orange 500ml</v>
      </c>
      <c r="C8099" t="s">
        <v>146</v>
      </c>
      <c r="D8099">
        <v>0</v>
      </c>
    </row>
    <row r="8100" spans="1:4" x14ac:dyDescent="0.25">
      <c r="B8100" t="str">
        <f>HYPERLINK("https://www.chemistwarehouse.com.au/buy/76944/Natural-Beauty-Conditioner-Pomegranate-amp-Pineapple-500ml"," Natural Beauty Conditioner Pomegranate &amp; Pineapple 500ml")</f>
        <v xml:space="preserve"> Natural Beauty Conditioner Pomegranate &amp; Pineapple 500ml</v>
      </c>
      <c r="C8100" t="s">
        <v>146</v>
      </c>
      <c r="D8100">
        <v>0</v>
      </c>
    </row>
    <row r="8101" spans="1:4" x14ac:dyDescent="0.25">
      <c r="A8101" t="s">
        <v>1348</v>
      </c>
    </row>
    <row r="8102" spans="1:4" x14ac:dyDescent="0.25">
      <c r="B8102" t="str">
        <f>HYPERLINK("https://www.chemistwarehouse.com.au/buy/76966/Natural-Instinct-SPF-30-Tinted-Face-100g"," Natural Instinct SPF 30+ Tinted Face 100g")</f>
        <v xml:space="preserve"> Natural Instinct SPF 30+ Tinted Face 100g</v>
      </c>
      <c r="C8102" t="s">
        <v>551</v>
      </c>
      <c r="D8102" t="s">
        <v>867</v>
      </c>
    </row>
    <row r="8103" spans="1:4" x14ac:dyDescent="0.25">
      <c r="A8103" t="s">
        <v>1847</v>
      </c>
    </row>
    <row r="8104" spans="1:4" x14ac:dyDescent="0.25">
      <c r="B8104" t="str">
        <f>HYPERLINK("https://www.chemistwarehouse.com.au/buy/75959/Simple-Gentle-Shampoo-200mL"," Simple Gentle Shampoo 200mL")</f>
        <v xml:space="preserve"> Simple Gentle Shampoo 200mL</v>
      </c>
      <c r="C8104" t="s">
        <v>556</v>
      </c>
      <c r="D8104" t="s">
        <v>104</v>
      </c>
    </row>
    <row r="8105" spans="1:4" x14ac:dyDescent="0.25">
      <c r="A8105" t="s">
        <v>1848</v>
      </c>
    </row>
    <row r="8106" spans="1:4" x14ac:dyDescent="0.25">
      <c r="B8106" t="str">
        <f>HYPERLINK("https://www.chemistwarehouse.com.au/buy/75958/Simple-Gentle-Conditioner-200mL"," Simple Gentle Conditioner 200mL")</f>
        <v xml:space="preserve"> Simple Gentle Conditioner 200mL</v>
      </c>
      <c r="C8106" t="s">
        <v>556</v>
      </c>
      <c r="D8106" t="s">
        <v>104</v>
      </c>
    </row>
    <row r="8107" spans="1:4" x14ac:dyDescent="0.25">
      <c r="A8107" t="s">
        <v>1849</v>
      </c>
    </row>
    <row r="8108" spans="1:4" x14ac:dyDescent="0.25">
      <c r="B8108" t="str">
        <f>HYPERLINK("https://www.chemistwarehouse.com.au/buy/82271/Alberto-Balsam-Coconut-amp-Lychee-Shampoo-350ml"," Alberto Balsam Coconut &amp; Lychee Shampoo 350ml")</f>
        <v xml:space="preserve"> Alberto Balsam Coconut &amp; Lychee Shampoo 350ml</v>
      </c>
      <c r="C8108" t="s">
        <v>635</v>
      </c>
      <c r="D8108">
        <v>0</v>
      </c>
    </row>
    <row r="8109" spans="1:4" x14ac:dyDescent="0.25">
      <c r="B8109" t="str">
        <f>HYPERLINK("https://www.chemistwarehouse.com.au/buy/82269/Alberto-Balsam-Antioxidant-Blueberry-Shampoo-350ml"," Alberto Balsam Antioxidant Blueberry Shampoo 350ml")</f>
        <v xml:space="preserve"> Alberto Balsam Antioxidant Blueberry Shampoo 350ml</v>
      </c>
      <c r="C8109" t="s">
        <v>635</v>
      </c>
      <c r="D8109">
        <v>0</v>
      </c>
    </row>
    <row r="8110" spans="1:4" x14ac:dyDescent="0.25">
      <c r="B8110" t="str">
        <f>HYPERLINK("https://www.chemistwarehouse.com.au/buy/82273/Alberto-Balsam-Sunkissed-Raspberry-Shampoo-350ml"," Alberto Balsam Sunkissed Raspberry Shampoo 350ml")</f>
        <v xml:space="preserve"> Alberto Balsam Sunkissed Raspberry Shampoo 350ml</v>
      </c>
      <c r="C8110" t="s">
        <v>635</v>
      </c>
      <c r="D8110">
        <v>0</v>
      </c>
    </row>
    <row r="8111" spans="1:4" x14ac:dyDescent="0.25">
      <c r="B8111" t="str">
        <f>HYPERLINK("https://www.chemistwarehouse.com.au/buy/82275/Alberto-Balsam-Tea-Tree-Tingle-Shampoo-350ml"," Alberto Balsam Tea Tree Tingle Shampoo 350ml")</f>
        <v xml:space="preserve"> Alberto Balsam Tea Tree Tingle Shampoo 350ml</v>
      </c>
      <c r="C8111" t="s">
        <v>635</v>
      </c>
      <c r="D8111">
        <v>0</v>
      </c>
    </row>
    <row r="8112" spans="1:4" x14ac:dyDescent="0.25">
      <c r="A8112" t="s">
        <v>1850</v>
      </c>
    </row>
    <row r="8113" spans="1:4" x14ac:dyDescent="0.25">
      <c r="B8113" t="str">
        <f>HYPERLINK("https://www.chemistwarehouse.com.au/buy/82268/Alberto-Balsam-Antioxidant-Blueberry-Conditioner-350ml"," Alberto Balsam Antioxidant Blueberry Conditioner 350ml")</f>
        <v xml:space="preserve"> Alberto Balsam Antioxidant Blueberry Conditioner 350ml</v>
      </c>
      <c r="C8113" t="s">
        <v>635</v>
      </c>
      <c r="D8113">
        <v>0</v>
      </c>
    </row>
    <row r="8114" spans="1:4" x14ac:dyDescent="0.25">
      <c r="B8114" t="str">
        <f>HYPERLINK("https://www.chemistwarehouse.com.au/buy/82270/Alberto-Balsam-Coconut-amp-Lychee-Conditioner-350ml"," Alberto Balsam Coconut &amp; Lychee Conditioner 350ml")</f>
        <v xml:space="preserve"> Alberto Balsam Coconut &amp; Lychee Conditioner 350ml</v>
      </c>
      <c r="C8114" t="s">
        <v>635</v>
      </c>
      <c r="D8114">
        <v>0</v>
      </c>
    </row>
    <row r="8115" spans="1:4" x14ac:dyDescent="0.25">
      <c r="B8115" t="str">
        <f>HYPERLINK("https://www.chemistwarehouse.com.au/buy/82272/Alberto-Balsam-Sunkissed-Raspberry-Conditioner-350ml"," Alberto Balsam Sunkissed Raspberry Conditioner 350ml")</f>
        <v xml:space="preserve"> Alberto Balsam Sunkissed Raspberry Conditioner 350ml</v>
      </c>
      <c r="C8115" t="s">
        <v>635</v>
      </c>
      <c r="D8115">
        <v>0</v>
      </c>
    </row>
    <row r="8116" spans="1:4" x14ac:dyDescent="0.25">
      <c r="B8116" t="str">
        <f>HYPERLINK("https://www.chemistwarehouse.com.au/buy/82274/Alberto-Balsam-Tea-Tree-Tingle-Conditioner-350ml"," Alberto Balsam Tea Tree Tingle Conditioner 350ml")</f>
        <v xml:space="preserve"> Alberto Balsam Tea Tree Tingle Conditioner 350ml</v>
      </c>
      <c r="C8116" t="s">
        <v>635</v>
      </c>
      <c r="D8116">
        <v>0</v>
      </c>
    </row>
    <row r="8117" spans="1:4" x14ac:dyDescent="0.25">
      <c r="B8117" t="str">
        <f>HYPERLINK("https://www.chemistwarehouse.com.au/buy/79439/Alberto-Balsam-Salon-Conditioner-Apple-400ml"," Alberto Balsam Salon Conditioner Apple 400ml")</f>
        <v xml:space="preserve"> Alberto Balsam Salon Conditioner Apple 400ml</v>
      </c>
      <c r="C8117" t="s">
        <v>312</v>
      </c>
      <c r="D8117" t="s">
        <v>748</v>
      </c>
    </row>
    <row r="8118" spans="1:4" x14ac:dyDescent="0.25">
      <c r="A8118" t="s">
        <v>1851</v>
      </c>
    </row>
    <row r="8119" spans="1:4" x14ac:dyDescent="0.25">
      <c r="B8119" t="str">
        <f>HYPERLINK("https://www.chemistwarehouse.com.au/buy/77856/Alpecin-Caffeine-Liquid-200ml"," Alpecin Caffeine Liquid 200ml")</f>
        <v xml:space="preserve"> Alpecin Caffeine Liquid 200ml</v>
      </c>
      <c r="C8119" t="s">
        <v>187</v>
      </c>
      <c r="D8119" t="s">
        <v>115</v>
      </c>
    </row>
    <row r="8120" spans="1:4" x14ac:dyDescent="0.25">
      <c r="B8120" t="str">
        <f>HYPERLINK("https://www.chemistwarehouse.com.au/buy/77858/Alpecin-Double-Effect-Caffeine-Shampoo-200ml"," Alpecin Double Effect Caffeine Shampoo 200ml")</f>
        <v xml:space="preserve"> Alpecin Double Effect Caffeine Shampoo 200ml</v>
      </c>
      <c r="C8120" t="s">
        <v>228</v>
      </c>
      <c r="D8120" t="s">
        <v>121</v>
      </c>
    </row>
    <row r="8121" spans="1:4" x14ac:dyDescent="0.25">
      <c r="B8121" t="str">
        <f>HYPERLINK("https://www.chemistwarehouse.com.au/buy/79725/Alpecin-Caffeine-Shampoo-C1-250ml-with-Bonus-C1-75ml"," Alpecin Caffeine Shampoo C1 250ml with Bonus C1 75ml")</f>
        <v xml:space="preserve"> Alpecin Caffeine Shampoo C1 250ml with Bonus C1 75ml</v>
      </c>
      <c r="C8121" t="s">
        <v>98</v>
      </c>
      <c r="D8121" t="s">
        <v>312</v>
      </c>
    </row>
    <row r="8122" spans="1:4" x14ac:dyDescent="0.25">
      <c r="A8122" t="s">
        <v>1852</v>
      </c>
    </row>
    <row r="8123" spans="1:4" x14ac:dyDescent="0.25">
      <c r="B8123" t="str">
        <f>HYPERLINK("https://www.chemistwarehouse.com.au/buy/77808/Argan-Oil-Shampoo-250ml"," Argan Oil Shampoo 250ml")</f>
        <v xml:space="preserve"> Argan Oil Shampoo 250ml</v>
      </c>
      <c r="C8123" t="s">
        <v>556</v>
      </c>
      <c r="D8123" t="s">
        <v>164</v>
      </c>
    </row>
    <row r="8124" spans="1:4" x14ac:dyDescent="0.25">
      <c r="A8124" t="s">
        <v>1853</v>
      </c>
    </row>
    <row r="8125" spans="1:4" x14ac:dyDescent="0.25">
      <c r="B8125" t="str">
        <f>HYPERLINK("https://www.chemistwarehouse.com.au/buy/77806/Argan-Oil-Conditioner-250ml"," Argan Oil Conditioner 250ml")</f>
        <v xml:space="preserve"> Argan Oil Conditioner 250ml</v>
      </c>
      <c r="C8125" t="s">
        <v>556</v>
      </c>
      <c r="D8125" t="s">
        <v>164</v>
      </c>
    </row>
    <row r="8126" spans="1:4" x14ac:dyDescent="0.25">
      <c r="A8126" t="s">
        <v>1854</v>
      </c>
    </row>
    <row r="8127" spans="1:4" x14ac:dyDescent="0.25">
      <c r="B8127" t="str">
        <f>HYPERLINK("https://www.chemistwarehouse.com.au/buy/72044/Schwarzkopf-Essence-Ultime-Omega-Rep-Mask-200ml"," Schwarzkopf Essence Ultime Omega Rep Mask 200ml")</f>
        <v xml:space="preserve"> Schwarzkopf Essence Ultime Omega Rep Mask 200ml</v>
      </c>
      <c r="C8127" t="s">
        <v>146</v>
      </c>
      <c r="D8127" t="s">
        <v>280</v>
      </c>
    </row>
    <row r="8128" spans="1:4" x14ac:dyDescent="0.25">
      <c r="B8128" t="str">
        <f>HYPERLINK("https://www.chemistwarehouse.com.au/buy/79263/Schwarzkopf-Essence-Ultime-Amber-Oil-Mask-200ml"," Schwarzkopf Essence Ultime Amber Oil Mask 200ml")</f>
        <v xml:space="preserve"> Schwarzkopf Essence Ultime Amber Oil Mask 200ml</v>
      </c>
      <c r="C8128" t="s">
        <v>146</v>
      </c>
      <c r="D8128" t="s">
        <v>280</v>
      </c>
    </row>
    <row r="8129" spans="1:4" x14ac:dyDescent="0.25">
      <c r="B8129" t="str">
        <f>HYPERLINK("https://www.chemistwarehouse.com.au/buy/79264/Schwarzkopf-Essence-Ultime-Amber-Oil-Shampoo-250ml"," Schwarzkopf Essence Ultime Amber Oil Shampoo 250ml")</f>
        <v xml:space="preserve"> Schwarzkopf Essence Ultime Amber Oil Shampoo 250ml</v>
      </c>
      <c r="C8129" t="s">
        <v>146</v>
      </c>
      <c r="D8129" t="s">
        <v>280</v>
      </c>
    </row>
    <row r="8130" spans="1:4" x14ac:dyDescent="0.25">
      <c r="B8130" t="str">
        <f>HYPERLINK("https://www.chemistwarehouse.com.au/buy/75247/Schwarzkopf-Essence-Ultime-Blonde-amp-Bright-Lightening-Shampoo-250ml"," Schwarzkopf Essence Ultime Blonde &amp; Bright Lightening Shampoo 250ml")</f>
        <v xml:space="preserve"> Schwarzkopf Essence Ultime Blonde &amp; Bright Lightening Shampoo 250ml</v>
      </c>
      <c r="C8130" t="s">
        <v>146</v>
      </c>
      <c r="D8130" t="s">
        <v>280</v>
      </c>
    </row>
    <row r="8131" spans="1:4" x14ac:dyDescent="0.25">
      <c r="B8131" t="str">
        <f>HYPERLINK("https://www.chemistwarehouse.com.au/buy/79239/Schwarzkopf-Styliste-Ultime-Biotin-Volume-Dry-Shampoo-200ml"," Schwarzkopf Styliste Ultime Biotin Volume Dry Shampoo 200ml")</f>
        <v xml:space="preserve"> Schwarzkopf Styliste Ultime Biotin Volume Dry Shampoo 200ml</v>
      </c>
      <c r="C8131" t="s">
        <v>240</v>
      </c>
      <c r="D8131" t="s">
        <v>561</v>
      </c>
    </row>
    <row r="8132" spans="1:4" x14ac:dyDescent="0.25">
      <c r="B8132" t="str">
        <f>HYPERLINK("https://www.chemistwarehouse.com.au/buy/79262/Schwarzkopf-Essence-Ultime-Amber-Oil-Conditioner-250ml"," Schwarzkopf Essence Ultime Amber Oil Conditioner 250ml")</f>
        <v xml:space="preserve"> Schwarzkopf Essence Ultime Amber Oil Conditioner 250ml</v>
      </c>
      <c r="C8132" t="s">
        <v>146</v>
      </c>
      <c r="D8132" t="s">
        <v>280</v>
      </c>
    </row>
    <row r="8133" spans="1:4" x14ac:dyDescent="0.25">
      <c r="B8133" t="str">
        <f>HYPERLINK("https://www.chemistwarehouse.com.au/buy/75153/Schwarzkopf-Essence-Ultime-Blonde-amp-Bright-Neutralising-Mask-200ml"," Schwarzkopf Essence Ultime Blonde &amp; Bright Neutralising Mask 200ml")</f>
        <v xml:space="preserve"> Schwarzkopf Essence Ultime Blonde &amp; Bright Neutralising Mask 200ml</v>
      </c>
      <c r="C8133" t="s">
        <v>146</v>
      </c>
      <c r="D8133" t="s">
        <v>280</v>
      </c>
    </row>
    <row r="8134" spans="1:4" x14ac:dyDescent="0.25">
      <c r="B8134" t="str">
        <f>HYPERLINK("https://www.chemistwarehouse.com.au/buy/72037/Schwarzkopf-Essence-Ultime-Diamond-Colour-Conditioner-250ml"," Schwarzkopf Essence Ultime Diamond Colour Conditioner 250ml")</f>
        <v xml:space="preserve"> Schwarzkopf Essence Ultime Diamond Colour Conditioner 250ml</v>
      </c>
      <c r="C8134" t="s">
        <v>146</v>
      </c>
      <c r="D8134" t="s">
        <v>280</v>
      </c>
    </row>
    <row r="8135" spans="1:4" x14ac:dyDescent="0.25">
      <c r="B8135" t="str">
        <f>HYPERLINK("https://www.chemistwarehouse.com.au/buy/72030/Schwarzkopf-Essence-Ultime-Biotin-Volume-Conditioner-250ml"," Schwarzkopf Essence Ultime Biotin Volume Conditioner 250ml")</f>
        <v xml:space="preserve"> Schwarzkopf Essence Ultime Biotin Volume Conditioner 250ml</v>
      </c>
      <c r="C8135" t="s">
        <v>146</v>
      </c>
      <c r="D8135" t="s">
        <v>280</v>
      </c>
    </row>
    <row r="8136" spans="1:4" x14ac:dyDescent="0.25">
      <c r="B8136" t="str">
        <f>HYPERLINK("https://www.chemistwarehouse.com.au/buy/72032/Schwarzkopf-Essence-Ultime-Biotin-Volume-Shampoo-250ml"," Schwarzkopf Essence Ultime Biotin Volume Shampoo 250ml")</f>
        <v xml:space="preserve"> Schwarzkopf Essence Ultime Biotin Volume Shampoo 250ml</v>
      </c>
      <c r="C8136" t="s">
        <v>146</v>
      </c>
      <c r="D8136" t="s">
        <v>280</v>
      </c>
    </row>
    <row r="8137" spans="1:4" x14ac:dyDescent="0.25">
      <c r="B8137" t="str">
        <f>HYPERLINK("https://www.chemistwarehouse.com.au/buy/72041/Schwarzkopf-Essence-Ultime-Diamond-Glosss-Shampoo-250ml"," Schwarzkopf Essence Ultime Diamond Glosss Shampoo 250ml")</f>
        <v xml:space="preserve"> Schwarzkopf Essence Ultime Diamond Glosss Shampoo 250ml</v>
      </c>
      <c r="C8137" t="s">
        <v>146</v>
      </c>
      <c r="D8137" t="s">
        <v>280</v>
      </c>
    </row>
    <row r="8138" spans="1:4" x14ac:dyDescent="0.25">
      <c r="B8138" t="str">
        <f>HYPERLINK("https://www.chemistwarehouse.com.au/buy/75246/Schwarzkopf-Essence-Ultime-Blonde-amp-Bright-Lightening-Conditioner-250ml"," Schwarzkopf Essence Ultime Blonde &amp; Bright Lightening Conditioner 250ml")</f>
        <v xml:space="preserve"> Schwarzkopf Essence Ultime Blonde &amp; Bright Lightening Conditioner 250ml</v>
      </c>
      <c r="C8138" t="s">
        <v>146</v>
      </c>
      <c r="D8138" t="s">
        <v>280</v>
      </c>
    </row>
    <row r="8139" spans="1:4" x14ac:dyDescent="0.25">
      <c r="B8139" t="str">
        <f>HYPERLINK("https://www.chemistwarehouse.com.au/buy/72047/Schwarzkopf-Essence-Ultime-Omega-Repair-Shampoo-250ml"," Schwarzkopf Essence Ultime Omega Repair Shampoo 250ml")</f>
        <v xml:space="preserve"> Schwarzkopf Essence Ultime Omega Repair Shampoo 250ml</v>
      </c>
      <c r="C8139" t="s">
        <v>146</v>
      </c>
      <c r="D8139" t="s">
        <v>280</v>
      </c>
    </row>
    <row r="8140" spans="1:4" x14ac:dyDescent="0.25">
      <c r="A8140" t="s">
        <v>1855</v>
      </c>
    </row>
    <row r="8141" spans="1:4" x14ac:dyDescent="0.25">
      <c r="B8141" t="str">
        <f>HYPERLINK("https://www.chemistwarehouse.com.au/buy/78354/Coconut-Care-Conditioner-400ml"," Coconut Care Conditioner 400ml")</f>
        <v xml:space="preserve"> Coconut Care Conditioner 400ml</v>
      </c>
      <c r="C8141" t="s">
        <v>483</v>
      </c>
      <c r="D8141">
        <v>0</v>
      </c>
    </row>
    <row r="8142" spans="1:4" x14ac:dyDescent="0.25">
      <c r="A8142" t="s">
        <v>1856</v>
      </c>
    </row>
    <row r="8143" spans="1:4" x14ac:dyDescent="0.25">
      <c r="B8143" t="str">
        <f>HYPERLINK("https://www.chemistwarehouse.com.au/buy/78355/Coconut-Care-Shampoo-400ml"," Coconut Care Shampoo 400ml")</f>
        <v xml:space="preserve"> Coconut Care Shampoo 400ml</v>
      </c>
      <c r="C8143" t="s">
        <v>483</v>
      </c>
      <c r="D8143">
        <v>0</v>
      </c>
    </row>
    <row r="8144" spans="1:4" x14ac:dyDescent="0.25">
      <c r="A8144" t="s">
        <v>1857</v>
      </c>
    </row>
    <row r="8145" spans="1:4" x14ac:dyDescent="0.25">
      <c r="B8145" t="str">
        <f>HYPERLINK("https://www.chemistwarehouse.com.au/buy/79774/Harmony-Herbal-Shampoo-Dry-Hair-250ml"," Harmony Herbal Shampoo Dry Hair 250ml")</f>
        <v xml:space="preserve"> Harmony Herbal Shampoo Dry Hair 250ml</v>
      </c>
      <c r="C8145" t="s">
        <v>635</v>
      </c>
      <c r="D8145" t="s">
        <v>115</v>
      </c>
    </row>
    <row r="8146" spans="1:4" x14ac:dyDescent="0.25">
      <c r="A8146" t="s">
        <v>1858</v>
      </c>
    </row>
    <row r="8147" spans="1:4" x14ac:dyDescent="0.25">
      <c r="B8147" t="str">
        <f>HYPERLINK("https://www.chemistwarehouse.com.au/buy/79773/Harmony-Herbal-Conditioner-Normal-Fine-Hair-250ml"," Harmony Herbal Conditioner Normal Fine Hair 250ml")</f>
        <v xml:space="preserve"> Harmony Herbal Conditioner Normal Fine Hair 250ml</v>
      </c>
      <c r="C8147" t="s">
        <v>635</v>
      </c>
      <c r="D8147" t="s">
        <v>115</v>
      </c>
    </row>
    <row r="8148" spans="1:4" x14ac:dyDescent="0.25">
      <c r="B8148" t="str">
        <f>HYPERLINK("https://www.chemistwarehouse.com.au/buy/79772/Harmony-Herbal-Conditioner-Dry-Hair-250ml"," Harmony Herbal Conditioner Dry Hair 250ml")</f>
        <v xml:space="preserve"> Harmony Herbal Conditioner Dry Hair 250ml</v>
      </c>
      <c r="C8148" t="s">
        <v>635</v>
      </c>
      <c r="D8148" t="s">
        <v>115</v>
      </c>
    </row>
    <row r="8149" spans="1:4" x14ac:dyDescent="0.25">
      <c r="A8149" t="s">
        <v>1859</v>
      </c>
    </row>
    <row r="8150" spans="1:4" x14ac:dyDescent="0.25">
      <c r="B8150" t="str">
        <f>HYPERLINK("https://www.chemistwarehouse.com.au/buy/82693/Hask-Argan-Oil-Repairing-Conditioner-355ml"," Hask Argan Oil Repairing Conditioner 355ml")</f>
        <v xml:space="preserve"> Hask Argan Oil Repairing Conditioner 355ml</v>
      </c>
      <c r="C8150" t="s">
        <v>32</v>
      </c>
      <c r="D8150" t="s">
        <v>64</v>
      </c>
    </row>
    <row r="8151" spans="1:4" x14ac:dyDescent="0.25">
      <c r="B8151" t="str">
        <f>HYPERLINK("https://www.chemistwarehouse.com.au/buy/82695/Hask-Argan-Oil-Repairing-Shampoo-355ml"," Hask Argan Oil Repairing Shampoo 355ml")</f>
        <v xml:space="preserve"> Hask Argan Oil Repairing Shampoo 355ml</v>
      </c>
      <c r="C8151" t="s">
        <v>32</v>
      </c>
      <c r="D8151" t="s">
        <v>64</v>
      </c>
    </row>
    <row r="8152" spans="1:4" x14ac:dyDescent="0.25">
      <c r="B8152" t="str">
        <f>HYPERLINK("https://www.chemistwarehouse.com.au/buy/82698/Hask-Keratin-Protein-Smoothing-Shampoo-355ml"," Hask Keratin Protein Smoothing Shampoo 355ml")</f>
        <v xml:space="preserve"> Hask Keratin Protein Smoothing Shampoo 355ml</v>
      </c>
      <c r="C8152" t="s">
        <v>32</v>
      </c>
      <c r="D8152" t="s">
        <v>64</v>
      </c>
    </row>
    <row r="8153" spans="1:4" x14ac:dyDescent="0.25">
      <c r="A8153" t="s">
        <v>1860</v>
      </c>
    </row>
    <row r="8154" spans="1:4" x14ac:dyDescent="0.25">
      <c r="B8154" t="str">
        <f>HYPERLINK("https://www.chemistwarehouse.com.au/buy/82694/Hask-Argan-Oil-Repairing-Deep-Conditioning-Treatment-50g"," Hask Argan Oil Repairing Deep Conditioning Treatment 50g")</f>
        <v xml:space="preserve"> Hask Argan Oil Repairing Deep Conditioning Treatment 50g</v>
      </c>
      <c r="C8154" t="s">
        <v>146</v>
      </c>
      <c r="D8154" t="s">
        <v>312</v>
      </c>
    </row>
    <row r="8155" spans="1:4" x14ac:dyDescent="0.25">
      <c r="B8155" t="str">
        <f>HYPERLINK("https://www.chemistwarehouse.com.au/buy/82697/Hask-Keratin-Protein-Smoothing-Conditioner-355ml"," Hask Keratin Protein Smoothing Conditioner 355ml")</f>
        <v xml:space="preserve"> Hask Keratin Protein Smoothing Conditioner 355ml</v>
      </c>
      <c r="C8155" t="s">
        <v>32</v>
      </c>
      <c r="D8155" t="s">
        <v>64</v>
      </c>
    </row>
    <row r="8156" spans="1:4" x14ac:dyDescent="0.25">
      <c r="A8156" t="s">
        <v>1861</v>
      </c>
    </row>
    <row r="8157" spans="1:4" x14ac:dyDescent="0.25">
      <c r="B8157" t="str">
        <f>HYPERLINK("https://www.chemistwarehouse.com.au/buy/72848/Stratton-2141-Comb-Wide-Tooth-Large"," Stratton 2141 Comb Wide Tooth Large")</f>
        <v xml:space="preserve"> Stratton 2141 Comb Wide Tooth Large</v>
      </c>
      <c r="C8157" t="s">
        <v>556</v>
      </c>
      <c r="D8157" t="s">
        <v>1443</v>
      </c>
    </row>
    <row r="8158" spans="1:4" x14ac:dyDescent="0.25">
      <c r="B8158" t="str">
        <f>HYPERLINK("https://www.chemistwarehouse.com.au/buy/72849/Stratton-2143-Tail-Comb"," Stratton 2143 Tail Comb")</f>
        <v xml:space="preserve"> Stratton 2143 Tail Comb</v>
      </c>
      <c r="C8158" t="s">
        <v>483</v>
      </c>
      <c r="D8158" t="s">
        <v>731</v>
      </c>
    </row>
    <row r="8159" spans="1:4" x14ac:dyDescent="0.25">
      <c r="B8159" t="str">
        <f>HYPERLINK("https://www.chemistwarehouse.com.au/buy/72850/Stratton-2144-Wide-Tooth-Comb"," Stratton 2144 Wide Tooth Comb")</f>
        <v xml:space="preserve"> Stratton 2144 Wide Tooth Comb</v>
      </c>
      <c r="C8159" t="s">
        <v>483</v>
      </c>
      <c r="D8159" t="s">
        <v>731</v>
      </c>
    </row>
    <row r="8160" spans="1:4" x14ac:dyDescent="0.25">
      <c r="B8160" t="str">
        <f>HYPERLINK("https://www.chemistwarehouse.com.au/buy/72851/Stratton-2145-Comb-Detangler"," Stratton 2145 Comb Detangler")</f>
        <v xml:space="preserve"> Stratton 2145 Comb Detangler</v>
      </c>
      <c r="C8160" t="s">
        <v>556</v>
      </c>
      <c r="D8160" t="s">
        <v>1443</v>
      </c>
    </row>
    <row r="8161" spans="1:4" x14ac:dyDescent="0.25">
      <c r="B8161" t="str">
        <f>HYPERLINK("https://www.chemistwarehouse.com.au/buy/72852/Stratton-2147-Purse-Wet-Care-Comb"," Stratton 2147 Purse Wet Care Comb")</f>
        <v xml:space="preserve"> Stratton 2147 Purse Wet Care Comb</v>
      </c>
      <c r="C8161" t="s">
        <v>483</v>
      </c>
      <c r="D8161" t="s">
        <v>731</v>
      </c>
    </row>
    <row r="8162" spans="1:4" x14ac:dyDescent="0.25">
      <c r="B8162" t="str">
        <f>HYPERLINK("https://www.chemistwarehouse.com.au/buy/72853/Stratton-2181-Pocket-Comb"," Stratton 2181 Pocket Comb ")</f>
        <v xml:space="preserve"> Stratton 2181 Pocket Comb </v>
      </c>
      <c r="C8162" t="s">
        <v>691</v>
      </c>
      <c r="D8162" t="s">
        <v>731</v>
      </c>
    </row>
    <row r="8163" spans="1:4" x14ac:dyDescent="0.25">
      <c r="B8163" t="str">
        <f>HYPERLINK("https://www.chemistwarehouse.com.au/buy/72854/Stratton-2182-Straight-Comb"," Stratton 2182 Straight Comb")</f>
        <v xml:space="preserve"> Stratton 2182 Straight Comb</v>
      </c>
      <c r="C8163" t="s">
        <v>691</v>
      </c>
      <c r="D8163" t="s">
        <v>731</v>
      </c>
    </row>
    <row r="8164" spans="1:4" x14ac:dyDescent="0.25">
      <c r="B8164" t="str">
        <f>HYPERLINK("https://www.chemistwarehouse.com.au/buy/72855/Stratton-2183-Dress-Comb"," Stratton 2183 Dress Comb")</f>
        <v xml:space="preserve"> Stratton 2183 Dress Comb</v>
      </c>
      <c r="C8164" t="s">
        <v>775</v>
      </c>
      <c r="D8164" t="s">
        <v>371</v>
      </c>
    </row>
    <row r="8165" spans="1:4" x14ac:dyDescent="0.25">
      <c r="B8165" t="str">
        <f>HYPERLINK("https://www.chemistwarehouse.com.au/buy/72856/Stratton-2185-Comb-Esquired"," Stratton 2185 Comb Esquired")</f>
        <v xml:space="preserve"> Stratton 2185 Comb Esquired</v>
      </c>
      <c r="C8165" t="s">
        <v>691</v>
      </c>
      <c r="D8165" t="s">
        <v>731</v>
      </c>
    </row>
    <row r="8166" spans="1:4" x14ac:dyDescent="0.25">
      <c r="B8166" t="str">
        <f>HYPERLINK("https://www.chemistwarehouse.com.au/buy/72857/Stratton-2186-Dress-Comb"," Stratton 2186 Dress Comb")</f>
        <v xml:space="preserve"> Stratton 2186 Dress Comb</v>
      </c>
      <c r="C8166" t="s">
        <v>691</v>
      </c>
      <c r="D8166" t="s">
        <v>731</v>
      </c>
    </row>
    <row r="8167" spans="1:4" x14ac:dyDescent="0.25">
      <c r="B8167" t="str">
        <f>HYPERLINK("https://www.chemistwarehouse.com.au/buy/72858/Stratton-2187-Bag-Comb"," Stratton 2187 Bag Comb")</f>
        <v xml:space="preserve"> Stratton 2187 Bag Comb</v>
      </c>
      <c r="C8167" t="s">
        <v>691</v>
      </c>
      <c r="D8167" t="s">
        <v>731</v>
      </c>
    </row>
    <row r="8168" spans="1:4" x14ac:dyDescent="0.25">
      <c r="A8168" t="s">
        <v>1862</v>
      </c>
    </row>
    <row r="8169" spans="1:4" x14ac:dyDescent="0.25">
      <c r="B8169" t="str">
        <f>HYPERLINK("https://www.chemistwarehouse.com.au/buy/7692/Selsun-Treatment-375mL"," Selsun Treatment 375mL")</f>
        <v xml:space="preserve"> Selsun Treatment 375mL</v>
      </c>
      <c r="C8169" t="s">
        <v>202</v>
      </c>
      <c r="D8169" t="s">
        <v>806</v>
      </c>
    </row>
    <row r="8170" spans="1:4" x14ac:dyDescent="0.25">
      <c r="B8170" t="str">
        <f>HYPERLINK("https://www.chemistwarehouse.com.au/buy/41888/Nizoral-Anti-Dandruff-Shampoo-2-100ml"," Nizoral Anti-Dandruff Shampoo 2% 100ml")</f>
        <v xml:space="preserve"> Nizoral Anti-Dandruff Shampoo 2% 100ml</v>
      </c>
      <c r="C8170" t="s">
        <v>173</v>
      </c>
      <c r="D8170">
        <v>0</v>
      </c>
    </row>
    <row r="8171" spans="1:4" x14ac:dyDescent="0.25">
      <c r="B8171" t="str">
        <f>HYPERLINK("https://www.chemistwarehouse.com.au/buy/4034/Ego-Sebitar-Scalp-Treatment-500ml"," Ego Sebitar Scalp Treatment 500ml")</f>
        <v xml:space="preserve"> Ego Sebitar Scalp Treatment 500ml</v>
      </c>
      <c r="C8171" t="s">
        <v>407</v>
      </c>
      <c r="D8171" t="s">
        <v>425</v>
      </c>
    </row>
    <row r="8172" spans="1:4" x14ac:dyDescent="0.25">
      <c r="B8172" t="str">
        <f>HYPERLINK("https://www.chemistwarehouse.com.au/buy/7691/Selsun-Treatment-200mL"," Selsun Treatment 200mL")</f>
        <v xml:space="preserve"> Selsun Treatment 200mL</v>
      </c>
      <c r="C8172" t="s">
        <v>317</v>
      </c>
      <c r="D8172" t="s">
        <v>785</v>
      </c>
    </row>
    <row r="8173" spans="1:4" x14ac:dyDescent="0.25">
      <c r="B8173" t="str">
        <f>HYPERLINK("https://www.chemistwarehouse.com.au/buy/69082/Nizoral-Anti-Dandruff-Shampoo-1-200mL"," Nizoral Anti-Dandruff Shampoo 1% 200mL")</f>
        <v xml:space="preserve"> Nizoral Anti-Dandruff Shampoo 1% 200mL</v>
      </c>
      <c r="C8173" t="s">
        <v>1</v>
      </c>
      <c r="D8173" t="s">
        <v>797</v>
      </c>
    </row>
    <row r="8174" spans="1:4" x14ac:dyDescent="0.25">
      <c r="B8174" t="str">
        <f>HYPERLINK("https://www.chemistwarehouse.com.au/buy/5611/Ionil-T-Scalp-Shampoo-500mL"," Ionil T Scalp Shampoo 500mL")</f>
        <v xml:space="preserve"> Ionil T Scalp Shampoo 500mL</v>
      </c>
      <c r="C8174" t="s">
        <v>596</v>
      </c>
      <c r="D8174" t="s">
        <v>754</v>
      </c>
    </row>
    <row r="8175" spans="1:4" x14ac:dyDescent="0.25">
      <c r="B8175" t="str">
        <f>HYPERLINK("https://www.chemistwarehouse.com.au/buy/42629/Sebizole-Shampoo-2-200ml"," Sebizole Shampoo 2% 200ml")</f>
        <v xml:space="preserve"> Sebizole Shampoo 2% 200ml</v>
      </c>
      <c r="C8175" t="s">
        <v>58</v>
      </c>
      <c r="D8175">
        <v>0</v>
      </c>
    </row>
    <row r="8176" spans="1:4" x14ac:dyDescent="0.25">
      <c r="B8176" t="str">
        <f>HYPERLINK("https://www.chemistwarehouse.com.au/buy/57009/Selsun-Blue-Deep-Cleansing-Anti-Dandruff-Shampoo-200ml"," Selsun Blue Deep Cleansing Anti Dandruff Shampoo 200ml")</f>
        <v xml:space="preserve"> Selsun Blue Deep Cleansing Anti Dandruff Shampoo 200ml</v>
      </c>
      <c r="C8176" t="s">
        <v>556</v>
      </c>
      <c r="D8176" t="s">
        <v>781</v>
      </c>
    </row>
    <row r="8177" spans="1:4" x14ac:dyDescent="0.25">
      <c r="B8177" t="str">
        <f>HYPERLINK("https://www.chemistwarehouse.com.au/buy/71475/Cedel-Anti-Dandruff-Medicated-Shampoo-250ml"," Cedel Anti Dandruff Medicated Shampoo 250ml")</f>
        <v xml:space="preserve"> Cedel Anti Dandruff Medicated Shampoo 250ml</v>
      </c>
      <c r="C8177" t="s">
        <v>120</v>
      </c>
      <c r="D8177" t="s">
        <v>781</v>
      </c>
    </row>
    <row r="8178" spans="1:4" x14ac:dyDescent="0.25">
      <c r="B8178" t="str">
        <f>HYPERLINK("https://www.chemistwarehouse.com.au/buy/7689/Selsun-Blue-Replenishing-Dandruff-Control-200ml"," Selsun Blue Replenishing Dandruff Control 200ml")</f>
        <v xml:space="preserve"> Selsun Blue Replenishing Dandruff Control 200ml</v>
      </c>
      <c r="C8178" t="s">
        <v>556</v>
      </c>
      <c r="D8178" t="s">
        <v>781</v>
      </c>
    </row>
    <row r="8179" spans="1:4" x14ac:dyDescent="0.25">
      <c r="B8179" t="str">
        <f>HYPERLINK("https://www.chemistwarehouse.com.au/buy/69083/Nizoral-Anti-Dandruff-Shampoo-1-100ml"," Nizoral Anti-Dandruff Shampoo 1% 100ml")</f>
        <v xml:space="preserve"> Nizoral Anti-Dandruff Shampoo 1% 100ml</v>
      </c>
      <c r="C8179" t="s">
        <v>290</v>
      </c>
      <c r="D8179" t="s">
        <v>318</v>
      </c>
    </row>
    <row r="8180" spans="1:4" x14ac:dyDescent="0.25">
      <c r="B8180" t="str">
        <f>HYPERLINK("https://www.chemistwarehouse.com.au/buy/6651/Nizoral-Anti-Dandruff-Shampoo-2-60ml"," Nizoral Anti-Dandruff Shampoo 2% 60ml")</f>
        <v xml:space="preserve"> Nizoral Anti-Dandruff Shampoo 2% 60ml</v>
      </c>
      <c r="C8180" t="s">
        <v>202</v>
      </c>
      <c r="D8180">
        <v>0</v>
      </c>
    </row>
    <row r="8181" spans="1:4" x14ac:dyDescent="0.25">
      <c r="B8181" t="str">
        <f>HYPERLINK("https://www.chemistwarehouse.com.au/buy/4032/Ego-Sebi-Rinse-Conditioner-200g"," Ego Sebi Rinse Conditioner 200g")</f>
        <v xml:space="preserve"> Ego Sebi Rinse Conditioner 200g</v>
      </c>
      <c r="C8181" t="s">
        <v>317</v>
      </c>
      <c r="D8181" t="s">
        <v>325</v>
      </c>
    </row>
    <row r="8182" spans="1:4" x14ac:dyDescent="0.25">
      <c r="B8182" t="str">
        <f>HYPERLINK("https://www.chemistwarehouse.com.au/buy/4033/Ego-Sebitar-Scalp-Treatment-250ml"," Ego Sebitar Scalp Treatment 250ml")</f>
        <v xml:space="preserve"> Ego Sebitar Scalp Treatment 250ml</v>
      </c>
      <c r="C8182" t="s">
        <v>212</v>
      </c>
      <c r="D8182" t="s">
        <v>581</v>
      </c>
    </row>
    <row r="8183" spans="1:4" x14ac:dyDescent="0.25">
      <c r="B8183" t="str">
        <f>HYPERLINK("https://www.chemistwarehouse.com.au/buy/59323/Revlon-ZP11-Anti-Dandruff-Shampoo-200ml"," Revlon ZP11 Anti-Dandruff Shampoo 200ml")</f>
        <v xml:space="preserve"> Revlon ZP11 Anti-Dandruff Shampoo 200ml</v>
      </c>
      <c r="C8183" t="s">
        <v>786</v>
      </c>
      <c r="D8183" t="s">
        <v>1863</v>
      </c>
    </row>
    <row r="8184" spans="1:4" x14ac:dyDescent="0.25">
      <c r="B8184" t="str">
        <f>HYPERLINK("https://www.chemistwarehouse.com.au/buy/60411/Ionil-T-Scalp-Cleanser-200ml"," Ionil T Scalp Cleanser 200ml")</f>
        <v xml:space="preserve"> Ionil T Scalp Cleanser 200ml</v>
      </c>
      <c r="C8184" t="s">
        <v>187</v>
      </c>
      <c r="D8184" t="s">
        <v>150</v>
      </c>
    </row>
    <row r="8185" spans="1:4" x14ac:dyDescent="0.25">
      <c r="B8185" t="str">
        <f>HYPERLINK("https://www.chemistwarehouse.com.au/buy/62303/KP-24-Lice-Egg-Remover-100ml"," KP 24 Lice Egg Remover 100ml")</f>
        <v xml:space="preserve"> KP 24 Lice Egg Remover 100ml</v>
      </c>
      <c r="C8185" t="s">
        <v>212</v>
      </c>
      <c r="D8185" t="s">
        <v>329</v>
      </c>
    </row>
    <row r="8186" spans="1:4" x14ac:dyDescent="0.25">
      <c r="B8186" t="str">
        <f>HYPERLINK("https://www.chemistwarehouse.com.au/buy/62304/KP-24-Soaking-Solution-500mL"," KP 24 Soaking Solution 500mL")</f>
        <v xml:space="preserve"> KP 24 Soaking Solution 500mL</v>
      </c>
      <c r="C8186" t="s">
        <v>290</v>
      </c>
      <c r="D8186" t="s">
        <v>799</v>
      </c>
    </row>
    <row r="8187" spans="1:4" x14ac:dyDescent="0.25">
      <c r="B8187" t="str">
        <f>HYPERLINK("https://www.chemistwarehouse.com.au/buy/62305/KP-24-Long-Tooth-Headlice-Comb"," KP 24 Long Tooth Headlice Comb")</f>
        <v xml:space="preserve"> KP 24 Long Tooth Headlice Comb</v>
      </c>
      <c r="C8187" t="s">
        <v>103</v>
      </c>
      <c r="D8187" t="s">
        <v>813</v>
      </c>
    </row>
    <row r="8188" spans="1:4" x14ac:dyDescent="0.25">
      <c r="B8188" t="str">
        <f>HYPERLINK("https://www.chemistwarehouse.com.au/buy/64460/Brylcreem-Jar-Anti-Dandruff-Hair-Cream-150mL"," Brylcreem Jar Anti Dandruff Hair Cream 150mL")</f>
        <v xml:space="preserve"> Brylcreem Jar Anti Dandruff Hair Cream 150mL</v>
      </c>
      <c r="C8188" t="s">
        <v>554</v>
      </c>
      <c r="D8188" t="s">
        <v>611</v>
      </c>
    </row>
    <row r="8189" spans="1:4" x14ac:dyDescent="0.25">
      <c r="B8189" t="str">
        <f>HYPERLINK("https://www.chemistwarehouse.com.au/buy/72785/KP-24-Rapid-10-Minute-Solution-250ml-with-Comb-Family-Pack"," KP 24 Rapid 10 Minute Solution 250ml with Comb Family Pack ")</f>
        <v xml:space="preserve"> KP 24 Rapid 10 Minute Solution 250ml with Comb Family Pack </v>
      </c>
      <c r="C8189" t="s">
        <v>109</v>
      </c>
      <c r="D8189" t="s">
        <v>1864</v>
      </c>
    </row>
    <row r="8190" spans="1:4" x14ac:dyDescent="0.25">
      <c r="B8190" t="str">
        <f>HYPERLINK("https://www.chemistwarehouse.com.au/buy/73570/Coco-Scalp-Ointment-40g"," Coco Scalp Ointment 40g")</f>
        <v xml:space="preserve"> Coco Scalp Ointment 40g</v>
      </c>
      <c r="C8190" t="s">
        <v>237</v>
      </c>
      <c r="D8190" t="s">
        <v>465</v>
      </c>
    </row>
    <row r="8191" spans="1:4" x14ac:dyDescent="0.25">
      <c r="A8191" t="s">
        <v>1865</v>
      </c>
    </row>
    <row r="8192" spans="1:4" x14ac:dyDescent="0.25">
      <c r="B8192" t="str">
        <f>HYPERLINK("https://www.chemistwarehouse.com.au/buy/80120/My-Beauty-Hair-Dry-Shampoo-Classic-200ml"," My Beauty Hair Dry Shampoo Classic 200ml")</f>
        <v xml:space="preserve"> My Beauty Hair Dry Shampoo Classic 200ml</v>
      </c>
      <c r="C8192" t="s">
        <v>483</v>
      </c>
      <c r="D8192" t="s">
        <v>371</v>
      </c>
    </row>
    <row r="8193" spans="2:4" x14ac:dyDescent="0.25">
      <c r="B8193" t="str">
        <f>HYPERLINK("https://www.chemistwarehouse.com.au/buy/80121/My-Beauty-Hair-Dry-Shampoo-Fresh-200ml"," My Beauty Hair Dry Shampoo Fresh 200ml")</f>
        <v xml:space="preserve"> My Beauty Hair Dry Shampoo Fresh 200ml</v>
      </c>
      <c r="C8193" t="s">
        <v>483</v>
      </c>
      <c r="D8193" t="s">
        <v>371</v>
      </c>
    </row>
    <row r="8194" spans="2:4" x14ac:dyDescent="0.25">
      <c r="B8194" t="str">
        <f>HYPERLINK("https://www.chemistwarehouse.com.au/buy/73645/My-Beauty-Hair-Small-Bobby-Pins-80-Pack-Black"," My Beauty Hair Small Bobby Pins 80 Pack Black")</f>
        <v xml:space="preserve"> My Beauty Hair Small Bobby Pins 80 Pack Black</v>
      </c>
      <c r="C8194" t="s">
        <v>146</v>
      </c>
      <c r="D8194">
        <v>0</v>
      </c>
    </row>
    <row r="8195" spans="2:4" x14ac:dyDescent="0.25">
      <c r="B8195" t="str">
        <f>HYPERLINK("https://www.chemistwarehouse.com.au/buy/73646/My-Beauty-Hair-Small-Bobby-Pins-80-Pack-Blonde"," My Beauty Hair Small Bobby Pins 80 Pack Blonde")</f>
        <v xml:space="preserve"> My Beauty Hair Small Bobby Pins 80 Pack Blonde</v>
      </c>
      <c r="C8195" t="s">
        <v>146</v>
      </c>
      <c r="D8195">
        <v>0</v>
      </c>
    </row>
    <row r="8196" spans="2:4" x14ac:dyDescent="0.25">
      <c r="B8196" t="str">
        <f>HYPERLINK("https://www.chemistwarehouse.com.au/buy/73651/My-Beauty-Hair-Snag-Free-Thick-Elastic-12-Pack-Black"," My Beauty Hair Snag Free Thick Elastic 12 Pack Black")</f>
        <v xml:space="preserve"> My Beauty Hair Snag Free Thick Elastic 12 Pack Black</v>
      </c>
      <c r="C8196" t="s">
        <v>483</v>
      </c>
      <c r="D8196">
        <v>0</v>
      </c>
    </row>
    <row r="8197" spans="2:4" x14ac:dyDescent="0.25">
      <c r="B8197" t="str">
        <f>HYPERLINK("https://www.chemistwarehouse.com.au/buy/73638/My-Beauty-Hair-Large-Bobby-Pins-36-Pack-Brown"," My Beauty Hair Large Bobby Pins 36 Pack Brown")</f>
        <v xml:space="preserve"> My Beauty Hair Large Bobby Pins 36 Pack Brown</v>
      </c>
      <c r="C8197" t="s">
        <v>635</v>
      </c>
      <c r="D8197">
        <v>0</v>
      </c>
    </row>
    <row r="8198" spans="2:4" x14ac:dyDescent="0.25">
      <c r="B8198" t="str">
        <f>HYPERLINK("https://www.chemistwarehouse.com.au/buy/73639/My-Beauty-Hair-One-Touch-Clip-10-Pack-Black"," My Beauty Hair One Touch Clip 10 Pack Black")</f>
        <v xml:space="preserve"> My Beauty Hair One Touch Clip 10 Pack Black</v>
      </c>
      <c r="C8198" t="s">
        <v>483</v>
      </c>
      <c r="D8198">
        <v>0</v>
      </c>
    </row>
    <row r="8199" spans="2:4" x14ac:dyDescent="0.25">
      <c r="B8199" t="str">
        <f>HYPERLINK("https://www.chemistwarehouse.com.au/buy/73640/My-Beauty-Hair-One-Touch-Clip-10-Pack-Blonde"," My Beauty Hair One Touch Clip 10 Pack Blonde")</f>
        <v xml:space="preserve"> My Beauty Hair One Touch Clip 10 Pack Blonde</v>
      </c>
      <c r="C8199" t="s">
        <v>483</v>
      </c>
      <c r="D8199">
        <v>0</v>
      </c>
    </row>
    <row r="8200" spans="2:4" x14ac:dyDescent="0.25">
      <c r="B8200" t="str">
        <f>HYPERLINK("https://www.chemistwarehouse.com.au/buy/73641/My-Beauty-Hair-One-Touch-Clip-10-Pack-Brown"," My Beauty Hair One Touch Clip 10 Pack Brown")</f>
        <v xml:space="preserve"> My Beauty Hair One Touch Clip 10 Pack Brown</v>
      </c>
      <c r="C8200" t="s">
        <v>483</v>
      </c>
      <c r="D8200">
        <v>0</v>
      </c>
    </row>
    <row r="8201" spans="2:4" x14ac:dyDescent="0.25">
      <c r="B8201" t="str">
        <f>HYPERLINK("https://www.chemistwarehouse.com.au/buy/73642/My-Beauty-Hair-Poly-Band-48-Pack-Black"," My Beauty Hair Poly Band 48 Pack Black")</f>
        <v xml:space="preserve"> My Beauty Hair Poly Band 48 Pack Black</v>
      </c>
      <c r="C8201" t="s">
        <v>483</v>
      </c>
      <c r="D8201">
        <v>0</v>
      </c>
    </row>
    <row r="8202" spans="2:4" x14ac:dyDescent="0.25">
      <c r="B8202" t="str">
        <f>HYPERLINK("https://www.chemistwarehouse.com.au/buy/73643/My-Beauty-Hair-Poly-Band-48-Pack-Brown"," My Beauty Hair Poly Band 48 Pack Brown")</f>
        <v xml:space="preserve"> My Beauty Hair Poly Band 48 Pack Brown</v>
      </c>
      <c r="C8202" t="s">
        <v>483</v>
      </c>
      <c r="D8202">
        <v>0</v>
      </c>
    </row>
    <row r="8203" spans="2:4" x14ac:dyDescent="0.25">
      <c r="B8203" t="str">
        <f>HYPERLINK("https://www.chemistwarehouse.com.au/buy/73644/My-Beauty-Hair-Poly-Band-48-Pack-Clear"," My Beauty Hair Poly Band 48 Pack Clear")</f>
        <v xml:space="preserve"> My Beauty Hair Poly Band 48 Pack Clear</v>
      </c>
      <c r="C8203" t="s">
        <v>483</v>
      </c>
      <c r="D8203">
        <v>0</v>
      </c>
    </row>
    <row r="8204" spans="2:4" x14ac:dyDescent="0.25">
      <c r="B8204" t="str">
        <f>HYPERLINK("https://www.chemistwarehouse.com.au/buy/73647/My-Beauty-Hair-Small-Bobby-Pins-80-Pack-Brown"," My Beauty Hair Small Bobby Pins 80 Pack Brown")</f>
        <v xml:space="preserve"> My Beauty Hair Small Bobby Pins 80 Pack Brown</v>
      </c>
      <c r="C8204" t="s">
        <v>146</v>
      </c>
      <c r="D8204">
        <v>0</v>
      </c>
    </row>
    <row r="8205" spans="2:4" x14ac:dyDescent="0.25">
      <c r="B8205" t="str">
        <f>HYPERLINK("https://www.chemistwarehouse.com.au/buy/73648/My-Beauty-Hair-Snag-Free-Flat-Elastic-8-Pack-Black"," My Beauty Hair Snag Free Flat Elastic 8 Pack Black")</f>
        <v xml:space="preserve"> My Beauty Hair Snag Free Flat Elastic 8 Pack Black</v>
      </c>
      <c r="C8205" t="s">
        <v>483</v>
      </c>
      <c r="D8205">
        <v>0</v>
      </c>
    </row>
    <row r="8206" spans="2:4" x14ac:dyDescent="0.25">
      <c r="B8206" t="str">
        <f>HYPERLINK("https://www.chemistwarehouse.com.au/buy/73649/My-Beauty-Hair-Snag-Free-Flat-Elastic-8-Pack-Blonde"," My Beauty Hair Snag Free Flat Elastic 8 Pack Blonde")</f>
        <v xml:space="preserve"> My Beauty Hair Snag Free Flat Elastic 8 Pack Blonde</v>
      </c>
      <c r="C8206" t="s">
        <v>483</v>
      </c>
      <c r="D8206">
        <v>0</v>
      </c>
    </row>
    <row r="8207" spans="2:4" x14ac:dyDescent="0.25">
      <c r="B8207" t="str">
        <f>HYPERLINK("https://www.chemistwarehouse.com.au/buy/73650/My-Beauty-Hair-Snag-Free-Flat-Elastic-8-Pack-Brown"," My Beauty Hair Snag Free Flat Elastic 8 Pack Brown")</f>
        <v xml:space="preserve"> My Beauty Hair Snag Free Flat Elastic 8 Pack Brown</v>
      </c>
      <c r="C8207" t="s">
        <v>483</v>
      </c>
      <c r="D8207">
        <v>0</v>
      </c>
    </row>
    <row r="8208" spans="2:4" x14ac:dyDescent="0.25">
      <c r="B8208" t="str">
        <f>HYPERLINK("https://www.chemistwarehouse.com.au/buy/73652/My-Beauty-Hair-Snag-Free-Thick-Elastic-12-Pack-Blonde"," My Beauty Hair Snag Free Thick Elastic 12 Pack Blonde")</f>
        <v xml:space="preserve"> My Beauty Hair Snag Free Thick Elastic 12 Pack Blonde</v>
      </c>
      <c r="C8208" t="s">
        <v>483</v>
      </c>
      <c r="D8208">
        <v>0</v>
      </c>
    </row>
    <row r="8209" spans="1:4" x14ac:dyDescent="0.25">
      <c r="B8209" t="str">
        <f>HYPERLINK("https://www.chemistwarehouse.com.au/buy/73653/My-Beauty-Hair-Snag-Free-Thick-Elastic-12-Pack-Brown"," My Beauty Hair Snag Free Thick Elastic 12 Pack Brown ")</f>
        <v xml:space="preserve"> My Beauty Hair Snag Free Thick Elastic 12 Pack Brown </v>
      </c>
      <c r="C8209" t="s">
        <v>483</v>
      </c>
      <c r="D8209">
        <v>0</v>
      </c>
    </row>
    <row r="8210" spans="1:4" x14ac:dyDescent="0.25">
      <c r="B8210" t="str">
        <f>HYPERLINK("https://www.chemistwarehouse.com.au/buy/73654/My-Beauty-Hair-Snag-Free-Thin-Elastic-20-Pack-Black"," My Beauty Hair Snag Free Thin Elastic 20 Pack Black")</f>
        <v xml:space="preserve"> My Beauty Hair Snag Free Thin Elastic 20 Pack Black</v>
      </c>
      <c r="C8210" t="s">
        <v>556</v>
      </c>
      <c r="D8210">
        <v>0</v>
      </c>
    </row>
    <row r="8211" spans="1:4" x14ac:dyDescent="0.25">
      <c r="B8211" t="str">
        <f>HYPERLINK("https://www.chemistwarehouse.com.au/buy/73655/My-Beauty-Hair-Snag-Free-Thin-Elastic-20-Pack-Blonde"," My Beauty Hair Snag Free Thin Elastic 20 Pack Blonde")</f>
        <v xml:space="preserve"> My Beauty Hair Snag Free Thin Elastic 20 Pack Blonde</v>
      </c>
      <c r="C8211" t="s">
        <v>556</v>
      </c>
      <c r="D8211">
        <v>0</v>
      </c>
    </row>
    <row r="8212" spans="1:4" x14ac:dyDescent="0.25">
      <c r="B8212" t="str">
        <f>HYPERLINK("https://www.chemistwarehouse.com.au/buy/73656/My-Beauty-Hair-Snag-Free-Thin-Elastic-20-Pack-Brown"," My Beauty Hair Snag Free Thin Elastic 20 Pack Brown")</f>
        <v xml:space="preserve"> My Beauty Hair Snag Free Thin Elastic 20 Pack Brown</v>
      </c>
      <c r="C8212" t="s">
        <v>556</v>
      </c>
      <c r="D8212">
        <v>0</v>
      </c>
    </row>
    <row r="8213" spans="1:4" x14ac:dyDescent="0.25">
      <c r="B8213" t="str">
        <f>HYPERLINK("https://www.chemistwarehouse.com.au/buy/80119/My-Beauty-Hair-Dry-Shampoo-Brunette-200ml"," My Beauty Hair Dry Shampoo Brunette 200ml")</f>
        <v xml:space="preserve"> My Beauty Hair Dry Shampoo Brunette 200ml</v>
      </c>
      <c r="C8213" t="s">
        <v>483</v>
      </c>
      <c r="D8213" t="s">
        <v>371</v>
      </c>
    </row>
    <row r="8214" spans="1:4" x14ac:dyDescent="0.25">
      <c r="B8214" t="str">
        <f>HYPERLINK("https://www.chemistwarehouse.com.au/buy/73635/My-Beauty-Hair-Afro-Comb"," My Beauty Hair Afro Comb")</f>
        <v xml:space="preserve"> My Beauty Hair Afro Comb</v>
      </c>
      <c r="C8214" t="s">
        <v>146</v>
      </c>
      <c r="D8214">
        <v>0</v>
      </c>
    </row>
    <row r="8215" spans="1:4" x14ac:dyDescent="0.25">
      <c r="B8215" t="str">
        <f>HYPERLINK("https://www.chemistwarehouse.com.au/buy/73636/My-Beauty-Hair-Large-Bobby-Pins-36-Pack-Black"," My Beauty Hair Large Bobby Pins 36 Pack Black")</f>
        <v xml:space="preserve"> My Beauty Hair Large Bobby Pins 36 Pack Black</v>
      </c>
      <c r="C8215" t="s">
        <v>635</v>
      </c>
      <c r="D8215">
        <v>0</v>
      </c>
    </row>
    <row r="8216" spans="1:4" x14ac:dyDescent="0.25">
      <c r="A8216" t="s">
        <v>1866</v>
      </c>
    </row>
    <row r="8217" spans="1:4" x14ac:dyDescent="0.25">
      <c r="B8217" t="str">
        <f>HYPERLINK("https://www.chemistwarehouse.com.au/buy/55463/Fudge-Shaper-Original-75g"," Fudge Shaper Original 75g ")</f>
        <v xml:space="preserve"> Fudge Shaper Original 75g </v>
      </c>
      <c r="C8217" t="s">
        <v>290</v>
      </c>
      <c r="D8217" t="s">
        <v>402</v>
      </c>
    </row>
    <row r="8218" spans="1:4" x14ac:dyDescent="0.25">
      <c r="B8218" t="str">
        <f>HYPERLINK("https://www.chemistwarehouse.com.au/buy/67835/Fudge-Matte-Hed-Extra-85g"," Fudge Matte Hed Extra 85g")</f>
        <v xml:space="preserve"> Fudge Matte Hed Extra 85g</v>
      </c>
      <c r="C8218" t="s">
        <v>237</v>
      </c>
      <c r="D8218" t="s">
        <v>169</v>
      </c>
    </row>
    <row r="8219" spans="1:4" x14ac:dyDescent="0.25">
      <c r="B8219" t="str">
        <f>HYPERLINK("https://www.chemistwarehouse.com.au/buy/53832/Fudge-Matte-Hed-75g"," Fudge Matte Hed 75g")</f>
        <v xml:space="preserve"> Fudge Matte Hed 75g</v>
      </c>
      <c r="C8219" t="s">
        <v>237</v>
      </c>
      <c r="D8219" t="s">
        <v>169</v>
      </c>
    </row>
    <row r="8220" spans="1:4" x14ac:dyDescent="0.25">
      <c r="B8220" t="str">
        <f>HYPERLINK("https://www.chemistwarehouse.com.au/buy/55448/Fudge-Fat-Hed-75g"," Fudge Fat Hed 75g")</f>
        <v xml:space="preserve"> Fudge Fat Hed 75g</v>
      </c>
      <c r="C8220" t="s">
        <v>290</v>
      </c>
      <c r="D8220" t="s">
        <v>402</v>
      </c>
    </row>
    <row r="8221" spans="1:4" x14ac:dyDescent="0.25">
      <c r="A8221" t="s">
        <v>1867</v>
      </c>
    </row>
    <row r="8222" spans="1:4" x14ac:dyDescent="0.25">
      <c r="B8222" t="str">
        <f>HYPERLINK("https://www.chemistwarehouse.com.au/buy/78561/Garnier-Fructis-Style-Endurance-Ultra-Strong-Gel-200ml"," Garnier Fructis Style Endurance Ultra Strong Gel 200ml")</f>
        <v xml:space="preserve"> Garnier Fructis Style Endurance Ultra Strong Gel 200ml</v>
      </c>
      <c r="C8222" t="s">
        <v>728</v>
      </c>
      <c r="D8222" t="s">
        <v>152</v>
      </c>
    </row>
    <row r="8223" spans="1:4" x14ac:dyDescent="0.25">
      <c r="B8223" t="str">
        <f>HYPERLINK("https://www.chemistwarehouse.com.au/buy/60283/Schwarzkopf-Taft-Mega-Styling-Gel-Extreme-Hold-300g"," Schwarzkopf Taft Mega Styling Gel Extreme Hold 300g")</f>
        <v xml:space="preserve"> Schwarzkopf Taft Mega Styling Gel Extreme Hold 300g</v>
      </c>
      <c r="C8223" t="s">
        <v>483</v>
      </c>
      <c r="D8223" t="s">
        <v>733</v>
      </c>
    </row>
    <row r="8224" spans="1:4" x14ac:dyDescent="0.25">
      <c r="B8224" t="str">
        <f>HYPERLINK("https://www.chemistwarehouse.com.au/buy/61528/Herbal-Essence-Spray-Gel-Tousle-Me-Softly-170mL"," Herbal Essence Spray Gel Tousle Me Softly 170mL")</f>
        <v xml:space="preserve"> Herbal Essence Spray Gel Tousle Me Softly 170mL</v>
      </c>
      <c r="C8224" t="s">
        <v>116</v>
      </c>
      <c r="D8224" t="s">
        <v>593</v>
      </c>
    </row>
    <row r="8225" spans="2:4" x14ac:dyDescent="0.25">
      <c r="B8225" t="str">
        <f>HYPERLINK("https://www.chemistwarehouse.com.au/buy/64629/Schwarzkopf-Extra-Care-Styling-Power-n-Touch-Anti-Crunch-Gel-150g"," Schwarzkopf Extra Care Styling Power n Touch Anti Crunch Gel 150g")</f>
        <v xml:space="preserve"> Schwarzkopf Extra Care Styling Power n Touch Anti Crunch Gel 150g</v>
      </c>
      <c r="C8225" t="s">
        <v>375</v>
      </c>
      <c r="D8225" t="s">
        <v>611</v>
      </c>
    </row>
    <row r="8226" spans="2:4" x14ac:dyDescent="0.25">
      <c r="B8226" t="str">
        <f>HYPERLINK("https://www.chemistwarehouse.com.au/buy/71016/John-Frieda-Frizz-Ease-Clearly-Defined-Styling-Gel-150ml"," John Frieda Frizz Ease Clearly Defined Styling Gel 150ml")</f>
        <v xml:space="preserve"> John Frieda Frizz Ease Clearly Defined Styling Gel 150ml</v>
      </c>
      <c r="C8226" t="s">
        <v>228</v>
      </c>
      <c r="D8226" t="s">
        <v>121</v>
      </c>
    </row>
    <row r="8227" spans="2:4" x14ac:dyDescent="0.25">
      <c r="B8227" t="str">
        <f>HYPERLINK("https://www.chemistwarehouse.com.au/buy/72048/Schwarzkopf-Taft-Styling-Gel-Max-Hold-500g"," Schwarzkopf Taft Styling Gel Max Hold 500g")</f>
        <v xml:space="preserve"> Schwarzkopf Taft Styling Gel Max Hold 500g</v>
      </c>
      <c r="C8227" t="s">
        <v>786</v>
      </c>
      <c r="D8227" t="s">
        <v>739</v>
      </c>
    </row>
    <row r="8228" spans="2:4" x14ac:dyDescent="0.25">
      <c r="B8228" t="str">
        <f>HYPERLINK("https://www.chemistwarehouse.com.au/buy/78535/Garnier-Fructis-Style-Survivor-High-Resistance-Gel-200ml"," Garnier Fructis Style Survivor High Resistance Gel 200ml")</f>
        <v xml:space="preserve"> Garnier Fructis Style Survivor High Resistance Gel 200ml</v>
      </c>
      <c r="C8228" t="s">
        <v>728</v>
      </c>
      <c r="D8228" t="s">
        <v>152</v>
      </c>
    </row>
    <row r="8229" spans="2:4" x14ac:dyDescent="0.25">
      <c r="B8229" t="str">
        <f>HYPERLINK("https://www.chemistwarehouse.com.au/buy/78562/Garnier-Fructis-Style-Sculpting-Extra-Strong-Gel-200ml"," Garnier Fructis Style Sculpting Extra Strong Gel 200ml")</f>
        <v xml:space="preserve"> Garnier Fructis Style Sculpting Extra Strong Gel 200ml</v>
      </c>
      <c r="C8229" t="s">
        <v>728</v>
      </c>
      <c r="D8229" t="s">
        <v>152</v>
      </c>
    </row>
    <row r="8230" spans="2:4" x14ac:dyDescent="0.25">
      <c r="B8230" t="str">
        <f>HYPERLINK("https://www.chemistwarehouse.com.au/buy/79127/Lynx-Urban-Messy-Look-Matt-Gel-125ml"," Lynx Urban Messy Look Matt Gel 125ml")</f>
        <v xml:space="preserve"> Lynx Urban Messy Look Matt Gel 125ml</v>
      </c>
      <c r="C8230" t="s">
        <v>240</v>
      </c>
      <c r="D8230" t="s">
        <v>561</v>
      </c>
    </row>
    <row r="8231" spans="2:4" x14ac:dyDescent="0.25">
      <c r="B8231" t="str">
        <f>HYPERLINK("https://www.chemistwarehouse.com.au/buy/79505/Taft-Full-On-Glued-Gel-150ml"," Taft Full On Glued Gel 150ml")</f>
        <v xml:space="preserve"> Taft Full On Glued Gel 150ml</v>
      </c>
      <c r="C8231" t="s">
        <v>326</v>
      </c>
      <c r="D8231" t="s">
        <v>121</v>
      </c>
    </row>
    <row r="8232" spans="2:4" x14ac:dyDescent="0.25">
      <c r="B8232" t="str">
        <f>HYPERLINK("https://www.chemistwarehouse.com.au/buy/79506/Taft-Full-On-Super-Glued-Gel-150ml"," Taft Full On Super Glued Gel 150ml")</f>
        <v xml:space="preserve"> Taft Full On Super Glued Gel 150ml</v>
      </c>
      <c r="C8232" t="s">
        <v>326</v>
      </c>
      <c r="D8232" t="s">
        <v>121</v>
      </c>
    </row>
    <row r="8233" spans="2:4" x14ac:dyDescent="0.25">
      <c r="B8233" t="str">
        <f>HYPERLINK("https://www.chemistwarehouse.com.au/buy/79507/Taft-Full-On-Grooming-Cream-Gel-150ml"," Taft Full On Grooming Cream Gel 150ml")</f>
        <v xml:space="preserve"> Taft Full On Grooming Cream Gel 150ml</v>
      </c>
      <c r="C8233" t="s">
        <v>326</v>
      </c>
      <c r="D8233" t="s">
        <v>121</v>
      </c>
    </row>
    <row r="8234" spans="2:4" x14ac:dyDescent="0.25">
      <c r="B8234" t="str">
        <f>HYPERLINK("https://www.chemistwarehouse.com.au/buy/79653/Vo5-Extreme-Texturising-Gum-75ml"," Vo5 Extreme Texturising Gum 75ml")</f>
        <v xml:space="preserve"> Vo5 Extreme Texturising Gum 75ml</v>
      </c>
      <c r="C8234" t="s">
        <v>116</v>
      </c>
      <c r="D8234" t="s">
        <v>115</v>
      </c>
    </row>
    <row r="8235" spans="2:4" x14ac:dyDescent="0.25">
      <c r="B8235" t="str">
        <f>HYPERLINK("https://www.chemistwarehouse.com.au/buy/7989/Taft-Gel-Maximum-Hold-250g"," Taft Gel Maximum Hold 250g")</f>
        <v xml:space="preserve"> Taft Gel Maximum Hold 250g</v>
      </c>
      <c r="C8235" t="s">
        <v>728</v>
      </c>
      <c r="D8235" t="s">
        <v>371</v>
      </c>
    </row>
    <row r="8236" spans="2:4" x14ac:dyDescent="0.25">
      <c r="B8236" t="str">
        <f>HYPERLINK("https://www.chemistwarehouse.com.au/buy/44707/Taft-Spike-Styling-Gel-150g"," Taft Spike Styling Gel 150g")</f>
        <v xml:space="preserve"> Taft Spike Styling Gel 150g</v>
      </c>
      <c r="C8236" t="s">
        <v>728</v>
      </c>
      <c r="D8236" t="s">
        <v>593</v>
      </c>
    </row>
    <row r="8237" spans="2:4" x14ac:dyDescent="0.25">
      <c r="B8237" t="str">
        <f>HYPERLINK("https://www.chemistwarehouse.com.au/buy/48715/VO5-Gel-Mega-Hold-Tub-250g"," VO5 Gel Mega Hold Tub 250g")</f>
        <v xml:space="preserve"> VO5 Gel Mega Hold Tub 250g</v>
      </c>
      <c r="C8237" t="s">
        <v>728</v>
      </c>
      <c r="D8237" t="s">
        <v>561</v>
      </c>
    </row>
    <row r="8238" spans="2:4" x14ac:dyDescent="0.25">
      <c r="B8238" t="str">
        <f>HYPERLINK("https://www.chemistwarehouse.com.au/buy/80072/Alberto-Balsam-Ultra-Strong-Styling-Gel-200ml"," Alberto Balsam Ultra Strong Styling Gel 200ml")</f>
        <v xml:space="preserve"> Alberto Balsam Ultra Strong Styling Gel 200ml</v>
      </c>
      <c r="C8238" t="s">
        <v>635</v>
      </c>
      <c r="D8238" t="s">
        <v>371</v>
      </c>
    </row>
    <row r="8239" spans="2:4" x14ac:dyDescent="0.25">
      <c r="B8239" t="str">
        <f>HYPERLINK("https://www.chemistwarehouse.com.au/buy/80073/Alberto-Balsam-Wet-Look-Styling-Gel-200ml"," Alberto Balsam Wet Look Styling Gel 200ml")</f>
        <v xml:space="preserve"> Alberto Balsam Wet Look Styling Gel 200ml</v>
      </c>
      <c r="C8239" t="s">
        <v>635</v>
      </c>
      <c r="D8239" t="s">
        <v>371</v>
      </c>
    </row>
    <row r="8240" spans="2:4" x14ac:dyDescent="0.25">
      <c r="B8240" t="str">
        <f>HYPERLINK("https://www.chemistwarehouse.com.au/buy/79503/Taft-Full-On-Matt-Paste-100ml"," Taft Full On Matt Paste 100ml")</f>
        <v xml:space="preserve"> Taft Full On Matt Paste 100ml</v>
      </c>
      <c r="C8240" t="s">
        <v>326</v>
      </c>
      <c r="D8240" t="s">
        <v>121</v>
      </c>
    </row>
    <row r="8241" spans="1:4" x14ac:dyDescent="0.25">
      <c r="B8241" t="str">
        <f>HYPERLINK("https://www.chemistwarehouse.com.au/buy/79504/Taft-Full-On-Freeze-Jelly-200ml"," Taft Full On Freeze Jelly 200ml")</f>
        <v xml:space="preserve"> Taft Full On Freeze Jelly 200ml</v>
      </c>
      <c r="C8241" t="s">
        <v>326</v>
      </c>
      <c r="D8241" t="s">
        <v>121</v>
      </c>
    </row>
    <row r="8242" spans="1:4" x14ac:dyDescent="0.25">
      <c r="A8242" t="s">
        <v>1868</v>
      </c>
    </row>
    <row r="8243" spans="1:4" x14ac:dyDescent="0.25">
      <c r="B8243" t="str">
        <f>HYPERLINK("https://www.chemistwarehouse.com.au/buy/59685/Cedel-Hair-Spray-Firm-250g"," Cedel Hair Spray Firm 250g")</f>
        <v xml:space="preserve"> Cedel Hair Spray Firm 250g</v>
      </c>
      <c r="C8243" t="s">
        <v>120</v>
      </c>
      <c r="D8243" t="s">
        <v>327</v>
      </c>
    </row>
    <row r="8244" spans="1:4" x14ac:dyDescent="0.25">
      <c r="B8244" t="str">
        <f>HYPERLINK("https://www.chemistwarehouse.com.au/buy/71509/Cedel-Hair-Spray-Extra-Firm-Coconut-Bay-100g"," Cedel Hair Spray Extra Firm Coconut Bay 100g")</f>
        <v xml:space="preserve"> Cedel Hair Spray Extra Firm Coconut Bay 100g</v>
      </c>
      <c r="C8244" t="s">
        <v>483</v>
      </c>
      <c r="D8244" t="s">
        <v>371</v>
      </c>
    </row>
    <row r="8245" spans="1:4" x14ac:dyDescent="0.25">
      <c r="B8245" t="str">
        <f>HYPERLINK("https://www.chemistwarehouse.com.au/buy/55645/Cedel-Hair-Spray-Extra-Firm-250g"," Cedel Hair Spray Extra Firm 250g")</f>
        <v xml:space="preserve"> Cedel Hair Spray Extra Firm 250g</v>
      </c>
      <c r="C8245" t="s">
        <v>120</v>
      </c>
      <c r="D8245" t="s">
        <v>327</v>
      </c>
    </row>
    <row r="8246" spans="1:4" x14ac:dyDescent="0.25">
      <c r="B8246" t="str">
        <f>HYPERLINK("https://www.chemistwarehouse.com.au/buy/56812/Cedel-Hair-Spray-Purse-Pack-Extra-Firm-40g"," Cedel Hair Spray Purse Pack Extra Firm 40g")</f>
        <v xml:space="preserve"> Cedel Hair Spray Purse Pack Extra Firm 40g</v>
      </c>
      <c r="C8246" t="s">
        <v>775</v>
      </c>
      <c r="D8246" t="s">
        <v>776</v>
      </c>
    </row>
    <row r="8247" spans="1:4" x14ac:dyDescent="0.25">
      <c r="B8247" t="str">
        <f>HYPERLINK("https://www.chemistwarehouse.com.au/buy/56813/Cedel-Hair-Spray-Purse-Pack-Firm-40g"," Cedel Hair Spray Purse Pack Firm 40g")</f>
        <v xml:space="preserve"> Cedel Hair Spray Purse Pack Firm 40g</v>
      </c>
      <c r="C8247" t="s">
        <v>775</v>
      </c>
      <c r="D8247" t="s">
        <v>776</v>
      </c>
    </row>
    <row r="8248" spans="1:4" x14ac:dyDescent="0.25">
      <c r="A8248" t="s">
        <v>1869</v>
      </c>
    </row>
    <row r="8249" spans="1:4" x14ac:dyDescent="0.25">
      <c r="B8249" t="str">
        <f>HYPERLINK("https://www.chemistwarehouse.com.au/buy/53826/Clairol-Final-Net-Lacquer-Super-Hold-50g"," Clairol Final Net Lacquer Super Hold 50g")</f>
        <v xml:space="preserve"> Clairol Final Net Lacquer Super Hold 50g</v>
      </c>
      <c r="C8249" t="s">
        <v>483</v>
      </c>
      <c r="D8249" t="s">
        <v>147</v>
      </c>
    </row>
    <row r="8250" spans="1:4" x14ac:dyDescent="0.25">
      <c r="B8250" t="str">
        <f>HYPERLINK("https://www.chemistwarehouse.com.au/buy/61526/Clairol-Final-Net-Lacquer-Super-Hold-400g"," Clairol Final Net Lacquer Super Hold 400g")</f>
        <v xml:space="preserve"> Clairol Final Net Lacquer Super Hold 400g</v>
      </c>
      <c r="C8250" t="s">
        <v>32</v>
      </c>
      <c r="D8250" t="s">
        <v>1870</v>
      </c>
    </row>
    <row r="8251" spans="1:4" x14ac:dyDescent="0.25">
      <c r="B8251" t="str">
        <f>HYPERLINK("https://www.chemistwarehouse.com.au/buy/62249/Clairol-Final-Net-Lacquer-Super-Hold-200g"," Clairol Final Net Lacquer Super Hold 200g")</f>
        <v xml:space="preserve"> Clairol Final Net Lacquer Super Hold 200g</v>
      </c>
      <c r="C8251" t="s">
        <v>554</v>
      </c>
      <c r="D8251" t="s">
        <v>325</v>
      </c>
    </row>
    <row r="8252" spans="1:4" x14ac:dyDescent="0.25">
      <c r="A8252" t="s">
        <v>1871</v>
      </c>
    </row>
    <row r="8253" spans="1:4" x14ac:dyDescent="0.25">
      <c r="B8253" t="str">
        <f>HYPERLINK("https://www.chemistwarehouse.com.au/buy/66187/Garnier-Fructis-Style-Sleek-amp-Shine-Flat-Iron-Perfector-Spray"," Garnier Fructis Style Sleek &amp; Shine Flat Iron Perfector Spray")</f>
        <v xml:space="preserve"> Garnier Fructis Style Sleek &amp; Shine Flat Iron Perfector Spray</v>
      </c>
      <c r="C8253" t="s">
        <v>786</v>
      </c>
      <c r="D8253" t="s">
        <v>332</v>
      </c>
    </row>
    <row r="8254" spans="1:4" x14ac:dyDescent="0.25">
      <c r="B8254" t="str">
        <f>HYPERLINK("https://www.chemistwarehouse.com.au/buy/78560/Garnier-Fructis-Style-Flex-amp-Hold-Volume-Hairspray-250ml"," Garnier Fructis Style Flex &amp; Hold Volume Hairspray 250ml")</f>
        <v xml:space="preserve"> Garnier Fructis Style Flex &amp; Hold Volume Hairspray 250ml</v>
      </c>
      <c r="C8254" t="s">
        <v>399</v>
      </c>
      <c r="D8254" t="s">
        <v>329</v>
      </c>
    </row>
    <row r="8255" spans="1:4" x14ac:dyDescent="0.25">
      <c r="A8255" t="s">
        <v>1872</v>
      </c>
    </row>
    <row r="8256" spans="1:4" x14ac:dyDescent="0.25">
      <c r="B8256" t="str">
        <f>HYPERLINK("https://www.chemistwarehouse.com.au/buy/68612/John-Frieda-Luxurious-Volume-Fine-to-Full-Blow-Out-Spray-118ml"," John Frieda Luxurious Volume Fine to Full Blow Out Spray 118ml")</f>
        <v xml:space="preserve"> John Frieda Luxurious Volume Fine to Full Blow Out Spray 118ml</v>
      </c>
      <c r="C8256" t="s">
        <v>292</v>
      </c>
      <c r="D8256" t="s">
        <v>121</v>
      </c>
    </row>
    <row r="8257" spans="1:4" x14ac:dyDescent="0.25">
      <c r="B8257" t="str">
        <f>HYPERLINK("https://www.chemistwarehouse.com.au/buy/74263/John-Frieda-Beach-Blonde-Ocean-Waves-Sea-Salt-Spray-150ml"," John Frieda Beach Blonde Ocean Waves Sea-Salt Spray 150ml")</f>
        <v xml:space="preserve"> John Frieda Beach Blonde Ocean Waves Sea-Salt Spray 150ml</v>
      </c>
      <c r="C8257" t="s">
        <v>292</v>
      </c>
      <c r="D8257" t="s">
        <v>121</v>
      </c>
    </row>
    <row r="8258" spans="1:4" x14ac:dyDescent="0.25">
      <c r="B8258" t="str">
        <f>HYPERLINK("https://www.chemistwarehouse.com.au/buy/50691/John-Frieda-Frizz-Ease-Moist-Hair-Spray-340g"," John Frieda Frizz Ease Moist Hair Spray 340g")</f>
        <v xml:space="preserve"> John Frieda Frizz Ease Moist Hair Spray 340g</v>
      </c>
      <c r="C8258" t="s">
        <v>228</v>
      </c>
      <c r="D8258" t="s">
        <v>121</v>
      </c>
    </row>
    <row r="8259" spans="1:4" x14ac:dyDescent="0.25">
      <c r="B8259" t="str">
        <f>HYPERLINK("https://www.chemistwarehouse.com.au/buy/58056/John-Frieda-Frizz-Ease-Hair-Spray-56g-Trial-Size"," John Frieda Frizz Ease Hair Spray 56g Trial Size")</f>
        <v xml:space="preserve"> John Frieda Frizz Ease Hair Spray 56g Trial Size</v>
      </c>
      <c r="C8259" t="s">
        <v>556</v>
      </c>
      <c r="D8259" t="s">
        <v>371</v>
      </c>
    </row>
    <row r="8260" spans="1:4" x14ac:dyDescent="0.25">
      <c r="A8260" t="s">
        <v>1873</v>
      </c>
    </row>
    <row r="8261" spans="1:4" x14ac:dyDescent="0.25">
      <c r="B8261" t="str">
        <f>HYPERLINK("https://www.chemistwarehouse.com.au/buy/63202/L-39-Oreal-Elnett-Absolute-Extreme-Hold-Hair-Spray-400ml"," L'Oreal Elnett Absolute Extreme Hold Hair Spray 400ml")</f>
        <v xml:space="preserve"> L'Oreal Elnett Absolute Extreme Hold Hair Spray 400ml</v>
      </c>
      <c r="C8261" t="s">
        <v>242</v>
      </c>
      <c r="D8261" t="s">
        <v>152</v>
      </c>
    </row>
    <row r="8262" spans="1:4" x14ac:dyDescent="0.25">
      <c r="B8262" t="str">
        <f>HYPERLINK("https://www.chemistwarehouse.com.au/buy/63203/L-39-Oreal-Elnett-Normal-Strength-Hair-Spray-400ml"," L'Oreal Elnett Normal Strength Hair Spray 400ml")</f>
        <v xml:space="preserve"> L'Oreal Elnett Normal Strength Hair Spray 400ml</v>
      </c>
      <c r="C8262" t="s">
        <v>242</v>
      </c>
      <c r="D8262" t="s">
        <v>152</v>
      </c>
    </row>
    <row r="8263" spans="1:4" x14ac:dyDescent="0.25">
      <c r="B8263" t="str">
        <f>HYPERLINK("https://www.chemistwarehouse.com.au/buy/63204/L-39-Oreal-Elnett-Coloured-Hair-Extra-Strength-Hair-Spray-400ml"," L'Oreal Elnett Coloured Hair Extra Strength Hair Spray 400ml")</f>
        <v xml:space="preserve"> L'Oreal Elnett Coloured Hair Extra Strength Hair Spray 400ml</v>
      </c>
      <c r="C8263" t="s">
        <v>242</v>
      </c>
      <c r="D8263" t="s">
        <v>152</v>
      </c>
    </row>
    <row r="8264" spans="1:4" x14ac:dyDescent="0.25">
      <c r="B8264" t="str">
        <f>HYPERLINK("https://www.chemistwarehouse.com.au/buy/63623/L-39-Oreal-Elnett-Satin-Extreme-Hold-Hair-Spray-75ml"," L'Oreal Elnett Satin Extreme Hold Hair Spray 75ml")</f>
        <v xml:space="preserve"> L'Oreal Elnett Satin Extreme Hold Hair Spray 75ml</v>
      </c>
      <c r="C8264" t="s">
        <v>775</v>
      </c>
      <c r="D8264" t="s">
        <v>325</v>
      </c>
    </row>
    <row r="8265" spans="1:4" x14ac:dyDescent="0.25">
      <c r="B8265" t="str">
        <f>HYPERLINK("https://www.chemistwarehouse.com.au/buy/63624/L-39-Oreal-Elnett-Normal-Strength-Hair-Spray-75ml"," L'Oreal Elnett Normal Strength Hair Spray 75ml")</f>
        <v xml:space="preserve"> L'Oreal Elnett Normal Strength Hair Spray 75ml</v>
      </c>
      <c r="C8265" t="s">
        <v>775</v>
      </c>
      <c r="D8265" t="s">
        <v>325</v>
      </c>
    </row>
    <row r="8266" spans="1:4" x14ac:dyDescent="0.25">
      <c r="B8266" t="str">
        <f>HYPERLINK("https://www.chemistwarehouse.com.au/buy/73437/L-39-Oreal-Elnett-Satin-Styling-Heat-Spray-170ml"," L'Oreal Elnett Satin Styling Heat Spray 170ml ")</f>
        <v xml:space="preserve"> L'Oreal Elnett Satin Styling Heat Spray 170ml </v>
      </c>
      <c r="C8266" t="s">
        <v>45</v>
      </c>
      <c r="D8266" t="s">
        <v>397</v>
      </c>
    </row>
    <row r="8267" spans="1:4" x14ac:dyDescent="0.25">
      <c r="B8267" t="str">
        <f>HYPERLINK("https://www.chemistwarehouse.com.au/buy/75143/L-39-Oreal-Elnett-Very-Volume-Supreme-Hold-Hair-Spray-400ml"," L'Oreal Elnett Very Volume Supreme Hold Hair Spray 400ml")</f>
        <v xml:space="preserve"> L'Oreal Elnett Very Volume Supreme Hold Hair Spray 400ml</v>
      </c>
      <c r="C8267" t="s">
        <v>242</v>
      </c>
      <c r="D8267" t="s">
        <v>152</v>
      </c>
    </row>
    <row r="8268" spans="1:4" x14ac:dyDescent="0.25">
      <c r="B8268" t="str">
        <f>HYPERLINK("https://www.chemistwarehouse.com.au/buy/80592/L-39-Oreal-Elnett-Diamond-Oil-Hair-Spray-400ml"," L'Oreal Elnett Diamond Oil Hair Spray 400ml")</f>
        <v xml:space="preserve"> L'Oreal Elnett Diamond Oil Hair Spray 400ml</v>
      </c>
      <c r="C8268" t="s">
        <v>242</v>
      </c>
      <c r="D8268" t="s">
        <v>152</v>
      </c>
    </row>
    <row r="8269" spans="1:4" x14ac:dyDescent="0.25">
      <c r="B8269" t="str">
        <f>HYPERLINK("https://www.chemistwarehouse.com.au/buy/80593/L-39-Oreal-Elnett-Very-Volume-Supreme-Hold-Hair-Spray-75ml"," L'Oreal Elnett Very Volume Supreme Hold Hair Spray 75ml")</f>
        <v xml:space="preserve"> L'Oreal Elnett Very Volume Supreme Hold Hair Spray 75ml</v>
      </c>
      <c r="C8269" t="s">
        <v>775</v>
      </c>
      <c r="D8269" t="s">
        <v>325</v>
      </c>
    </row>
    <row r="8270" spans="1:4" x14ac:dyDescent="0.25">
      <c r="A8270" t="s">
        <v>1874</v>
      </c>
    </row>
    <row r="8271" spans="1:4" x14ac:dyDescent="0.25">
      <c r="B8271" t="str">
        <f>HYPERLINK("https://www.chemistwarehouse.com.au/buy/68784/Marc-Daniels-Black-Hair-Spray-125ml"," Marc Daniels Black Hair Spray 125ml")</f>
        <v xml:space="preserve"> Marc Daniels Black Hair Spray 125ml</v>
      </c>
      <c r="C8271" t="s">
        <v>728</v>
      </c>
      <c r="D8271" t="s">
        <v>327</v>
      </c>
    </row>
    <row r="8272" spans="1:4" x14ac:dyDescent="0.25">
      <c r="B8272" t="str">
        <f>HYPERLINK("https://www.chemistwarehouse.com.au/buy/68785/Marc-Daniels-Blue-Hair-Spray-125ml"," Marc Daniels Blue Hair Spray 125ml")</f>
        <v xml:space="preserve"> Marc Daniels Blue Hair Spray 125ml</v>
      </c>
      <c r="C8272" t="s">
        <v>728</v>
      </c>
      <c r="D8272" t="s">
        <v>327</v>
      </c>
    </row>
    <row r="8273" spans="1:4" x14ac:dyDescent="0.25">
      <c r="B8273" t="str">
        <f>HYPERLINK("https://www.chemistwarehouse.com.au/buy/68786/Marc-Daniels-Glitter-Hair-Spray-125ml"," Marc Daniels Glitter Hair Spray 125ml")</f>
        <v xml:space="preserve"> Marc Daniels Glitter Hair Spray 125ml</v>
      </c>
      <c r="C8273" t="s">
        <v>728</v>
      </c>
      <c r="D8273" t="s">
        <v>327</v>
      </c>
    </row>
    <row r="8274" spans="1:4" x14ac:dyDescent="0.25">
      <c r="B8274" t="str">
        <f>HYPERLINK("https://www.chemistwarehouse.com.au/buy/68787/Marc-Daniels-Green-Hair-Spray-125ml"," Marc Daniels Green Hair Spray 125ml")</f>
        <v xml:space="preserve"> Marc Daniels Green Hair Spray 125ml</v>
      </c>
      <c r="C8274" t="s">
        <v>728</v>
      </c>
      <c r="D8274" t="s">
        <v>327</v>
      </c>
    </row>
    <row r="8275" spans="1:4" x14ac:dyDescent="0.25">
      <c r="B8275" t="str">
        <f>HYPERLINK("https://www.chemistwarehouse.com.au/buy/68788/Marc-Daniels-Red-Hair-Spray-125ml"," Marc Daniels Red Hair Spray 125ml")</f>
        <v xml:space="preserve"> Marc Daniels Red Hair Spray 125ml</v>
      </c>
      <c r="C8275" t="s">
        <v>728</v>
      </c>
      <c r="D8275" t="s">
        <v>327</v>
      </c>
    </row>
    <row r="8276" spans="1:4" x14ac:dyDescent="0.25">
      <c r="B8276" t="str">
        <f>HYPERLINK("https://www.chemistwarehouse.com.au/buy/68789/Marc-Daniels-Yellow-Hair-Spray-125ml"," Marc Daniels Yellow Hair Spray 125ml")</f>
        <v xml:space="preserve"> Marc Daniels Yellow Hair Spray 125ml</v>
      </c>
      <c r="C8276" t="s">
        <v>728</v>
      </c>
      <c r="D8276" t="s">
        <v>327</v>
      </c>
    </row>
    <row r="8277" spans="1:4" x14ac:dyDescent="0.25">
      <c r="A8277" t="s">
        <v>1875</v>
      </c>
    </row>
    <row r="8278" spans="1:4" x14ac:dyDescent="0.25">
      <c r="B8278" t="str">
        <f>HYPERLINK("https://www.chemistwarehouse.com.au/buy/70058/My-Organics-Thickening-Spray-250ml"," My Organics Thickening Spray 250ml")</f>
        <v xml:space="preserve"> My Organics Thickening Spray 250ml</v>
      </c>
      <c r="C8278" t="s">
        <v>237</v>
      </c>
      <c r="D8278">
        <v>0</v>
      </c>
    </row>
    <row r="8279" spans="1:4" x14ac:dyDescent="0.25">
      <c r="A8279" t="s">
        <v>1876</v>
      </c>
    </row>
    <row r="8280" spans="1:4" x14ac:dyDescent="0.25">
      <c r="B8280" t="str">
        <f>HYPERLINK("https://www.chemistwarehouse.com.au/buy/49800/Schwarzkopf-Extra-Care-Strong-Styling-Hairspray-Extra-Strong-Hold-500g"," Schwarzkopf Extra Care Strong Styling Hairspray Extra Strong Hold 500g")</f>
        <v xml:space="preserve"> Schwarzkopf Extra Care Strong Styling Hairspray Extra Strong Hold 500g</v>
      </c>
      <c r="C8280" t="s">
        <v>430</v>
      </c>
      <c r="D8280" t="s">
        <v>776</v>
      </c>
    </row>
    <row r="8281" spans="1:4" x14ac:dyDescent="0.25">
      <c r="B8281" t="str">
        <f>HYPERLINK("https://www.chemistwarehouse.com.au/buy/49802/Schwarzkopf-Extra-Care-Super-Styling-Lacquer-Maximum-Hold-500g"," Schwarzkopf Extra Care Super Styling Lacquer Maximum Hold 500g")</f>
        <v xml:space="preserve"> Schwarzkopf Extra Care Super Styling Lacquer Maximum Hold 500g</v>
      </c>
      <c r="C8281" t="s">
        <v>430</v>
      </c>
      <c r="D8281" t="s">
        <v>776</v>
      </c>
    </row>
    <row r="8282" spans="1:4" x14ac:dyDescent="0.25">
      <c r="B8282" t="str">
        <f>HYPERLINK("https://www.chemistwarehouse.com.au/buy/53356/Schwarzkopf-Extra-Care-Hair-Spray-Strong-400g"," Schwarzkopf Extra Care Hair Spray Strong 400g")</f>
        <v xml:space="preserve"> Schwarzkopf Extra Care Hair Spray Strong 400g</v>
      </c>
      <c r="C8282" t="s">
        <v>242</v>
      </c>
      <c r="D8282" t="s">
        <v>561</v>
      </c>
    </row>
    <row r="8283" spans="1:4" x14ac:dyDescent="0.25">
      <c r="B8283" t="str">
        <f>HYPERLINK("https://www.chemistwarehouse.com.au/buy/53357/Schwarzkopf-Extra-Care-Styling-Lacquer-Super-400g"," Schwarzkopf Extra Care Styling Lacquer Super 400g")</f>
        <v xml:space="preserve"> Schwarzkopf Extra Care Styling Lacquer Super 400g</v>
      </c>
      <c r="C8283" t="s">
        <v>242</v>
      </c>
      <c r="D8283" t="s">
        <v>561</v>
      </c>
    </row>
    <row r="8284" spans="1:4" x14ac:dyDescent="0.25">
      <c r="B8284" t="str">
        <f>HYPERLINK("https://www.chemistwarehouse.com.au/buy/60082/Schwarzkopf-Extra-Care-Super-Styling-Lacquer-Extreme-Hold-250g"," Schwarzkopf Extra Care Super Styling Lacquer Extreme Hold 250g")</f>
        <v xml:space="preserve"> Schwarzkopf Extra Care Super Styling Lacquer Extreme Hold 250g</v>
      </c>
      <c r="C8284" t="s">
        <v>375</v>
      </c>
      <c r="D8284" t="s">
        <v>611</v>
      </c>
    </row>
    <row r="8285" spans="1:4" x14ac:dyDescent="0.25">
      <c r="B8285" t="str">
        <f>HYPERLINK("https://www.chemistwarehouse.com.au/buy/60088/Schwarzkopf-Extra-Care-Volume-Power-Hairspray-250g"," Schwarzkopf Extra Care Volume Power Hairspray 250g")</f>
        <v xml:space="preserve"> Schwarzkopf Extra Care Volume Power Hairspray 250g</v>
      </c>
      <c r="C8285" t="s">
        <v>375</v>
      </c>
      <c r="D8285" t="s">
        <v>611</v>
      </c>
    </row>
    <row r="8286" spans="1:4" x14ac:dyDescent="0.25">
      <c r="B8286" t="str">
        <f>HYPERLINK("https://www.chemistwarehouse.com.au/buy/60282/Schwarzkopf-Taft-Fixing-Spray-Extreme-Hold-5-60g"," Schwarzkopf Taft Fixing Spray Extreme Hold 5 60g ")</f>
        <v xml:space="preserve"> Schwarzkopf Taft Fixing Spray Extreme Hold 5 60g </v>
      </c>
      <c r="C8286" t="s">
        <v>146</v>
      </c>
      <c r="D8286" t="s">
        <v>371</v>
      </c>
    </row>
    <row r="8287" spans="1:4" x14ac:dyDescent="0.25">
      <c r="B8287" t="str">
        <f>HYPERLINK("https://www.chemistwarehouse.com.au/buy/60079/Schwarzkopf-Extra-Care-Strong-Styling-Hairspray-Maximum-Hold-100g"," Schwarzkopf Extra Care Strong Styling Hairspray Maximum Hold 100g")</f>
        <v xml:space="preserve"> Schwarzkopf Extra Care Strong Styling Hairspray Maximum Hold 100g</v>
      </c>
      <c r="C8287" t="s">
        <v>483</v>
      </c>
      <c r="D8287" t="s">
        <v>371</v>
      </c>
    </row>
    <row r="8288" spans="1:4" x14ac:dyDescent="0.25">
      <c r="B8288" t="str">
        <f>HYPERLINK("https://www.chemistwarehouse.com.au/buy/60080/Schwarzkopf-Extra-Care-Strong-Styling-Hairspray-Maximum-Hold-250g"," Schwarzkopf Extra Care Strong Styling Hairspray Maximum Hold 250g")</f>
        <v xml:space="preserve"> Schwarzkopf Extra Care Strong Styling Hairspray Maximum Hold 250g</v>
      </c>
      <c r="C8288" t="s">
        <v>375</v>
      </c>
      <c r="D8288" t="s">
        <v>611</v>
      </c>
    </row>
    <row r="8289" spans="1:4" x14ac:dyDescent="0.25">
      <c r="B8289" t="str">
        <f>HYPERLINK("https://www.chemistwarehouse.com.au/buy/60081/Schwarzkopf-Extra-Care-Styling-Lacquer-Super-100g"," Schwarzkopf Extra Care Styling Lacquer Super 100g")</f>
        <v xml:space="preserve"> Schwarzkopf Extra Care Styling Lacquer Super 100g</v>
      </c>
      <c r="C8289" t="s">
        <v>483</v>
      </c>
      <c r="D8289" t="s">
        <v>371</v>
      </c>
    </row>
    <row r="8290" spans="1:4" x14ac:dyDescent="0.25">
      <c r="B8290" t="str">
        <f>HYPERLINK("https://www.chemistwarehouse.com.au/buy/75145/Schwarzkopf-Styliste-Ultime-Amino-Q-Hairspray-Ultra-Strong-200g"," Schwarzkopf Styliste Ultime Amino Q Hairspray Ultra Strong 200g")</f>
        <v xml:space="preserve"> Schwarzkopf Styliste Ultime Amino Q Hairspray Ultra Strong 200g</v>
      </c>
      <c r="C8290" t="s">
        <v>240</v>
      </c>
      <c r="D8290" t="s">
        <v>561</v>
      </c>
    </row>
    <row r="8291" spans="1:4" x14ac:dyDescent="0.25">
      <c r="B8291" t="str">
        <f>HYPERLINK("https://www.chemistwarehouse.com.au/buy/75146/Schwarzkopf-Styliste-Ultime-Satin-Frizz-Control-Straightening-Spray-200ml"," Schwarzkopf Styliste Ultime Satin Frizz Control Straightening Spray 200ml")</f>
        <v xml:space="preserve"> Schwarzkopf Styliste Ultime Satin Frizz Control Straightening Spray 200ml</v>
      </c>
      <c r="C8291" t="s">
        <v>240</v>
      </c>
      <c r="D8291" t="s">
        <v>561</v>
      </c>
    </row>
    <row r="8292" spans="1:4" x14ac:dyDescent="0.25">
      <c r="B8292" t="str">
        <f>HYPERLINK("https://www.chemistwarehouse.com.au/buy/75148/Schwarzkopf-Styliste-Ultime-Sea-Salt-Beach-Look-Texture-Spray-200ml"," Schwarzkopf Styliste Ultime Sea Salt Beach Look Texture Spray 200ml")</f>
        <v xml:space="preserve"> Schwarzkopf Styliste Ultime Sea Salt Beach Look Texture Spray 200ml</v>
      </c>
      <c r="C8292" t="s">
        <v>240</v>
      </c>
      <c r="D8292" t="s">
        <v>561</v>
      </c>
    </row>
    <row r="8293" spans="1:4" x14ac:dyDescent="0.25">
      <c r="B8293" t="str">
        <f>HYPERLINK("https://www.chemistwarehouse.com.au/buy/75722/Schwarzkopf-Styliste-Ultime-Amino-Q-Travel-Hairspray-35g"," Schwarzkopf Styliste Ultime Amino Q Travel Hairspray 35g")</f>
        <v xml:space="preserve"> Schwarzkopf Styliste Ultime Amino Q Travel Hairspray 35g</v>
      </c>
      <c r="C8293" t="s">
        <v>312</v>
      </c>
      <c r="D8293">
        <v>0</v>
      </c>
    </row>
    <row r="8294" spans="1:4" x14ac:dyDescent="0.25">
      <c r="B8294" t="str">
        <f>HYPERLINK("https://www.chemistwarehouse.com.au/buy/75724/Schwarzkopf-Styliste-Ultime-Sea-Salt-Travel-Beach-Look-Texture-Spray-50ml"," Schwarzkopf Styliste Ultime Sea Salt Travel Beach Look Texture Spray 50ml")</f>
        <v xml:space="preserve"> Schwarzkopf Styliste Ultime Sea Salt Travel Beach Look Texture Spray 50ml</v>
      </c>
      <c r="C8294" t="s">
        <v>312</v>
      </c>
      <c r="D8294">
        <v>0</v>
      </c>
    </row>
    <row r="8295" spans="1:4" x14ac:dyDescent="0.25">
      <c r="B8295" t="str">
        <f>HYPERLINK("https://www.chemistwarehouse.com.au/buy/79259/Schwarzkopf-Styliste-Ultime-Flex-Control-Gel-Spray-200ml"," Schwarzkopf Styliste Ultime Flex Control Gel Spray 200ml")</f>
        <v xml:space="preserve"> Schwarzkopf Styliste Ultime Flex Control Gel Spray 200ml</v>
      </c>
      <c r="C8295" t="s">
        <v>240</v>
      </c>
      <c r="D8295" t="s">
        <v>561</v>
      </c>
    </row>
    <row r="8296" spans="1:4" x14ac:dyDescent="0.25">
      <c r="B8296" t="str">
        <f>HYPERLINK("https://www.chemistwarehouse.com.au/buy/79579/Schwarzkopf-Extra-Care-Body-and-Texture-Spray-200ml"," Schwarzkopf Extra Care Body and Texture Spray 200ml")</f>
        <v xml:space="preserve"> Schwarzkopf Extra Care Body and Texture Spray 200ml</v>
      </c>
      <c r="C8296" t="s">
        <v>375</v>
      </c>
      <c r="D8296" t="s">
        <v>611</v>
      </c>
    </row>
    <row r="8297" spans="1:4" x14ac:dyDescent="0.25">
      <c r="B8297" t="str">
        <f>HYPERLINK("https://www.chemistwarehouse.com.au/buy/70042/Schwarzkopf-Silhouette-Mousse-Super-Hold-250g"," Schwarzkopf Silhouette Mousse Super Hold 250g")</f>
        <v xml:space="preserve"> Schwarzkopf Silhouette Mousse Super Hold 250g</v>
      </c>
      <c r="C8297" t="s">
        <v>32</v>
      </c>
      <c r="D8297" t="s">
        <v>145</v>
      </c>
    </row>
    <row r="8298" spans="1:4" x14ac:dyDescent="0.25">
      <c r="B8298" t="str">
        <f>HYPERLINK("https://www.chemistwarehouse.com.au/buy/7994/Schwarzkopf-Taft-Styling-Lacquer-Maximum-Hold-200g"," Schwarzkopf Taft Styling Lacquer Maximum Hold 200g")</f>
        <v xml:space="preserve"> Schwarzkopf Taft Styling Lacquer Maximum Hold 200g</v>
      </c>
      <c r="C8298" t="s">
        <v>146</v>
      </c>
      <c r="D8298" t="s">
        <v>1451</v>
      </c>
    </row>
    <row r="8299" spans="1:4" x14ac:dyDescent="0.25">
      <c r="B8299" t="str">
        <f>HYPERLINK("https://www.chemistwarehouse.com.au/buy/79581/Schwarzkopf-Extra-Care-Body-and-Texture-Hairspray-250g"," Schwarzkopf Extra Care Body and Texture Hairspray 250g")</f>
        <v xml:space="preserve"> Schwarzkopf Extra Care Body and Texture Hairspray 250g</v>
      </c>
      <c r="C8299" t="s">
        <v>375</v>
      </c>
      <c r="D8299" t="s">
        <v>611</v>
      </c>
    </row>
    <row r="8300" spans="1:4" x14ac:dyDescent="0.25">
      <c r="B8300" t="str">
        <f>HYPERLINK("https://www.chemistwarehouse.com.au/buy/72918/Schwarzkopf-Extra-Care-Strong-Styling-Hairspray-400g-Plus-Bonus-Hairspray-100g"," Schwarzkopf Extra Care Strong Styling Hairspray 400g Plus Bonus Hairspray 100g")</f>
        <v xml:space="preserve"> Schwarzkopf Extra Care Strong Styling Hairspray 400g Plus Bonus Hairspray 100g</v>
      </c>
      <c r="C8300" t="s">
        <v>92</v>
      </c>
      <c r="D8300" t="s">
        <v>312</v>
      </c>
    </row>
    <row r="8301" spans="1:4" x14ac:dyDescent="0.25">
      <c r="B8301" t="str">
        <f>HYPERLINK("https://www.chemistwarehouse.com.au/buy/79580/Schwarzkopf-Extra-Care-Body-and-Texture-Styling-Foundation-50ml"," Schwarzkopf Extra Care Body and Texture Styling Foundation 50ml")</f>
        <v xml:space="preserve"> Schwarzkopf Extra Care Body and Texture Styling Foundation 50ml</v>
      </c>
      <c r="C8301" t="s">
        <v>375</v>
      </c>
      <c r="D8301" t="s">
        <v>611</v>
      </c>
    </row>
    <row r="8302" spans="1:4" x14ac:dyDescent="0.25">
      <c r="B8302" t="str">
        <f>HYPERLINK("https://www.chemistwarehouse.com.au/buy/64627/Schwarzkopf-Extra-Care-Ultimate-Styling-Hairspray-250g"," Schwarzkopf Extra Care Ultimate Styling Hairspray 250g")</f>
        <v xml:space="preserve"> Schwarzkopf Extra Care Ultimate Styling Hairspray 250g</v>
      </c>
      <c r="C8302" t="s">
        <v>375</v>
      </c>
      <c r="D8302" t="s">
        <v>611</v>
      </c>
    </row>
    <row r="8303" spans="1:4" x14ac:dyDescent="0.25">
      <c r="A8303" t="s">
        <v>1877</v>
      </c>
    </row>
    <row r="8304" spans="1:4" x14ac:dyDescent="0.25">
      <c r="B8304" t="str">
        <f>HYPERLINK("https://www.chemistwarehouse.com.au/buy/68792/Sunsilk-Hairspray-Ultra-Strong-Hold-250g"," Sunsilk Hairspray Ultra Strong Hold 250g")</f>
        <v xml:space="preserve"> Sunsilk Hairspray Ultra Strong Hold 250g</v>
      </c>
      <c r="C8304" t="s">
        <v>326</v>
      </c>
      <c r="D8304" t="s">
        <v>781</v>
      </c>
    </row>
    <row r="8305" spans="1:4" x14ac:dyDescent="0.25">
      <c r="A8305" t="s">
        <v>1878</v>
      </c>
    </row>
    <row r="8306" spans="1:4" x14ac:dyDescent="0.25">
      <c r="B8306" t="str">
        <f>HYPERLINK("https://www.chemistwarehouse.com.au/buy/7993/Taft-Hair-Spray-Extra-Strong-Hold-200g"," Taft Hair Spray Extra Strong Hold 200g")</f>
        <v xml:space="preserve"> Taft Hair Spray Extra Strong Hold 200g</v>
      </c>
      <c r="C8306" t="s">
        <v>146</v>
      </c>
      <c r="D8306" t="s">
        <v>1451</v>
      </c>
    </row>
    <row r="8307" spans="1:4" x14ac:dyDescent="0.25">
      <c r="B8307" t="str">
        <f>HYPERLINK("https://www.chemistwarehouse.com.au/buy/62252/Taft-Power-Lacquer-Cashmere-Touch-200g"," Taft Power Lacquer Cashmere Touch 200g")</f>
        <v xml:space="preserve"> Taft Power Lacquer Cashmere Touch 200g</v>
      </c>
      <c r="C8307" t="s">
        <v>146</v>
      </c>
      <c r="D8307" t="s">
        <v>1451</v>
      </c>
    </row>
    <row r="8308" spans="1:4" x14ac:dyDescent="0.25">
      <c r="B8308" t="str">
        <f>HYPERLINK("https://www.chemistwarehouse.com.au/buy/78071/Schwarzkopf-Taft-Lacquer-Mega-Strong-Hold-400g-Twin-Pack"," Schwarzkopf Taft Lacquer Mega Strong Hold 400g Twin Pack")</f>
        <v xml:space="preserve"> Schwarzkopf Taft Lacquer Mega Strong Hold 400g Twin Pack</v>
      </c>
      <c r="C8308" t="s">
        <v>554</v>
      </c>
      <c r="D8308" t="s">
        <v>611</v>
      </c>
    </row>
    <row r="8309" spans="1:4" x14ac:dyDescent="0.25">
      <c r="A8309" t="s">
        <v>1879</v>
      </c>
    </row>
    <row r="8310" spans="1:4" x14ac:dyDescent="0.25">
      <c r="B8310" t="str">
        <f>HYPERLINK("https://www.chemistwarehouse.com.au/buy/73333/Toni-amp-Guy-Casual-Sea-Salt-Texturising-Spray-200ml"," Toni &amp; Guy Casual Sea Salt Texturising Spray 200ml")</f>
        <v xml:space="preserve"> Toni &amp; Guy Casual Sea Salt Texturising Spray 200ml</v>
      </c>
      <c r="C8310" t="s">
        <v>228</v>
      </c>
      <c r="D8310" t="s">
        <v>121</v>
      </c>
    </row>
    <row r="8311" spans="1:4" x14ac:dyDescent="0.25">
      <c r="B8311" t="str">
        <f>HYPERLINK("https://www.chemistwarehouse.com.au/buy/73334/Toni-amp-Guy-Classic-Spray-Gel-For-Curls-150ml"," Toni &amp; Guy Classic Spray Gel For Curls 150ml")</f>
        <v xml:space="preserve"> Toni &amp; Guy Classic Spray Gel For Curls 150ml</v>
      </c>
      <c r="C8311" t="s">
        <v>228</v>
      </c>
      <c r="D8311" t="s">
        <v>121</v>
      </c>
    </row>
    <row r="8312" spans="1:4" x14ac:dyDescent="0.25">
      <c r="B8312" t="str">
        <f>HYPERLINK("https://www.chemistwarehouse.com.au/buy/73335/Toni-amp-Guy-Prep-Heat-Protection-Mist-150ml"," Toni &amp; Guy Prep Heat Protection Mist 150ml")</f>
        <v xml:space="preserve"> Toni &amp; Guy Prep Heat Protection Mist 150ml</v>
      </c>
      <c r="C8312" t="s">
        <v>228</v>
      </c>
      <c r="D8312" t="s">
        <v>121</v>
      </c>
    </row>
    <row r="8313" spans="1:4" x14ac:dyDescent="0.25">
      <c r="A8313" t="s">
        <v>1880</v>
      </c>
    </row>
    <row r="8314" spans="1:4" x14ac:dyDescent="0.25">
      <c r="B8314" t="str">
        <f>HYPERLINK("https://www.chemistwarehouse.com.au/buy/75624/Tresemme-Perfectly-UnDone-Ultra-Brushable-Hairspray-250ml"," Tresemme Perfectly UnDone Ultra Brushable Hairspray 250ml")</f>
        <v xml:space="preserve"> Tresemme Perfectly UnDone Ultra Brushable Hairspray 250ml</v>
      </c>
      <c r="C8314" t="s">
        <v>120</v>
      </c>
      <c r="D8314" t="s">
        <v>119</v>
      </c>
    </row>
    <row r="8315" spans="1:4" x14ac:dyDescent="0.25">
      <c r="B8315" t="str">
        <f>HYPERLINK("https://www.chemistwarehouse.com.au/buy/52717/Tresemme-Hair-Spray-Extra-Hold-360g"," Tresemme Hair Spray Extra Hold 360g")</f>
        <v xml:space="preserve"> Tresemme Hair Spray Extra Hold 360g</v>
      </c>
      <c r="C8315" t="s">
        <v>483</v>
      </c>
      <c r="D8315" t="s">
        <v>1881</v>
      </c>
    </row>
    <row r="8316" spans="1:4" x14ac:dyDescent="0.25">
      <c r="B8316" t="str">
        <f>HYPERLINK("https://www.chemistwarehouse.com.au/buy/56973/TRESemme-Hairspray-Freeze-Hold-360g"," TRESemme Hairspray Freeze Hold 360g")</f>
        <v xml:space="preserve"> TRESemme Hairspray Freeze Hold 360g</v>
      </c>
      <c r="C8316" t="s">
        <v>483</v>
      </c>
      <c r="D8316" t="s">
        <v>104</v>
      </c>
    </row>
    <row r="8317" spans="1:4" x14ac:dyDescent="0.25">
      <c r="B8317" t="str">
        <f>HYPERLINK("https://www.chemistwarehouse.com.au/buy/63046/TRESemme-Hairspray-Extra-Hold-75g"," TRESemme Hairspray Extra Hold 75g ")</f>
        <v xml:space="preserve"> TRESemme Hairspray Extra Hold 75g </v>
      </c>
      <c r="C8317" t="s">
        <v>635</v>
      </c>
      <c r="D8317" t="s">
        <v>312</v>
      </c>
    </row>
    <row r="8318" spans="1:4" x14ac:dyDescent="0.25">
      <c r="B8318" t="str">
        <f>HYPERLINK("https://www.chemistwarehouse.com.au/buy/63047/TRESemme-Hairspray-Freeze-Hold-75g"," TRESemme Hairspray Freeze Hold 75g")</f>
        <v xml:space="preserve"> TRESemme Hairspray Freeze Hold 75g</v>
      </c>
      <c r="C8318" t="s">
        <v>635</v>
      </c>
      <c r="D8318" t="s">
        <v>312</v>
      </c>
    </row>
    <row r="8319" spans="1:4" x14ac:dyDescent="0.25">
      <c r="B8319" t="str">
        <f>HYPERLINK("https://www.chemistwarehouse.com.au/buy/75621/Tresemme-Perfectly-UnDone-Definition-Dry-Spray-200ml"," Tresemme Perfectly UnDone Definition Dry Spray 200ml")</f>
        <v xml:space="preserve"> Tresemme Perfectly UnDone Definition Dry Spray 200ml</v>
      </c>
      <c r="C8319" t="s">
        <v>120</v>
      </c>
      <c r="D8319" t="s">
        <v>119</v>
      </c>
    </row>
    <row r="8320" spans="1:4" x14ac:dyDescent="0.25">
      <c r="B8320" t="str">
        <f>HYPERLINK("https://www.chemistwarehouse.com.au/buy/75623/Tresemme-Perfectly-UnDone-Tousling-Sea-Salt-Spray-200ml"," Tresemme Perfectly UnDone Tousling Sea Salt Spray 200ml")</f>
        <v xml:space="preserve"> Tresemme Perfectly UnDone Tousling Sea Salt Spray 200ml</v>
      </c>
      <c r="C8320" t="s">
        <v>120</v>
      </c>
      <c r="D8320" t="s">
        <v>119</v>
      </c>
    </row>
    <row r="8321" spans="1:4" x14ac:dyDescent="0.25">
      <c r="A8321" t="s">
        <v>1882</v>
      </c>
    </row>
    <row r="8322" spans="1:4" x14ac:dyDescent="0.25">
      <c r="B8322" t="str">
        <f>HYPERLINK("https://www.chemistwarehouse.com.au/buy/8350/VO5-Adv-Hair-Spray-Extra-Firm-200g"," VO5 Adv Hair Spray Extra Firm 200g")</f>
        <v xml:space="preserve"> VO5 Adv Hair Spray Extra Firm 200g</v>
      </c>
      <c r="C8322" t="s">
        <v>728</v>
      </c>
      <c r="D8322" t="s">
        <v>1086</v>
      </c>
    </row>
    <row r="8323" spans="1:4" x14ac:dyDescent="0.25">
      <c r="B8323" t="str">
        <f>HYPERLINK("https://www.chemistwarehouse.com.au/buy/62946/VO5-Firm-Hold-Hairspray-200g"," VO5 Firm Hold Hairspray 200g")</f>
        <v xml:space="preserve"> VO5 Firm Hold Hairspray 200g</v>
      </c>
      <c r="C8323" t="s">
        <v>146</v>
      </c>
      <c r="D8323" t="s">
        <v>593</v>
      </c>
    </row>
    <row r="8324" spans="1:4" x14ac:dyDescent="0.25">
      <c r="A8324" t="s">
        <v>1883</v>
      </c>
    </row>
    <row r="8325" spans="1:4" x14ac:dyDescent="0.25">
      <c r="B8325" t="str">
        <f>HYPERLINK("https://www.chemistwarehouse.com.au/buy/81931/Enliven-Ultra-Hold-Hairspray-300ml"," Enliven Ultra Hold Hairspray 300ml")</f>
        <v xml:space="preserve"> Enliven Ultra Hold Hairspray 300ml</v>
      </c>
      <c r="C8325" t="s">
        <v>146</v>
      </c>
      <c r="D8325" t="s">
        <v>371</v>
      </c>
    </row>
    <row r="8326" spans="1:4" x14ac:dyDescent="0.25">
      <c r="A8326" t="s">
        <v>1884</v>
      </c>
    </row>
    <row r="8327" spans="1:4" x14ac:dyDescent="0.25">
      <c r="B8327" t="str">
        <f>HYPERLINK("https://www.chemistwarehouse.com.au/buy/82191/Redken-Forceful-23-Super-Strength-Finishing-Hairspray-400ml"," Redken Forceful 23 Super Strength Finishing Hairspray 400ml")</f>
        <v xml:space="preserve"> Redken Forceful 23 Super Strength Finishing Hairspray 400ml</v>
      </c>
      <c r="C8327" t="s">
        <v>161</v>
      </c>
      <c r="D8327" t="s">
        <v>350</v>
      </c>
    </row>
    <row r="8328" spans="1:4" x14ac:dyDescent="0.25">
      <c r="B8328" t="str">
        <f>HYPERLINK("https://www.chemistwarehouse.com.au/buy/82193/Redken-Quick-Dry-18-Instant-Finishing-Hairspray-400ml"," Redken Quick Dry 18 Instant Finishing Hairspray 400ml ")</f>
        <v xml:space="preserve"> Redken Quick Dry 18 Instant Finishing Hairspray 400ml </v>
      </c>
      <c r="C8328" t="s">
        <v>161</v>
      </c>
      <c r="D8328" t="s">
        <v>350</v>
      </c>
    </row>
    <row r="8329" spans="1:4" x14ac:dyDescent="0.25">
      <c r="A8329" t="s">
        <v>1885</v>
      </c>
    </row>
    <row r="8330" spans="1:4" x14ac:dyDescent="0.25">
      <c r="B8330" t="str">
        <f>HYPERLINK("https://www.chemistwarehouse.com.au/buy/82375/Pantene-Ice-Shine-Hair-Spray-300ml"," Pantene Ice Shine Hair Spray 300ml")</f>
        <v xml:space="preserve"> Pantene Ice Shine Hair Spray 300ml</v>
      </c>
      <c r="C8330" t="s">
        <v>483</v>
      </c>
      <c r="D8330">
        <v>0</v>
      </c>
    </row>
    <row r="8331" spans="1:4" x14ac:dyDescent="0.25">
      <c r="A8331" t="s">
        <v>1886</v>
      </c>
    </row>
    <row r="8332" spans="1:4" x14ac:dyDescent="0.25">
      <c r="B8332" t="str">
        <f>HYPERLINK("https://www.chemistwarehouse.com.au/buy/60083/Schwarzkopf-Extra-Care-Styling-Mousse-Strong-150g"," Schwarzkopf Extra Care Styling Mousse Strong 150g")</f>
        <v xml:space="preserve"> Schwarzkopf Extra Care Styling Mousse Strong 150g</v>
      </c>
      <c r="C8332" t="s">
        <v>483</v>
      </c>
      <c r="D8332" t="s">
        <v>371</v>
      </c>
    </row>
    <row r="8333" spans="1:4" x14ac:dyDescent="0.25">
      <c r="B8333" t="str">
        <f>HYPERLINK("https://www.chemistwarehouse.com.au/buy/60087/Schwarzkopf-Extra-Care-Volume-Power-Mousse-150g"," Schwarzkopf Extra Care Volume Power Mousse 150g")</f>
        <v xml:space="preserve"> Schwarzkopf Extra Care Volume Power Mousse 150g</v>
      </c>
      <c r="C8333" t="s">
        <v>483</v>
      </c>
      <c r="D8333" t="s">
        <v>371</v>
      </c>
    </row>
    <row r="8334" spans="1:4" x14ac:dyDescent="0.25">
      <c r="B8334" t="str">
        <f>HYPERLINK("https://www.chemistwarehouse.com.au/buy/60090/Schwarzkopf-Extra-Care-Curl-Flex-Mousse-150g"," Schwarzkopf Extra Care Curl Flex Mousse 150g")</f>
        <v xml:space="preserve"> Schwarzkopf Extra Care Curl Flex Mousse 150g</v>
      </c>
      <c r="C8334" t="s">
        <v>483</v>
      </c>
      <c r="D8334" t="s">
        <v>371</v>
      </c>
    </row>
    <row r="8335" spans="1:4" x14ac:dyDescent="0.25">
      <c r="B8335" t="str">
        <f>HYPERLINK("https://www.chemistwarehouse.com.au/buy/60568/John-Frieda-Luxurious-Volume-Mousse-212ml"," John Frieda Luxurious Volume Mousse 212ml")</f>
        <v xml:space="preserve"> John Frieda Luxurious Volume Mousse 212ml</v>
      </c>
      <c r="C8335" t="s">
        <v>228</v>
      </c>
      <c r="D8335" t="s">
        <v>121</v>
      </c>
    </row>
    <row r="8336" spans="1:4" x14ac:dyDescent="0.25">
      <c r="B8336" t="str">
        <f>HYPERLINK("https://www.chemistwarehouse.com.au/buy/61529/Herbal-Essence-Mousse-Tousle-Me-Softly-192g"," Herbal Essence Mousse Tousle Me Softly 192g")</f>
        <v xml:space="preserve"> Herbal Essence Mousse Tousle Me Softly 192g</v>
      </c>
      <c r="C8336" t="s">
        <v>116</v>
      </c>
      <c r="D8336" t="s">
        <v>593</v>
      </c>
    </row>
    <row r="8337" spans="1:4" x14ac:dyDescent="0.25">
      <c r="B8337" t="str">
        <f>HYPERLINK("https://www.chemistwarehouse.com.au/buy/62251/Taft-Cashmere-Touch-Power-Mousse-Mega-Strong-Hold-200g"," Taft Cashmere Touch Power Mousse Mega Strong Hold 200g")</f>
        <v xml:space="preserve"> Taft Cashmere Touch Power Mousse Mega Strong Hold 200g</v>
      </c>
      <c r="C8337" t="s">
        <v>728</v>
      </c>
      <c r="D8337" t="s">
        <v>371</v>
      </c>
    </row>
    <row r="8338" spans="1:4" x14ac:dyDescent="0.25">
      <c r="B8338" t="str">
        <f>HYPERLINK("https://www.chemistwarehouse.com.au/buy/7995/Taft-Mousse-Curl-Definition-200g"," Taft Mousse Curl Definition 200g")</f>
        <v xml:space="preserve"> Taft Mousse Curl Definition 200g</v>
      </c>
      <c r="C8338" t="s">
        <v>728</v>
      </c>
      <c r="D8338" t="s">
        <v>371</v>
      </c>
    </row>
    <row r="8339" spans="1:4" x14ac:dyDescent="0.25">
      <c r="B8339" t="str">
        <f>HYPERLINK("https://www.chemistwarehouse.com.au/buy/7997/Taft-Styling-Mousse-Maximum-Hold-200g"," Taft Styling Mousse Maximum Hold 200g")</f>
        <v xml:space="preserve"> Taft Styling Mousse Maximum Hold 200g</v>
      </c>
      <c r="C8339" t="s">
        <v>728</v>
      </c>
      <c r="D8339" t="s">
        <v>371</v>
      </c>
    </row>
    <row r="8340" spans="1:4" x14ac:dyDescent="0.25">
      <c r="B8340" t="str">
        <f>HYPERLINK("https://www.chemistwarehouse.com.au/buy/48721/VO5-Styling-Mousse-Mega-Hold-200g"," VO5 Styling Mousse Mega Hold 200g")</f>
        <v xml:space="preserve"> VO5 Styling Mousse Mega Hold 200g</v>
      </c>
      <c r="C8340" t="s">
        <v>728</v>
      </c>
      <c r="D8340" t="s">
        <v>561</v>
      </c>
    </row>
    <row r="8341" spans="1:4" x14ac:dyDescent="0.25">
      <c r="B8341" t="str">
        <f>HYPERLINK("https://www.chemistwarehouse.com.au/buy/55022/Clairol-Final-Net-Form-Mousse-200g"," Clairol Final Net Form Mousse 200g")</f>
        <v xml:space="preserve"> Clairol Final Net Form Mousse 200g</v>
      </c>
      <c r="C8341" t="s">
        <v>103</v>
      </c>
      <c r="D8341" t="s">
        <v>557</v>
      </c>
    </row>
    <row r="8342" spans="1:4" x14ac:dyDescent="0.25">
      <c r="B8342" t="str">
        <f>HYPERLINK("https://www.chemistwarehouse.com.au/buy/64628/Extra-Care-Ultimate-Styling-Mousse-150g"," Extra Care Ultimate Styling Mousse 150g")</f>
        <v xml:space="preserve"> Extra Care Ultimate Styling Mousse 150g</v>
      </c>
      <c r="C8342" t="s">
        <v>483</v>
      </c>
      <c r="D8342" t="s">
        <v>371</v>
      </c>
    </row>
    <row r="8343" spans="1:4" x14ac:dyDescent="0.25">
      <c r="B8343" t="str">
        <f>HYPERLINK("https://www.chemistwarehouse.com.au/buy/67639/John-Frieda-Frizz-Ease-Curl-Reviver-Styling-Mousse-210g"," John Frieda Frizz Ease Curl Reviver Styling Mousse 210g")</f>
        <v xml:space="preserve"> John Frieda Frizz Ease Curl Reviver Styling Mousse 210g</v>
      </c>
      <c r="C8343" t="s">
        <v>228</v>
      </c>
      <c r="D8343" t="s">
        <v>121</v>
      </c>
    </row>
    <row r="8344" spans="1:4" x14ac:dyDescent="0.25">
      <c r="B8344" t="str">
        <f>HYPERLINK("https://www.chemistwarehouse.com.au/buy/75142/John-Frieda-Frizz-Ease-Dream-Curls-Air-Dry-Waves-Foam-147ml"," John Frieda Frizz Ease Dream Curls Air Dry Waves Foam 147ml")</f>
        <v xml:space="preserve"> John Frieda Frizz Ease Dream Curls Air Dry Waves Foam 147ml</v>
      </c>
      <c r="C8344" t="s">
        <v>292</v>
      </c>
      <c r="D8344" t="s">
        <v>121</v>
      </c>
    </row>
    <row r="8345" spans="1:4" x14ac:dyDescent="0.25">
      <c r="B8345" t="str">
        <f>HYPERLINK("https://www.chemistwarehouse.com.au/buy/75144/Schwarzkopf-Styliste-Ultime-Amino-Q-Foam-Mousse-Ultra-Strong-200g"," Schwarzkopf Styliste Ultime Amino Q Foam Mousse Ultra Strong 200g")</f>
        <v xml:space="preserve"> Schwarzkopf Styliste Ultime Amino Q Foam Mousse Ultra Strong 200g</v>
      </c>
      <c r="C8345" t="s">
        <v>240</v>
      </c>
      <c r="D8345" t="s">
        <v>561</v>
      </c>
    </row>
    <row r="8346" spans="1:4" x14ac:dyDescent="0.25">
      <c r="B8346" t="str">
        <f>HYPERLINK("https://www.chemistwarehouse.com.au/buy/81932/Enliven-Ultra-Hold-Mousse-300ml"," Enliven Ultra Hold Mousse 300ml")</f>
        <v xml:space="preserve"> Enliven Ultra Hold Mousse 300ml</v>
      </c>
      <c r="C8346" t="s">
        <v>146</v>
      </c>
      <c r="D8346" t="s">
        <v>371</v>
      </c>
    </row>
    <row r="8347" spans="1:4" x14ac:dyDescent="0.25">
      <c r="B8347" t="str">
        <f>HYPERLINK("https://www.chemistwarehouse.com.au/buy/64073/Minuet-Salon-Professional-Styling-Mousse-400ml"," Minuet Salon Professional Styling Mousse 400ml")</f>
        <v xml:space="preserve"> Minuet Salon Professional Styling Mousse 400ml</v>
      </c>
      <c r="C8347" t="s">
        <v>483</v>
      </c>
      <c r="D8347" t="s">
        <v>371</v>
      </c>
    </row>
    <row r="8348" spans="1:4" x14ac:dyDescent="0.25">
      <c r="A8348" t="s">
        <v>1887</v>
      </c>
    </row>
    <row r="8349" spans="1:4" x14ac:dyDescent="0.25">
      <c r="B8349" t="str">
        <f>HYPERLINK("https://www.chemistwarehouse.com.au/buy/54395/Garnier-Fructis-Style-Surf-Hair-Paste-150ml"," Garnier Fructis Style Surf Hair Paste 150ml")</f>
        <v xml:space="preserve"> Garnier Fructis Style Surf Hair Paste 150ml</v>
      </c>
      <c r="C8349" t="s">
        <v>786</v>
      </c>
      <c r="D8349" t="s">
        <v>332</v>
      </c>
    </row>
    <row r="8350" spans="1:4" x14ac:dyDescent="0.25">
      <c r="B8350" t="str">
        <f>HYPERLINK("https://www.chemistwarehouse.com.au/buy/64630/Schwarzkopf-Extra-Care-Styling-Power-N-Touch-Crunch-Gum-85ml"," Schwarzkopf Extra Care Styling Power N Touch Crunch Gum 85ml")</f>
        <v xml:space="preserve"> Schwarzkopf Extra Care Styling Power N Touch Crunch Gum 85ml</v>
      </c>
      <c r="C8350" t="s">
        <v>242</v>
      </c>
      <c r="D8350" t="s">
        <v>561</v>
      </c>
    </row>
    <row r="8351" spans="1:4" x14ac:dyDescent="0.25">
      <c r="B8351" t="str">
        <f>HYPERLINK("https://www.chemistwarehouse.com.au/buy/64631/Schwarzkopf-Extra-Care-Styling-Power-N-Touch-Wax-85ml"," Schwarzkopf Extra Care Styling Power N Touch Wax 85ml")</f>
        <v xml:space="preserve"> Schwarzkopf Extra Care Styling Power N Touch Wax 85ml</v>
      </c>
      <c r="C8351" t="s">
        <v>242</v>
      </c>
      <c r="D8351" t="s">
        <v>561</v>
      </c>
    </row>
    <row r="8352" spans="1:4" x14ac:dyDescent="0.25">
      <c r="B8352" t="str">
        <f>HYPERLINK("https://www.chemistwarehouse.com.au/buy/73329/Lynx-Clean-Cut-Look-Defining-Wax-75ml"," Lynx Clean Cut Look Defining Wax 75ml")</f>
        <v xml:space="preserve"> Lynx Clean Cut Look Defining Wax 75ml</v>
      </c>
      <c r="C8352" t="s">
        <v>240</v>
      </c>
      <c r="D8352" t="s">
        <v>561</v>
      </c>
    </row>
    <row r="8353" spans="1:4" x14ac:dyDescent="0.25">
      <c r="B8353" t="str">
        <f>HYPERLINK("https://www.chemistwarehouse.com.au/buy/79126/Lynx-Urban-Messy-Look-Flexible-Paste-75ml"," Lynx Urban Messy Look Flexible Paste 75ml")</f>
        <v xml:space="preserve"> Lynx Urban Messy Look Flexible Paste 75ml</v>
      </c>
      <c r="C8353" t="s">
        <v>240</v>
      </c>
      <c r="D8353" t="s">
        <v>561</v>
      </c>
    </row>
    <row r="8354" spans="1:4" x14ac:dyDescent="0.25">
      <c r="B8354" t="str">
        <f>HYPERLINK("https://www.chemistwarehouse.com.au/buy/79502/Taft-Full-On-Modelling-Wax-100ml"," Taft Full On Modelling Wax 100ml")</f>
        <v xml:space="preserve"> Taft Full On Modelling Wax 100ml</v>
      </c>
      <c r="C8354" t="s">
        <v>326</v>
      </c>
      <c r="D8354" t="s">
        <v>121</v>
      </c>
    </row>
    <row r="8355" spans="1:4" x14ac:dyDescent="0.25">
      <c r="B8355" t="str">
        <f>HYPERLINK("https://www.chemistwarehouse.com.au/buy/79652/Vo5-Extreme-Rework-Putty-150ml"," Vo5 Extreme Rework Putty 150ml ")</f>
        <v xml:space="preserve"> Vo5 Extreme Rework Putty 150ml </v>
      </c>
      <c r="C8355" t="s">
        <v>116</v>
      </c>
      <c r="D8355" t="s">
        <v>115</v>
      </c>
    </row>
    <row r="8356" spans="1:4" x14ac:dyDescent="0.25">
      <c r="B8356" t="str">
        <f>HYPERLINK("https://www.chemistwarehouse.com.au/buy/78536/Garnier-Fructis-Style-Manga-Head-Putty-150ml"," Garnier Fructis Style Manga Head Putty 150ml ")</f>
        <v xml:space="preserve"> Garnier Fructis Style Manga Head Putty 150ml </v>
      </c>
      <c r="C8356" t="s">
        <v>786</v>
      </c>
      <c r="D8356" t="s">
        <v>332</v>
      </c>
    </row>
    <row r="8357" spans="1:4" x14ac:dyDescent="0.25">
      <c r="A8357" t="s">
        <v>1888</v>
      </c>
    </row>
    <row r="8358" spans="1:4" x14ac:dyDescent="0.25">
      <c r="B8358" t="str">
        <f>HYPERLINK("https://www.chemistwarehouse.com.au/buy/64921/Schwarzkopf-Extra-Care-Instant-Volume-Powder-10g"," Schwarzkopf Extra Care Instant Volume Powder 10g")</f>
        <v xml:space="preserve"> Schwarzkopf Extra Care Instant Volume Powder 10g</v>
      </c>
      <c r="C8358" t="s">
        <v>103</v>
      </c>
      <c r="D8358" t="s">
        <v>371</v>
      </c>
    </row>
    <row r="8359" spans="1:4" x14ac:dyDescent="0.25">
      <c r="B8359" t="str">
        <f>HYPERLINK("https://www.chemistwarehouse.com.au/buy/79508/Taft-Full-On-Beach-Look-Styling-Powder-10g"," Taft Full On Beach Look Styling Powder 10g")</f>
        <v xml:space="preserve"> Taft Full On Beach Look Styling Powder 10g</v>
      </c>
      <c r="C8359" t="s">
        <v>326</v>
      </c>
      <c r="D8359" t="s">
        <v>121</v>
      </c>
    </row>
    <row r="8360" spans="1:4" x14ac:dyDescent="0.25">
      <c r="B8360" t="str">
        <f>HYPERLINK("https://www.chemistwarehouse.com.au/buy/75147/Schwarzkopf-Styliste-Ultime-Sea-Salt-Beach-Look-Texture-Powder-10g"," Schwarzkopf Styliste Ultime Sea Salt Beach Look Texture Powder 10g")</f>
        <v xml:space="preserve"> Schwarzkopf Styliste Ultime Sea Salt Beach Look Texture Powder 10g</v>
      </c>
      <c r="C8360" t="s">
        <v>240</v>
      </c>
      <c r="D8360" t="s">
        <v>561</v>
      </c>
    </row>
    <row r="8361" spans="1:4" x14ac:dyDescent="0.25">
      <c r="A8361" t="s">
        <v>1889</v>
      </c>
    </row>
    <row r="8362" spans="1:4" x14ac:dyDescent="0.25">
      <c r="B8362" t="str">
        <f>HYPERLINK("https://www.chemistwarehouse.com.au/buy/79956/Kardashian-Beauty-Black-Seed-Dry-Oil-89ml"," Kardashian Beauty Black Seed Dry Oil 89ml")</f>
        <v xml:space="preserve"> Kardashian Beauty Black Seed Dry Oil 89ml</v>
      </c>
      <c r="C8362" t="s">
        <v>161</v>
      </c>
      <c r="D8362" t="s">
        <v>354</v>
      </c>
    </row>
    <row r="8363" spans="1:4" x14ac:dyDescent="0.25">
      <c r="B8363" t="str">
        <f>HYPERLINK("https://www.chemistwarehouse.com.au/buy/79957/Kardashian-Beauty-K-Body-Volume-Foam-284g"," Kardashian Beauty K Body Volume Foam 284g")</f>
        <v xml:space="preserve"> Kardashian Beauty K Body Volume Foam 284g</v>
      </c>
      <c r="C8363" t="s">
        <v>63</v>
      </c>
      <c r="D8363" t="s">
        <v>615</v>
      </c>
    </row>
    <row r="8364" spans="1:4" x14ac:dyDescent="0.25">
      <c r="B8364" t="str">
        <f>HYPERLINK("https://www.chemistwarehouse.com.au/buy/79958/Kardashian-Beauty-Pure-Glitz-Hair-Spray-340g"," Kardashian Beauty Pure Glitz Hair Spray 340g")</f>
        <v xml:space="preserve"> Kardashian Beauty Pure Glitz Hair Spray 340g</v>
      </c>
      <c r="C8364" t="s">
        <v>63</v>
      </c>
      <c r="D8364" t="s">
        <v>615</v>
      </c>
    </row>
    <row r="8365" spans="1:4" x14ac:dyDescent="0.25">
      <c r="B8365" t="str">
        <f>HYPERLINK("https://www.chemistwarehouse.com.au/buy/79959/Kardashian-Beauty-Smooth-Styler-Blow-Dry-Cream-177ml"," Kardashian Beauty Smooth Styler Blow Dry Cream 177ml")</f>
        <v xml:space="preserve"> Kardashian Beauty Smooth Styler Blow Dry Cream 177ml</v>
      </c>
      <c r="C8365" t="s">
        <v>63</v>
      </c>
      <c r="D8365" t="s">
        <v>615</v>
      </c>
    </row>
    <row r="8366" spans="1:4" x14ac:dyDescent="0.25">
      <c r="B8366" t="str">
        <f>HYPERLINK("https://www.chemistwarehouse.com.au/buy/79960/Kardashian-Beauty-Take-2-Dry-Shampoo-150g"," Kardashian Beauty Take 2 Dry Shampoo 150g")</f>
        <v xml:space="preserve"> Kardashian Beauty Take 2 Dry Shampoo 150g</v>
      </c>
      <c r="C8366" t="s">
        <v>63</v>
      </c>
      <c r="D8366" t="s">
        <v>615</v>
      </c>
    </row>
    <row r="8367" spans="1:4" x14ac:dyDescent="0.25">
      <c r="B8367" t="str">
        <f>HYPERLINK("https://www.chemistwarehouse.com.au/buy/79961/Kardashian-Beauty-Twirl-Me-Curl-Defining-Cream-Gel-147ml"," Kardashian Beauty Twirl Me Curl Defining Cream Gel 147ml")</f>
        <v xml:space="preserve"> Kardashian Beauty Twirl Me Curl Defining Cream Gel 147ml</v>
      </c>
      <c r="C8367" t="s">
        <v>63</v>
      </c>
      <c r="D8367" t="s">
        <v>615</v>
      </c>
    </row>
    <row r="8368" spans="1:4" x14ac:dyDescent="0.25">
      <c r="C8368" t="s">
        <v>1890</v>
      </c>
      <c r="D8368" t="s">
        <v>1241</v>
      </c>
    </row>
    <row r="8369" spans="1:4" x14ac:dyDescent="0.25">
      <c r="B8369" t="str">
        <f>HYPERLINK("https://www.chemistwarehouse.com.au/buy/80623/Kardashian-Beauty-3-in-1-Ceramic-Hairstyling-Iron-Online-Only"," Kardashian Beauty 3 in 1 Ceramic Hairstyling Iron Online Only")</f>
        <v xml:space="preserve"> Kardashian Beauty 3 in 1 Ceramic Hairstyling Iron Online Only</v>
      </c>
      <c r="C8369" t="s">
        <v>1891</v>
      </c>
      <c r="D8369" t="s">
        <v>1241</v>
      </c>
    </row>
    <row r="8370" spans="1:4" x14ac:dyDescent="0.25">
      <c r="B8370" t="str">
        <f>HYPERLINK("https://www.chemistwarehouse.com.au/buy/80624/Kardashian-Beauty-Premium-Finish-Hair-Dryer-1875-Watt-Online-Only"," Kardashian Beauty Premium Finish Hair Dryer 1875 Watt Online Only")</f>
        <v xml:space="preserve"> Kardashian Beauty Premium Finish Hair Dryer 1875 Watt Online Only</v>
      </c>
      <c r="C8370" t="s">
        <v>771</v>
      </c>
      <c r="D8370" t="s">
        <v>1241</v>
      </c>
    </row>
    <row r="8371" spans="1:4" x14ac:dyDescent="0.25">
      <c r="A8371" t="s">
        <v>1892</v>
      </c>
    </row>
    <row r="8372" spans="1:4" x14ac:dyDescent="0.25">
      <c r="B8372" t="str">
        <f>HYPERLINK("https://www.chemistwarehouse.com.au/buy/68502/Hedrin-15min-Liquid-Gel-100ml"," Hedrin 15min Liquid Gel 100ml")</f>
        <v xml:space="preserve"> Hedrin 15min Liquid Gel 100ml</v>
      </c>
      <c r="C8372" t="s">
        <v>58</v>
      </c>
      <c r="D8372" t="s">
        <v>115</v>
      </c>
    </row>
    <row r="8373" spans="1:4" x14ac:dyDescent="0.25">
      <c r="B8373" t="str">
        <f>HYPERLINK("https://www.chemistwarehouse.com.au/buy/68503/Hedrin-15min-Gel-100ml-Spray"," Hedrin 15min Gel 100ml Spray")</f>
        <v xml:space="preserve"> Hedrin 15min Gel 100ml Spray</v>
      </c>
      <c r="C8373" t="s">
        <v>61</v>
      </c>
      <c r="D8373" t="s">
        <v>115</v>
      </c>
    </row>
    <row r="8374" spans="1:4" x14ac:dyDescent="0.25">
      <c r="A8374" t="s">
        <v>1893</v>
      </c>
    </row>
    <row r="8375" spans="1:4" x14ac:dyDescent="0.25">
      <c r="B8375" t="str">
        <f>HYPERLINK("https://www.chemistwarehouse.com.au/buy/54723/Neutralice-Headlice-Lotion-200ml"," Neutralice Headlice Lotion 200ml")</f>
        <v xml:space="preserve"> Neutralice Headlice Lotion 200ml</v>
      </c>
      <c r="C8375" t="s">
        <v>61</v>
      </c>
      <c r="D8375" t="s">
        <v>397</v>
      </c>
    </row>
    <row r="8376" spans="1:4" x14ac:dyDescent="0.25">
      <c r="B8376" t="str">
        <f>HYPERLINK("https://www.chemistwarehouse.com.au/buy/54736/NeutraLice-Spray-200ml"," NeutraLice Spray 200ml")</f>
        <v xml:space="preserve"> NeutraLice Spray 200ml</v>
      </c>
      <c r="C8376" t="s">
        <v>61</v>
      </c>
      <c r="D8376" t="s">
        <v>397</v>
      </c>
    </row>
    <row r="8377" spans="1:4" x14ac:dyDescent="0.25">
      <c r="B8377" t="str">
        <f>HYPERLINK("https://www.chemistwarehouse.com.au/buy/59143/Neutralice-Advance-200ml"," Neutralice Advance 200ml")</f>
        <v xml:space="preserve"> Neutralice Advance 200ml</v>
      </c>
      <c r="C8377" t="s">
        <v>61</v>
      </c>
      <c r="D8377" t="s">
        <v>397</v>
      </c>
    </row>
    <row r="8378" spans="1:4" x14ac:dyDescent="0.25">
      <c r="B8378" t="str">
        <f>HYPERLINK("https://www.chemistwarehouse.com.au/buy/61230/Neutralice-Conditioner-Shampoo-200ml"," Neutralice Conditioner Shampoo 200ml")</f>
        <v xml:space="preserve"> Neutralice Conditioner Shampoo 200ml</v>
      </c>
      <c r="C8378" t="s">
        <v>317</v>
      </c>
      <c r="D8378" t="s">
        <v>325</v>
      </c>
    </row>
    <row r="8379" spans="1:4" x14ac:dyDescent="0.25">
      <c r="B8379" t="str">
        <f>HYPERLINK("https://www.chemistwarehouse.com.au/buy/71018/Neutralice-Advance-Family-Value-Pack-475ml"," Neutralice Advance Family Value Pack 475ml")</f>
        <v xml:space="preserve"> Neutralice Advance Family Value Pack 475ml</v>
      </c>
      <c r="C8379" t="s">
        <v>279</v>
      </c>
      <c r="D8379" t="s">
        <v>165</v>
      </c>
    </row>
    <row r="8380" spans="1:4" x14ac:dyDescent="0.25">
      <c r="B8380" t="str">
        <f>HYPERLINK("https://www.chemistwarehouse.com.au/buy/74361/Neutralice-Nit-Comb-M3"," Neutralice Nit Comb M3")</f>
        <v xml:space="preserve"> Neutralice Nit Comb M3</v>
      </c>
      <c r="C8380" t="s">
        <v>290</v>
      </c>
      <c r="D8380" t="s">
        <v>799</v>
      </c>
    </row>
    <row r="8381" spans="1:4" x14ac:dyDescent="0.25">
      <c r="A8381" t="s">
        <v>1894</v>
      </c>
    </row>
    <row r="8382" spans="1:4" x14ac:dyDescent="0.25">
      <c r="B8382" t="str">
        <f>HYPERLINK("https://www.chemistwarehouse.com.au/buy/52708/1000-Hour-Eyelash-amp-Brow-Dye-Kit-Dark-Brown"," 1000 Hour Eyelash &amp; Brow Dye Kit Dark Brown")</f>
        <v xml:space="preserve"> 1000 Hour Eyelash &amp; Brow Dye Kit Dark Brown</v>
      </c>
      <c r="C8382" t="s">
        <v>61</v>
      </c>
      <c r="D8382" t="s">
        <v>150</v>
      </c>
    </row>
    <row r="8383" spans="1:4" x14ac:dyDescent="0.25">
      <c r="B8383" t="str">
        <f>HYPERLINK("https://www.chemistwarehouse.com.au/buy/52692/1000-Hour-Eyelash-amp-Brow-Dye-Kit-Blue-Black"," 1000 Hour Eyelash &amp; Brow Dye Kit Blue/Black")</f>
        <v xml:space="preserve"> 1000 Hour Eyelash &amp; Brow Dye Kit Blue/Black</v>
      </c>
      <c r="C8383" t="s">
        <v>61</v>
      </c>
      <c r="D8383" t="s">
        <v>150</v>
      </c>
    </row>
    <row r="8384" spans="1:4" x14ac:dyDescent="0.25">
      <c r="B8384" t="str">
        <f>HYPERLINK("https://www.chemistwarehouse.com.au/buy/52709/1000-Hour-Eyelash-amp-Brow-Dye-Kit-Black"," 1000 Hour Eyelash &amp; Brow Dye Kit Black")</f>
        <v xml:space="preserve"> 1000 Hour Eyelash &amp; Brow Dye Kit Black</v>
      </c>
      <c r="C8384" t="s">
        <v>61</v>
      </c>
      <c r="D8384" t="s">
        <v>150</v>
      </c>
    </row>
    <row r="8385" spans="1:4" x14ac:dyDescent="0.25">
      <c r="B8385" t="str">
        <f>HYPERLINK("https://www.chemistwarehouse.com.au/buy/52739/1000-Hour-Eyelash-amp-Brow-Dye-Kit-Brown-Black"," 1000 Hour Eyelash &amp; Brow Dye Kit Brown/Black")</f>
        <v xml:space="preserve"> 1000 Hour Eyelash &amp; Brow Dye Kit Brown/Black</v>
      </c>
      <c r="C8385" t="s">
        <v>61</v>
      </c>
      <c r="D8385" t="s">
        <v>150</v>
      </c>
    </row>
    <row r="8386" spans="1:4" x14ac:dyDescent="0.25">
      <c r="B8386" t="str">
        <f>HYPERLINK("https://www.chemistwarehouse.com.au/buy/74785/1000-Hour-Hair-Color-Mascara-Black"," 1000 Hour Hair Color Mascara Black")</f>
        <v xml:space="preserve"> 1000 Hour Hair Color Mascara Black</v>
      </c>
      <c r="C8386" t="s">
        <v>45</v>
      </c>
      <c r="D8386" t="s">
        <v>115</v>
      </c>
    </row>
    <row r="8387" spans="1:4" x14ac:dyDescent="0.25">
      <c r="B8387" t="str">
        <f>HYPERLINK("https://www.chemistwarehouse.com.au/buy/74786/1000-Hour-Hair-Color-Mascara-Dark-Brown"," 1000 Hour Hair Color Mascara Dark Brown")</f>
        <v xml:space="preserve"> 1000 Hour Hair Color Mascara Dark Brown</v>
      </c>
      <c r="C8387" t="s">
        <v>45</v>
      </c>
      <c r="D8387" t="s">
        <v>115</v>
      </c>
    </row>
    <row r="8388" spans="1:4" x14ac:dyDescent="0.25">
      <c r="B8388" t="str">
        <f>HYPERLINK("https://www.chemistwarehouse.com.au/buy/74787/1000-Hour-Hair-Color-Mascara-Light-Brown"," 1000 Hour Hair Color Mascara Light Brown")</f>
        <v xml:space="preserve"> 1000 Hour Hair Color Mascara Light Brown</v>
      </c>
      <c r="C8388" t="s">
        <v>45</v>
      </c>
      <c r="D8388" t="s">
        <v>115</v>
      </c>
    </row>
    <row r="8389" spans="1:4" x14ac:dyDescent="0.25">
      <c r="B8389" t="str">
        <f>HYPERLINK("https://www.chemistwarehouse.com.au/buy/74788/1000-Hour-Hair-Color-Mascara-Medium-Brown"," 1000 Hour Hair Color Mascara Medium Brown")</f>
        <v xml:space="preserve"> 1000 Hour Hair Color Mascara Medium Brown</v>
      </c>
      <c r="C8389" t="s">
        <v>45</v>
      </c>
      <c r="D8389" t="s">
        <v>115</v>
      </c>
    </row>
    <row r="8390" spans="1:4" x14ac:dyDescent="0.25">
      <c r="B8390" t="str">
        <f>HYPERLINK("https://www.chemistwarehouse.com.au/buy/74789/1000-Hour-Hair-Color-Stick-Black"," 1000 Hour Hair Color Stick Black")</f>
        <v xml:space="preserve"> 1000 Hour Hair Color Stick Black</v>
      </c>
      <c r="C8390" t="s">
        <v>103</v>
      </c>
      <c r="D8390" t="s">
        <v>115</v>
      </c>
    </row>
    <row r="8391" spans="1:4" x14ac:dyDescent="0.25">
      <c r="B8391" t="str">
        <f>HYPERLINK("https://www.chemistwarehouse.com.au/buy/74790/1000-Hour-Hair-Color-Stick-Dark-Brown"," 1000 Hour Hair Color Stick Dark Brown")</f>
        <v xml:space="preserve"> 1000 Hour Hair Color Stick Dark Brown</v>
      </c>
      <c r="C8391" t="s">
        <v>103</v>
      </c>
      <c r="D8391" t="s">
        <v>115</v>
      </c>
    </row>
    <row r="8392" spans="1:4" x14ac:dyDescent="0.25">
      <c r="B8392" t="str">
        <f>HYPERLINK("https://www.chemistwarehouse.com.au/buy/74791/1000-Hour-Hair-Color-Stick-Light-Brown"," 1000 Hour Hair Color Stick Light Brown")</f>
        <v xml:space="preserve"> 1000 Hour Hair Color Stick Light Brown</v>
      </c>
      <c r="C8392" t="s">
        <v>103</v>
      </c>
      <c r="D8392" t="s">
        <v>115</v>
      </c>
    </row>
    <row r="8393" spans="1:4" x14ac:dyDescent="0.25">
      <c r="B8393" t="str">
        <f>HYPERLINK("https://www.chemistwarehouse.com.au/buy/74792/1000-Hour-Hair-Color-Stick-Medium-Brown"," 1000 Hour Hair Color Stick Medium Brown")</f>
        <v xml:space="preserve"> 1000 Hour Hair Color Stick Medium Brown</v>
      </c>
      <c r="C8393" t="s">
        <v>103</v>
      </c>
      <c r="D8393" t="s">
        <v>115</v>
      </c>
    </row>
    <row r="8394" spans="1:4" x14ac:dyDescent="0.25">
      <c r="A8394" t="s">
        <v>1895</v>
      </c>
    </row>
    <row r="8395" spans="1:4" x14ac:dyDescent="0.25">
      <c r="B8395" t="str">
        <f>HYPERLINK("https://www.chemistwarehouse.com.au/buy/54415/Clairol-Nice-amp-Easy-122-Black"," Clairol Nice &amp; Easy 122 Black")</f>
        <v xml:space="preserve"> Clairol Nice &amp; Easy 122 Black</v>
      </c>
      <c r="C8395" t="s">
        <v>103</v>
      </c>
      <c r="D8395" t="s">
        <v>162</v>
      </c>
    </row>
    <row r="8396" spans="1:4" x14ac:dyDescent="0.25">
      <c r="B8396" t="str">
        <f>HYPERLINK("https://www.chemistwarehouse.com.au/buy/54416/Clairol-Nice-amp-Easy-121A-Darkest-Brown"," Clairol Nice &amp; Easy 121A Darkest Brown")</f>
        <v xml:space="preserve"> Clairol Nice &amp; Easy 121A Darkest Brown</v>
      </c>
      <c r="C8396" t="s">
        <v>103</v>
      </c>
      <c r="D8396" t="s">
        <v>162</v>
      </c>
    </row>
    <row r="8397" spans="1:4" x14ac:dyDescent="0.25">
      <c r="B8397" t="str">
        <f>HYPERLINK("https://www.chemistwarehouse.com.au/buy/54418/Clairol-Nice-amp-Easy-117-Medium-Golden-Brown"," Clairol Nice &amp; Easy 117 Medium Golden Brown")</f>
        <v xml:space="preserve"> Clairol Nice &amp; Easy 117 Medium Golden Brown</v>
      </c>
      <c r="C8397" t="s">
        <v>103</v>
      </c>
      <c r="D8397" t="s">
        <v>162</v>
      </c>
    </row>
    <row r="8398" spans="1:4" x14ac:dyDescent="0.25">
      <c r="B8398" t="str">
        <f>HYPERLINK("https://www.chemistwarehouse.com.au/buy/54419/Clairol-Nice-amp-Easy-118-Natural-Medium-Brown"," Clairol Nice &amp; Easy 118 Natural Medium Brown")</f>
        <v xml:space="preserve"> Clairol Nice &amp; Easy 118 Natural Medium Brown</v>
      </c>
      <c r="C8398" t="s">
        <v>103</v>
      </c>
      <c r="D8398" t="s">
        <v>162</v>
      </c>
    </row>
    <row r="8399" spans="1:4" x14ac:dyDescent="0.25">
      <c r="B8399" t="str">
        <f>HYPERLINK("https://www.chemistwarehouse.com.au/buy/32907/Clairol-Nice-amp-Easy-116-Natural-Light-Brown"," Clairol Nice &amp; Easy - 116 Natural Light Brown")</f>
        <v xml:space="preserve"> Clairol Nice &amp; Easy - 116 Natural Light Brown</v>
      </c>
      <c r="C8399" t="s">
        <v>103</v>
      </c>
      <c r="D8399" t="s">
        <v>162</v>
      </c>
    </row>
    <row r="8400" spans="1:4" x14ac:dyDescent="0.25">
      <c r="B8400" t="str">
        <f>HYPERLINK("https://www.chemistwarehouse.com.au/buy/32913/Clairol-Nice-amp-Easy-110-Natural-Light-Auburn"," Clairol Nice &amp; Easy - 110 Natural Light Auburn")</f>
        <v xml:space="preserve"> Clairol Nice &amp; Easy - 110 Natural Light Auburn</v>
      </c>
      <c r="C8400" t="s">
        <v>103</v>
      </c>
      <c r="D8400" t="s">
        <v>162</v>
      </c>
    </row>
    <row r="8401" spans="1:4" x14ac:dyDescent="0.25">
      <c r="B8401" t="str">
        <f>HYPERLINK("https://www.chemistwarehouse.com.au/buy/32922/Clairol-Nice-amp-Easy-120-Natural-Dark-Brown"," Clairol Nice &amp; Easy - 120 Natural Dark Brown")</f>
        <v xml:space="preserve"> Clairol Nice &amp; Easy - 120 Natural Dark Brown</v>
      </c>
      <c r="C8401" t="s">
        <v>103</v>
      </c>
      <c r="D8401" t="s">
        <v>162</v>
      </c>
    </row>
    <row r="8402" spans="1:4" x14ac:dyDescent="0.25">
      <c r="B8402" t="str">
        <f>HYPERLINK("https://www.chemistwarehouse.com.au/buy/47586/Clairol-Nice-amp-Easy-114-Natural-Light-Ash-Brown"," Clairol Nice &amp; Easy - 114 Natural Light Ash Brown")</f>
        <v xml:space="preserve"> Clairol Nice &amp; Easy - 114 Natural Light Ash Brown</v>
      </c>
      <c r="C8402" t="s">
        <v>103</v>
      </c>
      <c r="D8402" t="s">
        <v>162</v>
      </c>
    </row>
    <row r="8403" spans="1:4" x14ac:dyDescent="0.25">
      <c r="B8403" t="str">
        <f>HYPERLINK("https://www.chemistwarehouse.com.au/buy/54405/Clairol-Nice-amp-Easy-102-Natural-Light-Ash-Blonde"," Clairol Nice &amp; Easy 102 Natural Light Ash Blonde")</f>
        <v xml:space="preserve"> Clairol Nice &amp; Easy 102 Natural Light Ash Blonde</v>
      </c>
      <c r="C8403" t="s">
        <v>103</v>
      </c>
      <c r="D8403" t="s">
        <v>162</v>
      </c>
    </row>
    <row r="8404" spans="1:4" x14ac:dyDescent="0.25">
      <c r="B8404" t="str">
        <f>HYPERLINK("https://www.chemistwarehouse.com.au/buy/54406/Clairol-Nice-amp-Easy-104-Natural-Golden-Blonde"," Clairol Nice &amp; Easy 104 Natural Golden Blonde")</f>
        <v xml:space="preserve"> Clairol Nice &amp; Easy 104 Natural Golden Blonde</v>
      </c>
      <c r="C8404" t="s">
        <v>103</v>
      </c>
      <c r="D8404" t="s">
        <v>162</v>
      </c>
    </row>
    <row r="8405" spans="1:4" x14ac:dyDescent="0.25">
      <c r="B8405" t="str">
        <f>HYPERLINK("https://www.chemistwarehouse.com.au/buy/54407/Clairol-Nice-amp-Easy-103-Light-Beige-Blonde"," Clairol Nice &amp; Easy 103 Light Beige Blonde")</f>
        <v xml:space="preserve"> Clairol Nice &amp; Easy 103 Light Beige Blonde</v>
      </c>
      <c r="C8405" t="s">
        <v>103</v>
      </c>
      <c r="D8405" t="s">
        <v>162</v>
      </c>
    </row>
    <row r="8406" spans="1:4" x14ac:dyDescent="0.25">
      <c r="B8406" t="str">
        <f>HYPERLINK("https://www.chemistwarehouse.com.au/buy/54408/Clairol-Nice-amp-Easy-103B-Natural-Medium-Champagne-Blonde"," Clairol Nice &amp; Easy 103B Natural Medium Champagne Blonde")</f>
        <v xml:space="preserve"> Clairol Nice &amp; Easy 103B Natural Medium Champagne Blonde</v>
      </c>
      <c r="C8406" t="s">
        <v>103</v>
      </c>
      <c r="D8406" t="s">
        <v>162</v>
      </c>
    </row>
    <row r="8407" spans="1:4" x14ac:dyDescent="0.25">
      <c r="B8407" t="str">
        <f>HYPERLINK("https://www.chemistwarehouse.com.au/buy/54410/Clairol-Nice-amp-Easy-106B-Dark-Champagne-Blonde"," Clairol Nice &amp; Easy 106B Dark Champagne Blonde")</f>
        <v xml:space="preserve"> Clairol Nice &amp; Easy 106B Dark Champagne Blonde</v>
      </c>
      <c r="C8407" t="s">
        <v>103</v>
      </c>
      <c r="D8407" t="s">
        <v>162</v>
      </c>
    </row>
    <row r="8408" spans="1:4" x14ac:dyDescent="0.25">
      <c r="B8408" t="str">
        <f>HYPERLINK("https://www.chemistwarehouse.com.au/buy/54413/Clairol-Nice-amp-Easy-113-Burgundy"," Clairol Nice &amp; Easy 113 Burgundy")</f>
        <v xml:space="preserve"> Clairol Nice &amp; Easy 113 Burgundy</v>
      </c>
      <c r="C8408" t="s">
        <v>103</v>
      </c>
      <c r="D8408" t="s">
        <v>162</v>
      </c>
    </row>
    <row r="8409" spans="1:4" x14ac:dyDescent="0.25">
      <c r="A8409" t="s">
        <v>1896</v>
      </c>
    </row>
    <row r="8410" spans="1:4" x14ac:dyDescent="0.25">
      <c r="B8410" t="str">
        <f>HYPERLINK("https://www.chemistwarehouse.com.au/buy/75052/Revlon-ColorSilk-42-Medium-Auburn"," Revlon ColorSilk 42 Medium Auburn")</f>
        <v xml:space="preserve"> Revlon ColorSilk 42 Medium Auburn</v>
      </c>
      <c r="C8410" t="s">
        <v>782</v>
      </c>
      <c r="D8410" t="s">
        <v>611</v>
      </c>
    </row>
    <row r="8411" spans="1:4" x14ac:dyDescent="0.25">
      <c r="B8411" t="str">
        <f>HYPERLINK("https://www.chemistwarehouse.com.au/buy/75053/Revlon-ColorSilk-47-Medium-Rich-Brown"," Revlon ColorSilk 47 Medium Rich Brown")</f>
        <v xml:space="preserve"> Revlon ColorSilk 47 Medium Rich Brown</v>
      </c>
      <c r="C8411" t="s">
        <v>782</v>
      </c>
      <c r="D8411" t="s">
        <v>611</v>
      </c>
    </row>
    <row r="8412" spans="1:4" x14ac:dyDescent="0.25">
      <c r="B8412" t="str">
        <f>HYPERLINK("https://www.chemistwarehouse.com.au/buy/75054/Revlon-ColorSilk-48-Burgundy"," Revlon ColorSilk 48 Burgundy")</f>
        <v xml:space="preserve"> Revlon ColorSilk 48 Burgundy</v>
      </c>
      <c r="C8412" t="s">
        <v>782</v>
      </c>
      <c r="D8412" t="s">
        <v>611</v>
      </c>
    </row>
    <row r="8413" spans="1:4" x14ac:dyDescent="0.25">
      <c r="B8413" t="str">
        <f>HYPERLINK("https://www.chemistwarehouse.com.au/buy/75055/Revlon-ColorSilk-60-Dark-Ash-Blonde"," Revlon ColorSilk 60 Dark Ash Blonde")</f>
        <v xml:space="preserve"> Revlon ColorSilk 60 Dark Ash Blonde</v>
      </c>
      <c r="C8413" t="s">
        <v>782</v>
      </c>
      <c r="D8413" t="s">
        <v>611</v>
      </c>
    </row>
    <row r="8414" spans="1:4" x14ac:dyDescent="0.25">
      <c r="B8414" t="str">
        <f>HYPERLINK("https://www.chemistwarehouse.com.au/buy/75056/Revlon-ColorSilk-70-Medium-Ash-Blonde"," Revlon ColorSilk 70 Medium Ash Blonde")</f>
        <v xml:space="preserve"> Revlon ColorSilk 70 Medium Ash Blonde</v>
      </c>
      <c r="C8414" t="s">
        <v>782</v>
      </c>
      <c r="D8414" t="s">
        <v>611</v>
      </c>
    </row>
    <row r="8415" spans="1:4" x14ac:dyDescent="0.25">
      <c r="B8415" t="str">
        <f>HYPERLINK("https://www.chemistwarehouse.com.au/buy/75057/Revlon-ColorSilk-71-Golden-Blonde"," Revlon ColorSilk 71 Golden Blonde")</f>
        <v xml:space="preserve"> Revlon ColorSilk 71 Golden Blonde</v>
      </c>
      <c r="C8415" t="s">
        <v>782</v>
      </c>
      <c r="D8415" t="s">
        <v>611</v>
      </c>
    </row>
    <row r="8416" spans="1:4" x14ac:dyDescent="0.25">
      <c r="B8416" t="str">
        <f>HYPERLINK("https://www.chemistwarehouse.com.au/buy/76665/Revlon-Colorsilk-41-Medium-Brown"," Revlon Colorsilk 41 Medium Brown")</f>
        <v xml:space="preserve"> Revlon Colorsilk 41 Medium Brown</v>
      </c>
      <c r="C8416" t="s">
        <v>782</v>
      </c>
      <c r="D8416" t="s">
        <v>611</v>
      </c>
    </row>
    <row r="8417" spans="1:4" x14ac:dyDescent="0.25">
      <c r="B8417" t="str">
        <f>HYPERLINK("https://www.chemistwarehouse.com.au/buy/76666/Revlon-Colorsilk-50-Light-Ash-Brown"," Revlon Colorsilk 50 Light Ash Brown")</f>
        <v xml:space="preserve"> Revlon Colorsilk 50 Light Ash Brown</v>
      </c>
      <c r="C8417" t="s">
        <v>782</v>
      </c>
      <c r="D8417" t="s">
        <v>611</v>
      </c>
    </row>
    <row r="8418" spans="1:4" x14ac:dyDescent="0.25">
      <c r="B8418" t="str">
        <f>HYPERLINK("https://www.chemistwarehouse.com.au/buy/76667/Revlon-Colorsilk-51-Light-Brown"," Revlon Colorsilk 51 Light Brown")</f>
        <v xml:space="preserve"> Revlon Colorsilk 51 Light Brown</v>
      </c>
      <c r="C8418" t="s">
        <v>782</v>
      </c>
      <c r="D8418" t="s">
        <v>611</v>
      </c>
    </row>
    <row r="8419" spans="1:4" x14ac:dyDescent="0.25">
      <c r="B8419" t="str">
        <f>HYPERLINK("https://www.chemistwarehouse.com.au/buy/76668/Revlon-Colorsilk-54-Light-Golden-Brown"," Revlon Colorsilk 54 Light Golden Brown")</f>
        <v xml:space="preserve"> Revlon Colorsilk 54 Light Golden Brown</v>
      </c>
      <c r="C8419" t="s">
        <v>782</v>
      </c>
      <c r="D8419" t="s">
        <v>611</v>
      </c>
    </row>
    <row r="8420" spans="1:4" x14ac:dyDescent="0.25">
      <c r="B8420" t="str">
        <f>HYPERLINK("https://www.chemistwarehouse.com.au/buy/75046/Revlon-ColorSilk-03-Sun-Blonde"," Revlon ColorSilk 03 Sun Blonde")</f>
        <v xml:space="preserve"> Revlon ColorSilk 03 Sun Blonde</v>
      </c>
      <c r="C8420" t="s">
        <v>782</v>
      </c>
      <c r="D8420" t="s">
        <v>611</v>
      </c>
    </row>
    <row r="8421" spans="1:4" x14ac:dyDescent="0.25">
      <c r="B8421" t="str">
        <f>HYPERLINK("https://www.chemistwarehouse.com.au/buy/75047/Revlon-ColorSilk-04-Natural-Blonde"," Revlon ColorSilk 04 Natural Blonde")</f>
        <v xml:space="preserve"> Revlon ColorSilk 04 Natural Blonde</v>
      </c>
      <c r="C8421" t="s">
        <v>782</v>
      </c>
      <c r="D8421" t="s">
        <v>611</v>
      </c>
    </row>
    <row r="8422" spans="1:4" x14ac:dyDescent="0.25">
      <c r="B8422" t="str">
        <f>HYPERLINK("https://www.chemistwarehouse.com.au/buy/75048/Revlon-ColorSilk-10-Black"," Revlon ColorSilk 10 Black")</f>
        <v xml:space="preserve"> Revlon ColorSilk 10 Black</v>
      </c>
      <c r="C8422" t="s">
        <v>782</v>
      </c>
      <c r="D8422" t="s">
        <v>611</v>
      </c>
    </row>
    <row r="8423" spans="1:4" x14ac:dyDescent="0.25">
      <c r="B8423" t="str">
        <f>HYPERLINK("https://www.chemistwarehouse.com.au/buy/75049/Revlon-ColorSilk-20-Brown-Black"," Revlon ColorSilk 20 Brown Black")</f>
        <v xml:space="preserve"> Revlon ColorSilk 20 Brown Black</v>
      </c>
      <c r="C8423" t="s">
        <v>782</v>
      </c>
      <c r="D8423" t="s">
        <v>611</v>
      </c>
    </row>
    <row r="8424" spans="1:4" x14ac:dyDescent="0.25">
      <c r="B8424" t="str">
        <f>HYPERLINK("https://www.chemistwarehouse.com.au/buy/75050/Revlon-ColorSilk-30-Dark-Brown"," Revlon ColorSilk 30 Dark Brown")</f>
        <v xml:space="preserve"> Revlon ColorSilk 30 Dark Brown</v>
      </c>
      <c r="C8424" t="s">
        <v>782</v>
      </c>
      <c r="D8424" t="s">
        <v>611</v>
      </c>
    </row>
    <row r="8425" spans="1:4" x14ac:dyDescent="0.25">
      <c r="B8425" t="str">
        <f>HYPERLINK("https://www.chemistwarehouse.com.au/buy/75051/Revlon-ColorSilk-32-Dark-Mahogany-Brown"," Revlon ColorSilk 32 Dark Mahogany Brown")</f>
        <v xml:space="preserve"> Revlon ColorSilk 32 Dark Mahogany Brown</v>
      </c>
      <c r="C8425" t="s">
        <v>782</v>
      </c>
      <c r="D8425" t="s">
        <v>611</v>
      </c>
    </row>
    <row r="8426" spans="1:4" x14ac:dyDescent="0.25">
      <c r="A8426" t="s">
        <v>1897</v>
      </c>
    </row>
    <row r="8427" spans="1:4" x14ac:dyDescent="0.25">
      <c r="B8427" t="str">
        <f>HYPERLINK("https://www.chemistwarehouse.com.au/buy/58629/Restoria-Express-for-Men-Dark-Brown"," Restoria Express for Men Dark Brown ")</f>
        <v xml:space="preserve"> Restoria Express for Men Dark Brown </v>
      </c>
      <c r="C8427" t="s">
        <v>212</v>
      </c>
      <c r="D8427" t="s">
        <v>799</v>
      </c>
    </row>
    <row r="8428" spans="1:4" x14ac:dyDescent="0.25">
      <c r="B8428" t="str">
        <f>HYPERLINK("https://www.chemistwarehouse.com.au/buy/5697/Just-for-Men-Hair-Colour-45-Natural-Dark-Brown"," Just for Men Hair Colour 45 Natural Dark Brown")</f>
        <v xml:space="preserve"> Just for Men Hair Colour 45 Natural Dark Brown</v>
      </c>
      <c r="C8428" t="s">
        <v>317</v>
      </c>
      <c r="D8428" t="s">
        <v>817</v>
      </c>
    </row>
    <row r="8429" spans="1:4" x14ac:dyDescent="0.25">
      <c r="B8429" t="str">
        <f>HYPERLINK("https://www.chemistwarehouse.com.au/buy/5695/Just-for-Men-Beard-Colour-Light-Brown"," Just for Men Beard Colour - Light Brown")</f>
        <v xml:space="preserve"> Just for Men Beard Colour - Light Brown</v>
      </c>
      <c r="C8429" t="s">
        <v>317</v>
      </c>
      <c r="D8429" t="s">
        <v>817</v>
      </c>
    </row>
    <row r="8430" spans="1:4" x14ac:dyDescent="0.25">
      <c r="B8430" t="str">
        <f>HYPERLINK("https://www.chemistwarehouse.com.au/buy/5698/Just-for-Men-Hair-Colour-Natural-Light-Brown"," Just for Men Hair Colour Natural Light Brown")</f>
        <v xml:space="preserve"> Just for Men Hair Colour Natural Light Brown</v>
      </c>
      <c r="C8430" t="s">
        <v>317</v>
      </c>
      <c r="D8430" t="s">
        <v>817</v>
      </c>
    </row>
    <row r="8431" spans="1:4" x14ac:dyDescent="0.25">
      <c r="B8431" t="str">
        <f>HYPERLINK("https://www.chemistwarehouse.com.au/buy/5696/Just-for-Men-Beard-Colour-Medium-Brown"," Just for Men Beard Colour - Medium Brown")</f>
        <v xml:space="preserve"> Just for Men Beard Colour - Medium Brown</v>
      </c>
      <c r="C8431" t="s">
        <v>317</v>
      </c>
      <c r="D8431" t="s">
        <v>817</v>
      </c>
    </row>
    <row r="8432" spans="1:4" x14ac:dyDescent="0.25">
      <c r="B8432" t="str">
        <f>HYPERLINK("https://www.chemistwarehouse.com.au/buy/58628/Restoria-Express-for-Men-Natural-Brown"," Restoria Express for Men Natural Brown ")</f>
        <v xml:space="preserve"> Restoria Express for Men Natural Brown </v>
      </c>
      <c r="C8432" t="s">
        <v>212</v>
      </c>
      <c r="D8432" t="s">
        <v>799</v>
      </c>
    </row>
    <row r="8433" spans="1:4" x14ac:dyDescent="0.25">
      <c r="B8433" t="str">
        <f>HYPERLINK("https://www.chemistwarehouse.com.au/buy/58649/Men-Perfect-70-Natural-Dark-Brown"," Men Perfect 70 Natural Dark Brown")</f>
        <v xml:space="preserve"> Men Perfect 70 Natural Dark Brown</v>
      </c>
      <c r="C8433" t="s">
        <v>32</v>
      </c>
      <c r="D8433" t="s">
        <v>115</v>
      </c>
    </row>
    <row r="8434" spans="1:4" x14ac:dyDescent="0.25">
      <c r="B8434" t="str">
        <f>HYPERLINK("https://www.chemistwarehouse.com.au/buy/58651/Men-Perfect-90-Natural-Black"," Men Perfect 90 Natural Black ")</f>
        <v xml:space="preserve"> Men Perfect 90 Natural Black </v>
      </c>
      <c r="C8434" t="s">
        <v>32</v>
      </c>
      <c r="D8434" t="s">
        <v>115</v>
      </c>
    </row>
    <row r="8435" spans="1:4" x14ac:dyDescent="0.25">
      <c r="B8435" t="str">
        <f>HYPERLINK("https://www.chemistwarehouse.com.au/buy/58627/Restoria-Express-for-Men-Black"," Restoria Express for Men Black")</f>
        <v xml:space="preserve"> Restoria Express for Men Black</v>
      </c>
      <c r="C8435" t="s">
        <v>212</v>
      </c>
      <c r="D8435" t="s">
        <v>799</v>
      </c>
    </row>
    <row r="8436" spans="1:4" x14ac:dyDescent="0.25">
      <c r="B8436" t="str">
        <f>HYPERLINK("https://www.chemistwarehouse.com.au/buy/5693/Just-for-Men-Beard-Colour-Real-Black"," Just for Men Beard Colour - Real Black")</f>
        <v xml:space="preserve"> Just for Men Beard Colour - Real Black</v>
      </c>
      <c r="C8436" t="s">
        <v>317</v>
      </c>
      <c r="D8436" t="s">
        <v>817</v>
      </c>
    </row>
    <row r="8437" spans="1:4" x14ac:dyDescent="0.25">
      <c r="B8437" t="str">
        <f>HYPERLINK("https://www.chemistwarehouse.com.au/buy/5699/Just-for-Men-Hair-Colour-Natural-Medium-Brown"," Just for Men Hair Colour Natural Medium Brown")</f>
        <v xml:space="preserve"> Just for Men Hair Colour Natural Medium Brown</v>
      </c>
      <c r="C8437" t="s">
        <v>317</v>
      </c>
      <c r="D8437" t="s">
        <v>817</v>
      </c>
    </row>
    <row r="8438" spans="1:4" x14ac:dyDescent="0.25">
      <c r="B8438" t="str">
        <f>HYPERLINK("https://www.chemistwarehouse.com.au/buy/5700/Just-for-Men-Hair-Colour-Real-Black"," Just for Men Hair Colour Real Black")</f>
        <v xml:space="preserve"> Just for Men Hair Colour Real Black</v>
      </c>
      <c r="C8438" t="s">
        <v>317</v>
      </c>
      <c r="D8438" t="s">
        <v>817</v>
      </c>
    </row>
    <row r="8439" spans="1:4" x14ac:dyDescent="0.25">
      <c r="B8439" t="str">
        <f>HYPERLINK("https://www.chemistwarehouse.com.au/buy/53416/Just-for-Men-Beard-Colour-Dark-Brown-Black"," Just for Men Beard Colour - Dark Brown-Black")</f>
        <v xml:space="preserve"> Just for Men Beard Colour - Dark Brown-Black</v>
      </c>
      <c r="C8439" t="s">
        <v>317</v>
      </c>
      <c r="D8439" t="s">
        <v>817</v>
      </c>
    </row>
    <row r="8440" spans="1:4" x14ac:dyDescent="0.25">
      <c r="B8440" t="str">
        <f>HYPERLINK("https://www.chemistwarehouse.com.au/buy/79493/Just-for-Men-Hair-Colour-50-Darkest-Brown"," Just for Men Hair Colour 50 Darkest Brown")</f>
        <v xml:space="preserve"> Just for Men Hair Colour 50 Darkest Brown</v>
      </c>
      <c r="C8440" t="s">
        <v>317</v>
      </c>
      <c r="D8440" t="s">
        <v>817</v>
      </c>
    </row>
    <row r="8441" spans="1:4" x14ac:dyDescent="0.25">
      <c r="B8441" t="str">
        <f>HYPERLINK("https://www.chemistwarehouse.com.au/buy/79494/Just-for-Men-Hair-Colour-40-Medium-Dark-Brown"," Just for Men Hair Colour 40 Medium Dark Brown")</f>
        <v xml:space="preserve"> Just for Men Hair Colour 40 Medium Dark Brown</v>
      </c>
      <c r="C8441" t="s">
        <v>317</v>
      </c>
      <c r="D8441" t="s">
        <v>817</v>
      </c>
    </row>
    <row r="8442" spans="1:4" x14ac:dyDescent="0.25">
      <c r="B8442" t="str">
        <f>HYPERLINK("https://www.chemistwarehouse.com.au/buy/58650/Men-Perfect-80-Natural-Black-Brown"," Men Perfect 80 Natural Black Brown")</f>
        <v xml:space="preserve"> Men Perfect 80 Natural Black Brown</v>
      </c>
      <c r="C8442" t="s">
        <v>32</v>
      </c>
      <c r="D8442" t="s">
        <v>115</v>
      </c>
    </row>
    <row r="8443" spans="1:4" x14ac:dyDescent="0.25">
      <c r="B8443" t="str">
        <f>HYPERLINK("https://www.chemistwarehouse.com.au/buy/58631/Restoria-Express-for-Men-Jet-Black"," Restoria Express for Men Jet Black")</f>
        <v xml:space="preserve"> Restoria Express for Men Jet Black</v>
      </c>
      <c r="C8443" t="s">
        <v>212</v>
      </c>
      <c r="D8443" t="s">
        <v>799</v>
      </c>
    </row>
    <row r="8444" spans="1:4" x14ac:dyDescent="0.25">
      <c r="B8444" t="str">
        <f>HYPERLINK("https://www.chemistwarehouse.com.au/buy/58648/Men-Perfect-60-Natural-Medium-Brown"," Men Perfect 60 Natural Medium Brown")</f>
        <v xml:space="preserve"> Men Perfect 60 Natural Medium Brown</v>
      </c>
      <c r="C8444" t="s">
        <v>32</v>
      </c>
      <c r="D8444" t="s">
        <v>115</v>
      </c>
    </row>
    <row r="8445" spans="1:4" x14ac:dyDescent="0.25">
      <c r="A8445" t="s">
        <v>1898</v>
      </c>
    </row>
    <row r="8446" spans="1:4" x14ac:dyDescent="0.25">
      <c r="B8446" t="str">
        <f>HYPERLINK("https://www.chemistwarehouse.com.au/buy/64608/Restoria-Discreet-Colour-Restoring-Cream-250mL-Not-Available-in-QLD"," Restoria Discreet Colour Restoring Cream 250mL (Not Available in QLD)")</f>
        <v xml:space="preserve"> Restoria Discreet Colour Restoring Cream 250mL (Not Available in QLD)</v>
      </c>
      <c r="C8446" t="s">
        <v>495</v>
      </c>
      <c r="D8446" t="s">
        <v>1319</v>
      </c>
    </row>
    <row r="8447" spans="1:4" x14ac:dyDescent="0.25">
      <c r="B8447" t="str">
        <f>HYPERLINK("https://www.chemistwarehouse.com.au/buy/64607/Restoria-Discreet-Colour-Restoring-Cream-150ml-Not-Available-in-QLD"," Restoria Discreet Colour Restoring Cream 150ml (Not Available in QLD)")</f>
        <v xml:space="preserve"> Restoria Discreet Colour Restoring Cream 150ml (Not Available in QLD)</v>
      </c>
      <c r="C8447" t="s">
        <v>80</v>
      </c>
      <c r="D8447" t="s">
        <v>281</v>
      </c>
    </row>
    <row r="8448" spans="1:4" x14ac:dyDescent="0.25">
      <c r="B8448" t="str">
        <f>HYPERLINK("https://www.chemistwarehouse.com.au/buy/64606/Grecian-2000-Lotion-125ml-Not-Available-in-QLD"," Grecian 2000 Lotion 125ml (Not Available in QLD)")</f>
        <v xml:space="preserve"> Grecian 2000 Lotion 125ml (Not Available in QLD)</v>
      </c>
      <c r="C8448" t="s">
        <v>240</v>
      </c>
      <c r="D8448" t="s">
        <v>1899</v>
      </c>
    </row>
    <row r="8449" spans="1:4" x14ac:dyDescent="0.25">
      <c r="B8449" t="str">
        <f>HYPERLINK("https://www.chemistwarehouse.com.au/buy/64609/Restoria-Discreet-Colour-Restoring-Lotion-150ml-Not-Available-in-QLD"," Restoria Discreet Colour Restoring Lotion 150ml (Not Available in QLD)")</f>
        <v xml:space="preserve"> Restoria Discreet Colour Restoring Lotion 150ml (Not Available in QLD)</v>
      </c>
      <c r="C8449" t="s">
        <v>80</v>
      </c>
      <c r="D8449" t="s">
        <v>785</v>
      </c>
    </row>
    <row r="8450" spans="1:4" x14ac:dyDescent="0.25">
      <c r="A8450" t="s">
        <v>1900</v>
      </c>
    </row>
    <row r="8451" spans="1:4" x14ac:dyDescent="0.25">
      <c r="B8451" t="str">
        <f>HYPERLINK("https://www.chemistwarehouse.com.au/buy/75167/L-39-Oreal-Excellence-Age-Perfect-7-32-Dark-Gold-Rose-Blonde"," L'Oreal Excellence Age Perfect 7.32 Dark Gold Rose Blonde")</f>
        <v xml:space="preserve"> L'Oreal Excellence Age Perfect 7.32 Dark Gold Rose Blonde</v>
      </c>
      <c r="C8451" t="s">
        <v>58</v>
      </c>
      <c r="D8451" t="s">
        <v>145</v>
      </c>
    </row>
    <row r="8452" spans="1:4" x14ac:dyDescent="0.25">
      <c r="B8452" t="str">
        <f>HYPERLINK("https://www.chemistwarehouse.com.au/buy/75169/L-39-Oreal-Excellence-Age-Perfect-8-32-Natural-Rose-Blonde"," L'Oreal Excellence Age Perfect 8.32 Natural Rose Blonde")</f>
        <v xml:space="preserve"> L'Oreal Excellence Age Perfect 8.32 Natural Rose Blonde</v>
      </c>
      <c r="C8452" t="s">
        <v>58</v>
      </c>
      <c r="D8452" t="s">
        <v>145</v>
      </c>
    </row>
    <row r="8453" spans="1:4" x14ac:dyDescent="0.25">
      <c r="B8453" t="str">
        <f>HYPERLINK("https://www.chemistwarehouse.com.au/buy/75170/L-39-Oreal-Excellence-Age-Perfect-9-13-Light-Creme-Blonde"," L'Oreal Excellence Age Perfect 9.13 Light Creme Blonde")</f>
        <v xml:space="preserve"> L'Oreal Excellence Age Perfect 9.13 Light Creme Blonde</v>
      </c>
      <c r="C8453" t="s">
        <v>58</v>
      </c>
      <c r="D8453" t="s">
        <v>145</v>
      </c>
    </row>
    <row r="8454" spans="1:4" x14ac:dyDescent="0.25">
      <c r="B8454" t="str">
        <f>HYPERLINK("https://www.chemistwarehouse.com.au/buy/75171/L-39-Oreal-Excellence-Age-Perfect-9-31-Light-Sand-Blonde"," L'Oreal Excellence Age Perfect 9.31 Light Sand Blonde")</f>
        <v xml:space="preserve"> L'Oreal Excellence Age Perfect 9.31 Light Sand Blonde</v>
      </c>
      <c r="C8454" t="s">
        <v>58</v>
      </c>
      <c r="D8454" t="s">
        <v>145</v>
      </c>
    </row>
    <row r="8455" spans="1:4" x14ac:dyDescent="0.25">
      <c r="B8455" t="str">
        <f>HYPERLINK("https://www.chemistwarehouse.com.au/buy/79256/L-39-Oreal-Excellence-Age-Perfect-5-03-Warm-Golden-Brown"," L'Oreal Excellence Age Perfect 5.03 Warm Golden Brown")</f>
        <v xml:space="preserve"> L'Oreal Excellence Age Perfect 5.03 Warm Golden Brown</v>
      </c>
      <c r="C8455" t="s">
        <v>58</v>
      </c>
      <c r="D8455" t="s">
        <v>145</v>
      </c>
    </row>
    <row r="8456" spans="1:4" x14ac:dyDescent="0.25">
      <c r="B8456" t="str">
        <f>HYPERLINK("https://www.chemistwarehouse.com.au/buy/79257/L-39-Oreal-Excellence-Age-Perfect-5-31-Warm-Natural-Brown"," L'Oreal Excellence Age Perfect 5.31 Warm Natural Brown")</f>
        <v xml:space="preserve"> L'Oreal Excellence Age Perfect 5.31 Warm Natural Brown</v>
      </c>
      <c r="C8456" t="s">
        <v>58</v>
      </c>
      <c r="D8456" t="s">
        <v>145</v>
      </c>
    </row>
    <row r="8457" spans="1:4" x14ac:dyDescent="0.25">
      <c r="B8457" t="str">
        <f>HYPERLINK("https://www.chemistwarehouse.com.au/buy/79258/L-39-Oreal-Excellence-Age-Perfect-6-13-Light-Warm-Golden-Brown"," L'Oreal Excellence Age Perfect 6.13 Light Warm Golden Brown")</f>
        <v xml:space="preserve"> L'Oreal Excellence Age Perfect 6.13 Light Warm Golden Brown</v>
      </c>
      <c r="C8457" t="s">
        <v>58</v>
      </c>
      <c r="D8457" t="s">
        <v>145</v>
      </c>
    </row>
    <row r="8458" spans="1:4" x14ac:dyDescent="0.25">
      <c r="A8458" t="s">
        <v>1901</v>
      </c>
    </row>
    <row r="8459" spans="1:4" x14ac:dyDescent="0.25">
      <c r="B8459" t="str">
        <f>HYPERLINK("https://www.chemistwarehouse.com.au/buy/62683/L-39-Oreal-Casting-Creme-Gloss-1021-Very-Light-Pearl-Blonde"," L'Oreal Casting Creme Gloss 1021 Very Light Pearl Blonde")</f>
        <v xml:space="preserve"> L'Oreal Casting Creme Gloss 1021 Very Light Pearl Blonde</v>
      </c>
      <c r="C8459" t="s">
        <v>45</v>
      </c>
      <c r="D8459" t="s">
        <v>706</v>
      </c>
    </row>
    <row r="8460" spans="1:4" x14ac:dyDescent="0.25">
      <c r="B8460" t="str">
        <f>HYPERLINK("https://www.chemistwarehouse.com.au/buy/70044/L-39-Oreal-Casting-Creme-Gloss-460-Strawberry-Kiss"," L'Oreal Casting Creme Gloss 460 Strawberry Kiss")</f>
        <v xml:space="preserve"> L'Oreal Casting Creme Gloss 460 Strawberry Kiss</v>
      </c>
      <c r="C8460" t="s">
        <v>45</v>
      </c>
      <c r="D8460" t="s">
        <v>706</v>
      </c>
    </row>
    <row r="8461" spans="1:4" x14ac:dyDescent="0.25">
      <c r="B8461" t="str">
        <f>HYPERLINK("https://www.chemistwarehouse.com.au/buy/54119/L-39-Oreal-Casting-Creme-Gloss-210-Blue-Black"," L'Oreal Casting Creme Gloss 210 Blue Black")</f>
        <v xml:space="preserve"> L'Oreal Casting Creme Gloss 210 Blue Black</v>
      </c>
      <c r="C8461" t="s">
        <v>45</v>
      </c>
      <c r="D8461" t="s">
        <v>706</v>
      </c>
    </row>
    <row r="8462" spans="1:4" x14ac:dyDescent="0.25">
      <c r="B8462" t="str">
        <f>HYPERLINK("https://www.chemistwarehouse.com.au/buy/54120/L-39-Oreal-Casting-Creme-Gloss-200-Ebony-Black"," L'Oreal Casting Creme Gloss 200 Ebony Black")</f>
        <v xml:space="preserve"> L'Oreal Casting Creme Gloss 200 Ebony Black</v>
      </c>
      <c r="C8462" t="s">
        <v>45</v>
      </c>
      <c r="D8462" t="s">
        <v>706</v>
      </c>
    </row>
    <row r="8463" spans="1:4" x14ac:dyDescent="0.25">
      <c r="B8463" t="str">
        <f>HYPERLINK("https://www.chemistwarehouse.com.au/buy/54121/L-39-Oreal-Casting-Creme-Gloss-316-Plum"," L'Oreal Casting Creme Gloss 316 Plum")</f>
        <v xml:space="preserve"> L'Oreal Casting Creme Gloss 316 Plum</v>
      </c>
      <c r="C8463" t="s">
        <v>45</v>
      </c>
      <c r="D8463" t="s">
        <v>706</v>
      </c>
    </row>
    <row r="8464" spans="1:4" x14ac:dyDescent="0.25">
      <c r="B8464" t="str">
        <f>HYPERLINK("https://www.chemistwarehouse.com.au/buy/54122/L-39-Oreal-Casting-Creme-Gloss-300-Darkest-Brown"," L'Oreal Casting Creme Gloss 300 Darkest Brown")</f>
        <v xml:space="preserve"> L'Oreal Casting Creme Gloss 300 Darkest Brown</v>
      </c>
      <c r="C8464" t="s">
        <v>45</v>
      </c>
      <c r="D8464" t="s">
        <v>706</v>
      </c>
    </row>
    <row r="8465" spans="1:4" x14ac:dyDescent="0.25">
      <c r="B8465" t="str">
        <f>HYPERLINK("https://www.chemistwarehouse.com.au/buy/54124/L-39-Oreal-Casting-Creme-Gloss-700-Dark-Blonde"," L'Oreal Casting Creme Gloss 700 Dark Blonde")</f>
        <v xml:space="preserve"> L'Oreal Casting Creme Gloss 700 Dark Blonde</v>
      </c>
      <c r="C8465" t="s">
        <v>45</v>
      </c>
      <c r="D8465" t="s">
        <v>706</v>
      </c>
    </row>
    <row r="8466" spans="1:4" x14ac:dyDescent="0.25">
      <c r="B8466" t="str">
        <f>HYPERLINK("https://www.chemistwarehouse.com.au/buy/54126/L-39-Oreal-Casting-Creme-Gloss-400-Dark-Brown"," L'Oreal Casting Creme Gloss 400 Dark Brown")</f>
        <v xml:space="preserve"> L'Oreal Casting Creme Gloss 400 Dark Brown</v>
      </c>
      <c r="C8466" t="s">
        <v>45</v>
      </c>
      <c r="D8466" t="s">
        <v>706</v>
      </c>
    </row>
    <row r="8467" spans="1:4" x14ac:dyDescent="0.25">
      <c r="B8467" t="str">
        <f>HYPERLINK("https://www.chemistwarehouse.com.au/buy/54127/L-39-Oreal-Casting-Creme-Gloss-415-Iced-Chocolate"," L'Oreal Casting Creme Gloss 415 Iced Chocolate")</f>
        <v xml:space="preserve"> L'Oreal Casting Creme Gloss 415 Iced Chocolate</v>
      </c>
      <c r="C8467" t="s">
        <v>45</v>
      </c>
      <c r="D8467" t="s">
        <v>706</v>
      </c>
    </row>
    <row r="8468" spans="1:4" x14ac:dyDescent="0.25">
      <c r="B8468" t="str">
        <f>HYPERLINK("https://www.chemistwarehouse.com.au/buy/54128/L-39-Oreal-Casting-Creme-Gloss-426-Auburn"," L'Oreal Casting Creme Gloss 426 Auburn")</f>
        <v xml:space="preserve"> L'Oreal Casting Creme Gloss 426 Auburn</v>
      </c>
      <c r="C8468" t="s">
        <v>45</v>
      </c>
      <c r="D8468" t="s">
        <v>706</v>
      </c>
    </row>
    <row r="8469" spans="1:4" x14ac:dyDescent="0.25">
      <c r="B8469" t="str">
        <f>HYPERLINK("https://www.chemistwarehouse.com.au/buy/54132/L-39-Oreal-Casting-Creme-Gloss-550-Mahogany"," L'Oreal Casting Creme Gloss 550 Mahogany")</f>
        <v xml:space="preserve"> L'Oreal Casting Creme Gloss 550 Mahogany</v>
      </c>
      <c r="C8469" t="s">
        <v>45</v>
      </c>
      <c r="D8469" t="s">
        <v>706</v>
      </c>
    </row>
    <row r="8470" spans="1:4" x14ac:dyDescent="0.25">
      <c r="B8470" t="str">
        <f>HYPERLINK("https://www.chemistwarehouse.com.au/buy/54134/L-39-Oreal-Casting-Creme-Gloss-600-Light-Brown"," L'Oreal Casting Creme Gloss 600 Light Brown")</f>
        <v xml:space="preserve"> L'Oreal Casting Creme Gloss 600 Light Brown</v>
      </c>
      <c r="C8470" t="s">
        <v>45</v>
      </c>
      <c r="D8470" t="s">
        <v>706</v>
      </c>
    </row>
    <row r="8471" spans="1:4" x14ac:dyDescent="0.25">
      <c r="B8471" t="str">
        <f>HYPERLINK("https://www.chemistwarehouse.com.au/buy/54135/L-39-Oreal-Casting-Creme-Gloss-645-Amber"," L'Oreal Casting Creme Gloss 645 Amber")</f>
        <v xml:space="preserve"> L'Oreal Casting Creme Gloss 645 Amber</v>
      </c>
      <c r="C8471" t="s">
        <v>45</v>
      </c>
      <c r="D8471" t="s">
        <v>706</v>
      </c>
    </row>
    <row r="8472" spans="1:4" x14ac:dyDescent="0.25">
      <c r="B8472" t="str">
        <f>HYPERLINK("https://www.chemistwarehouse.com.au/buy/54140/L-39-Oreal-Casting-Creme-Gloss-535-Chocolate"," L'Oreal Casting Creme Gloss 535 Chocolate")</f>
        <v xml:space="preserve"> L'Oreal Casting Creme Gloss 535 Chocolate</v>
      </c>
      <c r="C8472" t="s">
        <v>45</v>
      </c>
      <c r="D8472" t="s">
        <v>706</v>
      </c>
    </row>
    <row r="8473" spans="1:4" x14ac:dyDescent="0.25">
      <c r="B8473" t="str">
        <f>HYPERLINK("https://www.chemistwarehouse.com.au/buy/54141/L-39-Oreal-Casting-Creme-Gloss-630-Caramel"," L'Oreal Casting Creme Gloss 630 Caramel")</f>
        <v xml:space="preserve"> L'Oreal Casting Creme Gloss 630 Caramel</v>
      </c>
      <c r="C8473" t="s">
        <v>45</v>
      </c>
      <c r="D8473" t="s">
        <v>706</v>
      </c>
    </row>
    <row r="8474" spans="1:4" x14ac:dyDescent="0.25">
      <c r="B8474" t="str">
        <f>HYPERLINK("https://www.chemistwarehouse.com.au/buy/55079/L-39-Oreal-Casting-Creme-Gloss-454-Brownie"," L'Oreal Casting Creme Gloss 454 Brownie")</f>
        <v xml:space="preserve"> L'Oreal Casting Creme Gloss 454 Brownie</v>
      </c>
      <c r="C8474" t="s">
        <v>45</v>
      </c>
      <c r="D8474" t="s">
        <v>706</v>
      </c>
    </row>
    <row r="8475" spans="1:4" x14ac:dyDescent="0.25">
      <c r="B8475" t="str">
        <f>HYPERLINK("https://www.chemistwarehouse.com.au/buy/58847/L-39-Oreal-Casting-Creme-Gloss-360-Black-Cherry"," L'Oreal Casting Creme Gloss 360 Black Cherry")</f>
        <v xml:space="preserve"> L'Oreal Casting Creme Gloss 360 Black Cherry</v>
      </c>
      <c r="C8475" t="s">
        <v>45</v>
      </c>
      <c r="D8475" t="s">
        <v>706</v>
      </c>
    </row>
    <row r="8476" spans="1:4" x14ac:dyDescent="0.25">
      <c r="B8476" t="str">
        <f>HYPERLINK("https://www.chemistwarehouse.com.au/buy/58848/L-39-Oreal-Casting-Creme-Gloss-323-Dark-Chocolate"," L'Oreal Casting Creme Gloss 323 Dark Chocolate")</f>
        <v xml:space="preserve"> L'Oreal Casting Creme Gloss 323 Dark Chocolate</v>
      </c>
      <c r="C8476" t="s">
        <v>45</v>
      </c>
      <c r="D8476" t="s">
        <v>706</v>
      </c>
    </row>
    <row r="8477" spans="1:4" x14ac:dyDescent="0.25">
      <c r="B8477" t="str">
        <f>HYPERLINK("https://www.chemistwarehouse.com.au/buy/59610/L-39-Oreal-Casting-Creme-Gloss-515-Chocolate-Chestnut"," L'Oreal Casting Creme Gloss 515 Chocolate Chestnut")</f>
        <v xml:space="preserve"> L'Oreal Casting Creme Gloss 515 Chocolate Chestnut</v>
      </c>
      <c r="C8477" t="s">
        <v>45</v>
      </c>
      <c r="D8477" t="s">
        <v>706</v>
      </c>
    </row>
    <row r="8478" spans="1:4" x14ac:dyDescent="0.25">
      <c r="B8478" t="str">
        <f>HYPERLINK("https://www.chemistwarehouse.com.au/buy/54129/L-39-Oreal-Casting-Creme-Gloss-500-Medium-Brown"," L'Oreal Casting Creme Gloss 500 Medium Brown")</f>
        <v xml:space="preserve"> L'Oreal Casting Creme Gloss 500 Medium Brown</v>
      </c>
      <c r="C8478" t="s">
        <v>45</v>
      </c>
      <c r="D8478" t="s">
        <v>706</v>
      </c>
    </row>
    <row r="8479" spans="1:4" x14ac:dyDescent="0.25">
      <c r="A8479" t="s">
        <v>1902</v>
      </c>
    </row>
    <row r="8480" spans="1:4" x14ac:dyDescent="0.25">
      <c r="B8480" t="str">
        <f>HYPERLINK("https://www.chemistwarehouse.com.au/buy/73440/L-39-oreal-Casting-Sunkiss-Jelly-01-Light-Brown-to-Dark-Blonde"," L'oreal Casting Sunkiss Jelly 01 Light Brown to Dark Blonde")</f>
        <v xml:space="preserve"> L'oreal Casting Sunkiss Jelly 01 Light Brown to Dark Blonde</v>
      </c>
      <c r="C8480" t="s">
        <v>169</v>
      </c>
      <c r="D8480" t="s">
        <v>355</v>
      </c>
    </row>
    <row r="8481" spans="1:4" x14ac:dyDescent="0.25">
      <c r="B8481" t="str">
        <f>HYPERLINK("https://www.chemistwarehouse.com.au/buy/73442/L-39-Oreal-Casting-Sunkiss-Jelly-03-Light-Blonde-to-Very-Light-Blonde"," L'Oreal Casting Sunkiss Jelly 03 Light Blonde to Very Light Blonde")</f>
        <v xml:space="preserve"> L'Oreal Casting Sunkiss Jelly 03 Light Blonde to Very Light Blonde</v>
      </c>
      <c r="C8481" t="s">
        <v>169</v>
      </c>
      <c r="D8481" t="s">
        <v>355</v>
      </c>
    </row>
    <row r="8482" spans="1:4" x14ac:dyDescent="0.25">
      <c r="A8482" t="s">
        <v>1903</v>
      </c>
    </row>
    <row r="8483" spans="1:4" x14ac:dyDescent="0.25">
      <c r="B8483" t="str">
        <f>HYPERLINK("https://www.chemistwarehouse.com.au/buy/47612/L-39-Oreal-Excellence-Creme-8-Blonde"," L'Oreal Excellence Creme - 8 Blonde")</f>
        <v xml:space="preserve"> L'Oreal Excellence Creme - 8 Blonde</v>
      </c>
      <c r="C8483" t="s">
        <v>58</v>
      </c>
      <c r="D8483" t="s">
        <v>145</v>
      </c>
    </row>
    <row r="8484" spans="1:4" x14ac:dyDescent="0.25">
      <c r="B8484" t="str">
        <f>HYPERLINK("https://www.chemistwarehouse.com.au/buy/54568/L-39-Oreal-Excellence-Creme-5-15-Velvet-Browns-Natural-Frosted-Brown"," L'Oreal Excellence Creme - 5.15 Velvet Browns- Natural Frosted Brown")</f>
        <v xml:space="preserve"> L'Oreal Excellence Creme - 5.15 Velvet Browns- Natural Frosted Brown</v>
      </c>
      <c r="C8484" t="s">
        <v>58</v>
      </c>
      <c r="D8484" t="s">
        <v>145</v>
      </c>
    </row>
    <row r="8485" spans="1:4" x14ac:dyDescent="0.25">
      <c r="B8485" t="str">
        <f>HYPERLINK("https://www.chemistwarehouse.com.au/buy/40919/L-39-Oreal-Excellence-Creme-3-Darkest-Brown"," L'Oreal Excellence Creme - 3 Darkest Brown")</f>
        <v xml:space="preserve"> L'Oreal Excellence Creme - 3 Darkest Brown</v>
      </c>
      <c r="C8485" t="s">
        <v>58</v>
      </c>
      <c r="D8485" t="s">
        <v>145</v>
      </c>
    </row>
    <row r="8486" spans="1:4" x14ac:dyDescent="0.25">
      <c r="B8486" t="str">
        <f>HYPERLINK("https://www.chemistwarehouse.com.au/buy/49839/L-39-Oreal-Excellence-Creme-1-Black"," L'Oreal Excellence Creme - 1 Black")</f>
        <v xml:space="preserve"> L'Oreal Excellence Creme - 1 Black</v>
      </c>
      <c r="C8486" t="s">
        <v>58</v>
      </c>
      <c r="D8486" t="s">
        <v>145</v>
      </c>
    </row>
    <row r="8487" spans="1:4" x14ac:dyDescent="0.25">
      <c r="B8487" t="str">
        <f>HYPERLINK("https://www.chemistwarehouse.com.au/buy/59207/L-39-Oreal-Excellence-10-21-Very-Light-Perl-Blonde"," L'Oreal Excellence 10.21 Very Light Perl Blonde")</f>
        <v xml:space="preserve"> L'Oreal Excellence 10.21 Very Light Perl Blonde</v>
      </c>
      <c r="C8487" t="s">
        <v>58</v>
      </c>
      <c r="D8487" t="s">
        <v>145</v>
      </c>
    </row>
    <row r="8488" spans="1:4" x14ac:dyDescent="0.25">
      <c r="B8488" t="str">
        <f>HYPERLINK("https://www.chemistwarehouse.com.au/buy/62771/L-39-Oreal-Excellence-Creme-2-Black-Brown"," L'Oreal Excellence Creme 2 Black Brown ")</f>
        <v xml:space="preserve"> L'Oreal Excellence Creme 2 Black Brown </v>
      </c>
      <c r="C8488" t="s">
        <v>58</v>
      </c>
      <c r="D8488" t="s">
        <v>145</v>
      </c>
    </row>
    <row r="8489" spans="1:4" x14ac:dyDescent="0.25">
      <c r="B8489" t="str">
        <f>HYPERLINK("https://www.chemistwarehouse.com.au/buy/67947/L-39-Oreal-Excellence-Creme-6-66-Intense-Red"," L'Oreal Excellence Creme 6.66 Intense Red")</f>
        <v xml:space="preserve"> L'Oreal Excellence Creme 6.66 Intense Red</v>
      </c>
      <c r="C8489" t="s">
        <v>58</v>
      </c>
      <c r="D8489" t="s">
        <v>145</v>
      </c>
    </row>
    <row r="8490" spans="1:4" x14ac:dyDescent="0.25">
      <c r="B8490" t="str">
        <f>HYPERLINK("https://www.chemistwarehouse.com.au/buy/54565/L-39-Oreal-Excellence-Creme-4-15-Velvet-Browns-Dark-Frosted-Brown"," L'Oreal Excellence Creme - 4.15 Velvet Browns- Dark Frosted Brown")</f>
        <v xml:space="preserve"> L'Oreal Excellence Creme - 4.15 Velvet Browns- Dark Frosted Brown</v>
      </c>
      <c r="C8490" t="s">
        <v>58</v>
      </c>
      <c r="D8490" t="s">
        <v>145</v>
      </c>
    </row>
    <row r="8491" spans="1:4" x14ac:dyDescent="0.25">
      <c r="B8491" t="str">
        <f>HYPERLINK("https://www.chemistwarehouse.com.au/buy/33004/L-39-Oreal-Excellence-Creme-8-3-Golden-Blonde"," L'Oreal Excellence Creme - 8.3 Golden Blonde")</f>
        <v xml:space="preserve"> L'Oreal Excellence Creme - 8.3 Golden Blonde</v>
      </c>
      <c r="C8491" t="s">
        <v>58</v>
      </c>
      <c r="D8491" t="s">
        <v>145</v>
      </c>
    </row>
    <row r="8492" spans="1:4" x14ac:dyDescent="0.25">
      <c r="B8492" t="str">
        <f>HYPERLINK("https://www.chemistwarehouse.com.au/buy/41068/L-39-Oreal-Excellence-Creme-7-Dark-Blonde"," L'Oreal Excellence Creme - 7 Dark Blonde")</f>
        <v xml:space="preserve"> L'Oreal Excellence Creme - 7 Dark Blonde</v>
      </c>
      <c r="C8492" t="s">
        <v>58</v>
      </c>
      <c r="D8492" t="s">
        <v>145</v>
      </c>
    </row>
    <row r="8493" spans="1:4" x14ac:dyDescent="0.25">
      <c r="B8493" t="str">
        <f>HYPERLINK("https://www.chemistwarehouse.com.au/buy/42897/L-39-Oreal-Excellence-Creme-5-3-Golden-Brown"," L'Oreal Excellence Creme - 5.3 Golden Brown")</f>
        <v xml:space="preserve"> L'Oreal Excellence Creme - 5.3 Golden Brown</v>
      </c>
      <c r="C8493" t="s">
        <v>58</v>
      </c>
      <c r="D8493" t="s">
        <v>145</v>
      </c>
    </row>
    <row r="8494" spans="1:4" x14ac:dyDescent="0.25">
      <c r="B8494" t="str">
        <f>HYPERLINK("https://www.chemistwarehouse.com.au/buy/43156/L-39-Oreal-Excellence-Creme-9-1-Light-Ash-Blonde"," L'Oreal Excellence Creme - 9.1 Light Ash Blonde")</f>
        <v xml:space="preserve"> L'Oreal Excellence Creme - 9.1 Light Ash Blonde</v>
      </c>
      <c r="C8494" t="s">
        <v>58</v>
      </c>
      <c r="D8494" t="s">
        <v>145</v>
      </c>
    </row>
    <row r="8495" spans="1:4" x14ac:dyDescent="0.25">
      <c r="B8495" t="str">
        <f>HYPERLINK("https://www.chemistwarehouse.com.au/buy/47611/L-39-Oreal-Excellence-Creme-9-Light-Blonde"," L'Oreal Excellence Creme - 9 Light Blonde")</f>
        <v xml:space="preserve"> L'Oreal Excellence Creme - 9 Light Blonde</v>
      </c>
      <c r="C8495" t="s">
        <v>58</v>
      </c>
      <c r="D8495" t="s">
        <v>145</v>
      </c>
    </row>
    <row r="8496" spans="1:4" x14ac:dyDescent="0.25">
      <c r="B8496" t="str">
        <f>HYPERLINK("https://www.chemistwarehouse.com.au/buy/54697/L-39-Oreal-Excellence-Creme-6-54-Light-Mahogany-Copper-Brown"," L'Oreal Excellence Creme - 6.54 Light Mahogany Copper Brown")</f>
        <v xml:space="preserve"> L'Oreal Excellence Creme - 6.54 Light Mahogany Copper Brown</v>
      </c>
      <c r="C8496" t="s">
        <v>58</v>
      </c>
      <c r="D8496" t="s">
        <v>145</v>
      </c>
    </row>
    <row r="8497" spans="1:4" x14ac:dyDescent="0.25">
      <c r="B8497" t="str">
        <f>HYPERLINK("https://www.chemistwarehouse.com.au/buy/54699/L-39-Oreal-Excellence-Creme-7-3-Dark-Golden-Blonde"," L'Oreal Excellence Creme - 7.3 Dark Golden Blonde")</f>
        <v xml:space="preserve"> L'Oreal Excellence Creme - 7.3 Dark Golden Blonde</v>
      </c>
      <c r="C8497" t="s">
        <v>58</v>
      </c>
      <c r="D8497" t="s">
        <v>145</v>
      </c>
    </row>
    <row r="8498" spans="1:4" x14ac:dyDescent="0.25">
      <c r="B8498" t="str">
        <f>HYPERLINK("https://www.chemistwarehouse.com.au/buy/54702/L-39-Oreal-Excellence-Creme-01-Supreme-Very-Light-Natural-Blonde"," L'Oreal Excellence Creme - 01 Supreme Very Light Natural Blonde")</f>
        <v xml:space="preserve"> L'Oreal Excellence Creme - 01 Supreme Very Light Natural Blonde</v>
      </c>
      <c r="C8498" t="s">
        <v>58</v>
      </c>
      <c r="D8498" t="s">
        <v>145</v>
      </c>
    </row>
    <row r="8499" spans="1:4" x14ac:dyDescent="0.25">
      <c r="B8499" t="str">
        <f>HYPERLINK("https://www.chemistwarehouse.com.au/buy/54719/L-39-Oreal-Excellence-Creme-4-3-Dark-Golden-Brown"," L'Oreal Excellence Creme - 4.3 Dark Golden Brown")</f>
        <v xml:space="preserve"> L'Oreal Excellence Creme - 4.3 Dark Golden Brown</v>
      </c>
      <c r="C8499" t="s">
        <v>58</v>
      </c>
      <c r="D8499" t="s">
        <v>145</v>
      </c>
    </row>
    <row r="8500" spans="1:4" x14ac:dyDescent="0.25">
      <c r="B8500" t="str">
        <f>HYPERLINK("https://www.chemistwarehouse.com.au/buy/54720/L-39-Oreal-Excellence-Creme-6-3-Light-Golden-Brown"," L'Oreal Excellence Creme - 6.3 Light Golden Brown")</f>
        <v xml:space="preserve"> L'Oreal Excellence Creme - 6.3 Light Golden Brown</v>
      </c>
      <c r="C8500" t="s">
        <v>58</v>
      </c>
      <c r="D8500" t="s">
        <v>145</v>
      </c>
    </row>
    <row r="8501" spans="1:4" x14ac:dyDescent="0.25">
      <c r="B8501" t="str">
        <f>HYPERLINK("https://www.chemistwarehouse.com.au/buy/59206/L-39-Oreal-Excellence-7-1-Dark-Ash-Blonde"," L'Oreal Excellence 7.1 Dark Ash Blonde ")</f>
        <v xml:space="preserve"> L'Oreal Excellence 7.1 Dark Ash Blonde </v>
      </c>
      <c r="C8501" t="s">
        <v>58</v>
      </c>
      <c r="D8501" t="s">
        <v>145</v>
      </c>
    </row>
    <row r="8502" spans="1:4" x14ac:dyDescent="0.25">
      <c r="B8502" t="str">
        <f>HYPERLINK("https://www.chemistwarehouse.com.au/buy/47616/L-39-Oreal-Excellence-Creme-8-1-Ash-Blonde"," L'Oreal Excellence Creme - 8.1 Ash Blonde")</f>
        <v xml:space="preserve"> L'Oreal Excellence Creme - 8.1 Ash Blonde</v>
      </c>
      <c r="C8502" t="s">
        <v>58</v>
      </c>
      <c r="D8502" t="s">
        <v>145</v>
      </c>
    </row>
    <row r="8503" spans="1:4" x14ac:dyDescent="0.25">
      <c r="B8503" t="str">
        <f>HYPERLINK("https://www.chemistwarehouse.com.au/buy/47620/L-39-Oreal-Excellence-Creme-6-Light-Brown"," L'Oreal Excellence Creme - 6 Light Brown")</f>
        <v xml:space="preserve"> L'Oreal Excellence Creme - 6 Light Brown</v>
      </c>
      <c r="C8503" t="s">
        <v>58</v>
      </c>
      <c r="D8503" t="s">
        <v>145</v>
      </c>
    </row>
    <row r="8504" spans="1:4" x14ac:dyDescent="0.25">
      <c r="B8504" t="str">
        <f>HYPERLINK("https://www.chemistwarehouse.com.au/buy/47622/L-39-Oreal-Excellence-Creme-5-Brown"," L'Oreal Excellence Creme - 5 Brown")</f>
        <v xml:space="preserve"> L'Oreal Excellence Creme - 5 Brown</v>
      </c>
      <c r="C8504" t="s">
        <v>58</v>
      </c>
      <c r="D8504" t="s">
        <v>145</v>
      </c>
    </row>
    <row r="8505" spans="1:4" x14ac:dyDescent="0.25">
      <c r="B8505" t="str">
        <f>HYPERLINK("https://www.chemistwarehouse.com.au/buy/47624/L-39-Oreal-Excellence-Creme-5-6-Rich-Auburn"," L'Oreal Excellence Creme - 5.6 Rich Auburn")</f>
        <v xml:space="preserve"> L'Oreal Excellence Creme - 5.6 Rich Auburn</v>
      </c>
      <c r="C8505" t="s">
        <v>58</v>
      </c>
      <c r="D8505" t="s">
        <v>145</v>
      </c>
    </row>
    <row r="8506" spans="1:4" x14ac:dyDescent="0.25">
      <c r="B8506" t="str">
        <f>HYPERLINK("https://www.chemistwarehouse.com.au/buy/49833/L-39-Oreal-Excellence-Creme-5-50-Mahogany-Brown"," L'Oreal Excellence Creme - 5.50 Mahogany Brown")</f>
        <v xml:space="preserve"> L'Oreal Excellence Creme - 5.50 Mahogany Brown</v>
      </c>
      <c r="C8506" t="s">
        <v>58</v>
      </c>
      <c r="D8506" t="s">
        <v>145</v>
      </c>
    </row>
    <row r="8507" spans="1:4" x14ac:dyDescent="0.25">
      <c r="A8507" t="s">
        <v>1904</v>
      </c>
    </row>
    <row r="8508" spans="1:4" x14ac:dyDescent="0.25">
      <c r="B8508" t="str">
        <f>HYPERLINK("https://www.chemistwarehouse.com.au/buy/75546/Clairol-Nice-amp-Easy-Age-Defy-8-Medium-Blonde"," Clairol Nice &amp; Easy Age Defy 8 Medium Blonde")</f>
        <v xml:space="preserve"> Clairol Nice &amp; Easy Age Defy 8 Medium Blonde</v>
      </c>
      <c r="C8508" t="s">
        <v>32</v>
      </c>
      <c r="D8508" t="s">
        <v>261</v>
      </c>
    </row>
    <row r="8509" spans="1:4" x14ac:dyDescent="0.25">
      <c r="B8509" t="str">
        <f>HYPERLINK("https://www.chemistwarehouse.com.au/buy/75545/Clairol-Nice-amp-Easy-Age-Defy-6-Light-Brown"," Clairol Nice &amp; Easy Age Defy 6 Light Brown")</f>
        <v xml:space="preserve"> Clairol Nice &amp; Easy Age Defy 6 Light Brown</v>
      </c>
      <c r="C8509" t="s">
        <v>32</v>
      </c>
      <c r="D8509" t="s">
        <v>261</v>
      </c>
    </row>
    <row r="8510" spans="1:4" x14ac:dyDescent="0.25">
      <c r="B8510" t="str">
        <f>HYPERLINK("https://www.chemistwarehouse.com.au/buy/75547/Clairol-Nice-amp-Easy-Age-Defy-8A-Medium-Ash-Blonde"," Clairol Nice &amp; Easy Age Defy 8A Medium Ash Blonde")</f>
        <v xml:space="preserve"> Clairol Nice &amp; Easy Age Defy 8A Medium Ash Blonde</v>
      </c>
      <c r="C8510" t="s">
        <v>32</v>
      </c>
      <c r="D8510" t="s">
        <v>261</v>
      </c>
    </row>
    <row r="8511" spans="1:4" x14ac:dyDescent="0.25">
      <c r="B8511" t="str">
        <f>HYPERLINK("https://www.chemistwarehouse.com.au/buy/75540/Clairol-Nice-amp-Easy-Age-Defy-4-Dark-Brown"," Clairol Nice &amp; Easy Age Defy 4 Dark Brown ")</f>
        <v xml:space="preserve"> Clairol Nice &amp; Easy Age Defy 4 Dark Brown </v>
      </c>
      <c r="C8511" t="s">
        <v>32</v>
      </c>
      <c r="D8511" t="s">
        <v>261</v>
      </c>
    </row>
    <row r="8512" spans="1:4" x14ac:dyDescent="0.25">
      <c r="B8512" t="str">
        <f>HYPERLINK("https://www.chemistwarehouse.com.au/buy/75541/Clairol-Nice-amp-Easy-Age-Defy-5-Medium-Brown"," Clairol Nice &amp; Easy Age Defy 5 Medium Brown ")</f>
        <v xml:space="preserve"> Clairol Nice &amp; Easy Age Defy 5 Medium Brown </v>
      </c>
      <c r="C8512" t="s">
        <v>32</v>
      </c>
      <c r="D8512" t="s">
        <v>261</v>
      </c>
    </row>
    <row r="8513" spans="1:4" x14ac:dyDescent="0.25">
      <c r="B8513" t="str">
        <f>HYPERLINK("https://www.chemistwarehouse.com.au/buy/75542/Clairol-Nice-amp-Easy-Age-Defy-5A-Medium-Ash-Brown"," Clairol Nice &amp; Easy Age Defy 5A Medium Ash Brown")</f>
        <v xml:space="preserve"> Clairol Nice &amp; Easy Age Defy 5A Medium Ash Brown</v>
      </c>
      <c r="C8513" t="s">
        <v>32</v>
      </c>
      <c r="D8513" t="s">
        <v>261</v>
      </c>
    </row>
    <row r="8514" spans="1:4" x14ac:dyDescent="0.25">
      <c r="B8514" t="str">
        <f>HYPERLINK("https://www.chemistwarehouse.com.au/buy/75543/Clairol-Nice-amp-Easy-Age-Defy-5G-Medium-Golden-Brown"," Clairol Nice &amp; Easy Age Defy 5G Medium Golden Brown ")</f>
        <v xml:space="preserve"> Clairol Nice &amp; Easy Age Defy 5G Medium Golden Brown </v>
      </c>
      <c r="C8514" t="s">
        <v>32</v>
      </c>
      <c r="D8514" t="s">
        <v>261</v>
      </c>
    </row>
    <row r="8515" spans="1:4" x14ac:dyDescent="0.25">
      <c r="B8515" t="str">
        <f>HYPERLINK("https://www.chemistwarehouse.com.au/buy/75544/Clairol-Nice-amp-Easy-Age-Defy-5R-Medium-Auburn"," Clairol Nice &amp; Easy Age Defy 5R Medium Auburn")</f>
        <v xml:space="preserve"> Clairol Nice &amp; Easy Age Defy 5R Medium Auburn</v>
      </c>
      <c r="C8515" t="s">
        <v>32</v>
      </c>
      <c r="D8515" t="s">
        <v>261</v>
      </c>
    </row>
    <row r="8516" spans="1:4" x14ac:dyDescent="0.25">
      <c r="A8516" t="s">
        <v>1905</v>
      </c>
    </row>
    <row r="8517" spans="1:4" x14ac:dyDescent="0.25">
      <c r="B8517" t="str">
        <f>HYPERLINK("https://www.chemistwarehouse.com.au/buy/66997/L-39-Oreal-Feria-Preference-P37-Plum"," L'Oreal Feria Preference P37 Plum")</f>
        <v xml:space="preserve"> L'Oreal Feria Preference P37 Plum</v>
      </c>
      <c r="C8517" t="s">
        <v>58</v>
      </c>
      <c r="D8517" t="s">
        <v>800</v>
      </c>
    </row>
    <row r="8518" spans="1:4" x14ac:dyDescent="0.25">
      <c r="B8518" t="str">
        <f>HYPERLINK("https://www.chemistwarehouse.com.au/buy/66999/L-39-Oreal-Feria-Preference-P76-Pure-Spice-Power"," L'Oreal Feria Preference P76 Pure Spice Power ")</f>
        <v xml:space="preserve"> L'Oreal Feria Preference P76 Pure Spice Power </v>
      </c>
      <c r="C8518" t="s">
        <v>58</v>
      </c>
      <c r="D8518" t="s">
        <v>800</v>
      </c>
    </row>
    <row r="8519" spans="1:4" x14ac:dyDescent="0.25">
      <c r="B8519" t="str">
        <f>HYPERLINK("https://www.chemistwarehouse.com.au/buy/68781/L-39-Oreal-Feria-Preference-P67-Scarlet"," L'Oreal Feria Preference P67 Scarlet")</f>
        <v xml:space="preserve"> L'Oreal Feria Preference P67 Scarlet</v>
      </c>
      <c r="C8519" t="s">
        <v>58</v>
      </c>
      <c r="D8519" t="s">
        <v>800</v>
      </c>
    </row>
    <row r="8520" spans="1:4" x14ac:dyDescent="0.25">
      <c r="B8520" t="str">
        <f>HYPERLINK("https://www.chemistwarehouse.com.au/buy/69696/L-39-Oreal-Feria-Preference-P38-Deep-Purple"," L'Oreal Feria Preference P38 Deep Purple")</f>
        <v xml:space="preserve"> L'Oreal Feria Preference P38 Deep Purple</v>
      </c>
      <c r="C8520" t="s">
        <v>58</v>
      </c>
      <c r="D8520" t="s">
        <v>800</v>
      </c>
    </row>
    <row r="8521" spans="1:4" x14ac:dyDescent="0.25">
      <c r="A8521" t="s">
        <v>1906</v>
      </c>
    </row>
    <row r="8522" spans="1:4" x14ac:dyDescent="0.25">
      <c r="B8522" t="str">
        <f>HYPERLINK("https://www.chemistwarehouse.com.au/buy/66734/L-39-Oreal-Preference-10-21-Alaska"," L'Oreal Preference 10.21 Alaska")</f>
        <v xml:space="preserve"> L'Oreal Preference 10.21 Alaska</v>
      </c>
      <c r="C8522" t="s">
        <v>58</v>
      </c>
      <c r="D8522" t="s">
        <v>800</v>
      </c>
    </row>
    <row r="8523" spans="1:4" x14ac:dyDescent="0.25">
      <c r="B8523" t="str">
        <f>HYPERLINK("https://www.chemistwarehouse.com.au/buy/66735/L-39-Oreal-Preference-3-Brasilia"," L'Oreal Preference 3 Brasilia")</f>
        <v xml:space="preserve"> L'Oreal Preference 3 Brasilia</v>
      </c>
      <c r="C8523" t="s">
        <v>58</v>
      </c>
      <c r="D8523" t="s">
        <v>800</v>
      </c>
    </row>
    <row r="8524" spans="1:4" x14ac:dyDescent="0.25">
      <c r="B8524" t="str">
        <f>HYPERLINK("https://www.chemistwarehouse.com.au/buy/66736/L-39-Oreal-Preference-4-Tahiti"," L'Oreal Preference 4 Tahiti")</f>
        <v xml:space="preserve"> L'Oreal Preference 4 Tahiti</v>
      </c>
      <c r="C8524" t="s">
        <v>58</v>
      </c>
      <c r="D8524" t="s">
        <v>800</v>
      </c>
    </row>
    <row r="8525" spans="1:4" x14ac:dyDescent="0.25">
      <c r="B8525" t="str">
        <f>HYPERLINK("https://www.chemistwarehouse.com.au/buy/66737/L-39-Oreal-Preference-4-15-Rome"," L'Oreal Preference 4.15 Rome")</f>
        <v xml:space="preserve"> L'Oreal Preference 4.15 Rome</v>
      </c>
      <c r="C8525" t="s">
        <v>58</v>
      </c>
      <c r="D8525" t="s">
        <v>800</v>
      </c>
    </row>
    <row r="8526" spans="1:4" x14ac:dyDescent="0.25">
      <c r="B8526" t="str">
        <f>HYPERLINK("https://www.chemistwarehouse.com.au/buy/66738/L-39-Oreal-Preference-4-4-Riviera"," L'Oreal Preference 4.4 Riviera")</f>
        <v xml:space="preserve"> L'Oreal Preference 4.4 Riviera</v>
      </c>
      <c r="C8526" t="s">
        <v>58</v>
      </c>
      <c r="D8526" t="s">
        <v>800</v>
      </c>
    </row>
    <row r="8527" spans="1:4" x14ac:dyDescent="0.25">
      <c r="B8527" t="str">
        <f>HYPERLINK("https://www.chemistwarehouse.com.au/buy/66739/L-39-Oreal-Preference-5-Palma"," L'Oreal Preference 5 Palma")</f>
        <v xml:space="preserve"> L'Oreal Preference 5 Palma</v>
      </c>
      <c r="C8527" t="s">
        <v>58</v>
      </c>
      <c r="D8527" t="s">
        <v>800</v>
      </c>
    </row>
    <row r="8528" spans="1:4" x14ac:dyDescent="0.25">
      <c r="B8528" t="str">
        <f>HYPERLINK("https://www.chemistwarehouse.com.au/buy/66740/L-39-Oreal-Preference-5-3-Siena-Golden-Brown"," L'Oreal Preference 5.3 Siena Golden Brown")</f>
        <v xml:space="preserve"> L'Oreal Preference 5.3 Siena Golden Brown</v>
      </c>
      <c r="C8528" t="s">
        <v>58</v>
      </c>
      <c r="D8528" t="s">
        <v>800</v>
      </c>
    </row>
    <row r="8529" spans="2:4" x14ac:dyDescent="0.25">
      <c r="B8529" t="str">
        <f>HYPERLINK("https://www.chemistwarehouse.com.au/buy/66743/L-39-Oreal-Preference-7-Vienna"," L'Oreal Preference 7 Vienna")</f>
        <v xml:space="preserve"> L'Oreal Preference 7 Vienna</v>
      </c>
      <c r="C8529" t="s">
        <v>58</v>
      </c>
      <c r="D8529" t="s">
        <v>800</v>
      </c>
    </row>
    <row r="8530" spans="2:4" x14ac:dyDescent="0.25">
      <c r="B8530" t="str">
        <f>HYPERLINK("https://www.chemistwarehouse.com.au/buy/66744/L-39-Oreal-Preference-8-California"," L'Oreal Preference 8 California")</f>
        <v xml:space="preserve"> L'Oreal Preference 8 California</v>
      </c>
      <c r="C8530" t="s">
        <v>58</v>
      </c>
      <c r="D8530" t="s">
        <v>800</v>
      </c>
    </row>
    <row r="8531" spans="2:4" x14ac:dyDescent="0.25">
      <c r="B8531" t="str">
        <f>HYPERLINK("https://www.chemistwarehouse.com.au/buy/66747/L-39-Oreal-Preference-9-1-Viking"," L'Oreal Preference 9.1 Viking")</f>
        <v xml:space="preserve"> L'Oreal Preference 9.1 Viking</v>
      </c>
      <c r="C8531" t="s">
        <v>58</v>
      </c>
      <c r="D8531" t="s">
        <v>800</v>
      </c>
    </row>
    <row r="8532" spans="2:4" x14ac:dyDescent="0.25">
      <c r="B8532" t="str">
        <f>HYPERLINK("https://www.chemistwarehouse.com.au/buy/68757/L-39-Oreal-Preference-Wild-Ombre-2-Dark-Blonde-To-Brown"," L'Oreal Preference Wild Ombre 2 Dark Blonde To Brown")</f>
        <v xml:space="preserve"> L'Oreal Preference Wild Ombre 2 Dark Blonde To Brown</v>
      </c>
      <c r="C8532" t="s">
        <v>58</v>
      </c>
      <c r="D8532" t="s">
        <v>800</v>
      </c>
    </row>
    <row r="8533" spans="2:4" x14ac:dyDescent="0.25">
      <c r="B8533" t="str">
        <f>HYPERLINK("https://www.chemistwarehouse.com.au/buy/68758/L-39-Oreal-Preference-Wild-Ombre-4-Light-Blonde-To-Blonde"," L'Oreal Preference Wild Ombre 4 Light Blonde To Blonde")</f>
        <v xml:space="preserve"> L'Oreal Preference Wild Ombre 4 Light Blonde To Blonde</v>
      </c>
      <c r="C8533" t="s">
        <v>58</v>
      </c>
      <c r="D8533" t="s">
        <v>800</v>
      </c>
    </row>
    <row r="8534" spans="2:4" x14ac:dyDescent="0.25">
      <c r="B8534" t="str">
        <f>HYPERLINK("https://www.chemistwarehouse.com.au/buy/72179/L-39-Oreal-Preference-102-Ombre-Intense"," L'Oreal Preference 102 Ombre Intense")</f>
        <v xml:space="preserve"> L'Oreal Preference 102 Ombre Intense</v>
      </c>
      <c r="C8534" t="s">
        <v>58</v>
      </c>
      <c r="D8534" t="s">
        <v>800</v>
      </c>
    </row>
    <row r="8535" spans="2:4" x14ac:dyDescent="0.25">
      <c r="B8535" t="str">
        <f>HYPERLINK("https://www.chemistwarehouse.com.au/buy/72182/L-39-Oreal-Preference-6L-Platinum"," L'Oreal Preference 6L Platinum")</f>
        <v xml:space="preserve"> L'Oreal Preference 6L Platinum</v>
      </c>
      <c r="C8535" t="s">
        <v>58</v>
      </c>
      <c r="D8535" t="s">
        <v>800</v>
      </c>
    </row>
    <row r="8536" spans="2:4" x14ac:dyDescent="0.25">
      <c r="B8536" t="str">
        <f>HYPERLINK("https://www.chemistwarehouse.com.au/buy/72183/L-39-Oreal-Preference-8L-Platinum"," L'Oreal Preference 8L Platinum")</f>
        <v xml:space="preserve"> L'Oreal Preference 8L Platinum</v>
      </c>
      <c r="C8536" t="s">
        <v>58</v>
      </c>
      <c r="D8536" t="s">
        <v>800</v>
      </c>
    </row>
    <row r="8537" spans="2:4" x14ac:dyDescent="0.25">
      <c r="B8537" t="str">
        <f>HYPERLINK("https://www.chemistwarehouse.com.au/buy/78686/L-39-Oreal-Preference-Glam-Lights-02-Dark-Blonde-to-Light-Blonde"," L'Oreal Preference Glam Lights 02 Dark Blonde to Light Blonde")</f>
        <v xml:space="preserve"> L'Oreal Preference Glam Lights 02 Dark Blonde to Light Blonde</v>
      </c>
      <c r="C8537" t="s">
        <v>58</v>
      </c>
      <c r="D8537" t="s">
        <v>800</v>
      </c>
    </row>
    <row r="8538" spans="2:4" x14ac:dyDescent="0.25">
      <c r="B8538" t="str">
        <f>HYPERLINK("https://www.chemistwarehouse.com.au/buy/78687/Loreal-Preference-Glam-Lights-03-Light-Brown-to-Dark-Blonde"," Loreal Preference Glam Lights 03 Light Brown to Dark Blonde")</f>
        <v xml:space="preserve"> Loreal Preference Glam Lights 03 Light Brown to Dark Blonde</v>
      </c>
      <c r="C8538" t="s">
        <v>58</v>
      </c>
      <c r="D8538" t="s">
        <v>800</v>
      </c>
    </row>
    <row r="8539" spans="2:4" x14ac:dyDescent="0.25">
      <c r="B8539" t="str">
        <f>HYPERLINK("https://www.chemistwarehouse.com.au/buy/78688/Loreal-Preference-Glam-Lights-04-Brown-to-Light-Brown"," Loreal Preference Glam Lights 04 Brown to Light Brown")</f>
        <v xml:space="preserve"> Loreal Preference Glam Lights 04 Brown to Light Brown</v>
      </c>
      <c r="C8539" t="s">
        <v>58</v>
      </c>
      <c r="D8539" t="s">
        <v>800</v>
      </c>
    </row>
    <row r="8540" spans="2:4" x14ac:dyDescent="0.25">
      <c r="B8540" t="str">
        <f>HYPERLINK("https://www.chemistwarehouse.com.au/buy/79027/L-39-Oreal-Preference-5-21-L-Etoile"," L'Oreal Preference 5.21 L Etoile")</f>
        <v xml:space="preserve"> L'Oreal Preference 5.21 L Etoile</v>
      </c>
      <c r="C8540" t="s">
        <v>58</v>
      </c>
      <c r="D8540" t="s">
        <v>800</v>
      </c>
    </row>
    <row r="8541" spans="2:4" x14ac:dyDescent="0.25">
      <c r="B8541" t="str">
        <f>HYPERLINK("https://www.chemistwarehouse.com.au/buy/79123/L-39-Oreal-Preference-6-21-Opera"," L'Oreal Preference 6.21 Opera")</f>
        <v xml:space="preserve"> L'Oreal Preference 6.21 Opera</v>
      </c>
      <c r="C8541" t="s">
        <v>58</v>
      </c>
      <c r="D8541" t="s">
        <v>800</v>
      </c>
    </row>
    <row r="8542" spans="2:4" x14ac:dyDescent="0.25">
      <c r="B8542" t="str">
        <f>HYPERLINK("https://www.chemistwarehouse.com.au/buy/79124/L-39-Oreal-Preference-11-21-Very-Very-Light-Cool"," L'Oreal Preference 11.21 Very Very Light Cool")</f>
        <v xml:space="preserve"> L'Oreal Preference 11.21 Very Very Light Cool</v>
      </c>
      <c r="C8542" t="s">
        <v>58</v>
      </c>
      <c r="D8542" t="s">
        <v>800</v>
      </c>
    </row>
    <row r="8543" spans="2:4" x14ac:dyDescent="0.25">
      <c r="B8543" t="str">
        <f>HYPERLINK("https://www.chemistwarehouse.com.au/buy/79125/L-39-Oreal-Preference-3-12-St-Honore"," L'Oreal Preference 3.12 St Honore")</f>
        <v xml:space="preserve"> L'Oreal Preference 3.12 St Honore</v>
      </c>
      <c r="C8543" t="s">
        <v>58</v>
      </c>
      <c r="D8543" t="s">
        <v>800</v>
      </c>
    </row>
    <row r="8544" spans="2:4" x14ac:dyDescent="0.25">
      <c r="B8544" t="str">
        <f>HYPERLINK("https://www.chemistwarehouse.com.au/buy/66733/L-39-Oreal-Preference-1-0-Madrid-Black"," L'Oreal Preference 1.0 Madrid Black")</f>
        <v xml:space="preserve"> L'Oreal Preference 1.0 Madrid Black</v>
      </c>
      <c r="C8544" t="s">
        <v>58</v>
      </c>
      <c r="D8544" t="s">
        <v>800</v>
      </c>
    </row>
    <row r="8545" spans="1:4" x14ac:dyDescent="0.25">
      <c r="A8545" t="s">
        <v>1907</v>
      </c>
    </row>
    <row r="8546" spans="1:4" x14ac:dyDescent="0.25">
      <c r="B8546" t="str">
        <f>HYPERLINK("https://www.chemistwarehouse.com.au/buy/75176/Schwarzkopf-Live-Colour-Pastels-Baby-Blue"," Schwarzkopf Live Colour Pastels Baby Blue")</f>
        <v xml:space="preserve"> Schwarzkopf Live Colour Pastels Baby Blue</v>
      </c>
      <c r="C8546" t="s">
        <v>120</v>
      </c>
      <c r="D8546" t="s">
        <v>781</v>
      </c>
    </row>
    <row r="8547" spans="1:4" x14ac:dyDescent="0.25">
      <c r="B8547" t="str">
        <f>HYPERLINK("https://www.chemistwarehouse.com.au/buy/75177/Schwarzkopf-Live-Colour-Pastels-Cotton-Candy-Pink"," Schwarzkopf Live Colour Pastels Cotton Candy Pink")</f>
        <v xml:space="preserve"> Schwarzkopf Live Colour Pastels Cotton Candy Pink</v>
      </c>
      <c r="C8547" t="s">
        <v>120</v>
      </c>
      <c r="D8547" t="s">
        <v>781</v>
      </c>
    </row>
    <row r="8548" spans="1:4" x14ac:dyDescent="0.25">
      <c r="B8548" t="str">
        <f>HYPERLINK("https://www.chemistwarehouse.com.au/buy/81624/Schwarzkopf-Live-Colour-Pastels-Spray-Cotton-Candy"," Schwarzkopf Live Colour Pastels Spray Cotton Candy")</f>
        <v xml:space="preserve"> Schwarzkopf Live Colour Pastels Spray Cotton Candy</v>
      </c>
      <c r="C8548" t="s">
        <v>240</v>
      </c>
      <c r="D8548" t="s">
        <v>561</v>
      </c>
    </row>
    <row r="8549" spans="1:4" x14ac:dyDescent="0.25">
      <c r="B8549" t="str">
        <f>HYPERLINK("https://www.chemistwarehouse.com.au/buy/79374/Schwarzkopf-Live-Salon-Colour-Refresher-For-Dark-Browns"," Schwarzkopf Live Salon Colour Refresher For Dark Browns")</f>
        <v xml:space="preserve"> Schwarzkopf Live Salon Colour Refresher For Dark Browns</v>
      </c>
      <c r="C8549" t="s">
        <v>290</v>
      </c>
      <c r="D8549" t="s">
        <v>318</v>
      </c>
    </row>
    <row r="8550" spans="1:4" x14ac:dyDescent="0.25">
      <c r="B8550" t="str">
        <f>HYPERLINK("https://www.chemistwarehouse.com.au/buy/81622/Schwarzkopf-Live-Colour-Pastels-Spray-Apricot"," Schwarzkopf Live Colour Pastels Spray Apricot")</f>
        <v xml:space="preserve"> Schwarzkopf Live Colour Pastels Spray Apricot</v>
      </c>
      <c r="C8550" t="s">
        <v>240</v>
      </c>
      <c r="D8550" t="s">
        <v>561</v>
      </c>
    </row>
    <row r="8551" spans="1:4" x14ac:dyDescent="0.25">
      <c r="B8551" t="str">
        <f>HYPERLINK("https://www.chemistwarehouse.com.au/buy/81623/Schwarzkopf-Live-Colour-Pastels-Spray-Icy-Blue"," Schwarzkopf Live Colour Pastels Spray Icy Blue")</f>
        <v xml:space="preserve"> Schwarzkopf Live Colour Pastels Spray Icy Blue</v>
      </c>
      <c r="C8551" t="s">
        <v>240</v>
      </c>
      <c r="D8551" t="s">
        <v>561</v>
      </c>
    </row>
    <row r="8552" spans="1:4" x14ac:dyDescent="0.25">
      <c r="B8552" t="str">
        <f>HYPERLINK("https://www.chemistwarehouse.com.au/buy/81625/Schwarzkopf-Live-Colour-Pastels-Spray-Mint-Green"," Schwarzkopf Live Colour Pastels Spray Mint Green")</f>
        <v xml:space="preserve"> Schwarzkopf Live Colour Pastels Spray Mint Green</v>
      </c>
      <c r="C8552" t="s">
        <v>240</v>
      </c>
      <c r="D8552" t="s">
        <v>561</v>
      </c>
    </row>
    <row r="8553" spans="1:4" x14ac:dyDescent="0.25">
      <c r="B8553" t="str">
        <f>HYPERLINK("https://www.chemistwarehouse.com.au/buy/75178/Schwarzkopf-Live-Colour-Pastels-Lilac-Blush"," Schwarzkopf Live Colour Pastels Lilac Blush")</f>
        <v xml:space="preserve"> Schwarzkopf Live Colour Pastels Lilac Blush</v>
      </c>
      <c r="C8553" t="s">
        <v>120</v>
      </c>
      <c r="D8553" t="s">
        <v>781</v>
      </c>
    </row>
    <row r="8554" spans="1:4" x14ac:dyDescent="0.25">
      <c r="B8554" t="str">
        <f>HYPERLINK("https://www.chemistwarehouse.com.au/buy/75179/Schwarzkopf-Live-Colour-Ultra-Brights-Shocking-Pink"," Schwarzkopf Live Colour Ultra Brights Shocking Pink")</f>
        <v xml:space="preserve"> Schwarzkopf Live Colour Ultra Brights Shocking Pink</v>
      </c>
      <c r="C8554" t="s">
        <v>120</v>
      </c>
      <c r="D8554" t="s">
        <v>781</v>
      </c>
    </row>
    <row r="8555" spans="1:4" x14ac:dyDescent="0.25">
      <c r="B8555" t="str">
        <f>HYPERLINK("https://www.chemistwarehouse.com.au/buy/79367/Schwarzkopf-Live-Colour-Pastels-Turquoise-Pearl"," Schwarzkopf Live Colour Pastels Turquoise Pearl")</f>
        <v xml:space="preserve"> Schwarzkopf Live Colour Pastels Turquoise Pearl</v>
      </c>
      <c r="C8555" t="s">
        <v>120</v>
      </c>
      <c r="D8555" t="s">
        <v>781</v>
      </c>
    </row>
    <row r="8556" spans="1:4" x14ac:dyDescent="0.25">
      <c r="B8556" t="str">
        <f>HYPERLINK("https://www.chemistwarehouse.com.au/buy/79368/Schwarzkopf-Live-Colour-Pastels-Peach-Perfect"," Schwarzkopf Live Colour Pastels Peach Perfect")</f>
        <v xml:space="preserve"> Schwarzkopf Live Colour Pastels Peach Perfect</v>
      </c>
      <c r="C8556" t="s">
        <v>120</v>
      </c>
      <c r="D8556" t="s">
        <v>781</v>
      </c>
    </row>
    <row r="8557" spans="1:4" x14ac:dyDescent="0.25">
      <c r="B8557" t="str">
        <f>HYPERLINK("https://www.chemistwarehouse.com.au/buy/79369/Schwarzkopf-Live-Colour-Pastels-Cool-Grey"," Schwarzkopf Live Colour Pastels Cool Grey")</f>
        <v xml:space="preserve"> Schwarzkopf Live Colour Pastels Cool Grey</v>
      </c>
      <c r="C8557" t="s">
        <v>120</v>
      </c>
      <c r="D8557" t="s">
        <v>781</v>
      </c>
    </row>
    <row r="8558" spans="1:4" x14ac:dyDescent="0.25">
      <c r="B8558" t="str">
        <f>HYPERLINK("https://www.chemistwarehouse.com.au/buy/6434/Schwarzkopf-Live-Colour-Hazelnut"," Schwarzkopf Live Colour Hazelnut")</f>
        <v xml:space="preserve"> Schwarzkopf Live Colour Hazelnut</v>
      </c>
      <c r="C8558" t="s">
        <v>483</v>
      </c>
      <c r="D8558" t="s">
        <v>1516</v>
      </c>
    </row>
    <row r="8559" spans="1:4" x14ac:dyDescent="0.25">
      <c r="B8559" t="str">
        <f>HYPERLINK("https://www.chemistwarehouse.com.au/buy/6440/Schwarzkopf-Live-Colour-Rich-Burgundy"," Schwarzkopf Live Colour Rich Burgundy")</f>
        <v xml:space="preserve"> Schwarzkopf Live Colour Rich Burgundy</v>
      </c>
      <c r="C8559" t="s">
        <v>483</v>
      </c>
      <c r="D8559" t="s">
        <v>1516</v>
      </c>
    </row>
    <row r="8560" spans="1:4" x14ac:dyDescent="0.25">
      <c r="B8560" t="str">
        <f>HYPERLINK("https://www.chemistwarehouse.com.au/buy/6441/Schwarzkoft-Live-Colour-Silver-Tone"," Schwarzkoft Live Colour Silver Tone")</f>
        <v xml:space="preserve"> Schwarzkoft Live Colour Silver Tone</v>
      </c>
      <c r="C8560" t="s">
        <v>483</v>
      </c>
      <c r="D8560" t="s">
        <v>1516</v>
      </c>
    </row>
    <row r="8561" spans="1:4" x14ac:dyDescent="0.25">
      <c r="B8561" t="str">
        <f>HYPERLINK("https://www.chemistwarehouse.com.au/buy/41857/Schwarzkopf-Live-Colour-Mahogany"," Schwarzkopf Live Colour Mahogany")</f>
        <v xml:space="preserve"> Schwarzkopf Live Colour Mahogany</v>
      </c>
      <c r="C8561" t="s">
        <v>483</v>
      </c>
      <c r="D8561" t="s">
        <v>1516</v>
      </c>
    </row>
    <row r="8562" spans="1:4" x14ac:dyDescent="0.25">
      <c r="B8562" t="str">
        <f>HYPERLINK("https://www.chemistwarehouse.com.au/buy/58853/Schwarzkopf-Live-Colour-Black"," Schwarzkopf Live Colour Black")</f>
        <v xml:space="preserve"> Schwarzkopf Live Colour Black</v>
      </c>
      <c r="C8562" t="s">
        <v>483</v>
      </c>
      <c r="D8562" t="s">
        <v>1516</v>
      </c>
    </row>
    <row r="8563" spans="1:4" x14ac:dyDescent="0.25">
      <c r="B8563" t="str">
        <f>HYPERLINK("https://www.chemistwarehouse.com.au/buy/58854/Schwarzkopf-Live-Colour-Chocolate"," Schwarzkopf Live Colour Chocolate")</f>
        <v xml:space="preserve"> Schwarzkopf Live Colour Chocolate</v>
      </c>
      <c r="C8563" t="s">
        <v>483</v>
      </c>
      <c r="D8563" t="s">
        <v>1516</v>
      </c>
    </row>
    <row r="8564" spans="1:4" x14ac:dyDescent="0.25">
      <c r="B8564" t="str">
        <f>HYPERLINK("https://www.chemistwarehouse.com.au/buy/58855/Schwarzkopf-Live-Colour-Natural-Brown"," Schwarzkopf Live Colour Natural Brown")</f>
        <v xml:space="preserve"> Schwarzkopf Live Colour Natural Brown</v>
      </c>
      <c r="C8564" t="s">
        <v>483</v>
      </c>
      <c r="D8564" t="s">
        <v>1516</v>
      </c>
    </row>
    <row r="8565" spans="1:4" x14ac:dyDescent="0.25">
      <c r="B8565" t="str">
        <f>HYPERLINK("https://www.chemistwarehouse.com.au/buy/58856/Schwarzkopf-Live-Colour-Blueberry"," Schwarzkopf Live Colour Blueberry")</f>
        <v xml:space="preserve"> Schwarzkopf Live Colour Blueberry</v>
      </c>
      <c r="C8565" t="s">
        <v>483</v>
      </c>
      <c r="D8565" t="s">
        <v>1516</v>
      </c>
    </row>
    <row r="8566" spans="1:4" x14ac:dyDescent="0.25">
      <c r="B8566" t="str">
        <f>HYPERLINK("https://www.chemistwarehouse.com.au/buy/60290/Schwarzkopf-Live-Colour-Red-Embers"," Schwarzkopf Live Colour Red Embers")</f>
        <v xml:space="preserve"> Schwarzkopf Live Colour Red Embers</v>
      </c>
      <c r="C8566" t="s">
        <v>483</v>
      </c>
      <c r="D8566" t="s">
        <v>1516</v>
      </c>
    </row>
    <row r="8567" spans="1:4" x14ac:dyDescent="0.25">
      <c r="B8567" t="str">
        <f>HYPERLINK("https://www.chemistwarehouse.com.au/buy/69976/Schwarzkopf-Live-Colour-Ultra-Brights-Magnetic-Purple"," Schwarzkopf Live Colour Ultra Brights Magnetic Purple")</f>
        <v xml:space="preserve"> Schwarzkopf Live Colour Ultra Brights Magnetic Purple</v>
      </c>
      <c r="C8567" t="s">
        <v>120</v>
      </c>
      <c r="D8567" t="s">
        <v>781</v>
      </c>
    </row>
    <row r="8568" spans="1:4" x14ac:dyDescent="0.25">
      <c r="B8568" t="str">
        <f>HYPERLINK("https://www.chemistwarehouse.com.au/buy/69978/Schwarzkopf-Live-Colour-Ultra-Brights-Electric-Blue"," Schwarzkopf Live Colour Ultra Brights Electric Blue")</f>
        <v xml:space="preserve"> Schwarzkopf Live Colour Ultra Brights Electric Blue</v>
      </c>
      <c r="C8568" t="s">
        <v>120</v>
      </c>
      <c r="D8568" t="s">
        <v>781</v>
      </c>
    </row>
    <row r="8569" spans="1:4" x14ac:dyDescent="0.25">
      <c r="A8569" t="s">
        <v>1908</v>
      </c>
    </row>
    <row r="8570" spans="1:4" x14ac:dyDescent="0.25">
      <c r="B8570" t="str">
        <f>HYPERLINK("https://www.chemistwarehouse.com.au/buy/57199/Clairol-Nice-amp-Easy-103A-Natural-Medium-Blonde"," Clairol Nice &amp; Easy 103A Natural Medium Blonde")</f>
        <v xml:space="preserve"> Clairol Nice &amp; Easy 103A Natural Medium Blonde</v>
      </c>
      <c r="C8570" t="s">
        <v>103</v>
      </c>
      <c r="D8570" t="s">
        <v>162</v>
      </c>
    </row>
    <row r="8571" spans="1:4" x14ac:dyDescent="0.25">
      <c r="B8571" t="str">
        <f>HYPERLINK("https://www.chemistwarehouse.com.au/buy/60022/Clairol-Nice-amp-Easy-101-Natural-Baby-Blonde"," Clairol Nice &amp; Easy 101 Natural Baby Blonde")</f>
        <v xml:space="preserve"> Clairol Nice &amp; Easy 101 Natural Baby Blonde</v>
      </c>
      <c r="C8571" t="s">
        <v>103</v>
      </c>
      <c r="D8571" t="s">
        <v>162</v>
      </c>
    </row>
    <row r="8572" spans="1:4" x14ac:dyDescent="0.25">
      <c r="B8572" t="str">
        <f>HYPERLINK("https://www.chemistwarehouse.com.au/buy/60027/Clairol-Nice-amp-Easy-108-Natural-Gold-Auburn"," Clairol Nice &amp; Easy 108 Natural Gold Auburn")</f>
        <v xml:space="preserve"> Clairol Nice &amp; Easy 108 Natural Gold Auburn</v>
      </c>
      <c r="C8572" t="s">
        <v>103</v>
      </c>
      <c r="D8572" t="s">
        <v>162</v>
      </c>
    </row>
    <row r="8573" spans="1:4" x14ac:dyDescent="0.25">
      <c r="B8573" t="str">
        <f>HYPERLINK("https://www.chemistwarehouse.com.au/buy/75845/Clairol-Nice-amp-Easy-Root-Touch-Up-Black"," Clairol Nice &amp; Easy Root Touch Up Black")</f>
        <v xml:space="preserve"> Clairol Nice &amp; Easy Root Touch Up Black</v>
      </c>
      <c r="C8573" t="s">
        <v>103</v>
      </c>
      <c r="D8573" t="s">
        <v>119</v>
      </c>
    </row>
    <row r="8574" spans="1:4" x14ac:dyDescent="0.25">
      <c r="B8574" t="str">
        <f>HYPERLINK("https://www.chemistwarehouse.com.au/buy/53138/Clairol-Nice-amp-Easy-Touch-Up-Dark-Brown"," Clairol Nice &amp; Easy Touch Up Dark Brown")</f>
        <v xml:space="preserve"> Clairol Nice &amp; Easy Touch Up Dark Brown</v>
      </c>
      <c r="C8574" t="s">
        <v>103</v>
      </c>
      <c r="D8574" t="s">
        <v>119</v>
      </c>
    </row>
    <row r="8575" spans="1:4" x14ac:dyDescent="0.25">
      <c r="B8575" t="str">
        <f>HYPERLINK("https://www.chemistwarehouse.com.au/buy/53139/Clairol-Nice-amp-Easy-Touch-Up-Medium-Brown"," Clairol Nice &amp; Easy Touch Up Medium Brown")</f>
        <v xml:space="preserve"> Clairol Nice &amp; Easy Touch Up Medium Brown</v>
      </c>
      <c r="C8575" t="s">
        <v>103</v>
      </c>
      <c r="D8575" t="s">
        <v>119</v>
      </c>
    </row>
    <row r="8576" spans="1:4" x14ac:dyDescent="0.25">
      <c r="B8576" t="str">
        <f>HYPERLINK("https://www.chemistwarehouse.com.au/buy/53207/Clairol-Nice-amp-Easy-114A-Light-Golden-Brown"," Clairol Nice &amp; Easy 114A Light Golden Brown")</f>
        <v xml:space="preserve"> Clairol Nice &amp; Easy 114A Light Golden Brown</v>
      </c>
      <c r="C8576" t="s">
        <v>103</v>
      </c>
      <c r="D8576" t="s">
        <v>162</v>
      </c>
    </row>
    <row r="8577" spans="1:4" x14ac:dyDescent="0.25">
      <c r="B8577" t="str">
        <f>HYPERLINK("https://www.chemistwarehouse.com.au/buy/57196/Clairol-Nice-amp-Easy-106A-Natural-Dark-Blonde"," Clairol Nice &amp; Easy 106A Natural Dark Blonde")</f>
        <v xml:space="preserve"> Clairol Nice &amp; Easy 106A Natural Dark Blonde</v>
      </c>
      <c r="C8577" t="s">
        <v>103</v>
      </c>
      <c r="D8577" t="s">
        <v>162</v>
      </c>
    </row>
    <row r="8578" spans="1:4" x14ac:dyDescent="0.25">
      <c r="B8578" t="str">
        <f>HYPERLINK("https://www.chemistwarehouse.com.au/buy/57198/Clairol-Nice-amp-Easy-115-Natural-Lightest-Brown"," Clairol Nice &amp; Easy 115 Natural Lightest Brown")</f>
        <v xml:space="preserve"> Clairol Nice &amp; Easy 115 Natural Lightest Brown</v>
      </c>
      <c r="C8578" t="s">
        <v>103</v>
      </c>
      <c r="D8578" t="s">
        <v>162</v>
      </c>
    </row>
    <row r="8579" spans="1:4" x14ac:dyDescent="0.25">
      <c r="A8579" t="s">
        <v>1909</v>
      </c>
    </row>
    <row r="8580" spans="1:4" x14ac:dyDescent="0.25">
      <c r="B8580" t="str">
        <f>HYPERLINK("https://www.chemistwarehouse.com.au/buy/55416/Garnier-Nutrisse-7-Almond-Creme"," Garnier Nutrisse 7 Almond Creme")</f>
        <v xml:space="preserve"> Garnier Nutrisse 7 Almond Creme</v>
      </c>
      <c r="C8580" t="s">
        <v>98</v>
      </c>
      <c r="D8580" t="s">
        <v>145</v>
      </c>
    </row>
    <row r="8581" spans="1:4" x14ac:dyDescent="0.25">
      <c r="B8581" t="str">
        <f>HYPERLINK("https://www.chemistwarehouse.com.au/buy/55944/Garnier-Nutrisse-1-Liquorice"," Garnier Nutrisse 1 Liquorice")</f>
        <v xml:space="preserve"> Garnier Nutrisse 1 Liquorice</v>
      </c>
      <c r="C8581" t="s">
        <v>98</v>
      </c>
      <c r="D8581" t="s">
        <v>145</v>
      </c>
    </row>
    <row r="8582" spans="1:4" x14ac:dyDescent="0.25">
      <c r="B8582" t="str">
        <f>HYPERLINK("https://www.chemistwarehouse.com.au/buy/36277/Garnier-Nutrisse-6-Acorn-Light-Brown"," Garnier Nutrisse 6 Acorn - Light Brown")</f>
        <v xml:space="preserve"> Garnier Nutrisse 6 Acorn - Light Brown</v>
      </c>
      <c r="C8582" t="s">
        <v>98</v>
      </c>
      <c r="D8582" t="s">
        <v>145</v>
      </c>
    </row>
    <row r="8583" spans="1:4" x14ac:dyDescent="0.25">
      <c r="B8583" t="str">
        <f>HYPERLINK("https://www.chemistwarehouse.com.au/buy/74980/Garnier-Nutrisse-Pearly-Blondes-8-13-Medium-Ash-Beige-Blonde"," Garnier Nutrisse Pearly Blondes 8.13 Medium Ash Beige Blonde ")</f>
        <v xml:space="preserve"> Garnier Nutrisse Pearly Blondes 8.13 Medium Ash Beige Blonde </v>
      </c>
      <c r="C8583" t="s">
        <v>98</v>
      </c>
      <c r="D8583" t="s">
        <v>145</v>
      </c>
    </row>
    <row r="8584" spans="1:4" x14ac:dyDescent="0.25">
      <c r="B8584" t="str">
        <f>HYPERLINK("https://www.chemistwarehouse.com.au/buy/74981/Garnier-Nutrisse-111-Ultra-Light-Ash-Blonde"," Garnier Nutrisse 111+ Ultra Light Ash Blonde")</f>
        <v xml:space="preserve"> Garnier Nutrisse 111+ Ultra Light Ash Blonde</v>
      </c>
      <c r="C8584" t="s">
        <v>283</v>
      </c>
      <c r="D8584" t="s">
        <v>355</v>
      </c>
    </row>
    <row r="8585" spans="1:4" x14ac:dyDescent="0.25">
      <c r="B8585" t="str">
        <f>HYPERLINK("https://www.chemistwarehouse.com.au/buy/74982/Garnier-Nutrisse-Pearly-Blondes-10-01-Natural-Light-Ash-Blonde"," Garnier Nutrisse Pearly Blondes 10.01 Natural Light Ash Blonde")</f>
        <v xml:space="preserve"> Garnier Nutrisse Pearly Blondes 10.01 Natural Light Ash Blonde</v>
      </c>
      <c r="C8585" t="s">
        <v>98</v>
      </c>
      <c r="D8585" t="s">
        <v>145</v>
      </c>
    </row>
    <row r="8586" spans="1:4" x14ac:dyDescent="0.25">
      <c r="B8586" t="str">
        <f>HYPERLINK("https://www.chemistwarehouse.com.au/buy/74983/Garnier-Nutrisse-4-15-Iced-Chestnut"," Garnier Nutrisse 4.15 Iced Chestnut")</f>
        <v xml:space="preserve"> Garnier Nutrisse 4.15 Iced Chestnut</v>
      </c>
      <c r="C8586" t="s">
        <v>283</v>
      </c>
      <c r="D8586" t="s">
        <v>355</v>
      </c>
    </row>
    <row r="8587" spans="1:4" x14ac:dyDescent="0.25">
      <c r="B8587" t="str">
        <f>HYPERLINK("https://www.chemistwarehouse.com.au/buy/79018/Garnier-Nutrisse-3-23-Dark-Quartz-Brown"," Garnier Nutrisse 3.23 Dark Quartz Brown")</f>
        <v xml:space="preserve"> Garnier Nutrisse 3.23 Dark Quartz Brown</v>
      </c>
      <c r="C8587" t="s">
        <v>98</v>
      </c>
      <c r="D8587" t="s">
        <v>145</v>
      </c>
    </row>
    <row r="8588" spans="1:4" x14ac:dyDescent="0.25">
      <c r="B8588" t="str">
        <f>HYPERLINK("https://www.chemistwarehouse.com.au/buy/79019/Garnier-Nutrisse-6-23-Light-Crystal-Brown"," Garnier Nutrisse 6.23 Light Crystal Brown")</f>
        <v xml:space="preserve"> Garnier Nutrisse 6.23 Light Crystal Brown</v>
      </c>
      <c r="C8588" t="s">
        <v>98</v>
      </c>
      <c r="D8588" t="s">
        <v>145</v>
      </c>
    </row>
    <row r="8589" spans="1:4" x14ac:dyDescent="0.25">
      <c r="B8589" t="str">
        <f>HYPERLINK("https://www.chemistwarehouse.com.au/buy/55414/Garnier-Nutrisse-3-6-Crimson-Promise"," Garnier Nutrisse 3.6 Crimson Promise")</f>
        <v xml:space="preserve"> Garnier Nutrisse 3.6 Crimson Promise</v>
      </c>
      <c r="C8589" t="s">
        <v>98</v>
      </c>
      <c r="D8589" t="s">
        <v>145</v>
      </c>
    </row>
    <row r="8590" spans="1:4" x14ac:dyDescent="0.25">
      <c r="B8590" t="str">
        <f>HYPERLINK("https://www.chemistwarehouse.com.au/buy/36270/Garnier-Nutrisse-4-Tamarind-Dark-Brown"," Garnier Nutrisse 4 Tamarind Dark Brown")</f>
        <v xml:space="preserve"> Garnier Nutrisse 4 Tamarind Dark Brown</v>
      </c>
      <c r="C8590" t="s">
        <v>98</v>
      </c>
      <c r="D8590" t="s">
        <v>145</v>
      </c>
    </row>
    <row r="8591" spans="1:4" x14ac:dyDescent="0.25">
      <c r="B8591" t="str">
        <f>HYPERLINK("https://www.chemistwarehouse.com.au/buy/36272/Garnier-Nutrisse-4-3-Cappucino-Dark-Golden-Brown"," Garnier Nutrisse 4.3 Cappucino Dark Golden Brown")</f>
        <v xml:space="preserve"> Garnier Nutrisse 4.3 Cappucino Dark Golden Brown</v>
      </c>
      <c r="C8591" t="s">
        <v>98</v>
      </c>
      <c r="D8591" t="s">
        <v>145</v>
      </c>
    </row>
    <row r="8592" spans="1:4" x14ac:dyDescent="0.25">
      <c r="B8592" t="str">
        <f>HYPERLINK("https://www.chemistwarehouse.com.au/buy/74979/Garnier-Nutrisse-Pearly-Blondes-9-13-Light-Ash-Beige-Blonde"," Garnier Nutrisse Pearly Blondes 9.13 Light Ash Beige Blonde")</f>
        <v xml:space="preserve"> Garnier Nutrisse Pearly Blondes 9.13 Light Ash Beige Blonde</v>
      </c>
      <c r="C8592" t="s">
        <v>98</v>
      </c>
      <c r="D8592" t="s">
        <v>145</v>
      </c>
    </row>
    <row r="8593" spans="1:4" x14ac:dyDescent="0.25">
      <c r="B8593" t="str">
        <f>HYPERLINK("https://www.chemistwarehouse.com.au/buy/55418/Garnier-Nutrisse-5-Chocolat"," Garnier Nutrisse 5 Chocolat")</f>
        <v xml:space="preserve"> Garnier Nutrisse 5 Chocolat</v>
      </c>
      <c r="C8593" t="s">
        <v>98</v>
      </c>
      <c r="D8593" t="s">
        <v>145</v>
      </c>
    </row>
    <row r="8594" spans="1:4" x14ac:dyDescent="0.25">
      <c r="B8594" t="str">
        <f>HYPERLINK("https://www.chemistwarehouse.com.au/buy/55423/Garnier-Nutrisse-3-Expresso"," Garnier Nutrisse 3 Expresso")</f>
        <v xml:space="preserve"> Garnier Nutrisse 3 Expresso</v>
      </c>
      <c r="C8594" t="s">
        <v>98</v>
      </c>
      <c r="D8594" t="s">
        <v>145</v>
      </c>
    </row>
    <row r="8595" spans="1:4" x14ac:dyDescent="0.25">
      <c r="A8595" t="s">
        <v>1910</v>
      </c>
    </row>
    <row r="8596" spans="1:4" x14ac:dyDescent="0.25">
      <c r="B8596" t="str">
        <f>HYPERLINK("https://www.chemistwarehouse.com.au/buy/64616/Schwarzkopf-Nordic-L1-Blonde-Extreme-Lightener"," Schwarzkopf Nordic L1++ Blonde Extreme Lightener")</f>
        <v xml:space="preserve"> Schwarzkopf Nordic L1++ Blonde Extreme Lightener</v>
      </c>
      <c r="C8596" t="s">
        <v>32</v>
      </c>
      <c r="D8596" t="s">
        <v>785</v>
      </c>
    </row>
    <row r="8597" spans="1:4" x14ac:dyDescent="0.25">
      <c r="B8597" t="str">
        <f>HYPERLINK("https://www.chemistwarehouse.com.au/buy/56298/Schwarzkopf-Nordic-L1-Mega"," Schwarzkopf Nordic L1+ Mega")</f>
        <v xml:space="preserve"> Schwarzkopf Nordic L1+ Mega</v>
      </c>
      <c r="C8597" t="s">
        <v>32</v>
      </c>
      <c r="D8597" t="s">
        <v>785</v>
      </c>
    </row>
    <row r="8598" spans="1:4" x14ac:dyDescent="0.25">
      <c r="B8598" t="str">
        <f>HYPERLINK("https://www.chemistwarehouse.com.au/buy/59818/Nordic-Blonde-Toner-150ml"," Nordic Blonde Toner 150ml")</f>
        <v xml:space="preserve"> Nordic Blonde Toner 150ml</v>
      </c>
      <c r="C8598" t="s">
        <v>242</v>
      </c>
      <c r="D8598" t="s">
        <v>561</v>
      </c>
    </row>
    <row r="8599" spans="1:4" x14ac:dyDescent="0.25">
      <c r="B8599" t="str">
        <f>HYPERLINK("https://www.chemistwarehouse.com.au/buy/56295/Schwarzkopf-Nordic-Streaking-Kit-Ultra"," Schwarzkopf Nordic Streaking Kit Ultra")</f>
        <v xml:space="preserve"> Schwarzkopf Nordic Streaking Kit Ultra</v>
      </c>
      <c r="C8599" t="s">
        <v>151</v>
      </c>
      <c r="D8599" t="s">
        <v>115</v>
      </c>
    </row>
    <row r="8600" spans="1:4" x14ac:dyDescent="0.25">
      <c r="B8600" t="str">
        <f>HYPERLINK("https://www.chemistwarehouse.com.au/buy/56299/Schwarzkopf-Nordic-L1-Ultra-Intensive-Lightener"," Schwarzkopf Nordic L1 Ultra Intensive Lightener")</f>
        <v xml:space="preserve"> Schwarzkopf Nordic L1 Ultra Intensive Lightener</v>
      </c>
      <c r="C8600" t="s">
        <v>32</v>
      </c>
      <c r="D8600" t="s">
        <v>785</v>
      </c>
    </row>
    <row r="8601" spans="1:4" x14ac:dyDescent="0.25">
      <c r="B8601" t="str">
        <f>HYPERLINK("https://www.chemistwarehouse.com.au/buy/75175/Schwarzkopf-Lightening-Nordic-Blonde-T1-Icy-Platinum-Refresher-Mousse-92g"," Schwarzkopf Lightening Nordic Blonde T1 Icy Platinum Refresher Mousse 92g")</f>
        <v xml:space="preserve"> Schwarzkopf Lightening Nordic Blonde T1 Icy Platinum Refresher Mousse 92g</v>
      </c>
      <c r="C8601" t="s">
        <v>240</v>
      </c>
      <c r="D8601" t="s">
        <v>400</v>
      </c>
    </row>
    <row r="8602" spans="1:4" x14ac:dyDescent="0.25">
      <c r="B8602" t="str">
        <f>HYPERLINK("https://www.chemistwarehouse.com.au/buy/79372/Schwarzkopf-Nordic-Frosted-Blondes-10-19-Pastel-Rose"," Schwarzkopf Nordic Frosted Blondes 10.19 Pastel Rose")</f>
        <v xml:space="preserve"> Schwarzkopf Nordic Frosted Blondes 10.19 Pastel Rose</v>
      </c>
      <c r="C8602" t="s">
        <v>32</v>
      </c>
      <c r="D8602" t="s">
        <v>785</v>
      </c>
    </row>
    <row r="8603" spans="1:4" x14ac:dyDescent="0.25">
      <c r="A8603" t="s">
        <v>1911</v>
      </c>
    </row>
    <row r="8604" spans="1:4" x14ac:dyDescent="0.25">
      <c r="B8604" t="str">
        <f>HYPERLINK("https://www.chemistwarehouse.com.au/buy/65915/John-Frieda-Precision-Foam-Colour-5N-Medium-Natural-Brown"," John Frieda Precision Foam Colour 5N Medium Natural Brown")</f>
        <v xml:space="preserve"> John Frieda Precision Foam Colour 5N Medium Natural Brown</v>
      </c>
      <c r="C8604" t="s">
        <v>187</v>
      </c>
      <c r="D8604" t="s">
        <v>164</v>
      </c>
    </row>
    <row r="8605" spans="1:4" x14ac:dyDescent="0.25">
      <c r="B8605" t="str">
        <f>HYPERLINK("https://www.chemistwarehouse.com.au/buy/65916/John-Frieda-Precision-Foam-Colour-6N-Light-Natural-Brown"," John Frieda Precision Foam Colour 6N Light Natural Brown")</f>
        <v xml:space="preserve"> John Frieda Precision Foam Colour 6N Light Natural Brown</v>
      </c>
      <c r="C8605" t="s">
        <v>187</v>
      </c>
      <c r="D8605" t="s">
        <v>164</v>
      </c>
    </row>
    <row r="8606" spans="1:4" x14ac:dyDescent="0.25">
      <c r="B8606" t="str">
        <f>HYPERLINK("https://www.chemistwarehouse.com.au/buy/65917/John-Frieda-Precision-Foam-Colour-4BG-Dark-Chocolate-Brown"," John Frieda Precision Foam Colour 4BG Dark Chocolate Brown")</f>
        <v xml:space="preserve"> John Frieda Precision Foam Colour 4BG Dark Chocolate Brown</v>
      </c>
      <c r="C8606" t="s">
        <v>187</v>
      </c>
      <c r="D8606" t="s">
        <v>164</v>
      </c>
    </row>
    <row r="8607" spans="1:4" x14ac:dyDescent="0.25">
      <c r="B8607" t="str">
        <f>HYPERLINK("https://www.chemistwarehouse.com.au/buy/65919/John-Frieda-Precision-Foam-Colour-4N-Dark-Natural-Brown"," John Frieda Precision Foam Colour 4N Dark Natural Brown")</f>
        <v xml:space="preserve"> John Frieda Precision Foam Colour 4N Dark Natural Brown</v>
      </c>
      <c r="C8607" t="s">
        <v>187</v>
      </c>
      <c r="D8607" t="s">
        <v>164</v>
      </c>
    </row>
    <row r="8608" spans="1:4" x14ac:dyDescent="0.25">
      <c r="B8608" t="str">
        <f>HYPERLINK("https://www.chemistwarehouse.com.au/buy/65920/John-Frieda-Precision-Foam-Colour-10B-Extra-Light-Beige-Blonde"," John Frieda Precision Foam Colour 10B Extra Light Beige Blonde")</f>
        <v xml:space="preserve"> John Frieda Precision Foam Colour 10B Extra Light Beige Blonde</v>
      </c>
      <c r="C8608" t="s">
        <v>187</v>
      </c>
      <c r="D8608" t="s">
        <v>164</v>
      </c>
    </row>
    <row r="8609" spans="1:4" x14ac:dyDescent="0.25">
      <c r="B8609" t="str">
        <f>HYPERLINK("https://www.chemistwarehouse.com.au/buy/65921/John-Frieda-Precision-Foam-Colour-6-5C-Lightest-Copper-Brown"," John Frieda Precision Foam Colour 6.5C Lightest Copper Brown")</f>
        <v xml:space="preserve"> John Frieda Precision Foam Colour 6.5C Lightest Copper Brown</v>
      </c>
      <c r="C8609" t="s">
        <v>187</v>
      </c>
      <c r="D8609" t="s">
        <v>164</v>
      </c>
    </row>
    <row r="8610" spans="1:4" x14ac:dyDescent="0.25">
      <c r="B8610" t="str">
        <f>HYPERLINK("https://www.chemistwarehouse.com.au/buy/65922/John-Frieda-Precision-Foam-Colour-6A-Light-Ash-Brown"," John Frieda Precision Foam Colour 6A Light Ash Brown")</f>
        <v xml:space="preserve"> John Frieda Precision Foam Colour 6A Light Ash Brown</v>
      </c>
      <c r="C8610" t="s">
        <v>187</v>
      </c>
      <c r="D8610" t="s">
        <v>164</v>
      </c>
    </row>
    <row r="8611" spans="1:4" x14ac:dyDescent="0.25">
      <c r="B8611" t="str">
        <f>HYPERLINK("https://www.chemistwarehouse.com.au/buy/75159/John-Frieda-Colour-Refreshing-Gloss-Cool-Brunettes-177ml"," John Frieda Colour Refreshing Gloss Cool Brunettes 177ml")</f>
        <v xml:space="preserve"> John Frieda Colour Refreshing Gloss Cool Brunettes 177ml</v>
      </c>
      <c r="C8611" t="s">
        <v>292</v>
      </c>
      <c r="D8611" t="s">
        <v>121</v>
      </c>
    </row>
    <row r="8612" spans="1:4" x14ac:dyDescent="0.25">
      <c r="B8612" t="str">
        <f>HYPERLINK("https://www.chemistwarehouse.com.au/buy/75161/John-Frieda-Colour-Refreshing-Gloss-Warm-Blondes-177ml"," John Frieda Colour Refreshing Gloss Warm Blondes 177ml")</f>
        <v xml:space="preserve"> John Frieda Colour Refreshing Gloss Warm Blondes 177ml</v>
      </c>
      <c r="C8612" t="s">
        <v>64</v>
      </c>
      <c r="D8612" t="s">
        <v>98</v>
      </c>
    </row>
    <row r="8613" spans="1:4" x14ac:dyDescent="0.25">
      <c r="B8613" t="str">
        <f>HYPERLINK("https://www.chemistwarehouse.com.au/buy/75162/John-Frieda-Colour-Refreshing-Gloss-Warm-Brunettes-177ml"," John Frieda Colour Refreshing Gloss Warm Brunettes 177ml")</f>
        <v xml:space="preserve"> John Frieda Colour Refreshing Gloss Warm Brunettes 177ml</v>
      </c>
      <c r="C8613" t="s">
        <v>292</v>
      </c>
      <c r="D8613" t="s">
        <v>121</v>
      </c>
    </row>
    <row r="8614" spans="1:4" x14ac:dyDescent="0.25">
      <c r="B8614" t="str">
        <f>HYPERLINK("https://www.chemistwarehouse.com.au/buy/75163/John-Frieda-Colour-Refreshing-Gloss-Warm-Reds-177ml"," John Frieda Colour Refreshing Gloss Warm Reds 177ml")</f>
        <v xml:space="preserve"> John Frieda Colour Refreshing Gloss Warm Reds 177ml</v>
      </c>
      <c r="C8614" t="s">
        <v>292</v>
      </c>
      <c r="D8614" t="s">
        <v>121</v>
      </c>
    </row>
    <row r="8615" spans="1:4" x14ac:dyDescent="0.25">
      <c r="B8615" t="str">
        <f>HYPERLINK("https://www.chemistwarehouse.com.au/buy/75164/John-Frieda-Colour-Refreshing-Toner-Blondes-177ml"," John Frieda Colour Refreshing Toner Blondes 177ml")</f>
        <v xml:space="preserve"> John Frieda Colour Refreshing Toner Blondes 177ml</v>
      </c>
      <c r="C8615" t="s">
        <v>292</v>
      </c>
      <c r="D8615" t="s">
        <v>121</v>
      </c>
    </row>
    <row r="8616" spans="1:4" x14ac:dyDescent="0.25">
      <c r="B8616" t="str">
        <f>HYPERLINK("https://www.chemistwarehouse.com.au/buy/75165/John-Frieda-Precision-Foam-Colour-9NP-Light-Natural-Pearl-Blonde"," John Frieda Precision Foam Colour 9NP Light Natural Pearl Blonde")</f>
        <v xml:space="preserve"> John Frieda Precision Foam Colour 9NP Light Natural Pearl Blonde</v>
      </c>
      <c r="C8616" t="s">
        <v>187</v>
      </c>
      <c r="D8616" t="s">
        <v>164</v>
      </c>
    </row>
    <row r="8617" spans="1:4" x14ac:dyDescent="0.25">
      <c r="B8617" t="str">
        <f>HYPERLINK("https://www.chemistwarehouse.com.au/buy/79252/John-Frieda-Root-Blur-Concealer-Light-to-Medium-Blonde-2-1g"," John Frieda Root Blur Concealer Light to Medium Blonde 2.1g")</f>
        <v xml:space="preserve"> John Frieda Root Blur Concealer Light to Medium Blonde 2.1g</v>
      </c>
      <c r="C8617" t="s">
        <v>61</v>
      </c>
      <c r="D8617" t="s">
        <v>115</v>
      </c>
    </row>
    <row r="8618" spans="1:4" x14ac:dyDescent="0.25">
      <c r="B8618" t="str">
        <f>HYPERLINK("https://www.chemistwarehouse.com.au/buy/79253/John-Frieda-Root-Blur-Concealer-Light-to-Medium-Brunette-2-1g"," John Frieda Root Blur Concealer Light to Medium Brunette 2.1g")</f>
        <v xml:space="preserve"> John Frieda Root Blur Concealer Light to Medium Brunette 2.1g</v>
      </c>
      <c r="C8618" t="s">
        <v>61</v>
      </c>
      <c r="D8618" t="s">
        <v>115</v>
      </c>
    </row>
    <row r="8619" spans="1:4" x14ac:dyDescent="0.25">
      <c r="B8619" t="str">
        <f>HYPERLINK("https://www.chemistwarehouse.com.au/buy/79254/John-Frieda-Root-Blur-Concealer-Medium-to-Dark-Blonde-2-1g"," John Frieda Root Blur Concealer Medium to Dark Blonde 2.1g")</f>
        <v xml:space="preserve"> John Frieda Root Blur Concealer Medium to Dark Blonde 2.1g</v>
      </c>
      <c r="C8619" t="s">
        <v>61</v>
      </c>
      <c r="D8619" t="s">
        <v>115</v>
      </c>
    </row>
    <row r="8620" spans="1:4" x14ac:dyDescent="0.25">
      <c r="B8620" t="str">
        <f>HYPERLINK("https://www.chemistwarehouse.com.au/buy/79255/John-Frieda-Root-Blur-Concealer-Medium-to-Dark-Brunette-2-1g"," John Frieda Root Blur Concealer Medium to Dark Brunette 2.1g")</f>
        <v xml:space="preserve"> John Frieda Root Blur Concealer Medium to Dark Brunette 2.1g</v>
      </c>
      <c r="C8620" t="s">
        <v>61</v>
      </c>
      <c r="D8620" t="s">
        <v>115</v>
      </c>
    </row>
    <row r="8621" spans="1:4" x14ac:dyDescent="0.25">
      <c r="B8621" t="str">
        <f>HYPERLINK("https://www.chemistwarehouse.com.au/buy/65912/John-Frieda-Precision-Foam-Colour-2N-Luminous-Natural-Black"," John Frieda Precision Foam Colour 2N Luminous Natural Black")</f>
        <v xml:space="preserve"> John Frieda Precision Foam Colour 2N Luminous Natural Black</v>
      </c>
      <c r="C8621" t="s">
        <v>187</v>
      </c>
      <c r="D8621" t="s">
        <v>164</v>
      </c>
    </row>
    <row r="8622" spans="1:4" x14ac:dyDescent="0.25">
      <c r="B8622" t="str">
        <f>HYPERLINK("https://www.chemistwarehouse.com.au/buy/65913/John-Frieda-Precision-Foam-Colour-8A-Medium-Ash-Blonde"," John Frieda Precision Foam Colour 8A Medium Ash Blonde")</f>
        <v xml:space="preserve"> John Frieda Precision Foam Colour 8A Medium Ash Blonde</v>
      </c>
      <c r="C8622" t="s">
        <v>187</v>
      </c>
      <c r="D8622" t="s">
        <v>164</v>
      </c>
    </row>
    <row r="8623" spans="1:4" x14ac:dyDescent="0.25">
      <c r="B8623" t="str">
        <f>HYPERLINK("https://www.chemistwarehouse.com.au/buy/65914/John-Frieda-Precision-Foam-Colour-5R-Medium-Red-Brown"," John Frieda Precision Foam Colour 5R Medium Red Brown")</f>
        <v xml:space="preserve"> John Frieda Precision Foam Colour 5R Medium Red Brown</v>
      </c>
      <c r="C8623" t="s">
        <v>187</v>
      </c>
      <c r="D8623" t="s">
        <v>164</v>
      </c>
    </row>
    <row r="8624" spans="1:4" x14ac:dyDescent="0.25">
      <c r="A8624" t="s">
        <v>1912</v>
      </c>
    </row>
    <row r="8625" spans="1:4" x14ac:dyDescent="0.25">
      <c r="B8625" t="str">
        <f>HYPERLINK("https://www.chemistwarehouse.com.au/buy/79370/Napro-Palette-4-0-Medium-Brown"," Napro Palette 4-0 Medium Brown")</f>
        <v xml:space="preserve"> Napro Palette 4-0 Medium Brown</v>
      </c>
      <c r="C8625" t="s">
        <v>116</v>
      </c>
      <c r="D8625" t="s">
        <v>145</v>
      </c>
    </row>
    <row r="8626" spans="1:4" x14ac:dyDescent="0.25">
      <c r="B8626" t="str">
        <f>HYPERLINK("https://www.chemistwarehouse.com.au/buy/79371/Napro-Palette-6-65-Sunset-Brown"," Napro Palette 6-65 Sunset Brown")</f>
        <v xml:space="preserve"> Napro Palette 6-65 Sunset Brown</v>
      </c>
      <c r="C8626" t="s">
        <v>116</v>
      </c>
      <c r="D8626" t="s">
        <v>145</v>
      </c>
    </row>
    <row r="8627" spans="1:4" x14ac:dyDescent="0.25">
      <c r="A8627" t="s">
        <v>1913</v>
      </c>
    </row>
    <row r="8628" spans="1:4" x14ac:dyDescent="0.25">
      <c r="B8628" t="str">
        <f>HYPERLINK("https://www.chemistwarehouse.com.au/buy/58859/Palette-1-00-Black"," Palette 1.00 Black")</f>
        <v xml:space="preserve"> Palette 1.00 Black</v>
      </c>
      <c r="C8628" t="s">
        <v>116</v>
      </c>
      <c r="D8628" t="s">
        <v>145</v>
      </c>
    </row>
    <row r="8629" spans="1:4" x14ac:dyDescent="0.25">
      <c r="B8629" t="str">
        <f>HYPERLINK("https://www.chemistwarehouse.com.au/buy/58860/Palette-10-1-Ultra-Light-Ash-Blonde"," Palette 10.1 Ultra Light Ash Blonde")</f>
        <v xml:space="preserve"> Palette 10.1 Ultra Light Ash Blonde</v>
      </c>
      <c r="C8629" t="s">
        <v>116</v>
      </c>
      <c r="D8629" t="s">
        <v>145</v>
      </c>
    </row>
    <row r="8630" spans="1:4" x14ac:dyDescent="0.25">
      <c r="B8630" t="str">
        <f>HYPERLINK("https://www.chemistwarehouse.com.au/buy/58861/Palette-3-00-Dark-Brown"," Palette 3.00 Dark Brown")</f>
        <v xml:space="preserve"> Palette 3.00 Dark Brown</v>
      </c>
      <c r="C8630" t="s">
        <v>116</v>
      </c>
      <c r="D8630" t="s">
        <v>145</v>
      </c>
    </row>
    <row r="8631" spans="1:4" x14ac:dyDescent="0.25">
      <c r="B8631" t="str">
        <f>HYPERLINK("https://www.chemistwarehouse.com.au/buy/58862/Palette-3-65-Chocolate-Brown"," Palette 3.65 Chocolate Brown")</f>
        <v xml:space="preserve"> Palette 3.65 Chocolate Brown</v>
      </c>
      <c r="C8631" t="s">
        <v>116</v>
      </c>
      <c r="D8631" t="s">
        <v>145</v>
      </c>
    </row>
    <row r="8632" spans="1:4" x14ac:dyDescent="0.25">
      <c r="B8632" t="str">
        <f>HYPERLINK("https://www.chemistwarehouse.com.au/buy/58865/Palette-5-68-Chestnut"," Palette 5.68 Chestnut")</f>
        <v xml:space="preserve"> Palette 5.68 Chestnut</v>
      </c>
      <c r="C8632" t="s">
        <v>116</v>
      </c>
      <c r="D8632" t="s">
        <v>145</v>
      </c>
    </row>
    <row r="8633" spans="1:4" x14ac:dyDescent="0.25">
      <c r="B8633" t="str">
        <f>HYPERLINK("https://www.chemistwarehouse.com.au/buy/58866/Palette-5-99-Rosewood-Violet"," Palette 5.99 Rosewood Violet")</f>
        <v xml:space="preserve"> Palette 5.99 Rosewood Violet</v>
      </c>
      <c r="C8633" t="s">
        <v>116</v>
      </c>
      <c r="D8633" t="s">
        <v>145</v>
      </c>
    </row>
    <row r="8634" spans="1:4" x14ac:dyDescent="0.25">
      <c r="B8634" t="str">
        <f>HYPERLINK("https://www.chemistwarehouse.com.au/buy/58867/Palette-7-00-Light-Brown"," Palette 7.00 Light Brown")</f>
        <v xml:space="preserve"> Palette 7.00 Light Brown</v>
      </c>
      <c r="C8634" t="s">
        <v>116</v>
      </c>
      <c r="D8634" t="s">
        <v>145</v>
      </c>
    </row>
    <row r="8635" spans="1:4" x14ac:dyDescent="0.25">
      <c r="B8635" t="str">
        <f>HYPERLINK("https://www.chemistwarehouse.com.au/buy/58868/Palette-8-00-Medium-Blonde"," Palette 8.00 Medium Blonde")</f>
        <v xml:space="preserve"> Palette 8.00 Medium Blonde</v>
      </c>
      <c r="C8635" t="s">
        <v>116</v>
      </c>
      <c r="D8635" t="s">
        <v>145</v>
      </c>
    </row>
    <row r="8636" spans="1:4" x14ac:dyDescent="0.25">
      <c r="B8636" t="str">
        <f>HYPERLINK("https://www.chemistwarehouse.com.au/buy/72614/Napro-Palette-1-1-Blue-Black"," Napro Palette 1-1 Blue Black")</f>
        <v xml:space="preserve"> Napro Palette 1-1 Blue Black</v>
      </c>
      <c r="C8636" t="s">
        <v>116</v>
      </c>
      <c r="D8636" t="s">
        <v>145</v>
      </c>
    </row>
    <row r="8637" spans="1:4" x14ac:dyDescent="0.25">
      <c r="B8637" t="str">
        <f>HYPERLINK("https://www.chemistwarehouse.com.au/buy/73496/Napro-Palette-9-7-Light-Copper"," Napro Palette 9-7 Light Copper")</f>
        <v xml:space="preserve"> Napro Palette 9-7 Light Copper</v>
      </c>
      <c r="C8637" t="s">
        <v>116</v>
      </c>
      <c r="D8637" t="s">
        <v>145</v>
      </c>
    </row>
    <row r="8638" spans="1:4" x14ac:dyDescent="0.25">
      <c r="B8638" t="str">
        <f>HYPERLINK("https://www.chemistwarehouse.com.au/buy/73497/Napro-Palette-6-888-Intensive-Red"," Napro Palette 6-888 Intensive Red")</f>
        <v xml:space="preserve"> Napro Palette 6-888 Intensive Red</v>
      </c>
      <c r="C8638" t="s">
        <v>116</v>
      </c>
      <c r="D8638" t="s">
        <v>145</v>
      </c>
    </row>
    <row r="8639" spans="1:4" x14ac:dyDescent="0.25">
      <c r="B8639" t="str">
        <f>HYPERLINK("https://www.chemistwarehouse.com.au/buy/58864/Palette-4-88-Intensive-Dark-Red"," Palette 4.88 Intensive Dark Red")</f>
        <v xml:space="preserve"> Palette 4.88 Intensive Dark Red</v>
      </c>
      <c r="C8639" t="s">
        <v>116</v>
      </c>
      <c r="D8639" t="s">
        <v>145</v>
      </c>
    </row>
    <row r="8640" spans="1:4" x14ac:dyDescent="0.25">
      <c r="A8640" t="s">
        <v>1914</v>
      </c>
    </row>
    <row r="8641" spans="1:4" x14ac:dyDescent="0.25">
      <c r="B8641" t="str">
        <f>HYPERLINK("https://www.chemistwarehouse.com.au/buy/61175/Schwarzkopf-Perfect-Mousse-6-68-Hazelnut"," Schwarzkopf Perfect Mousse 6-68 Hazelnut")</f>
        <v xml:space="preserve"> Schwarzkopf Perfect Mousse 6-68 Hazelnut</v>
      </c>
      <c r="C8641" t="s">
        <v>32</v>
      </c>
      <c r="D8641" t="s">
        <v>64</v>
      </c>
    </row>
    <row r="8642" spans="1:4" x14ac:dyDescent="0.25">
      <c r="B8642" t="str">
        <f>HYPERLINK("https://www.chemistwarehouse.com.au/buy/61176/Schwarzkopf-Perfect-Mousse-8-0-Medium-Blonde"," Schwarzkopf Perfect Mousse 8-0 Medium Blonde")</f>
        <v xml:space="preserve"> Schwarzkopf Perfect Mousse 8-0 Medium Blonde</v>
      </c>
      <c r="C8642" t="s">
        <v>32</v>
      </c>
      <c r="D8642" t="s">
        <v>64</v>
      </c>
    </row>
    <row r="8643" spans="1:4" x14ac:dyDescent="0.25">
      <c r="B8643" t="str">
        <f>HYPERLINK("https://www.chemistwarehouse.com.au/buy/64618/Schwarzkopf-Perfect-Mousse-5-0-Medium-Brown"," Schwarzkopf Perfect Mousse 5-0 Medium Brown")</f>
        <v xml:space="preserve"> Schwarzkopf Perfect Mousse 5-0 Medium Brown</v>
      </c>
      <c r="C8643" t="s">
        <v>32</v>
      </c>
      <c r="D8643" t="s">
        <v>64</v>
      </c>
    </row>
    <row r="8644" spans="1:4" x14ac:dyDescent="0.25">
      <c r="B8644" t="str">
        <f>HYPERLINK("https://www.chemistwarehouse.com.au/buy/64619/Schwarzkopf-Perfect-Mousse-5-86-Deep-Mahogany"," Schwarzkopf Perfect Mousse 5-86 Deep Mahogany")</f>
        <v xml:space="preserve"> Schwarzkopf Perfect Mousse 5-86 Deep Mahogany</v>
      </c>
      <c r="C8644" t="s">
        <v>32</v>
      </c>
      <c r="D8644" t="s">
        <v>64</v>
      </c>
    </row>
    <row r="8645" spans="1:4" x14ac:dyDescent="0.25">
      <c r="B8645" t="str">
        <f>HYPERLINK("https://www.chemistwarehouse.com.au/buy/73495/Schwarzkopf-Perfect-Mousse-6-88-Bordeaux-Red"," Schwarzkopf Perfect Mousse 6.88 Bordeaux Red")</f>
        <v xml:space="preserve"> Schwarzkopf Perfect Mousse 6.88 Bordeaux Red</v>
      </c>
      <c r="C8645" t="s">
        <v>223</v>
      </c>
      <c r="D8645" t="s">
        <v>1305</v>
      </c>
    </row>
    <row r="8646" spans="1:4" x14ac:dyDescent="0.25">
      <c r="B8646" t="str">
        <f>HYPERLINK("https://www.chemistwarehouse.com.au/buy/61170/Schwarzkopf-Perfect-Mousse-3-0-Dark-Brown"," Schwarzkopf Perfect Mousse 3-0 Dark Brown")</f>
        <v xml:space="preserve"> Schwarzkopf Perfect Mousse 3-0 Dark Brown</v>
      </c>
      <c r="C8646" t="s">
        <v>32</v>
      </c>
      <c r="D8646" t="s">
        <v>64</v>
      </c>
    </row>
    <row r="8647" spans="1:4" x14ac:dyDescent="0.25">
      <c r="B8647" t="str">
        <f>HYPERLINK("https://www.chemistwarehouse.com.au/buy/61171/Schwarzkopf-Perfect-Mousse-1-0-Black"," Schwarzkopf Perfect Mousse 1-0 Black")</f>
        <v xml:space="preserve"> Schwarzkopf Perfect Mousse 1-0 Black</v>
      </c>
      <c r="C8647" t="s">
        <v>32</v>
      </c>
      <c r="D8647" t="s">
        <v>64</v>
      </c>
    </row>
    <row r="8648" spans="1:4" x14ac:dyDescent="0.25">
      <c r="B8648" t="str">
        <f>HYPERLINK("https://www.chemistwarehouse.com.au/buy/61172/Schwarzkopf-Perfect-Mousse-4-65-Chocolate-Brown"," Schwarzkopf Perfect Mousse 4-65 Chocolate Brown")</f>
        <v xml:space="preserve"> Schwarzkopf Perfect Mousse 4-65 Chocolate Brown</v>
      </c>
      <c r="C8648" t="s">
        <v>32</v>
      </c>
      <c r="D8648" t="s">
        <v>64</v>
      </c>
    </row>
    <row r="8649" spans="1:4" x14ac:dyDescent="0.25">
      <c r="B8649" t="str">
        <f>HYPERLINK("https://www.chemistwarehouse.com.au/buy/61173/Schwarzkopf-Perfect-Mousse-6-0-Light-Brown"," Schwarzkopf Perfect Mousse 6-0 Light Brown")</f>
        <v xml:space="preserve"> Schwarzkopf Perfect Mousse 6-0 Light Brown</v>
      </c>
      <c r="C8649" t="s">
        <v>32</v>
      </c>
      <c r="D8649" t="s">
        <v>64</v>
      </c>
    </row>
    <row r="8650" spans="1:4" x14ac:dyDescent="0.25">
      <c r="B8650" t="str">
        <f>HYPERLINK("https://www.chemistwarehouse.com.au/buy/61174/Schwarzkopf-Perfect-Mousse-10-0-Pearl-Blonde"," Schwarzkopf Perfect Mousse 10-0 Pearl Blonde")</f>
        <v xml:space="preserve"> Schwarzkopf Perfect Mousse 10-0 Pearl Blonde</v>
      </c>
      <c r="C8650" t="s">
        <v>32</v>
      </c>
      <c r="D8650" t="s">
        <v>64</v>
      </c>
    </row>
    <row r="8651" spans="1:4" x14ac:dyDescent="0.25">
      <c r="A8651" t="s">
        <v>1915</v>
      </c>
    </row>
    <row r="8652" spans="1:4" x14ac:dyDescent="0.25">
      <c r="B8652" t="str">
        <f>HYPERLINK("https://www.chemistwarehouse.com.au/buy/68441/Garnier-Olia-4-0-Dark-Brown"," Garnier Olia 4.0 Dark Brown")</f>
        <v xml:space="preserve"> Garnier Olia 4.0 Dark Brown</v>
      </c>
      <c r="C8652" t="s">
        <v>202</v>
      </c>
      <c r="D8652" t="s">
        <v>397</v>
      </c>
    </row>
    <row r="8653" spans="1:4" x14ac:dyDescent="0.25">
      <c r="B8653" t="str">
        <f>HYPERLINK("https://www.chemistwarehouse.com.au/buy/75156/Garnier-Olia-Starlight-Blondes-10-0-Very-Light-Blonde"," Garnier Olia Starlight Blondes 10.0 Very Light Blonde")</f>
        <v xml:space="preserve"> Garnier Olia Starlight Blondes 10.0 Very Light Blonde</v>
      </c>
      <c r="C8653" t="s">
        <v>202</v>
      </c>
      <c r="D8653" t="s">
        <v>397</v>
      </c>
    </row>
    <row r="8654" spans="1:4" x14ac:dyDescent="0.25">
      <c r="B8654" t="str">
        <f>HYPERLINK("https://www.chemistwarehouse.com.au/buy/68437/Garnier-Olia-1-0-Night-Black"," Garnier Olia 1.0 Night Black")</f>
        <v xml:space="preserve"> Garnier Olia 1.0 Night Black</v>
      </c>
      <c r="C8654" t="s">
        <v>202</v>
      </c>
      <c r="D8654" t="s">
        <v>397</v>
      </c>
    </row>
    <row r="8655" spans="1:4" x14ac:dyDescent="0.25">
      <c r="B8655" t="str">
        <f>HYPERLINK("https://www.chemistwarehouse.com.au/buy/75157/Garnier-Olia-Starlight-Blondes-10-21-Very-Light-Pearly-Blondes"," Garnier Olia Starlight Blondes 10.21 Very Light Pearly Blondes")</f>
        <v xml:space="preserve"> Garnier Olia Starlight Blondes 10.21 Very Light Pearly Blondes</v>
      </c>
      <c r="C8655" t="s">
        <v>283</v>
      </c>
      <c r="D8655" t="s">
        <v>191</v>
      </c>
    </row>
    <row r="8656" spans="1:4" x14ac:dyDescent="0.25">
      <c r="B8656" t="str">
        <f>HYPERLINK("https://www.chemistwarehouse.com.au/buy/79020/Garnier-Olia-5-9-Dark-Bronze"," Garnier Olia 5.9 Dark Bronze")</f>
        <v xml:space="preserve"> Garnier Olia 5.9 Dark Bronze</v>
      </c>
      <c r="C8656" t="s">
        <v>202</v>
      </c>
      <c r="D8656" t="s">
        <v>397</v>
      </c>
    </row>
    <row r="8657" spans="1:4" x14ac:dyDescent="0.25">
      <c r="B8657" t="str">
        <f>HYPERLINK("https://www.chemistwarehouse.com.au/buy/79021/Garnier-Olia-7-9-Light-Bronze"," Garnier Olia 7.9 Light Bronze")</f>
        <v xml:space="preserve"> Garnier Olia 7.9 Light Bronze</v>
      </c>
      <c r="C8657" t="s">
        <v>202</v>
      </c>
      <c r="D8657" t="s">
        <v>397</v>
      </c>
    </row>
    <row r="8658" spans="1:4" x14ac:dyDescent="0.25">
      <c r="B8658" t="str">
        <f>HYPERLINK("https://www.chemistwarehouse.com.au/buy/79121/Garnier-Olia-B-Super-Lightener"," Garnier Olia B++ Super Lightener")</f>
        <v xml:space="preserve"> Garnier Olia B++ Super Lightener</v>
      </c>
      <c r="C8658" t="s">
        <v>202</v>
      </c>
      <c r="D8658" t="s">
        <v>397</v>
      </c>
    </row>
    <row r="8659" spans="1:4" x14ac:dyDescent="0.25">
      <c r="B8659" t="str">
        <f>HYPERLINK("https://www.chemistwarehouse.com.au/buy/79122/Garnier-Olia-B-Max-Lightener"," Garnier Olia B+++ Max Lightener")</f>
        <v xml:space="preserve"> Garnier Olia B+++ Max Lightener</v>
      </c>
      <c r="C8659" t="s">
        <v>202</v>
      </c>
      <c r="D8659" t="s">
        <v>397</v>
      </c>
    </row>
    <row r="8660" spans="1:4" x14ac:dyDescent="0.25">
      <c r="B8660" t="str">
        <f>HYPERLINK("https://www.chemistwarehouse.com.au/buy/68442/Garnier-Olia-5-3-Golden-Brown"," Garnier Olia 5.3 Golden Brown")</f>
        <v xml:space="preserve"> Garnier Olia 5.3 Golden Brown</v>
      </c>
      <c r="C8660" t="s">
        <v>202</v>
      </c>
      <c r="D8660" t="s">
        <v>397</v>
      </c>
    </row>
    <row r="8661" spans="1:4" x14ac:dyDescent="0.25">
      <c r="B8661" t="str">
        <f>HYPERLINK("https://www.chemistwarehouse.com.au/buy/68443/Garnier-Olia-7-0-Dark-Blonde"," Garnier Olia 7.0 Dark Blonde")</f>
        <v xml:space="preserve"> Garnier Olia 7.0 Dark Blonde</v>
      </c>
      <c r="C8661" t="s">
        <v>202</v>
      </c>
      <c r="D8661" t="s">
        <v>397</v>
      </c>
    </row>
    <row r="8662" spans="1:4" x14ac:dyDescent="0.25">
      <c r="B8662" t="str">
        <f>HYPERLINK("https://www.chemistwarehouse.com.au/buy/68445/Garnier-Olia-6-0-Light-Brown"," Garnier Olia 6.0 Light Brown")</f>
        <v xml:space="preserve"> Garnier Olia 6.0 Light Brown</v>
      </c>
      <c r="C8662" t="s">
        <v>202</v>
      </c>
      <c r="D8662" t="s">
        <v>397</v>
      </c>
    </row>
    <row r="8663" spans="1:4" x14ac:dyDescent="0.25">
      <c r="B8663" t="str">
        <f>HYPERLINK("https://www.chemistwarehouse.com.au/buy/68446/Garnier-Olia-5-0-Brown"," Garnier Olia 5.0 Brown")</f>
        <v xml:space="preserve"> Garnier Olia 5.0 Brown</v>
      </c>
      <c r="C8663" t="s">
        <v>202</v>
      </c>
      <c r="D8663" t="s">
        <v>397</v>
      </c>
    </row>
    <row r="8664" spans="1:4" x14ac:dyDescent="0.25">
      <c r="B8664" t="str">
        <f>HYPERLINK("https://www.chemistwarehouse.com.au/buy/68447/Garnier-Olia-3-16-Deep-Violet"," Garnier Olia 3.16 Deep Violet")</f>
        <v xml:space="preserve"> Garnier Olia 3.16 Deep Violet</v>
      </c>
      <c r="C8664" t="s">
        <v>299</v>
      </c>
      <c r="D8664" t="s">
        <v>897</v>
      </c>
    </row>
    <row r="8665" spans="1:4" x14ac:dyDescent="0.25">
      <c r="B8665" t="str">
        <f>HYPERLINK("https://www.chemistwarehouse.com.au/buy/68448/Garnier-Olia-8-0-Blonde"," Garnier Olia 8.0 Blonde")</f>
        <v xml:space="preserve"> Garnier Olia 8.0 Blonde</v>
      </c>
      <c r="C8665" t="s">
        <v>202</v>
      </c>
      <c r="D8665" t="s">
        <v>397</v>
      </c>
    </row>
    <row r="8666" spans="1:4" x14ac:dyDescent="0.25">
      <c r="B8666" t="str">
        <f>HYPERLINK("https://www.chemistwarehouse.com.au/buy/75154/Garnier-Olia-Carmin-Reds-4-62-Intense-Deep-Red"," Garnier Olia Carmin Reds 4.62 Intense Deep Red")</f>
        <v xml:space="preserve"> Garnier Olia Carmin Reds 4.62 Intense Deep Red</v>
      </c>
      <c r="C8666" t="s">
        <v>202</v>
      </c>
      <c r="D8666" t="s">
        <v>397</v>
      </c>
    </row>
    <row r="8667" spans="1:4" x14ac:dyDescent="0.25">
      <c r="B8667" t="str">
        <f>HYPERLINK("https://www.chemistwarehouse.com.au/buy/75155/Garnier-Olia-Carmin-Reds-6-66-Very-Intense-Red"," Garnier Olia Carmin Reds 6.66 Very Intense Red")</f>
        <v xml:space="preserve"> Garnier Olia Carmin Reds 6.66 Very Intense Red</v>
      </c>
      <c r="C8667" t="s">
        <v>202</v>
      </c>
      <c r="D8667" t="s">
        <v>397</v>
      </c>
    </row>
    <row r="8668" spans="1:4" x14ac:dyDescent="0.25">
      <c r="A8668" t="s">
        <v>1916</v>
      </c>
    </row>
    <row r="8669" spans="1:4" x14ac:dyDescent="0.25">
      <c r="B8669" t="str">
        <f>HYPERLINK("https://www.chemistwarehouse.com.au/buy/68782/L-39-Oreal-Perfect-Blonde-Blonde-Maximum"," L'Oreal Perfect Blonde Blonde Maximum")</f>
        <v xml:space="preserve"> L'Oreal Perfect Blonde Blonde Maximum</v>
      </c>
      <c r="C8669" t="s">
        <v>233</v>
      </c>
      <c r="D8669" t="s">
        <v>817</v>
      </c>
    </row>
    <row r="8670" spans="1:4" x14ac:dyDescent="0.25">
      <c r="B8670" t="str">
        <f>HYPERLINK("https://www.chemistwarehouse.com.au/buy/68783/L-39-Oreal-Perfect-Blonde-Highlighting-Kit"," L'Oreal Perfect Blonde Highlighting Kit")</f>
        <v xml:space="preserve"> L'Oreal Perfect Blonde Highlighting Kit</v>
      </c>
      <c r="C8670" t="s">
        <v>301</v>
      </c>
      <c r="D8670" t="s">
        <v>1262</v>
      </c>
    </row>
    <row r="8671" spans="1:4" x14ac:dyDescent="0.25">
      <c r="A8671" t="s">
        <v>1917</v>
      </c>
    </row>
    <row r="8672" spans="1:4" x14ac:dyDescent="0.25">
      <c r="B8672" t="str">
        <f>HYPERLINK("https://www.chemistwarehouse.com.au/buy/71826/Schwarzkopf-Nectra-Colour-1-0-Black"," Schwarzkopf Nectra Colour 1-0 Black")</f>
        <v xml:space="preserve"> Schwarzkopf Nectra Colour 1-0 Black</v>
      </c>
      <c r="C8672" t="s">
        <v>283</v>
      </c>
      <c r="D8672" t="s">
        <v>92</v>
      </c>
    </row>
    <row r="8673" spans="1:4" x14ac:dyDescent="0.25">
      <c r="B8673" t="str">
        <f>HYPERLINK("https://www.chemistwarehouse.com.au/buy/71828/Schwarzkopf-Nectra-Colour-4-0-Dark-Brown"," Schwarzkopf Nectra Colour 4-0 Dark Brown")</f>
        <v xml:space="preserve"> Schwarzkopf Nectra Colour 4-0 Dark Brown</v>
      </c>
      <c r="C8673" t="s">
        <v>283</v>
      </c>
      <c r="D8673" t="s">
        <v>92</v>
      </c>
    </row>
    <row r="8674" spans="1:4" x14ac:dyDescent="0.25">
      <c r="B8674" t="str">
        <f>HYPERLINK("https://www.chemistwarehouse.com.au/buy/71829/Schwarzkopf-Nectra-Colour-4-68-Chocolate-Brown"," Schwarzkopf Nectra Colour 4-68 Chocolate Brown")</f>
        <v xml:space="preserve"> Schwarzkopf Nectra Colour 4-68 Chocolate Brown</v>
      </c>
      <c r="C8674" t="s">
        <v>283</v>
      </c>
      <c r="D8674" t="s">
        <v>92</v>
      </c>
    </row>
    <row r="8675" spans="1:4" x14ac:dyDescent="0.25">
      <c r="B8675" t="str">
        <f>HYPERLINK("https://www.chemistwarehouse.com.au/buy/71830/Schwarzkopf-Nectra-Colour-4-99-Dark-cherry"," Schwarzkopf Nectra Colour 4-99 Dark cherry")</f>
        <v xml:space="preserve"> Schwarzkopf Nectra Colour 4-99 Dark cherry</v>
      </c>
      <c r="C8675" t="s">
        <v>283</v>
      </c>
      <c r="D8675" t="s">
        <v>92</v>
      </c>
    </row>
    <row r="8676" spans="1:4" x14ac:dyDescent="0.25">
      <c r="B8676" t="str">
        <f>HYPERLINK("https://www.chemistwarehouse.com.au/buy/71831/Schwarzkopf-Nectra-Colour-5-0-Natural-brown"," Schwarzkopf Nectra Colour 5-0 Natural brown")</f>
        <v xml:space="preserve"> Schwarzkopf Nectra Colour 5-0 Natural brown</v>
      </c>
      <c r="C8676" t="s">
        <v>283</v>
      </c>
      <c r="D8676" t="s">
        <v>92</v>
      </c>
    </row>
    <row r="8677" spans="1:4" x14ac:dyDescent="0.25">
      <c r="B8677" t="str">
        <f>HYPERLINK("https://www.chemistwarehouse.com.au/buy/71833/Schwarzkopf-Nectra-Colour-6-0-Light-brown"," Schwarzkopf Nectra Colour 6-0 Light brown")</f>
        <v xml:space="preserve"> Schwarzkopf Nectra Colour 6-0 Light brown</v>
      </c>
      <c r="C8677" t="s">
        <v>283</v>
      </c>
      <c r="D8677" t="s">
        <v>92</v>
      </c>
    </row>
    <row r="8678" spans="1:4" x14ac:dyDescent="0.25">
      <c r="B8678" t="str">
        <f>HYPERLINK("https://www.chemistwarehouse.com.au/buy/71836/Schwarzkopf-Nectra-Colour-6-88-Intense-red"," Schwarzkopf Nectra Colour 6-88 Intense red")</f>
        <v xml:space="preserve"> Schwarzkopf Nectra Colour 6-88 Intense red</v>
      </c>
      <c r="C8678" t="s">
        <v>283</v>
      </c>
      <c r="D8678" t="s">
        <v>92</v>
      </c>
    </row>
    <row r="8679" spans="1:4" x14ac:dyDescent="0.25">
      <c r="B8679" t="str">
        <f>HYPERLINK("https://www.chemistwarehouse.com.au/buy/71832/Schwarzkopf-Nectra-Colour-5-68-Chestnut-brown"," Schwarzkopf Nectra Colour 5-68 Chestnut brown")</f>
        <v xml:space="preserve"> Schwarzkopf Nectra Colour 5-68 Chestnut brown</v>
      </c>
      <c r="C8679" t="s">
        <v>283</v>
      </c>
      <c r="D8679" t="s">
        <v>92</v>
      </c>
    </row>
    <row r="8680" spans="1:4" x14ac:dyDescent="0.25">
      <c r="A8680" t="s">
        <v>1918</v>
      </c>
    </row>
    <row r="8681" spans="1:4" x14ac:dyDescent="0.25">
      <c r="B8681" t="str">
        <f>HYPERLINK("https://www.chemistwarehouse.com.au/buy/72248/Garnier-Color-Sensation-5-62-Intense-Precious-Garnet"," Garnier Color Sensation 5.62 Intense Precious Garnet")</f>
        <v xml:space="preserve"> Garnier Color Sensation 5.62 Intense Precious Garnet</v>
      </c>
      <c r="C8681" t="s">
        <v>164</v>
      </c>
      <c r="D8681" t="s">
        <v>1637</v>
      </c>
    </row>
    <row r="8682" spans="1:4" x14ac:dyDescent="0.25">
      <c r="B8682" t="str">
        <f>HYPERLINK("https://www.chemistwarehouse.com.au/buy/72249/Garnier-Color-Sensation-6-46-Red-Amber-Brown"," Garnier Color Sensation 6.46 Red Amber Brown")</f>
        <v xml:space="preserve"> Garnier Color Sensation 6.46 Red Amber Brown</v>
      </c>
      <c r="C8682" t="s">
        <v>164</v>
      </c>
      <c r="D8682" t="s">
        <v>1637</v>
      </c>
    </row>
    <row r="8683" spans="1:4" x14ac:dyDescent="0.25">
      <c r="B8683" t="str">
        <f>HYPERLINK("https://www.chemistwarehouse.com.au/buy/74012/Garnier-Color-Sensation-2-10-Black-Sapphire"," Garnier Color Sensation 2.10 Black Sapphire")</f>
        <v xml:space="preserve"> Garnier Color Sensation 2.10 Black Sapphire</v>
      </c>
      <c r="C8683" t="s">
        <v>164</v>
      </c>
      <c r="D8683" t="s">
        <v>1637</v>
      </c>
    </row>
    <row r="8684" spans="1:4" x14ac:dyDescent="0.25">
      <c r="B8684" t="str">
        <f>HYPERLINK("https://www.chemistwarehouse.com.au/buy/74360/Garnier-Color-Sensation-4-15-Icy-Chesnut"," Garnier Color Sensation 4.15 Icy Chesnut")</f>
        <v xml:space="preserve"> Garnier Color Sensation 4.15 Icy Chesnut</v>
      </c>
      <c r="C8684" t="s">
        <v>164</v>
      </c>
      <c r="D8684" t="s">
        <v>1637</v>
      </c>
    </row>
    <row r="8685" spans="1:4" x14ac:dyDescent="0.25">
      <c r="B8685" t="str">
        <f>HYPERLINK("https://www.chemistwarehouse.com.au/buy/79586/Garnier-Colour-Sensation-4-0-Dark-Brown"," Garnier Colour Sensation 4.0 Dark Brown")</f>
        <v xml:space="preserve"> Garnier Colour Sensation 4.0 Dark Brown</v>
      </c>
      <c r="C8685" t="s">
        <v>164</v>
      </c>
      <c r="D8685" t="s">
        <v>1637</v>
      </c>
    </row>
    <row r="8686" spans="1:4" x14ac:dyDescent="0.25">
      <c r="B8686" t="str">
        <f>HYPERLINK("https://www.chemistwarehouse.com.au/buy/72243/Garnier-Color-Sensation-3-16-Deep-Amethyste"," Garnier Color Sensation 3.16 Deep Amethyste")</f>
        <v xml:space="preserve"> Garnier Color Sensation 3.16 Deep Amethyste</v>
      </c>
      <c r="C8686" t="s">
        <v>164</v>
      </c>
      <c r="D8686" t="s">
        <v>1637</v>
      </c>
    </row>
    <row r="8687" spans="1:4" x14ac:dyDescent="0.25">
      <c r="B8687" t="str">
        <f>HYPERLINK("https://www.chemistwarehouse.com.au/buy/72246/Garnier-Color-Sensation-4-60-Intense-Dark-Red"," Garnier Color Sensation 4.60 Intense Dark Red")</f>
        <v xml:space="preserve"> Garnier Color Sensation 4.60 Intense Dark Red</v>
      </c>
      <c r="C8687" t="s">
        <v>164</v>
      </c>
      <c r="D8687" t="s">
        <v>1637</v>
      </c>
    </row>
    <row r="8688" spans="1:4" x14ac:dyDescent="0.25">
      <c r="B8688" t="str">
        <f>HYPERLINK("https://www.chemistwarehouse.com.au/buy/72247/Garnier-Color-Sensation-5-Luminous-Light-Brown"," Garnier Color Sensation 5 Luminous Light Brown")</f>
        <v xml:space="preserve"> Garnier Color Sensation 5 Luminous Light Brown</v>
      </c>
      <c r="C8688" t="s">
        <v>164</v>
      </c>
      <c r="D8688" t="s">
        <v>1637</v>
      </c>
    </row>
    <row r="8689" spans="1:4" x14ac:dyDescent="0.25">
      <c r="B8689" t="str">
        <f>HYPERLINK("https://www.chemistwarehouse.com.au/buy/72242/Garnier-Color-Sensation-2-6-Burning-Darkest-Brown"," Garnier Color Sensation 2.6 Burning Darkest Brown")</f>
        <v xml:space="preserve"> Garnier Color Sensation 2.6 Burning Darkest Brown</v>
      </c>
      <c r="C8689" t="s">
        <v>164</v>
      </c>
      <c r="D8689" t="s">
        <v>1637</v>
      </c>
    </row>
    <row r="8690" spans="1:4" x14ac:dyDescent="0.25">
      <c r="B8690" t="str">
        <f>HYPERLINK("https://www.chemistwarehouse.com.au/buy/79587/Garnier-Colour-Sensation-5-35-Chestnut"," Garnier Colour Sensation 5.35 Chestnut")</f>
        <v xml:space="preserve"> Garnier Colour Sensation 5.35 Chestnut</v>
      </c>
      <c r="C8690" t="s">
        <v>164</v>
      </c>
      <c r="D8690" t="s">
        <v>1637</v>
      </c>
    </row>
    <row r="8691" spans="1:4" x14ac:dyDescent="0.25">
      <c r="A8691" t="s">
        <v>1919</v>
      </c>
    </row>
    <row r="8692" spans="1:4" x14ac:dyDescent="0.25">
      <c r="B8692" t="str">
        <f>HYPERLINK("https://www.chemistwarehouse.com.au/buy/57930/Schwarzkopf-Live-Brilliance-37-Hypnotic-Red"," Schwarzkopf Live Brilliance 37 Hypnotic Red")</f>
        <v xml:space="preserve"> Schwarzkopf Live Brilliance 37 Hypnotic Red</v>
      </c>
      <c r="C8692" t="s">
        <v>317</v>
      </c>
      <c r="D8692" t="s">
        <v>253</v>
      </c>
    </row>
    <row r="8693" spans="1:4" x14ac:dyDescent="0.25">
      <c r="B8693" t="str">
        <f>HYPERLINK("https://www.chemistwarehouse.com.au/buy/57931/Schwarzkopf-Live-Brilliance-49-Dark-Red"," Schwarzkopf Live Brilliance 49 Dark Red")</f>
        <v xml:space="preserve"> Schwarzkopf Live Brilliance 49 Dark Red</v>
      </c>
      <c r="C8693" t="s">
        <v>317</v>
      </c>
      <c r="D8693" t="s">
        <v>253</v>
      </c>
    </row>
    <row r="8694" spans="1:4" x14ac:dyDescent="0.25">
      <c r="B8694" t="str">
        <f>HYPERLINK("https://www.chemistwarehouse.com.au/buy/57932/Schwarzkopf-Live-Brilliance-88-Dark-Brown-Allure"," Schwarzkopf Live Brilliance 88 Dark Brown Allure")</f>
        <v xml:space="preserve"> Schwarzkopf Live Brilliance 88 Dark Brown Allure</v>
      </c>
      <c r="C8694" t="s">
        <v>317</v>
      </c>
      <c r="D8694" t="s">
        <v>253</v>
      </c>
    </row>
    <row r="8695" spans="1:4" x14ac:dyDescent="0.25">
      <c r="B8695" t="str">
        <f>HYPERLINK("https://www.chemistwarehouse.com.au/buy/57933/Schwarzkopf-Live-Brilliance-68-Chocolate-Rush"," Schwarzkopf Live Brilliance 68 Chocolate Rush")</f>
        <v xml:space="preserve"> Schwarzkopf Live Brilliance 68 Chocolate Rush</v>
      </c>
      <c r="C8695" t="s">
        <v>317</v>
      </c>
      <c r="D8695" t="s">
        <v>253</v>
      </c>
    </row>
    <row r="8696" spans="1:4" x14ac:dyDescent="0.25">
      <c r="B8696" t="str">
        <f>HYPERLINK("https://www.chemistwarehouse.com.au/buy/57934/Schwarzkopf-Live-Brilliance-91-Blue-Black"," Schwarzkopf Live Brilliance 91 Blue Black")</f>
        <v xml:space="preserve"> Schwarzkopf Live Brilliance 91 Blue Black</v>
      </c>
      <c r="C8696" t="s">
        <v>317</v>
      </c>
      <c r="D8696" t="s">
        <v>253</v>
      </c>
    </row>
    <row r="8697" spans="1:4" x14ac:dyDescent="0.25">
      <c r="B8697" t="str">
        <f>HYPERLINK("https://www.chemistwarehouse.com.au/buy/64613/Schwarzkopf-Live-Brilliance-Night-Diamonds-98-Dark-Red-Diamond"," Schwarzkopf Live Brilliance Night Diamonds 98 Dark Red Diamond")</f>
        <v xml:space="preserve"> Schwarzkopf Live Brilliance Night Diamonds 98 Dark Red Diamond</v>
      </c>
      <c r="C8697" t="s">
        <v>317</v>
      </c>
      <c r="D8697" t="s">
        <v>253</v>
      </c>
    </row>
    <row r="8698" spans="1:4" x14ac:dyDescent="0.25">
      <c r="B8698" t="str">
        <f>HYPERLINK("https://www.chemistwarehouse.com.au/buy/72613/Schwarzkopf-Live-Brilliance-43-Red-Passion"," Schwarzkopf Live Brilliance 43 Red Passion")</f>
        <v xml:space="preserve"> Schwarzkopf Live Brilliance 43 Red Passion</v>
      </c>
      <c r="C8698" t="s">
        <v>317</v>
      </c>
      <c r="D8698" t="s">
        <v>253</v>
      </c>
    </row>
    <row r="8699" spans="1:4" x14ac:dyDescent="0.25">
      <c r="B8699" t="str">
        <f>HYPERLINK("https://www.chemistwarehouse.com.au/buy/72615/Schwarzkopf-Live-Brilliance-Night-Diamonds-85-Violet-Vision"," Schwarzkopf Live Brilliance Night Diamonds 85 Violet Vision")</f>
        <v xml:space="preserve"> Schwarzkopf Live Brilliance Night Diamonds 85 Violet Vision</v>
      </c>
      <c r="C8699" t="s">
        <v>317</v>
      </c>
      <c r="D8699" t="s">
        <v>253</v>
      </c>
    </row>
    <row r="8700" spans="1:4" x14ac:dyDescent="0.25">
      <c r="B8700" t="str">
        <f>HYPERLINK("https://www.chemistwarehouse.com.au/buy/79383/Schwarzkopf-Live-Brilliance-30-Romantic-Brown"," Schwarzkopf Live Brilliance 30 Romantic Brown")</f>
        <v xml:space="preserve"> Schwarzkopf Live Brilliance 30 Romantic Brown</v>
      </c>
      <c r="C8700" t="s">
        <v>317</v>
      </c>
      <c r="D8700" t="s">
        <v>253</v>
      </c>
    </row>
    <row r="8701" spans="1:4" x14ac:dyDescent="0.25">
      <c r="B8701" t="str">
        <f>HYPERLINK("https://www.chemistwarehouse.com.au/buy/79384/Schwarzkopf-Live-Brilliance-51-Chocolate-Mystery"," Schwarzkopf Live Brilliance 51 Chocolate Mystery")</f>
        <v xml:space="preserve"> Schwarzkopf Live Brilliance 51 Chocolate Mystery</v>
      </c>
      <c r="C8701" t="s">
        <v>317</v>
      </c>
      <c r="D8701" t="s">
        <v>253</v>
      </c>
    </row>
    <row r="8702" spans="1:4" x14ac:dyDescent="0.25">
      <c r="B8702" t="str">
        <f>HYPERLINK("https://www.chemistwarehouse.com.au/buy/79385/Schwarzkopf-Live-Brilliance-59-Violet-Wild-Silk"," Schwarzkopf Live Brilliance 59 Violet Wild Silk")</f>
        <v xml:space="preserve"> Schwarzkopf Live Brilliance 59 Violet Wild Silk</v>
      </c>
      <c r="C8702" t="s">
        <v>317</v>
      </c>
      <c r="D8702" t="s">
        <v>253</v>
      </c>
    </row>
    <row r="8703" spans="1:4" x14ac:dyDescent="0.25">
      <c r="B8703" t="str">
        <f>HYPERLINK("https://www.chemistwarehouse.com.au/buy/54615/Schwarzkopf-Live-Brilliance-Luminous-L43-Smoulder-Red"," Schwarzkopf Live Brilliance Luminous L43 Smoulder Red ")</f>
        <v xml:space="preserve"> Schwarzkopf Live Brilliance Luminous L43 Smoulder Red </v>
      </c>
      <c r="C8703" t="s">
        <v>317</v>
      </c>
      <c r="D8703" t="s">
        <v>253</v>
      </c>
    </row>
    <row r="8704" spans="1:4" x14ac:dyDescent="0.25">
      <c r="B8704" t="str">
        <f>HYPERLINK("https://www.chemistwarehouse.com.au/buy/54618/Schwarzkopf-Live-Brilliance-Luminous-L60-Ultra-Violet"," Schwarzkopf Live Brilliance Luminous L60 Ultra Violet ")</f>
        <v xml:space="preserve"> Schwarzkopf Live Brilliance Luminous L60 Ultra Violet </v>
      </c>
      <c r="C8704" t="s">
        <v>317</v>
      </c>
      <c r="D8704" t="s">
        <v>253</v>
      </c>
    </row>
    <row r="8705" spans="1:4" x14ac:dyDescent="0.25">
      <c r="B8705" t="str">
        <f>HYPERLINK("https://www.chemistwarehouse.com.au/buy/54636/Schwarzkopf-Live-Brilliance-89-Bittersweet-Chocolate"," Schwarzkopf Live Brilliance 89 Bittersweet Chocolate")</f>
        <v xml:space="preserve"> Schwarzkopf Live Brilliance 89 Bittersweet Chocolate</v>
      </c>
      <c r="C8705" t="s">
        <v>317</v>
      </c>
      <c r="D8705" t="s">
        <v>253</v>
      </c>
    </row>
    <row r="8706" spans="1:4" x14ac:dyDescent="0.25">
      <c r="B8706" t="str">
        <f>HYPERLINK("https://www.chemistwarehouse.com.au/buy/54637/Schwarzkopf-Live-Brilliance-90-Black"," Schwarzkopf Live Brilliance 90 Black")</f>
        <v xml:space="preserve"> Schwarzkopf Live Brilliance 90 Black</v>
      </c>
      <c r="C8706" t="s">
        <v>317</v>
      </c>
      <c r="D8706" t="s">
        <v>253</v>
      </c>
    </row>
    <row r="8707" spans="1:4" x14ac:dyDescent="0.25">
      <c r="A8707" t="s">
        <v>1920</v>
      </c>
    </row>
    <row r="8708" spans="1:4" x14ac:dyDescent="0.25">
      <c r="B8708" t="str">
        <f>HYPERLINK("https://www.chemistwarehouse.com.au/buy/65096/Schwarzkopf-Live-Salon-Permanent-3-0-Dark-Brown"," Schwarzkopf Live Salon Permanent 3.0 Dark Brown")</f>
        <v xml:space="preserve"> Schwarzkopf Live Salon Permanent 3.0 Dark Brown</v>
      </c>
      <c r="C8708" t="s">
        <v>290</v>
      </c>
      <c r="D8708" t="s">
        <v>318</v>
      </c>
    </row>
    <row r="8709" spans="1:4" x14ac:dyDescent="0.25">
      <c r="B8709" t="str">
        <f>HYPERLINK("https://www.chemistwarehouse.com.au/buy/65097/Schwarzkopf-Live-Salon-Permanent-4-0-Medium-Brown"," Schwarzkopf Live Salon Permanent 4.0 Medium Brown")</f>
        <v xml:space="preserve"> Schwarzkopf Live Salon Permanent 4.0 Medium Brown</v>
      </c>
      <c r="C8709" t="s">
        <v>290</v>
      </c>
      <c r="D8709" t="s">
        <v>318</v>
      </c>
    </row>
    <row r="8710" spans="1:4" x14ac:dyDescent="0.25">
      <c r="B8710" t="str">
        <f>HYPERLINK("https://www.chemistwarehouse.com.au/buy/65098/Schwarzkopf-Live-Salon-Permanent-6-0-Dark-Blonde"," Schwarzkopf Live Salon Permanent 6.0 Dark Blonde")</f>
        <v xml:space="preserve"> Schwarzkopf Live Salon Permanent 6.0 Dark Blonde</v>
      </c>
      <c r="C8710" t="s">
        <v>290</v>
      </c>
      <c r="D8710" t="s">
        <v>318</v>
      </c>
    </row>
    <row r="8711" spans="1:4" x14ac:dyDescent="0.25">
      <c r="B8711" t="str">
        <f>HYPERLINK("https://www.chemistwarehouse.com.au/buy/65099/Schwarzkopf-Live-Salon-Permanent-4-98-Deep-Burgundy"," Schwarzkopf Live Salon Permanent 4.98 Deep Burgundy")</f>
        <v xml:space="preserve"> Schwarzkopf Live Salon Permanent 4.98 Deep Burgundy</v>
      </c>
      <c r="C8711" t="s">
        <v>283</v>
      </c>
      <c r="D8711" t="s">
        <v>556</v>
      </c>
    </row>
    <row r="8712" spans="1:4" x14ac:dyDescent="0.25">
      <c r="B8712" t="str">
        <f>HYPERLINK("https://www.chemistwarehouse.com.au/buy/65100/Schwarzkopf-Live-Salon-Permanent-5-89-Dark-Ruby-Red"," Schwarzkopf Live Salon Permanent 5.89 Dark Ruby Red")</f>
        <v xml:space="preserve"> Schwarzkopf Live Salon Permanent 5.89 Dark Ruby Red</v>
      </c>
      <c r="C8712" t="s">
        <v>290</v>
      </c>
      <c r="D8712" t="s">
        <v>318</v>
      </c>
    </row>
    <row r="8713" spans="1:4" x14ac:dyDescent="0.25">
      <c r="B8713" t="str">
        <f>HYPERLINK("https://www.chemistwarehouse.com.au/buy/65101/Schwarzkopf-Live-Salon-Permanent-4-45-Rich-Chocolate"," Schwarzkopf Live Salon Permanent 4.45 Rich Chocolate")</f>
        <v xml:space="preserve"> Schwarzkopf Live Salon Permanent 4.45 Rich Chocolate</v>
      </c>
      <c r="C8713" t="s">
        <v>290</v>
      </c>
      <c r="D8713" t="s">
        <v>318</v>
      </c>
    </row>
    <row r="8714" spans="1:4" x14ac:dyDescent="0.25">
      <c r="B8714" t="str">
        <f>HYPERLINK("https://www.chemistwarehouse.com.au/buy/65102/Schwarzkopf-Live-Salon-Permanent-10-2-Extra-Light-Pearl-Blonde"," Schwarzkopf Live Salon Permanent 10.2 Extra Light Pearl Blonde")</f>
        <v xml:space="preserve"> Schwarzkopf Live Salon Permanent 10.2 Extra Light Pearl Blonde</v>
      </c>
      <c r="C8714" t="s">
        <v>290</v>
      </c>
      <c r="D8714" t="s">
        <v>318</v>
      </c>
    </row>
    <row r="8715" spans="1:4" x14ac:dyDescent="0.25">
      <c r="B8715" t="str">
        <f>HYPERLINK("https://www.chemistwarehouse.com.au/buy/65103/Schwarzkopf-Live-Salon-Permanent-1-0-Black"," Schwarzkopf Live Salon Permanent 1.0 Black")</f>
        <v xml:space="preserve"> Schwarzkopf Live Salon Permanent 1.0 Black</v>
      </c>
      <c r="C8715" t="s">
        <v>290</v>
      </c>
      <c r="D8715" t="s">
        <v>318</v>
      </c>
    </row>
    <row r="8716" spans="1:4" x14ac:dyDescent="0.25">
      <c r="B8716" t="str">
        <f>HYPERLINK("https://www.chemistwarehouse.com.au/buy/65104/Schwarzkopf-Live-Salon-Permanent-7-1-Medium-Ash-Blonde"," Schwarzkopf Live Salon Permanent 7.1 Medium Ash Blonde")</f>
        <v xml:space="preserve"> Schwarzkopf Live Salon Permanent 7.1 Medium Ash Blonde</v>
      </c>
      <c r="C8716" t="s">
        <v>290</v>
      </c>
      <c r="D8716" t="s">
        <v>318</v>
      </c>
    </row>
    <row r="8717" spans="1:4" x14ac:dyDescent="0.25">
      <c r="B8717" t="str">
        <f>HYPERLINK("https://www.chemistwarehouse.com.au/buy/65106/Schwarzkopf-Live-Salon-Permanent-1-1-Blue-Black"," Schwarzkopf Live Salon Permanent 1.1 Blue Black")</f>
        <v xml:space="preserve"> Schwarzkopf Live Salon Permanent 1.1 Blue Black</v>
      </c>
      <c r="C8717" t="s">
        <v>290</v>
      </c>
      <c r="D8717" t="s">
        <v>318</v>
      </c>
    </row>
    <row r="8718" spans="1:4" x14ac:dyDescent="0.25">
      <c r="B8718" t="str">
        <f>HYPERLINK("https://www.chemistwarehouse.com.au/buy/79376/Schwarzkopf-Live-Salon-Permanent-5-0-Light-Brown"," Schwarzkopf Live Salon Permanent 5.0 Light Brown")</f>
        <v xml:space="preserve"> Schwarzkopf Live Salon Permanent 5.0 Light Brown</v>
      </c>
      <c r="C8718" t="s">
        <v>290</v>
      </c>
      <c r="D8718" t="s">
        <v>318</v>
      </c>
    </row>
    <row r="8719" spans="1:4" x14ac:dyDescent="0.25">
      <c r="B8719" t="str">
        <f>HYPERLINK("https://www.chemistwarehouse.com.au/buy/79377/Schwarzkopf-Live-Salon-Permanent-5-6-Auburn-Brown"," Schwarzkopf Live Salon Permanent 5.6 Auburn Brown")</f>
        <v xml:space="preserve"> Schwarzkopf Live Salon Permanent 5.6 Auburn Brown</v>
      </c>
      <c r="C8719" t="s">
        <v>290</v>
      </c>
      <c r="D8719" t="s">
        <v>318</v>
      </c>
    </row>
    <row r="8720" spans="1:4" x14ac:dyDescent="0.25">
      <c r="B8720" t="str">
        <f>HYPERLINK("https://www.chemistwarehouse.com.au/buy/79378/Schwarzkopf-Live-Salon-Permanent-6-65-Hazelnut-Brown"," Schwarzkopf Live Salon Permanent 6.65 Hazelnut Brown")</f>
        <v xml:space="preserve"> Schwarzkopf Live Salon Permanent 6.65 Hazelnut Brown</v>
      </c>
      <c r="C8720" t="s">
        <v>290</v>
      </c>
      <c r="D8720" t="s">
        <v>318</v>
      </c>
    </row>
    <row r="8721" spans="1:4" x14ac:dyDescent="0.25">
      <c r="B8721" t="str">
        <f>HYPERLINK("https://www.chemistwarehouse.com.au/buy/79379/Schwarzkopf-Live-Salon-Permanent-6-88-Intense-Red"," Schwarzkopf Live Salon Permanent 6.88 Intense Red")</f>
        <v xml:space="preserve"> Schwarzkopf Live Salon Permanent 6.88 Intense Red</v>
      </c>
      <c r="C8721" t="s">
        <v>290</v>
      </c>
      <c r="D8721" t="s">
        <v>318</v>
      </c>
    </row>
    <row r="8722" spans="1:4" x14ac:dyDescent="0.25">
      <c r="B8722" t="str">
        <f>HYPERLINK("https://www.chemistwarehouse.com.au/buy/79380/Schwarzkopf-Live-Salon-Permanent-7-77-Pure-Copper"," Schwarzkopf Live Salon Permanent 7.77 Pure Copper")</f>
        <v xml:space="preserve"> Schwarzkopf Live Salon Permanent 7.77 Pure Copper</v>
      </c>
      <c r="C8722" t="s">
        <v>290</v>
      </c>
      <c r="D8722" t="s">
        <v>318</v>
      </c>
    </row>
    <row r="8723" spans="1:4" x14ac:dyDescent="0.25">
      <c r="B8723" t="str">
        <f>HYPERLINK("https://www.chemistwarehouse.com.au/buy/79381/Schwarzkopf-Live-Salon-Permanent-8-0-Medium-Blonde"," Schwarzkopf Live Salon Permanent 8.0 Medium Blonde")</f>
        <v xml:space="preserve"> Schwarzkopf Live Salon Permanent 8.0 Medium Blonde</v>
      </c>
      <c r="C8723" t="s">
        <v>290</v>
      </c>
      <c r="D8723" t="s">
        <v>318</v>
      </c>
    </row>
    <row r="8724" spans="1:4" x14ac:dyDescent="0.25">
      <c r="B8724" t="str">
        <f>HYPERLINK("https://www.chemistwarehouse.com.au/buy/79382/Schwarzkopf-Live-Salon-Permanent-9-55-Golden-Caramel-Blonde"," Schwarzkopf Live Salon Permanent 9.55 Golden Caramel Blonde")</f>
        <v xml:space="preserve"> Schwarzkopf Live Salon Permanent 9.55 Golden Caramel Blonde</v>
      </c>
      <c r="C8724" t="s">
        <v>290</v>
      </c>
      <c r="D8724" t="s">
        <v>318</v>
      </c>
    </row>
    <row r="8725" spans="1:4" x14ac:dyDescent="0.25">
      <c r="A8725" t="s">
        <v>1921</v>
      </c>
    </row>
    <row r="8726" spans="1:4" x14ac:dyDescent="0.25">
      <c r="B8726" t="str">
        <f>HYPERLINK("https://www.chemistwarehouse.com.au/buy/79025/L-39-Oreal-Magic-ReTouch-Light-Brown"," L'Oreal Magic ReTouch Light Brown")</f>
        <v xml:space="preserve"> L'Oreal Magic ReTouch Light Brown</v>
      </c>
      <c r="C8726" t="s">
        <v>45</v>
      </c>
      <c r="D8726" t="s">
        <v>157</v>
      </c>
    </row>
    <row r="8727" spans="1:4" x14ac:dyDescent="0.25">
      <c r="B8727" t="str">
        <f>HYPERLINK("https://www.chemistwarehouse.com.au/buy/79026/L-39-Oreal-Magic-ReTouch-Blonde"," L'Oreal Magic ReTouch Blonde")</f>
        <v xml:space="preserve"> L'Oreal Magic ReTouch Blonde</v>
      </c>
      <c r="C8727" t="s">
        <v>45</v>
      </c>
      <c r="D8727" t="s">
        <v>157</v>
      </c>
    </row>
    <row r="8728" spans="1:4" x14ac:dyDescent="0.25">
      <c r="B8728" t="str">
        <f>HYPERLINK("https://www.chemistwarehouse.com.au/buy/79022/L-39-Oreal-Magic-ReTouch-Black"," L'Oreal Magic ReTouch Black")</f>
        <v xml:space="preserve"> L'Oreal Magic ReTouch Black</v>
      </c>
      <c r="C8728" t="s">
        <v>45</v>
      </c>
      <c r="D8728" t="s">
        <v>157</v>
      </c>
    </row>
    <row r="8729" spans="1:4" x14ac:dyDescent="0.25">
      <c r="B8729" t="str">
        <f>HYPERLINK("https://www.chemistwarehouse.com.au/buy/79023/L-39-Oreal-Magic-ReTouch-Dark-Brown"," L'Oreal Magic ReTouch Dark Brown")</f>
        <v xml:space="preserve"> L'Oreal Magic ReTouch Dark Brown</v>
      </c>
      <c r="C8729" t="s">
        <v>45</v>
      </c>
      <c r="D8729" t="s">
        <v>157</v>
      </c>
    </row>
    <row r="8730" spans="1:4" x14ac:dyDescent="0.25">
      <c r="B8730" t="str">
        <f>HYPERLINK("https://www.chemistwarehouse.com.au/buy/79024/L-39-Oreal-Magic-ReTouch-Brown"," L'Oreal Magic ReTouch Brown")</f>
        <v xml:space="preserve"> L'Oreal Magic ReTouch Brown</v>
      </c>
      <c r="C8730" t="s">
        <v>45</v>
      </c>
      <c r="D8730" t="s">
        <v>157</v>
      </c>
    </row>
    <row r="8731" spans="1:4" x14ac:dyDescent="0.25">
      <c r="A8731" t="s">
        <v>1922</v>
      </c>
    </row>
    <row r="8732" spans="1:4" x14ac:dyDescent="0.25">
      <c r="B8732" t="str">
        <f>HYPERLINK("https://www.chemistwarehouse.com.au/buy/79521/Hi-Lift-Blonde-Highlighter-Powder-Bleach-Sachet-30g"," Hi Lift Blonde Highlighter Powder Bleach Sachet 30g")</f>
        <v xml:space="preserve"> Hi Lift Blonde Highlighter Powder Bleach Sachet 30g</v>
      </c>
      <c r="C8732" t="s">
        <v>483</v>
      </c>
      <c r="D8732" t="s">
        <v>558</v>
      </c>
    </row>
    <row r="8733" spans="1:4" x14ac:dyDescent="0.25">
      <c r="A8733" t="s">
        <v>1923</v>
      </c>
    </row>
    <row r="8734" spans="1:4" x14ac:dyDescent="0.25">
      <c r="B8734" t="str">
        <f>HYPERLINK("https://www.chemistwarehouse.com.au/buy/79373/Schwarzkopf-Live-Salon-Colour-Refresher-For-All-Red-Shades"," Schwarzkopf Live Salon Colour Refresher For All Red Shades")</f>
        <v xml:space="preserve"> Schwarzkopf Live Salon Colour Refresher For All Red Shades</v>
      </c>
      <c r="C8734" t="s">
        <v>290</v>
      </c>
      <c r="D8734" t="s">
        <v>318</v>
      </c>
    </row>
    <row r="8735" spans="1:4" x14ac:dyDescent="0.25">
      <c r="B8735" t="str">
        <f>HYPERLINK("https://www.chemistwarehouse.com.au/buy/79375/Schwarzkopf-Live-Salon-Colour-Refresher-For-Cool-Browns"," Schwarzkopf Live Salon Colour Refresher For Cool Browns")</f>
        <v xml:space="preserve"> Schwarzkopf Live Salon Colour Refresher For Cool Browns</v>
      </c>
      <c r="C8735" t="s">
        <v>290</v>
      </c>
      <c r="D8735" t="s">
        <v>318</v>
      </c>
    </row>
    <row r="8736" spans="1:4" x14ac:dyDescent="0.25">
      <c r="A8736" t="s">
        <v>1924</v>
      </c>
    </row>
    <row r="8737" spans="2:4" x14ac:dyDescent="0.25">
      <c r="B8737" t="str">
        <f>HYPERLINK("https://www.chemistwarehouse.com.au/buy/81381/Vitality-Colour-5-88-Rich-Violin-Light-Chestnut-100ml"," Vitality Colour 5/88 Rich Violin Light Chestnut 100ml")</f>
        <v xml:space="preserve"> Vitality Colour 5/88 Rich Violin Light Chestnut 100ml</v>
      </c>
      <c r="C8737" t="s">
        <v>80</v>
      </c>
      <c r="D8737">
        <v>0</v>
      </c>
    </row>
    <row r="8738" spans="2:4" x14ac:dyDescent="0.25">
      <c r="B8738" t="str">
        <f>HYPERLINK("https://www.chemistwarehouse.com.au/buy/81382/Vitality-Colour-5-9-Light-Brown-100ml"," Vitality Colour 5/9 Light Brown 100ml")</f>
        <v xml:space="preserve"> Vitality Colour 5/9 Light Brown 100ml</v>
      </c>
      <c r="C8738" t="s">
        <v>80</v>
      </c>
      <c r="D8738">
        <v>0</v>
      </c>
    </row>
    <row r="8739" spans="2:4" x14ac:dyDescent="0.25">
      <c r="B8739" t="str">
        <f>HYPERLINK("https://www.chemistwarehouse.com.au/buy/81383/Vitality-Colour-6-Dark-Blonde-100ml"," Vitality Colour 6 Dark Blonde 100ml")</f>
        <v xml:space="preserve"> Vitality Colour 6 Dark Blonde 100ml</v>
      </c>
      <c r="C8739" t="s">
        <v>80</v>
      </c>
      <c r="D8739">
        <v>0</v>
      </c>
    </row>
    <row r="8740" spans="2:4" x14ac:dyDescent="0.25">
      <c r="B8740" t="str">
        <f>HYPERLINK("https://www.chemistwarehouse.com.au/buy/81384/Vitality-Colour-6-3-Dark-Golden-Blonde-100ml"," Vitality Colour 6/3 Dark Golden Blonde 100ml")</f>
        <v xml:space="preserve"> Vitality Colour 6/3 Dark Golden Blonde 100ml</v>
      </c>
      <c r="C8740" t="s">
        <v>80</v>
      </c>
      <c r="D8740">
        <v>0</v>
      </c>
    </row>
    <row r="8741" spans="2:4" x14ac:dyDescent="0.25">
      <c r="B8741" t="str">
        <f>HYPERLINK("https://www.chemistwarehouse.com.au/buy/81385/Vitality-Colour-6-4-Dark-Copper-Blonde-100ml"," Vitality Colour 6/4 Dark Copper Blonde 100ml")</f>
        <v xml:space="preserve"> Vitality Colour 6/4 Dark Copper Blonde 100ml</v>
      </c>
      <c r="C8741" t="s">
        <v>80</v>
      </c>
      <c r="D8741">
        <v>0</v>
      </c>
    </row>
    <row r="8742" spans="2:4" x14ac:dyDescent="0.25">
      <c r="B8742" t="str">
        <f>HYPERLINK("https://www.chemistwarehouse.com.au/buy/81386/Vitality-Colour-6-5-Dark-Mahogany-Blonde-100ml"," Vitality Colour 6/5 Dark Mahogany Blonde 100ml")</f>
        <v xml:space="preserve"> Vitality Colour 6/5 Dark Mahogany Blonde 100ml</v>
      </c>
      <c r="C8742" t="s">
        <v>80</v>
      </c>
      <c r="D8742">
        <v>0</v>
      </c>
    </row>
    <row r="8743" spans="2:4" x14ac:dyDescent="0.25">
      <c r="B8743" t="str">
        <f>HYPERLINK("https://www.chemistwarehouse.com.au/buy/81387/Vitality-Colour-6-66-Red-Volcano-100ml"," Vitality Colour 6/66 Red Volcano 100ml")</f>
        <v xml:space="preserve"> Vitality Colour 6/66 Red Volcano 100ml</v>
      </c>
      <c r="C8743" t="s">
        <v>80</v>
      </c>
      <c r="D8743">
        <v>0</v>
      </c>
    </row>
    <row r="8744" spans="2:4" x14ac:dyDescent="0.25">
      <c r="B8744" t="str">
        <f>HYPERLINK("https://www.chemistwarehouse.com.au/buy/81388/Vitality-Colour-6-9-Caramel-100ml"," Vitality Colour 6/9 Caramel 100ml")</f>
        <v xml:space="preserve"> Vitality Colour 6/9 Caramel 100ml</v>
      </c>
      <c r="C8744" t="s">
        <v>80</v>
      </c>
      <c r="D8744">
        <v>0</v>
      </c>
    </row>
    <row r="8745" spans="2:4" x14ac:dyDescent="0.25">
      <c r="B8745" t="str">
        <f>HYPERLINK("https://www.chemistwarehouse.com.au/buy/81389/Vitality-Colour-7-Blonde-100ml"," Vitality Colour 7 Blonde 100ml")</f>
        <v xml:space="preserve"> Vitality Colour 7 Blonde 100ml</v>
      </c>
      <c r="C8745" t="s">
        <v>80</v>
      </c>
      <c r="D8745">
        <v>0</v>
      </c>
    </row>
    <row r="8746" spans="2:4" x14ac:dyDescent="0.25">
      <c r="B8746" t="str">
        <f>HYPERLINK("https://www.chemistwarehouse.com.au/buy/81390/Vitality-Colour-7-1-Ash-Blonde-100ml"," Vitality Colour 7/1 Ash Blonde 100ml")</f>
        <v xml:space="preserve"> Vitality Colour 7/1 Ash Blonde 100ml</v>
      </c>
      <c r="C8746" t="s">
        <v>80</v>
      </c>
      <c r="D8746">
        <v>0</v>
      </c>
    </row>
    <row r="8747" spans="2:4" x14ac:dyDescent="0.25">
      <c r="B8747" t="str">
        <f>HYPERLINK("https://www.chemistwarehouse.com.au/buy/81391/Vitality-Colour-7-3-Golden-Blonde-100ml"," Vitality Colour 7/3 Golden Blonde 100ml")</f>
        <v xml:space="preserve"> Vitality Colour 7/3 Golden Blonde 100ml</v>
      </c>
      <c r="C8747" t="s">
        <v>80</v>
      </c>
      <c r="D8747">
        <v>0</v>
      </c>
    </row>
    <row r="8748" spans="2:4" x14ac:dyDescent="0.25">
      <c r="B8748" t="str">
        <f>HYPERLINK("https://www.chemistwarehouse.com.au/buy/81392/Vitality-Colour-7-4-Copper-Blonde-100ml"," Vitality Colour 7/4 Copper Blonde 100ml")</f>
        <v xml:space="preserve"> Vitality Colour 7/4 Copper Blonde 100ml</v>
      </c>
      <c r="C8748" t="s">
        <v>80</v>
      </c>
      <c r="D8748">
        <v>0</v>
      </c>
    </row>
    <row r="8749" spans="2:4" x14ac:dyDescent="0.25">
      <c r="B8749" t="str">
        <f>HYPERLINK("https://www.chemistwarehouse.com.au/buy/81393/Vitality-Colour-7-44-Deep-Copper-Blonde-100ml"," Vitality Colour 7/44 Deep Copper Blonde 100ml")</f>
        <v xml:space="preserve"> Vitality Colour 7/44 Deep Copper Blonde 100ml</v>
      </c>
      <c r="C8749" t="s">
        <v>80</v>
      </c>
      <c r="D8749">
        <v>0</v>
      </c>
    </row>
    <row r="8750" spans="2:4" x14ac:dyDescent="0.25">
      <c r="B8750" t="str">
        <f>HYPERLINK("https://www.chemistwarehouse.com.au/buy/81394/Vitality-Colour-7-9-Cappuccino-100ml"," Vitality Colour 7/9 Cappuccino 100ml")</f>
        <v xml:space="preserve"> Vitality Colour 7/9 Cappuccino 100ml</v>
      </c>
      <c r="C8750" t="s">
        <v>80</v>
      </c>
      <c r="D8750">
        <v>0</v>
      </c>
    </row>
    <row r="8751" spans="2:4" x14ac:dyDescent="0.25">
      <c r="B8751" t="str">
        <f>HYPERLINK("https://www.chemistwarehouse.com.au/buy/81395/Vitality-Colour-8-Light-Blonde-100ml"," Vitality Colour 8 Light Blonde 100ml")</f>
        <v xml:space="preserve"> Vitality Colour 8 Light Blonde 100ml</v>
      </c>
      <c r="C8751" t="s">
        <v>80</v>
      </c>
      <c r="D8751">
        <v>0</v>
      </c>
    </row>
    <row r="8752" spans="2:4" x14ac:dyDescent="0.25">
      <c r="B8752" t="str">
        <f>HYPERLINK("https://www.chemistwarehouse.com.au/buy/81396/Vitality-Colour-8-1-Light-Ash-Blonde-100ml"," Vitality Colour 8/1 Light Ash Blonde 100ml")</f>
        <v xml:space="preserve"> Vitality Colour 8/1 Light Ash Blonde 100ml</v>
      </c>
      <c r="C8752" t="s">
        <v>80</v>
      </c>
      <c r="D8752">
        <v>0</v>
      </c>
    </row>
    <row r="8753" spans="1:4" x14ac:dyDescent="0.25">
      <c r="B8753" t="str">
        <f>HYPERLINK("https://www.chemistwarehouse.com.au/buy/81397/Vitality-Colour-8-3-Light-Golden-Blonde-100ml"," Vitality Colour 8/3 Light Golden Blonde 100ml")</f>
        <v xml:space="preserve"> Vitality Colour 8/3 Light Golden Blonde 100ml</v>
      </c>
      <c r="C8753" t="s">
        <v>80</v>
      </c>
      <c r="D8753">
        <v>0</v>
      </c>
    </row>
    <row r="8754" spans="1:4" x14ac:dyDescent="0.25">
      <c r="B8754" t="str">
        <f>HYPERLINK("https://www.chemistwarehouse.com.au/buy/81398/Vitality-Colour-9-Super-Light-Blonde-100ml"," Vitality Colour 9 Super Light Blonde 100ml")</f>
        <v xml:space="preserve"> Vitality Colour 9 Super Light Blonde 100ml</v>
      </c>
      <c r="C8754" t="s">
        <v>80</v>
      </c>
      <c r="D8754">
        <v>0</v>
      </c>
    </row>
    <row r="8755" spans="1:4" x14ac:dyDescent="0.25">
      <c r="B8755" t="str">
        <f>HYPERLINK("https://www.chemistwarehouse.com.au/buy/81399/Vitality-Colour-9-13-Super-Light-Blonde-Golden-Ash-100ml"," Vitality Colour 9/13 Super Light Blonde Golden Ash 100ml")</f>
        <v xml:space="preserve"> Vitality Colour 9/13 Super Light Blonde Golden Ash 100ml</v>
      </c>
      <c r="C8755" t="s">
        <v>80</v>
      </c>
      <c r="D8755">
        <v>0</v>
      </c>
    </row>
    <row r="8756" spans="1:4" x14ac:dyDescent="0.25">
      <c r="B8756" t="str">
        <f>HYPERLINK("https://www.chemistwarehouse.com.au/buy/81400/Vitality-Colour-9-3-Super-Light-Golden-Blonde-100ml"," Vitality Colour 9/3 Super Light Golden Blonde 100ml")</f>
        <v xml:space="preserve"> Vitality Colour 9/3 Super Light Golden Blonde 100ml</v>
      </c>
      <c r="C8756" t="s">
        <v>80</v>
      </c>
      <c r="D8756">
        <v>0</v>
      </c>
    </row>
    <row r="8757" spans="1:4" x14ac:dyDescent="0.25">
      <c r="B8757" t="str">
        <f>HYPERLINK("https://www.chemistwarehouse.com.au/buy/81978/Vitality-Colour-Tint-Bowl-Set"," Vitality Colour Tint Bowl Set")</f>
        <v xml:space="preserve"> Vitality Colour Tint Bowl Set</v>
      </c>
      <c r="C8757" t="s">
        <v>556</v>
      </c>
      <c r="D8757">
        <v>0</v>
      </c>
    </row>
    <row r="8758" spans="1:4" x14ac:dyDescent="0.25">
      <c r="B8758" t="str">
        <f>HYPERLINK("https://www.chemistwarehouse.com.au/buy/81367/Vitality-Colour-1-Black-100ml"," Vitality Colour 1 Black 100ml")</f>
        <v xml:space="preserve"> Vitality Colour 1 Black 100ml</v>
      </c>
      <c r="C8758" t="s">
        <v>80</v>
      </c>
      <c r="D8758">
        <v>0</v>
      </c>
    </row>
    <row r="8759" spans="1:4" x14ac:dyDescent="0.25">
      <c r="B8759" t="str">
        <f>HYPERLINK("https://www.chemistwarehouse.com.au/buy/81368/Vitality-Colour-10-Swedish-Blonde-100ml"," Vitality Colour 10 Swedish Blonde 100ml")</f>
        <v xml:space="preserve"> Vitality Colour 10 Swedish Blonde 100ml</v>
      </c>
      <c r="C8759" t="s">
        <v>80</v>
      </c>
      <c r="D8759">
        <v>0</v>
      </c>
    </row>
    <row r="8760" spans="1:4" x14ac:dyDescent="0.25">
      <c r="B8760" t="str">
        <f>HYPERLINK("https://www.chemistwarehouse.com.au/buy/81369/Vitality-Colour-1000-Natural-Ultralightening-100ml"," Vitality Colour 1000 Natural Ultralightening 100ml")</f>
        <v xml:space="preserve"> Vitality Colour 1000 Natural Ultralightening 100ml</v>
      </c>
      <c r="C8760" t="s">
        <v>80</v>
      </c>
      <c r="D8760">
        <v>0</v>
      </c>
    </row>
    <row r="8761" spans="1:4" x14ac:dyDescent="0.25">
      <c r="A8761" t="s">
        <v>1925</v>
      </c>
    </row>
    <row r="8762" spans="1:4" x14ac:dyDescent="0.25">
      <c r="B8762" t="str">
        <f>HYPERLINK("https://www.chemistwarehouse.com.au/buy/62421/Lady-Jayne-Snagless-Thick-Elastics,-Brown,-Pk10"," Lady Jayne Snagless Thick Elastics, Brown, Pk10")</f>
        <v xml:space="preserve"> Lady Jayne Snagless Thick Elastics, Brown, Pk10</v>
      </c>
      <c r="C8762" t="s">
        <v>375</v>
      </c>
      <c r="D8762" t="s">
        <v>1926</v>
      </c>
    </row>
    <row r="8763" spans="1:4" x14ac:dyDescent="0.25">
      <c r="B8763" t="str">
        <f>HYPERLINK("https://www.chemistwarehouse.com.au/buy/62418/Lady-Jayne-Snagless-Elastics,-Blonde,-Pk18"," Lady Jayne Snagless Elastics, Blonde, Pk18")</f>
        <v xml:space="preserve"> Lady Jayne Snagless Elastics, Blonde, Pk18</v>
      </c>
      <c r="C8763" t="s">
        <v>375</v>
      </c>
      <c r="D8763" t="s">
        <v>1926</v>
      </c>
    </row>
    <row r="8764" spans="1:4" x14ac:dyDescent="0.25">
      <c r="B8764" t="str">
        <f>HYPERLINK("https://www.chemistwarehouse.com.au/buy/62358/Lady-Jayne-Bobby-Pins,-Brown,-4-5-Cm,-Pk50"," Lady Jayne Bobby Pins, Brown, 4.5 Cm, Pk50")</f>
        <v xml:space="preserve"> Lady Jayne Bobby Pins, Brown, 4.5 Cm, Pk50</v>
      </c>
      <c r="C8764" t="s">
        <v>483</v>
      </c>
      <c r="D8764" t="s">
        <v>731</v>
      </c>
    </row>
    <row r="8765" spans="1:4" x14ac:dyDescent="0.25">
      <c r="B8765" t="str">
        <f>HYPERLINK("https://www.chemistwarehouse.com.au/buy/62372/Lady-Jayne-Cushion-Pad,-Nylon-Ball-Tipped"," Lady Jayne Cushion Pad, Nylon Ball Tipped ")</f>
        <v xml:space="preserve"> Lady Jayne Cushion Pad, Nylon Ball Tipped </v>
      </c>
      <c r="C8765" t="s">
        <v>116</v>
      </c>
      <c r="D8765" t="s">
        <v>808</v>
      </c>
    </row>
    <row r="8766" spans="1:4" x14ac:dyDescent="0.25">
      <c r="B8766" t="str">
        <f>HYPERLINK("https://www.chemistwarehouse.com.au/buy/62411/Lady-Jayne-Side-Comb,-Large,-Shell,-Pk2"," Lady Jayne Side Comb, Large, Shell, Pk2")</f>
        <v xml:space="preserve"> Lady Jayne Side Comb, Large, Shell, Pk2</v>
      </c>
      <c r="C8766" t="s">
        <v>775</v>
      </c>
      <c r="D8766" t="s">
        <v>731</v>
      </c>
    </row>
    <row r="8767" spans="1:4" x14ac:dyDescent="0.25">
      <c r="B8767" t="str">
        <f>HYPERLINK("https://www.chemistwarehouse.com.au/buy/62400/Lady-Jayne-Pocket-Comb,-Pk2"," Lady Jayne Pocket Comb, Pk2")</f>
        <v xml:space="preserve"> Lady Jayne Pocket Comb, Pk2</v>
      </c>
      <c r="C8767" t="s">
        <v>120</v>
      </c>
      <c r="D8767" t="s">
        <v>781</v>
      </c>
    </row>
    <row r="8768" spans="1:4" x14ac:dyDescent="0.25">
      <c r="B8768" t="str">
        <f>HYPERLINK("https://www.chemistwarehouse.com.au/buy/72177/Lady-Jayne-Detangling-Brush-Large"," Lady Jayne Detangling Brush Large")</f>
        <v xml:space="preserve"> Lady Jayne Detangling Brush Large</v>
      </c>
      <c r="C8768" t="s">
        <v>290</v>
      </c>
      <c r="D8768" t="s">
        <v>253</v>
      </c>
    </row>
    <row r="8769" spans="2:4" x14ac:dyDescent="0.25">
      <c r="B8769" t="str">
        <f>HYPERLINK("https://www.chemistwarehouse.com.au/buy/62365/Lady-Jayne-Claw-Grip,-Large,-Black"," Lady Jayne Claw Grip, Large, Black")</f>
        <v xml:space="preserve"> Lady Jayne Claw Grip, Large, Black</v>
      </c>
      <c r="C8769" t="s">
        <v>326</v>
      </c>
      <c r="D8769" t="s">
        <v>1927</v>
      </c>
    </row>
    <row r="8770" spans="2:4" x14ac:dyDescent="0.25">
      <c r="B8770" t="str">
        <f>HYPERLINK("https://www.chemistwarehouse.com.au/buy/50406/Lady-Jayne-Snagless-Black-Hair-Elastics-18-Pack"," Lady Jayne Snagless Black Hair Elastics 18 Pack")</f>
        <v xml:space="preserve"> Lady Jayne Snagless Black Hair Elastics 18 Pack</v>
      </c>
      <c r="C8770" t="s">
        <v>375</v>
      </c>
      <c r="D8770" t="s">
        <v>1926</v>
      </c>
    </row>
    <row r="8771" spans="2:4" x14ac:dyDescent="0.25">
      <c r="B8771" t="str">
        <f>HYPERLINK("https://www.chemistwarehouse.com.au/buy/62432/Lady-Jayne-Tinting-Brush,-Nylon"," Lady Jayne Tinting Brush, Nylon")</f>
        <v xml:space="preserve"> Lady Jayne Tinting Brush, Nylon</v>
      </c>
      <c r="C8771" t="s">
        <v>728</v>
      </c>
      <c r="D8771" t="s">
        <v>561</v>
      </c>
    </row>
    <row r="8772" spans="2:4" x14ac:dyDescent="0.25">
      <c r="B8772" t="str">
        <f>HYPERLINK("https://www.chemistwarehouse.com.au/buy/62420/Lady-Jayne-Snagless-Thick-Elastics,-Black,-Pk10"," Lady Jayne Snagless Thick Elastics, Black, Pk10")</f>
        <v xml:space="preserve"> Lady Jayne Snagless Thick Elastics, Black, Pk10</v>
      </c>
      <c r="C8772" t="s">
        <v>375</v>
      </c>
      <c r="D8772" t="s">
        <v>1926</v>
      </c>
    </row>
    <row r="8773" spans="2:4" x14ac:dyDescent="0.25">
      <c r="B8773" t="str">
        <f>HYPERLINK("https://www.chemistwarehouse.com.au/buy/62433/Lady-Jayne-Travel-Brush"," Lady Jayne Travel Brush")</f>
        <v xml:space="preserve"> Lady Jayne Travel Brush</v>
      </c>
      <c r="C8773" t="s">
        <v>326</v>
      </c>
      <c r="D8773" t="s">
        <v>318</v>
      </c>
    </row>
    <row r="8774" spans="2:4" x14ac:dyDescent="0.25">
      <c r="B8774" t="str">
        <f>HYPERLINK("https://www.chemistwarehouse.com.au/buy/62434/Lady-Jayne-Wire-Bandeau"," Lady Jayne Wire Bandeau")</f>
        <v xml:space="preserve"> Lady Jayne Wire Bandeau</v>
      </c>
      <c r="C8774" t="s">
        <v>554</v>
      </c>
      <c r="D8774" t="s">
        <v>611</v>
      </c>
    </row>
    <row r="8775" spans="2:4" x14ac:dyDescent="0.25">
      <c r="B8775" t="str">
        <f>HYPERLINK("https://www.chemistwarehouse.com.au/buy/79167/Lady-Jayne-7612-Everyday-Brush-Paddle-Large"," Lady Jayne 7612 Everyday Brush Paddle Large")</f>
        <v xml:space="preserve"> Lady Jayne 7612 Everyday Brush Paddle Large</v>
      </c>
      <c r="C8775" t="s">
        <v>551</v>
      </c>
      <c r="D8775" t="s">
        <v>270</v>
      </c>
    </row>
    <row r="8776" spans="2:4" x14ac:dyDescent="0.25">
      <c r="B8776" t="str">
        <f>HYPERLINK("https://www.chemistwarehouse.com.au/buy/79168/Lady-Jayne-7723-Shower-Cap-Geometric"," Lady Jayne 7723 Shower Cap Geometric")</f>
        <v xml:space="preserve"> Lady Jayne 7723 Shower Cap Geometric</v>
      </c>
      <c r="C8776" t="s">
        <v>120</v>
      </c>
      <c r="D8776" t="s">
        <v>781</v>
      </c>
    </row>
    <row r="8777" spans="2:4" x14ac:dyDescent="0.25">
      <c r="B8777" t="str">
        <f>HYPERLINK("https://www.chemistwarehouse.com.au/buy/79605/Lady-Jayne-10324-TanglePro-Detangle-Brush"," Lady Jayne 10324 TanglePro Detangle Brush")</f>
        <v xml:space="preserve"> Lady Jayne 10324 TanglePro Detangle Brush</v>
      </c>
      <c r="C8777" t="s">
        <v>202</v>
      </c>
      <c r="D8777" t="s">
        <v>64</v>
      </c>
    </row>
    <row r="8778" spans="2:4" x14ac:dyDescent="0.25">
      <c r="B8778" t="str">
        <f>HYPERLINK("https://www.chemistwarehouse.com.au/buy/79606/Lady-Jayne-7757-Ess-Brush-Style-Nytip-Large"," Lady Jayne 7757 Ess Brush Style Nytip Large")</f>
        <v xml:space="preserve"> Lady Jayne 7757 Ess Brush Style Nytip Large</v>
      </c>
      <c r="C8778" t="s">
        <v>786</v>
      </c>
      <c r="D8778" t="s">
        <v>318</v>
      </c>
    </row>
    <row r="8779" spans="2:4" x14ac:dyDescent="0.25">
      <c r="B8779" t="str">
        <f>HYPERLINK("https://www.chemistwarehouse.com.au/buy/77364/Lady-Jayne-17024BK-Velvet-Hair-Elastic-Black-8-Pack"," Lady Jayne 17024BK Velvet Hair Elastic Black 8 Pack")</f>
        <v xml:space="preserve"> Lady Jayne 17024BK Velvet Hair Elastic Black 8 Pack</v>
      </c>
      <c r="C8779" t="s">
        <v>554</v>
      </c>
      <c r="D8779" t="s">
        <v>611</v>
      </c>
    </row>
    <row r="8780" spans="2:4" x14ac:dyDescent="0.25">
      <c r="B8780" t="str">
        <f>HYPERLINK("https://www.chemistwarehouse.com.au/buy/77872/Lady-Jayne-17026-Leather-Look-Bow-1-Pack"," Lady Jayne 17026 Leather Look Bow 1 Pack")</f>
        <v xml:space="preserve"> Lady Jayne 17026 Leather Look Bow 1 Pack</v>
      </c>
      <c r="C8780" t="s">
        <v>240</v>
      </c>
      <c r="D8780" t="s">
        <v>561</v>
      </c>
    </row>
    <row r="8781" spans="2:4" x14ac:dyDescent="0.25">
      <c r="B8781" t="str">
        <f>HYPERLINK("https://www.chemistwarehouse.com.au/buy/77873/Lady-Jayne-17028-Double-Bar-Pins-Packet"," Lady Jayne 17028 Double Bar Pins Packet ")</f>
        <v xml:space="preserve"> Lady Jayne 17028 Double Bar Pins Packet </v>
      </c>
      <c r="C8781" t="s">
        <v>240</v>
      </c>
      <c r="D8781" t="s">
        <v>561</v>
      </c>
    </row>
    <row r="8782" spans="2:4" x14ac:dyDescent="0.25">
      <c r="B8782" t="str">
        <f>HYPERLINK("https://www.chemistwarehouse.com.au/buy/78236/Lady-Jayne-17027-Leather-Look-Flexi-Band-1-Pack"," Lady Jayne 17027 Leather Look Flexi Band 1 Pack")</f>
        <v xml:space="preserve"> Lady Jayne 17027 Leather Look Flexi Band 1 Pack</v>
      </c>
      <c r="C8782" t="s">
        <v>240</v>
      </c>
      <c r="D8782" t="s">
        <v>561</v>
      </c>
    </row>
    <row r="8783" spans="2:4" x14ac:dyDescent="0.25">
      <c r="B8783" t="str">
        <f>HYPERLINK("https://www.chemistwarehouse.com.au/buy/78237/Lady-Jayne-Spiral-Hair-Elastic-Black-8-Pack"," Lady Jayne Spiral Hair Elastic Black 8 Pack")</f>
        <v xml:space="preserve"> Lady Jayne Spiral Hair Elastic Black 8 Pack</v>
      </c>
      <c r="C8783" t="s">
        <v>554</v>
      </c>
      <c r="D8783" t="s">
        <v>611</v>
      </c>
    </row>
    <row r="8784" spans="2:4" x14ac:dyDescent="0.25">
      <c r="B8784" t="str">
        <f>HYPERLINK("https://www.chemistwarehouse.com.au/buy/78238/Lady-Jayne-17022CL-Spiral-Hair-Elastic-Clear-8-Pack"," Lady Jayne 17022CL Spiral Hair Elastic Clear 8 Pack")</f>
        <v xml:space="preserve"> Lady Jayne 17022CL Spiral Hair Elastic Clear 8 Pack</v>
      </c>
      <c r="C8784" t="s">
        <v>554</v>
      </c>
      <c r="D8784" t="s">
        <v>611</v>
      </c>
    </row>
    <row r="8785" spans="1:4" x14ac:dyDescent="0.25">
      <c r="B8785" t="str">
        <f>HYPERLINK("https://www.chemistwarehouse.com.au/buy/78239/Lady-Jayne-17024BR-Velvet-Hair-Elastic-Brown-Packet-8"," Lady Jayne 17024BR Velvet Hair Elastic Brown Packet 8")</f>
        <v xml:space="preserve"> Lady Jayne 17024BR Velvet Hair Elastic Brown Packet 8</v>
      </c>
      <c r="C8785" t="s">
        <v>554</v>
      </c>
      <c r="D8785" t="s">
        <v>611</v>
      </c>
    </row>
    <row r="8786" spans="1:4" x14ac:dyDescent="0.25">
      <c r="A8786" t="s">
        <v>1928</v>
      </c>
    </row>
    <row r="8787" spans="1:4" x14ac:dyDescent="0.25">
      <c r="B8787" t="str">
        <f>HYPERLINK("https://www.chemistwarehouse.com.au/buy/80432/Oil-Of-Aloe-Conditioner-400ml"," Oil Of Aloe Conditioner 400ml")</f>
        <v xml:space="preserve"> Oil Of Aloe Conditioner 400ml</v>
      </c>
      <c r="C8787" t="s">
        <v>635</v>
      </c>
      <c r="D8787" t="s">
        <v>371</v>
      </c>
    </row>
    <row r="8788" spans="1:4" x14ac:dyDescent="0.25">
      <c r="B8788" t="str">
        <f>HYPERLINK("https://www.chemistwarehouse.com.au/buy/80433/Oil-Of-Aloe-Shampoo-400ml"," Oil Of Aloe Shampoo 400ml")</f>
        <v xml:space="preserve"> Oil Of Aloe Shampoo 400ml</v>
      </c>
      <c r="C8788" t="s">
        <v>635</v>
      </c>
      <c r="D8788" t="s">
        <v>371</v>
      </c>
    </row>
    <row r="8789" spans="1:4" x14ac:dyDescent="0.25">
      <c r="B8789" t="str">
        <f>HYPERLINK("https://www.chemistwarehouse.com.au/buy/68829/Ultra-Organics-Clear-Henna-Wax-500g"," Ultra Organics Clear Henna Wax 500g")</f>
        <v xml:space="preserve"> Ultra Organics Clear Henna Wax 500g</v>
      </c>
      <c r="C8789" t="s">
        <v>375</v>
      </c>
      <c r="D8789" t="s">
        <v>611</v>
      </c>
    </row>
    <row r="8790" spans="1:4" x14ac:dyDescent="0.25">
      <c r="B8790" t="str">
        <f>HYPERLINK("https://www.chemistwarehouse.com.au/buy/44806/Brylcreem-Jar-Protein-Enriched-150mL"," Brylcreem Jar Protein Enriched 150mL")</f>
        <v xml:space="preserve"> Brylcreem Jar Protein Enriched 150mL</v>
      </c>
      <c r="C8790" t="s">
        <v>554</v>
      </c>
      <c r="D8790" t="s">
        <v>611</v>
      </c>
    </row>
    <row r="8791" spans="1:4" x14ac:dyDescent="0.25">
      <c r="B8791" t="str">
        <f>HYPERLINK("https://www.chemistwarehouse.com.au/buy/57038/Pantene-3-Minute-Miracle-Treatment-3-x-15ml"," Pantene 3 Minute Miracle Treatment 3 x 15ml")</f>
        <v xml:space="preserve"> Pantene 3 Minute Miracle Treatment 3 x 15ml</v>
      </c>
      <c r="C8791" t="s">
        <v>554</v>
      </c>
      <c r="D8791" t="s">
        <v>1086</v>
      </c>
    </row>
    <row r="8792" spans="1:4" x14ac:dyDescent="0.25">
      <c r="B8792" t="str">
        <f>HYPERLINK("https://www.chemistwarehouse.com.au/buy/60092/Schwarzkopf-Extra-Care-Leave-in-Treatment-100ml"," Schwarzkopf Extra Care Leave in Treatment 100ml")</f>
        <v xml:space="preserve"> Schwarzkopf Extra Care Leave in Treatment 100ml</v>
      </c>
      <c r="C8792" t="s">
        <v>775</v>
      </c>
      <c r="D8792" t="s">
        <v>121</v>
      </c>
    </row>
    <row r="8793" spans="1:4" x14ac:dyDescent="0.25">
      <c r="B8793" t="str">
        <f>HYPERLINK("https://www.chemistwarehouse.com.au/buy/60094/Schwarzkopf-Extra-Care-Colour-Protect-30-Express-Repair-Leave-in-Conditioner-200ml"," Schwarzkopf Extra Care Colour Protect 30 Express Repair Leave in Conditioner 200ml")</f>
        <v xml:space="preserve"> Schwarzkopf Extra Care Colour Protect 30 Express Repair Leave in Conditioner 200ml</v>
      </c>
      <c r="C8793" t="s">
        <v>786</v>
      </c>
      <c r="D8793" t="s">
        <v>291</v>
      </c>
    </row>
    <row r="8794" spans="1:4" x14ac:dyDescent="0.25">
      <c r="B8794" t="str">
        <f>HYPERLINK("https://www.chemistwarehouse.com.au/buy/71554/Kerastase-Elixir-Ultime-Nourishing-Oil-125ml"," Kerastase Elixir Ultime Nourishing Oil 125ml")</f>
        <v xml:space="preserve"> Kerastase Elixir Ultime Nourishing Oil 125ml</v>
      </c>
      <c r="C8794" t="s">
        <v>258</v>
      </c>
      <c r="D8794" t="s">
        <v>512</v>
      </c>
    </row>
    <row r="8795" spans="1:4" x14ac:dyDescent="0.25">
      <c r="B8795" t="str">
        <f>HYPERLINK("https://www.chemistwarehouse.com.au/buy/80074/Argan-Oil-Mask-220ml"," Argan Oil Mask 220ml")</f>
        <v xml:space="preserve"> Argan Oil Mask 220ml</v>
      </c>
      <c r="C8795" t="s">
        <v>556</v>
      </c>
      <c r="D8795">
        <v>0</v>
      </c>
    </row>
    <row r="8796" spans="1:4" x14ac:dyDescent="0.25">
      <c r="B8796" t="str">
        <f>HYPERLINK("https://www.chemistwarehouse.com.au/buy/63597/Organix-Renewing-Moroccan-Argan-Oil-Penetrating-Oil-100mL"," Organix Renewing Moroccan Argan Oil Penetrating Oil 100mL")</f>
        <v xml:space="preserve"> Organix Renewing Moroccan Argan Oil Penetrating Oil 100mL</v>
      </c>
      <c r="C8796" t="s">
        <v>1</v>
      </c>
      <c r="D8796" t="s">
        <v>162</v>
      </c>
    </row>
    <row r="8797" spans="1:4" x14ac:dyDescent="0.25">
      <c r="B8797" t="str">
        <f>HYPERLINK("https://www.chemistwarehouse.com.au/buy/63759/Seven-Wonders-Moroccan-Treatment-Oil-125mL"," Seven Wonders Moroccan Treatment Oil 125mL")</f>
        <v xml:space="preserve"> Seven Wonders Moroccan Treatment Oil 125mL</v>
      </c>
      <c r="C8797" t="s">
        <v>111</v>
      </c>
      <c r="D8797" t="s">
        <v>150</v>
      </c>
    </row>
    <row r="8798" spans="1:4" x14ac:dyDescent="0.25">
      <c r="B8798" t="str">
        <f>HYPERLINK("https://www.chemistwarehouse.com.au/buy/63918/John-Frieda-Frizz-Ease-3-Day-Straight-103ml"," John Frieda Frizz Ease 3 Day Straight 103ml")</f>
        <v xml:space="preserve"> John Frieda Frizz Ease 3 Day Straight 103ml</v>
      </c>
      <c r="C8798" t="s">
        <v>292</v>
      </c>
      <c r="D8798" t="s">
        <v>121</v>
      </c>
    </row>
    <row r="8799" spans="1:4" x14ac:dyDescent="0.25">
      <c r="B8799" t="str">
        <f>HYPERLINK("https://www.chemistwarehouse.com.au/buy/66224/Schwarzkopf-Extra-Care-Marrakesh-Oil-amp-Coconut-Milk-Express-Mousse-Treatment-125ml"," Schwarzkopf Extra Care Marrakesh Oil &amp; Coconut Milk Express Mousse Treatment 125ml")</f>
        <v xml:space="preserve"> Schwarzkopf Extra Care Marrakesh Oil &amp; Coconut Milk Express Mousse Treatment 125ml</v>
      </c>
      <c r="C8799" t="s">
        <v>326</v>
      </c>
      <c r="D8799" t="s">
        <v>108</v>
      </c>
    </row>
    <row r="8800" spans="1:4" x14ac:dyDescent="0.25">
      <c r="B8800" t="str">
        <f>HYPERLINK("https://www.chemistwarehouse.com.au/buy/66464/Schwarzkopf-Extra-Care-Daily-Oil-Elixir-75ml"," Schwarzkopf Extra Care Daily Oil Elixir 75ml")</f>
        <v xml:space="preserve"> Schwarzkopf Extra Care Daily Oil Elixir 75ml</v>
      </c>
      <c r="C8800" t="s">
        <v>326</v>
      </c>
      <c r="D8800" t="s">
        <v>108</v>
      </c>
    </row>
    <row r="8801" spans="1:4" x14ac:dyDescent="0.25">
      <c r="B8801" t="str">
        <f>HYPERLINK("https://www.chemistwarehouse.com.au/buy/68648/Pantene-Night-Miracle-Leave-In-Treatment-80ml"," Pantene Night Miracle Leave In Treatment 80ml")</f>
        <v xml:space="preserve"> Pantene Night Miracle Leave In Treatment 80ml</v>
      </c>
      <c r="C8801" t="s">
        <v>240</v>
      </c>
      <c r="D8801" t="s">
        <v>561</v>
      </c>
    </row>
    <row r="8802" spans="1:4" x14ac:dyDescent="0.25">
      <c r="B8802" t="str">
        <f>HYPERLINK("https://www.chemistwarehouse.com.au/buy/68796/Organix-Renewing-Moroccan-Argan-Oil-Extra-Strength-Penetrating-Oil-100ml"," Organix Renewing Moroccan Argan Oil Extra Strength Penetrating Oil 100ml")</f>
        <v xml:space="preserve"> Organix Renewing Moroccan Argan Oil Extra Strength Penetrating Oil 100ml</v>
      </c>
      <c r="C8802" t="s">
        <v>1</v>
      </c>
      <c r="D8802" t="s">
        <v>162</v>
      </c>
    </row>
    <row r="8803" spans="1:4" x14ac:dyDescent="0.25">
      <c r="B8803" t="str">
        <f>HYPERLINK("https://www.chemistwarehouse.com.au/buy/68797/Organix-Renewing-Moroccan-Argan-Oil-Light-Penetrating-Oil-100ml"," Organix Renewing Moroccan Argan Oil Light Penetrating Oil 100ml")</f>
        <v xml:space="preserve"> Organix Renewing Moroccan Argan Oil Light Penetrating Oil 100ml</v>
      </c>
      <c r="C8803" t="s">
        <v>1</v>
      </c>
      <c r="D8803" t="s">
        <v>162</v>
      </c>
    </row>
    <row r="8804" spans="1:4" x14ac:dyDescent="0.25">
      <c r="B8804" t="str">
        <f>HYPERLINK("https://www.chemistwarehouse.com.au/buy/68830/Ultra-Organics-Intense-Chamomile-Conditioner-500g"," Ultra Organics Intense Chamomile Conditioner 500g")</f>
        <v xml:space="preserve"> Ultra Organics Intense Chamomile Conditioner 500g</v>
      </c>
      <c r="C8804" t="s">
        <v>375</v>
      </c>
      <c r="D8804" t="s">
        <v>611</v>
      </c>
    </row>
    <row r="8805" spans="1:4" x14ac:dyDescent="0.25">
      <c r="B8805" t="str">
        <f>HYPERLINK("https://www.chemistwarehouse.com.au/buy/69462/Hilift-Peroxide-20-VOL-6-200ml"," Hilift Peroxide 20 VOL 6% 200ml")</f>
        <v xml:space="preserve"> Hilift Peroxide 20 VOL 6% 200ml</v>
      </c>
      <c r="C8805" t="s">
        <v>556</v>
      </c>
      <c r="D8805" t="s">
        <v>115</v>
      </c>
    </row>
    <row r="8806" spans="1:4" x14ac:dyDescent="0.25">
      <c r="B8806" t="str">
        <f>HYPERLINK("https://www.chemistwarehouse.com.au/buy/69464/Hilift-Peroxide-40-VOL-12-200ml"," Hilift Peroxide 40 VOL 12% 200ml")</f>
        <v xml:space="preserve"> Hilift Peroxide 40 VOL 12% 200ml</v>
      </c>
      <c r="C8806" t="s">
        <v>556</v>
      </c>
      <c r="D8806" t="s">
        <v>115</v>
      </c>
    </row>
    <row r="8807" spans="1:4" x14ac:dyDescent="0.25">
      <c r="B8807" t="str">
        <f>HYPERLINK("https://www.chemistwarehouse.com.au/buy/69616/Seven-Wonders-Moroccan-Argan-Oil-Light-Treatment-Spray-125ml"," Seven Wonders Moroccan Argan Oil Light Treatment Spray 125ml")</f>
        <v xml:space="preserve"> Seven Wonders Moroccan Argan Oil Light Treatment Spray 125ml</v>
      </c>
      <c r="C8807" t="s">
        <v>111</v>
      </c>
      <c r="D8807" t="s">
        <v>150</v>
      </c>
    </row>
    <row r="8808" spans="1:4" x14ac:dyDescent="0.25">
      <c r="B8808" t="str">
        <f>HYPERLINK("https://www.chemistwarehouse.com.au/buy/70055/My-Organics-Restructuring-Fluid-Potion-100ml"," My Organics Restructuring Fluid Potion 100ml")</f>
        <v xml:space="preserve"> My Organics Restructuring Fluid Potion 100ml</v>
      </c>
      <c r="C8808" t="s">
        <v>1</v>
      </c>
      <c r="D8808">
        <v>0</v>
      </c>
    </row>
    <row r="8809" spans="1:4" x14ac:dyDescent="0.25">
      <c r="B8809" t="str">
        <f>HYPERLINK("https://www.chemistwarehouse.com.au/buy/71294/Joico-K-PAK-Color-Therapy-Restorative-Styling-Oil-100ml"," Joico K-PAK Color Therapy Restorative Styling Oil 100ml")</f>
        <v xml:space="preserve"> Joico K-PAK Color Therapy Restorative Styling Oil 100ml</v>
      </c>
      <c r="C8809" t="s">
        <v>173</v>
      </c>
      <c r="D8809" t="s">
        <v>155</v>
      </c>
    </row>
    <row r="8810" spans="1:4" x14ac:dyDescent="0.25">
      <c r="B8810" t="str">
        <f>HYPERLINK("https://www.chemistwarehouse.com.au/buy/60325/John-Frieda-Frizz-Ease-Secret-Weapon-Styling-Cr-232-me-113g"," John Frieda Frizz Ease Secret Weapon Styling Crème 113g")</f>
        <v xml:space="preserve"> John Frieda Frizz Ease Secret Weapon Styling Crème 113g</v>
      </c>
      <c r="C8810" t="s">
        <v>292</v>
      </c>
      <c r="D8810" t="s">
        <v>121</v>
      </c>
    </row>
    <row r="8811" spans="1:4" x14ac:dyDescent="0.25">
      <c r="A8811" t="s">
        <v>1929</v>
      </c>
    </row>
    <row r="8812" spans="1:4" x14ac:dyDescent="0.25">
      <c r="B8812" t="str">
        <f>HYPERLINK("https://www.chemistwarehouse.com.au/buy/62870/Redken-All-Soft-Conditioner-250ml"," Redken All Soft Conditioner 250ml")</f>
        <v xml:space="preserve"> Redken All Soft Conditioner 250ml</v>
      </c>
      <c r="C8812" t="s">
        <v>1</v>
      </c>
      <c r="D8812" t="s">
        <v>490</v>
      </c>
    </row>
    <row r="8813" spans="1:4" x14ac:dyDescent="0.25">
      <c r="B8813" t="str">
        <f>HYPERLINK("https://www.chemistwarehouse.com.au/buy/62871/Redken-All-Soft-Shampoo-300ml"," Redken All Soft Shampoo 300ml")</f>
        <v xml:space="preserve"> Redken All Soft Shampoo 300ml</v>
      </c>
      <c r="C8813" t="s">
        <v>1</v>
      </c>
      <c r="D8813" t="s">
        <v>490</v>
      </c>
    </row>
    <row r="8814" spans="1:4" x14ac:dyDescent="0.25">
      <c r="B8814" t="str">
        <f>HYPERLINK("https://www.chemistwarehouse.com.au/buy/62874/Redken-Extreme-Conditioner-250ml"," Redken Extreme Conditioner 250ml ")</f>
        <v xml:space="preserve"> Redken Extreme Conditioner 250ml </v>
      </c>
      <c r="C8814" t="s">
        <v>1</v>
      </c>
      <c r="D8814" t="s">
        <v>490</v>
      </c>
    </row>
    <row r="8815" spans="1:4" x14ac:dyDescent="0.25">
      <c r="B8815" t="str">
        <f>HYPERLINK("https://www.chemistwarehouse.com.au/buy/66729/Redken-Body-Full-Conditioner-250ml"," Redken Body Full Conditioner 250ml")</f>
        <v xml:space="preserve"> Redken Body Full Conditioner 250ml</v>
      </c>
      <c r="C8815" t="s">
        <v>1</v>
      </c>
      <c r="D8815" t="s">
        <v>490</v>
      </c>
    </row>
    <row r="8816" spans="1:4" x14ac:dyDescent="0.25">
      <c r="B8816" t="str">
        <f>HYPERLINK("https://www.chemistwarehouse.com.au/buy/68840/Redken-Shampoo-Smooth-Lock-300ml"," Redken Shampoo Smooth Lock 300ml")</f>
        <v xml:space="preserve"> Redken Shampoo Smooth Lock 300ml</v>
      </c>
      <c r="C8816" t="s">
        <v>1</v>
      </c>
      <c r="D8816" t="s">
        <v>490</v>
      </c>
    </row>
    <row r="8817" spans="1:4" x14ac:dyDescent="0.25">
      <c r="B8817" t="str">
        <f>HYPERLINK("https://www.chemistwarehouse.com.au/buy/71910/Redken-Colour-Extend-Magnetics-Shampoo-300ml"," Redken Colour Extend Magnetics Shampoo 300ml")</f>
        <v xml:space="preserve"> Redken Colour Extend Magnetics Shampoo 300ml</v>
      </c>
      <c r="C8817" t="s">
        <v>1</v>
      </c>
      <c r="D8817" t="s">
        <v>490</v>
      </c>
    </row>
    <row r="8818" spans="1:4" x14ac:dyDescent="0.25">
      <c r="B8818" t="str">
        <f>HYPERLINK("https://www.chemistwarehouse.com.au/buy/71911/Redken-Colour-Extend-Magnetics-Conditioner-250ml"," Redken Colour Extend Magnetics Conditioner 250ml")</f>
        <v xml:space="preserve"> Redken Colour Extend Magnetics Conditioner 250ml</v>
      </c>
      <c r="C8818" t="s">
        <v>1</v>
      </c>
      <c r="D8818" t="s">
        <v>490</v>
      </c>
    </row>
    <row r="8819" spans="1:4" x14ac:dyDescent="0.25">
      <c r="B8819" t="str">
        <f>HYPERLINK("https://www.chemistwarehouse.com.au/buy/77833/Redken-Frizz-Dismiss-Conditioner-250ml"," Redken Frizz Dismiss Conditioner 250ml ")</f>
        <v xml:space="preserve"> Redken Frizz Dismiss Conditioner 250ml </v>
      </c>
      <c r="C8819" t="s">
        <v>1</v>
      </c>
      <c r="D8819" t="s">
        <v>490</v>
      </c>
    </row>
    <row r="8820" spans="1:4" x14ac:dyDescent="0.25">
      <c r="B8820" t="str">
        <f>HYPERLINK("https://www.chemistwarehouse.com.au/buy/77834/Redken-Diamond-Oil-High-Shine-Shampoo-300ml"," Redken Diamond Oil High Shine Shampoo 300ml")</f>
        <v xml:space="preserve"> Redken Diamond Oil High Shine Shampoo 300ml</v>
      </c>
      <c r="C8820" t="s">
        <v>1</v>
      </c>
      <c r="D8820" t="s">
        <v>490</v>
      </c>
    </row>
    <row r="8821" spans="1:4" x14ac:dyDescent="0.25">
      <c r="B8821" t="str">
        <f>HYPERLINK("https://www.chemistwarehouse.com.au/buy/77835/Redken-Diamond-Oil-High-Shine-Conditioner-250ml"," Redken Diamond Oil High Shine Conditioner 250ml ")</f>
        <v xml:space="preserve"> Redken Diamond Oil High Shine Conditioner 250ml </v>
      </c>
      <c r="C8821" t="s">
        <v>1</v>
      </c>
      <c r="D8821" t="s">
        <v>490</v>
      </c>
    </row>
    <row r="8822" spans="1:4" x14ac:dyDescent="0.25">
      <c r="B8822" t="str">
        <f>HYPERLINK("https://www.chemistwarehouse.com.au/buy/77836/Redken-Frizz-Dismiss-Shampoo-300ml"," Redken Frizz Dismiss Shampoo 300ml ")</f>
        <v xml:space="preserve"> Redken Frizz Dismiss Shampoo 300ml </v>
      </c>
      <c r="C8822" t="s">
        <v>1</v>
      </c>
      <c r="D8822" t="s">
        <v>490</v>
      </c>
    </row>
    <row r="8823" spans="1:4" x14ac:dyDescent="0.25">
      <c r="B8823" t="str">
        <f>HYPERLINK("https://www.chemistwarehouse.com.au/buy/78567/Redken-Blonde-Idol-Shampoo-300ml"," Redken Blonde Idol Shampoo 300ml")</f>
        <v xml:space="preserve"> Redken Blonde Idol Shampoo 300ml</v>
      </c>
      <c r="C8823" t="s">
        <v>1</v>
      </c>
      <c r="D8823" t="s">
        <v>490</v>
      </c>
    </row>
    <row r="8824" spans="1:4" x14ac:dyDescent="0.25">
      <c r="B8824" t="str">
        <f>HYPERLINK("https://www.chemistwarehouse.com.au/buy/78697/Redken-Blonde-Idol-Mask-250ml"," Redken Blonde Idol Mask 250ml")</f>
        <v xml:space="preserve"> Redken Blonde Idol Mask 250ml</v>
      </c>
      <c r="C8824" t="s">
        <v>161</v>
      </c>
      <c r="D8824" t="s">
        <v>490</v>
      </c>
    </row>
    <row r="8825" spans="1:4" x14ac:dyDescent="0.25">
      <c r="B8825" t="str">
        <f>HYPERLINK("https://www.chemistwarehouse.com.au/buy/82194/Redken-Redken-Texturize-Rough-Paste-12-75ml"," Redken Redken Texturize Rough Paste 12 75ml")</f>
        <v xml:space="preserve"> Redken Redken Texturize Rough Paste 12 75ml</v>
      </c>
      <c r="C8825" t="s">
        <v>10</v>
      </c>
      <c r="D8825" t="s">
        <v>154</v>
      </c>
    </row>
    <row r="8826" spans="1:4" x14ac:dyDescent="0.25">
      <c r="B8826" t="str">
        <f>HYPERLINK("https://www.chemistwarehouse.com.au/buy/82195/Redken-Satinwear-02-Prepping-Blow-Dry-Lotion-160ml"," Redken Satinwear 02 Prepping Blow-Dry Lotion 160ml")</f>
        <v xml:space="preserve"> Redken Satinwear 02 Prepping Blow-Dry Lotion 160ml</v>
      </c>
      <c r="C8826" t="s">
        <v>10</v>
      </c>
      <c r="D8826" t="s">
        <v>154</v>
      </c>
    </row>
    <row r="8827" spans="1:4" x14ac:dyDescent="0.25">
      <c r="B8827" t="str">
        <f>HYPERLINK("https://www.chemistwarehouse.com.au/buy/82196/Redken-Texturize-Powder-Grip-03-7g"," Redken Texturize Powder Grip 03 7g")</f>
        <v xml:space="preserve"> Redken Texturize Powder Grip 03 7g</v>
      </c>
      <c r="C8827" t="s">
        <v>224</v>
      </c>
      <c r="D8827" t="s">
        <v>581</v>
      </c>
    </row>
    <row r="8828" spans="1:4" x14ac:dyDescent="0.25">
      <c r="B8828" t="str">
        <f>HYPERLINK("https://www.chemistwarehouse.com.au/buy/68839/Redken-Conditioner-Smooth-Lock-250ml"," Redken Conditioner Smooth Lock 250ml")</f>
        <v xml:space="preserve"> Redken Conditioner Smooth Lock 250ml</v>
      </c>
      <c r="C8828" t="s">
        <v>1</v>
      </c>
      <c r="D8828" t="s">
        <v>490</v>
      </c>
    </row>
    <row r="8829" spans="1:4" x14ac:dyDescent="0.25">
      <c r="B8829" t="str">
        <f>HYPERLINK("https://www.chemistwarehouse.com.au/buy/62875/Redken-Extreme-Shampoo-300ml"," Redken Extreme Shampoo 300ml ")</f>
        <v xml:space="preserve"> Redken Extreme Shampoo 300ml </v>
      </c>
      <c r="C8829" t="s">
        <v>1</v>
      </c>
      <c r="D8829" t="s">
        <v>490</v>
      </c>
    </row>
    <row r="8830" spans="1:4" x14ac:dyDescent="0.25">
      <c r="A8830" t="s">
        <v>1930</v>
      </c>
    </row>
    <row r="8831" spans="1:4" x14ac:dyDescent="0.25">
      <c r="B8831" t="str">
        <f>HYPERLINK("https://www.chemistwarehouse.com.au/buy/59445/Joico-Color-Endure-Conditioner-300ml"," Joico Color Endure Conditioner 300ml")</f>
        <v xml:space="preserve"> Joico Color Endure Conditioner 300ml</v>
      </c>
      <c r="C8831" t="s">
        <v>1</v>
      </c>
      <c r="D8831" t="s">
        <v>155</v>
      </c>
    </row>
    <row r="8832" spans="1:4" x14ac:dyDescent="0.25">
      <c r="B8832" t="str">
        <f>HYPERLINK("https://www.chemistwarehouse.com.au/buy/59446/Joico-Color-Endure-Shampoo-300ml"," Joico Color Endure Shampoo 300ml")</f>
        <v xml:space="preserve"> Joico Color Endure Shampoo 300ml</v>
      </c>
      <c r="C8832" t="s">
        <v>1</v>
      </c>
      <c r="D8832" t="s">
        <v>155</v>
      </c>
    </row>
    <row r="8833" spans="1:4" x14ac:dyDescent="0.25">
      <c r="B8833" t="str">
        <f>HYPERLINK("https://www.chemistwarehouse.com.au/buy/59457/Joico-K-Pak-Conditioner-Repair-Damage-300ml"," Joico K-Pak Conditioner Repair Damage 300ml")</f>
        <v xml:space="preserve"> Joico K-Pak Conditioner Repair Damage 300ml</v>
      </c>
      <c r="C8833" t="s">
        <v>173</v>
      </c>
      <c r="D8833" t="s">
        <v>155</v>
      </c>
    </row>
    <row r="8834" spans="1:4" x14ac:dyDescent="0.25">
      <c r="B8834" t="str">
        <f>HYPERLINK("https://www.chemistwarehouse.com.au/buy/59458/Joico-K-Pak-Shampoo-Repair-Damage-300ml"," Joico K-Pak Shampoo Repair Damage 300ml")</f>
        <v xml:space="preserve"> Joico K-Pak Shampoo Repair Damage 300ml</v>
      </c>
      <c r="C8834" t="s">
        <v>173</v>
      </c>
      <c r="D8834" t="s">
        <v>155</v>
      </c>
    </row>
    <row r="8835" spans="1:4" x14ac:dyDescent="0.25">
      <c r="B8835" t="str">
        <f>HYPERLINK("https://www.chemistwarehouse.com.au/buy/71290/Joico-K-PAK-Color-Therapy-Shampoo-300ml"," Joico K-PAK Color Therapy Shampoo 300ml")</f>
        <v xml:space="preserve"> Joico K-PAK Color Therapy Shampoo 300ml</v>
      </c>
      <c r="C8835" t="s">
        <v>173</v>
      </c>
      <c r="D8835" t="s">
        <v>155</v>
      </c>
    </row>
    <row r="8836" spans="1:4" x14ac:dyDescent="0.25">
      <c r="B8836" t="str">
        <f>HYPERLINK("https://www.chemistwarehouse.com.au/buy/71291/Joico-Daily-Care-Balancing-Conditioner-300ml"," Joico Daily Care Balancing Conditioner 300ml")</f>
        <v xml:space="preserve"> Joico Daily Care Balancing Conditioner 300ml</v>
      </c>
      <c r="C8836" t="s">
        <v>1</v>
      </c>
      <c r="D8836" t="s">
        <v>157</v>
      </c>
    </row>
    <row r="8837" spans="1:4" x14ac:dyDescent="0.25">
      <c r="B8837" t="str">
        <f>HYPERLINK("https://www.chemistwarehouse.com.au/buy/71292/Joico-Daily-Care-Balancing-Shampoo-300ml"," Joico Daily Care Balancing Shampoo 300ml")</f>
        <v xml:space="preserve"> Joico Daily Care Balancing Shampoo 300ml</v>
      </c>
      <c r="C8837" t="s">
        <v>1</v>
      </c>
      <c r="D8837" t="s">
        <v>157</v>
      </c>
    </row>
    <row r="8838" spans="1:4" x14ac:dyDescent="0.25">
      <c r="B8838" t="str">
        <f>HYPERLINK("https://www.chemistwarehouse.com.au/buy/71293/Joico-K-PAK-Color-Therapy-Conditioner-300ml"," Joico K-PAK Color Therapy Conditioner 300ml")</f>
        <v xml:space="preserve"> Joico K-PAK Color Therapy Conditioner 300ml</v>
      </c>
      <c r="C8838" t="s">
        <v>173</v>
      </c>
      <c r="D8838" t="s">
        <v>155</v>
      </c>
    </row>
    <row r="8839" spans="1:4" x14ac:dyDescent="0.25">
      <c r="B8839" t="str">
        <f>HYPERLINK("https://www.chemistwarehouse.com.au/buy/59447/Joico-Body-Luxe-Thickening-Shampoo-300ml"," Joico Body Luxe Thickening Shampoo 300ml")</f>
        <v xml:space="preserve"> Joico Body Luxe Thickening Shampoo 300ml</v>
      </c>
      <c r="C8839" t="s">
        <v>1</v>
      </c>
      <c r="D8839" t="s">
        <v>155</v>
      </c>
    </row>
    <row r="8840" spans="1:4" x14ac:dyDescent="0.25">
      <c r="B8840" t="str">
        <f>HYPERLINK("https://www.chemistwarehouse.com.au/buy/59448/Joico-Body-Luxe-Thickening-Conditioner-300ml"," Joico Body Luxe Thickening Conditioner 300ml")</f>
        <v xml:space="preserve"> Joico Body Luxe Thickening Conditioner 300ml</v>
      </c>
      <c r="C8840" t="s">
        <v>1</v>
      </c>
      <c r="D8840" t="s">
        <v>155</v>
      </c>
    </row>
    <row r="8841" spans="1:4" x14ac:dyDescent="0.25">
      <c r="B8841" t="str">
        <f>HYPERLINK("https://www.chemistwarehouse.com.au/buy/59449/Joico-Moisture-Recovery-Conditioner-300ml"," Joico Moisture Recovery Conditioner 300ml")</f>
        <v xml:space="preserve"> Joico Moisture Recovery Conditioner 300ml</v>
      </c>
      <c r="C8841" t="s">
        <v>1</v>
      </c>
      <c r="D8841" t="s">
        <v>155</v>
      </c>
    </row>
    <row r="8842" spans="1:4" x14ac:dyDescent="0.25">
      <c r="B8842" t="str">
        <f>HYPERLINK("https://www.chemistwarehouse.com.au/buy/59450/Joico-Moisture-Recovery-Shampoo-300ml"," Joico Moisture Recovery Shampoo 300ml")</f>
        <v xml:space="preserve"> Joico Moisture Recovery Shampoo 300ml</v>
      </c>
      <c r="C8842" t="s">
        <v>1</v>
      </c>
      <c r="D8842" t="s">
        <v>157</v>
      </c>
    </row>
    <row r="8843" spans="1:4" x14ac:dyDescent="0.25">
      <c r="A8843" t="s">
        <v>1931</v>
      </c>
    </row>
    <row r="8844" spans="1:4" x14ac:dyDescent="0.25">
      <c r="B8844" t="str">
        <f>HYPERLINK("https://www.chemistwarehouse.com.au/buy/71551/Kerastase-Cristalliste-Bain-Cristal-Fine-Shampoo-250ml"," Kerastase Cristalliste Bain Cristal Fine Shampoo 250ml")</f>
        <v xml:space="preserve"> Kerastase Cristalliste Bain Cristal Fine Shampoo 250ml</v>
      </c>
      <c r="C8844" t="s">
        <v>6</v>
      </c>
      <c r="D8844" t="s">
        <v>490</v>
      </c>
    </row>
    <row r="8845" spans="1:4" x14ac:dyDescent="0.25">
      <c r="B8845" t="str">
        <f>HYPERLINK("https://www.chemistwarehouse.com.au/buy/71552/Kerastase-Cristalliste-Bain-Cristal-Thick-Shampoo-250ml"," Kerastase Cristalliste Bain Cristal Thick Shampoo 250ml")</f>
        <v xml:space="preserve"> Kerastase Cristalliste Bain Cristal Thick Shampoo 250ml</v>
      </c>
      <c r="C8845" t="s">
        <v>6</v>
      </c>
      <c r="D8845" t="s">
        <v>490</v>
      </c>
    </row>
    <row r="8846" spans="1:4" x14ac:dyDescent="0.25">
      <c r="B8846" t="str">
        <f>HYPERLINK("https://www.chemistwarehouse.com.au/buy/71556/Kerastase-Nutritive-Bain-Satin-2-Shampoo-250ml"," Kerastase Nutritive Bain Satin 2 Shampoo 250ml")</f>
        <v xml:space="preserve"> Kerastase Nutritive Bain Satin 2 Shampoo 250ml</v>
      </c>
      <c r="C8846" t="s">
        <v>6</v>
      </c>
      <c r="D8846" t="s">
        <v>490</v>
      </c>
    </row>
    <row r="8847" spans="1:4" x14ac:dyDescent="0.25">
      <c r="B8847" t="str">
        <f>HYPERLINK("https://www.chemistwarehouse.com.au/buy/74589/Kerastase-Resistance-Bain-Volumifique-Shampoo-250ml"," Kerastase Resistance Bain Volumifique Shampoo 250ml")</f>
        <v xml:space="preserve"> Kerastase Resistance Bain Volumifique Shampoo 250ml</v>
      </c>
      <c r="C8847" t="s">
        <v>6</v>
      </c>
      <c r="D8847" t="s">
        <v>490</v>
      </c>
    </row>
    <row r="8848" spans="1:4" x14ac:dyDescent="0.25">
      <c r="B8848" t="str">
        <f>HYPERLINK("https://www.chemistwarehouse.com.au/buy/74939/Kerastase-Resistance-Gelee-Volumifique-Conditioner-200ml"," Kerastase Resistance Gelee Volumifique Conditioner 200ml")</f>
        <v xml:space="preserve"> Kerastase Resistance Gelee Volumifique Conditioner 200ml</v>
      </c>
      <c r="C8848" t="s">
        <v>166</v>
      </c>
      <c r="D8848" t="s">
        <v>615</v>
      </c>
    </row>
    <row r="8849" spans="1:4" x14ac:dyDescent="0.25">
      <c r="A8849" t="s">
        <v>1932</v>
      </c>
    </row>
    <row r="8850" spans="1:4" x14ac:dyDescent="0.25">
      <c r="B8850" t="str">
        <f>HYPERLINK("https://www.chemistwarehouse.com.au/buy/78183/L-39-Oreal-Serie-Expert-Silver-Shampoo-250ml"," L'Oreal Serie Expert Silver Shampoo 250ml ")</f>
        <v xml:space="preserve"> L'Oreal Serie Expert Silver Shampoo 250ml </v>
      </c>
      <c r="C8850" t="s">
        <v>1</v>
      </c>
      <c r="D8850" t="s">
        <v>500</v>
      </c>
    </row>
    <row r="8851" spans="1:4" x14ac:dyDescent="0.25">
      <c r="B8851" t="str">
        <f>HYPERLINK("https://www.chemistwarehouse.com.au/buy/78188/L-39-Oreal-Serie-Expert-Volumetry-Shampoo-250ml"," L'Oreal Serie Expert Volumetry Shampoo 250ml")</f>
        <v xml:space="preserve"> L'Oreal Serie Expert Volumetry Shampoo 250ml</v>
      </c>
      <c r="C8851" t="s">
        <v>1</v>
      </c>
      <c r="D8851" t="s">
        <v>500</v>
      </c>
    </row>
    <row r="8852" spans="1:4" x14ac:dyDescent="0.25">
      <c r="B8852" t="str">
        <f>HYPERLINK("https://www.chemistwarehouse.com.au/buy/78178/L-39-Oreal-Serie-Expert-Pro-Keratin-Refill-Conditioner-150ml"," L'Oreal Serie Expert Pro Keratin Refill Conditioner 150ml")</f>
        <v xml:space="preserve"> L'Oreal Serie Expert Pro Keratin Refill Conditioner 150ml</v>
      </c>
      <c r="C8852" t="s">
        <v>1</v>
      </c>
      <c r="D8852" t="s">
        <v>500</v>
      </c>
    </row>
    <row r="8853" spans="1:4" x14ac:dyDescent="0.25">
      <c r="B8853" t="str">
        <f>HYPERLINK("https://www.chemistwarehouse.com.au/buy/78179/L-39-Oreal-Serie-Expert-Pro-Keratin-Refill-Mask-200ml"," L'Oreal Serie Expert Pro Keratin Refill Mask 200ml")</f>
        <v xml:space="preserve"> L'Oreal Serie Expert Pro Keratin Refill Mask 200ml</v>
      </c>
      <c r="C8853" t="s">
        <v>125</v>
      </c>
      <c r="D8853" t="s">
        <v>487</v>
      </c>
    </row>
    <row r="8854" spans="1:4" x14ac:dyDescent="0.25">
      <c r="B8854" t="str">
        <f>HYPERLINK("https://www.chemistwarehouse.com.au/buy/78180/L-39-Oreal-Serie-Expert-Pro-Keratin-Refill-Shampoo-250ml"," L'Oreal Serie Expert Pro Keratin Refill Shampoo 250ml")</f>
        <v xml:space="preserve"> L'Oreal Serie Expert Pro Keratin Refill Shampoo 250ml</v>
      </c>
      <c r="C8854" t="s">
        <v>1</v>
      </c>
      <c r="D8854" t="s">
        <v>500</v>
      </c>
    </row>
    <row r="8855" spans="1:4" x14ac:dyDescent="0.25">
      <c r="B8855" t="str">
        <f>HYPERLINK("https://www.chemistwarehouse.com.au/buy/78184/L-39-Oreal-Serie-Expert-Vitamino-Color-Conditioner-150ml"," L'Oreal Serie Expert Vitamino Color Conditioner 150ml")</f>
        <v xml:space="preserve"> L'Oreal Serie Expert Vitamino Color Conditioner 150ml</v>
      </c>
      <c r="C8855" t="s">
        <v>1</v>
      </c>
      <c r="D8855" t="s">
        <v>500</v>
      </c>
    </row>
    <row r="8856" spans="1:4" x14ac:dyDescent="0.25">
      <c r="B8856" t="str">
        <f>HYPERLINK("https://www.chemistwarehouse.com.au/buy/78185/L-39-Oreal-Serie-Expert-Vitamino-Color-Mask-200ml"," L'Oreal Serie Expert Vitamino Color Mask 200ml")</f>
        <v xml:space="preserve"> L'Oreal Serie Expert Vitamino Color Mask 200ml</v>
      </c>
      <c r="C8856" t="s">
        <v>125</v>
      </c>
      <c r="D8856" t="s">
        <v>487</v>
      </c>
    </row>
    <row r="8857" spans="1:4" x14ac:dyDescent="0.25">
      <c r="B8857" t="str">
        <f>HYPERLINK("https://www.chemistwarehouse.com.au/buy/78186/L-39-Oreal-Serie-Expert-Vitamino-Color-Shampoo-250ml"," L'Oreal Serie Expert Vitamino Color Shampoo 250ml")</f>
        <v xml:space="preserve"> L'Oreal Serie Expert Vitamino Color Shampoo 250ml</v>
      </c>
      <c r="C8857" t="s">
        <v>1</v>
      </c>
      <c r="D8857" t="s">
        <v>500</v>
      </c>
    </row>
    <row r="8858" spans="1:4" x14ac:dyDescent="0.25">
      <c r="B8858" t="str">
        <f>HYPERLINK("https://www.chemistwarehouse.com.au/buy/78187/L-39-Oreal-Serie-Expert-Volumetry-Conditioner-150ml"," L'Oreal Serie Expert Volumetry Conditioner 150ml")</f>
        <v xml:space="preserve"> L'Oreal Serie Expert Volumetry Conditioner 150ml</v>
      </c>
      <c r="C8858" t="s">
        <v>1</v>
      </c>
      <c r="D8858" t="s">
        <v>500</v>
      </c>
    </row>
    <row r="8859" spans="1:4" x14ac:dyDescent="0.25">
      <c r="B8859" t="str">
        <f>HYPERLINK("https://www.chemistwarehouse.com.au/buy/78190/L-39-Oreal-Mythic-Oil-Conditioner-190ml"," L'Oreal Mythic Oil Conditioner 190ml")</f>
        <v xml:space="preserve"> L'Oreal Mythic Oil Conditioner 190ml</v>
      </c>
      <c r="C8859" t="s">
        <v>1</v>
      </c>
      <c r="D8859" t="s">
        <v>500</v>
      </c>
    </row>
    <row r="8860" spans="1:4" x14ac:dyDescent="0.25">
      <c r="B8860" t="str">
        <f>HYPERLINK("https://www.chemistwarehouse.com.au/buy/78191/L-39-Oreal-Mythic-Oil-Shampoo-250ml"," L'Oreal Mythic Oil Shampoo 250ml")</f>
        <v xml:space="preserve"> L'Oreal Mythic Oil Shampoo 250ml</v>
      </c>
      <c r="C8860" t="s">
        <v>1</v>
      </c>
      <c r="D8860" t="s">
        <v>500</v>
      </c>
    </row>
    <row r="8861" spans="1:4" x14ac:dyDescent="0.25">
      <c r="B8861" t="str">
        <f>HYPERLINK("https://www.chemistwarehouse.com.au/buy/78192/L-39-Oreal-Mythic-Oil-Mask-200ml"," L'Oreal Mythic Oil Mask 200ml")</f>
        <v xml:space="preserve"> L'Oreal Mythic Oil Mask 200ml</v>
      </c>
      <c r="C8861" t="s">
        <v>125</v>
      </c>
      <c r="D8861" t="s">
        <v>487</v>
      </c>
    </row>
    <row r="8862" spans="1:4" x14ac:dyDescent="0.25">
      <c r="B8862" t="str">
        <f>HYPERLINK("https://www.chemistwarehouse.com.au/buy/81357/L-39-Oreal-Mythic-Oil-Conditioner-75ml"," L'Oreal Mythic Oil Conditioner 75ml")</f>
        <v xml:space="preserve"> L'Oreal Mythic Oil Conditioner 75ml</v>
      </c>
      <c r="C8862" t="s">
        <v>104</v>
      </c>
      <c r="D8862">
        <v>0</v>
      </c>
    </row>
    <row r="8863" spans="1:4" x14ac:dyDescent="0.25">
      <c r="B8863" t="str">
        <f>HYPERLINK("https://www.chemistwarehouse.com.au/buy/81358/L-39-Oreal-Mythic-Oil-Nourishing-Oil-45ml"," L'Oreal Mythic Oil Nourishing Oil 45ml")</f>
        <v xml:space="preserve"> L'Oreal Mythic Oil Nourishing Oil 45ml</v>
      </c>
      <c r="C8863" t="s">
        <v>162</v>
      </c>
      <c r="D8863">
        <v>0</v>
      </c>
    </row>
    <row r="8864" spans="1:4" x14ac:dyDescent="0.25">
      <c r="B8864" t="str">
        <f>HYPERLINK("https://www.chemistwarehouse.com.au/buy/81359/L-39-Oreal-Mythic-Oil-Shampoo-75ml"," L'Oreal Mythic Oil Shampoo 75ml")</f>
        <v xml:space="preserve"> L'Oreal Mythic Oil Shampoo 75ml</v>
      </c>
      <c r="C8864" t="s">
        <v>104</v>
      </c>
      <c r="D8864">
        <v>0</v>
      </c>
    </row>
    <row r="8865" spans="1:4" x14ac:dyDescent="0.25">
      <c r="B8865" t="str">
        <f>HYPERLINK("https://www.chemistwarehouse.com.au/buy/78189/L-39-Oreal-Serie-Expert-Volumetry-SOS-Volume-Spray-78ml"," L'Oreal Serie Expert Volumetry SOS Volume Spray 78ml ")</f>
        <v xml:space="preserve"> L'Oreal Serie Expert Volumetry SOS Volume Spray 78ml </v>
      </c>
      <c r="C8865" t="s">
        <v>187</v>
      </c>
      <c r="D8865" t="s">
        <v>1933</v>
      </c>
    </row>
    <row r="8866" spans="1:4" x14ac:dyDescent="0.25">
      <c r="A8866" t="s">
        <v>1934</v>
      </c>
    </row>
    <row r="8867" spans="1:4" x14ac:dyDescent="0.25">
      <c r="B8867" t="str">
        <f>HYPERLINK("https://www.chemistwarehouse.com.au/buy/79845/De-Lorenzo-Instant-Allevi8-Conditioner-375ml-Online-Only"," De Lorenzo Instant Allevi8 Conditioner 375ml Online Only")</f>
        <v xml:space="preserve"> De Lorenzo Instant Allevi8 Conditioner 375ml Online Only</v>
      </c>
      <c r="C8867" t="s">
        <v>224</v>
      </c>
      <c r="D8867" t="s">
        <v>332</v>
      </c>
    </row>
    <row r="8868" spans="1:4" x14ac:dyDescent="0.25">
      <c r="B8868" t="str">
        <f>HYPERLINK("https://www.chemistwarehouse.com.au/buy/79846/De-Lorenzo-Instant-Allevi8-Shampoo-375ml-Online-Only"," De Lorenzo Instant Allevi8 Shampoo 375ml Online Only")</f>
        <v xml:space="preserve"> De Lorenzo Instant Allevi8 Shampoo 375ml Online Only</v>
      </c>
      <c r="C8868" t="s">
        <v>224</v>
      </c>
      <c r="D8868" t="s">
        <v>332</v>
      </c>
    </row>
    <row r="8869" spans="1:4" x14ac:dyDescent="0.25">
      <c r="B8869" t="str">
        <f>HYPERLINK("https://www.chemistwarehouse.com.au/buy/79847/De-Lorenzo-Instant-Rejuven8-Conditioner-375ml-Online-Only"," De Lorenzo Instant Rejuven8 Conditioner 375ml Online Only")</f>
        <v xml:space="preserve"> De Lorenzo Instant Rejuven8 Conditioner 375ml Online Only</v>
      </c>
      <c r="C8869" t="s">
        <v>224</v>
      </c>
      <c r="D8869" t="s">
        <v>332</v>
      </c>
    </row>
    <row r="8870" spans="1:4" x14ac:dyDescent="0.25">
      <c r="B8870" t="str">
        <f>HYPERLINK("https://www.chemistwarehouse.com.au/buy/79848/De-Lorenzo-Instant-Rejuven8-Shampoo-375ml-Online-Only"," De Lorenzo Instant Rejuven8 Shampoo 375ml Online Only")</f>
        <v xml:space="preserve"> De Lorenzo Instant Rejuven8 Shampoo 375ml Online Only</v>
      </c>
      <c r="C8870" t="s">
        <v>224</v>
      </c>
      <c r="D8870" t="s">
        <v>332</v>
      </c>
    </row>
    <row r="8871" spans="1:4" x14ac:dyDescent="0.25">
      <c r="B8871" t="str">
        <f>HYPERLINK("https://www.chemistwarehouse.com.au/buy/79849/De-Lorenzo-Instant-Rejuven8-The-Ends-120ml-Online-Only"," De Lorenzo Instant Rejuven8 The Ends 120ml Online Only")</f>
        <v xml:space="preserve"> De Lorenzo Instant Rejuven8 The Ends 120ml Online Only</v>
      </c>
      <c r="C8871" t="s">
        <v>105</v>
      </c>
      <c r="D8871" t="s">
        <v>406</v>
      </c>
    </row>
    <row r="8872" spans="1:4" x14ac:dyDescent="0.25">
      <c r="B8872" t="str">
        <f>HYPERLINK("https://www.chemistwarehouse.com.au/buy/79850/De-Lorenzo-Moisture-Balance-Intense-Conditioner-275ml-Online-Only"," De Lorenzo Moisture Balance Intense Conditioner 275ml Online Only")</f>
        <v xml:space="preserve"> De Lorenzo Moisture Balance Intense Conditioner 275ml Online Only</v>
      </c>
      <c r="C8872" t="s">
        <v>161</v>
      </c>
      <c r="D8872" t="s">
        <v>350</v>
      </c>
    </row>
    <row r="8873" spans="1:4" x14ac:dyDescent="0.25">
      <c r="B8873" t="str">
        <f>HYPERLINK("https://www.chemistwarehouse.com.au/buy/79851/De-Lorenzo-Moisture-Balance-Revive-Conditioner-275ml-Online-Only"," De Lorenzo Moisture Balance Revive Conditioner 275ml Online Only")</f>
        <v xml:space="preserve"> De Lorenzo Moisture Balance Revive Conditioner 275ml Online Only</v>
      </c>
      <c r="C8873" t="s">
        <v>161</v>
      </c>
      <c r="D8873" t="s">
        <v>350</v>
      </c>
    </row>
    <row r="8874" spans="1:4" x14ac:dyDescent="0.25">
      <c r="B8874" t="str">
        <f>HYPERLINK("https://www.chemistwarehouse.com.au/buy/79852/De-Lorenzo-Moisture-Balance-Shampoo-275ml-Online-Only"," De Lorenzo Moisture Balance Shampoo 275ml Online Only")</f>
        <v xml:space="preserve"> De Lorenzo Moisture Balance Shampoo 275ml Online Only</v>
      </c>
      <c r="C8874" t="s">
        <v>161</v>
      </c>
      <c r="D8874" t="s">
        <v>350</v>
      </c>
    </row>
    <row r="8875" spans="1:4" x14ac:dyDescent="0.25">
      <c r="B8875" t="str">
        <f>HYPERLINK("https://www.chemistwarehouse.com.au/buy/79853/De-Lorenzo-Moisturiser-Intense-Hair-Moisturiser-125ml-Online-Only"," De Lorenzo Moisturiser Intense Hair Moisturiser 125ml Online Only")</f>
        <v xml:space="preserve"> De Lorenzo Moisturiser Intense Hair Moisturiser 125ml Online Only</v>
      </c>
      <c r="C8875" t="s">
        <v>8</v>
      </c>
      <c r="D8875" t="s">
        <v>1935</v>
      </c>
    </row>
    <row r="8876" spans="1:4" x14ac:dyDescent="0.25">
      <c r="B8876" t="str">
        <f>HYPERLINK("https://www.chemistwarehouse.com.au/buy/79854/De-Lorenzo-Moisturiser-Revive-Hair-Moisturiser-125ml-Online-Only"," De Lorenzo Moisturiser Revive Hair Moisturiser 125ml Online Only")</f>
        <v xml:space="preserve"> De Lorenzo Moisturiser Revive Hair Moisturiser 125ml Online Only</v>
      </c>
      <c r="C8876" t="s">
        <v>8</v>
      </c>
      <c r="D8876" t="s">
        <v>1935</v>
      </c>
    </row>
    <row r="8877" spans="1:4" x14ac:dyDescent="0.25">
      <c r="B8877" t="str">
        <f>HYPERLINK("https://www.chemistwarehouse.com.au/buy/82803/De-Lorenzo-Control-Intense-Conditioner-275ml-Online-Only"," De Lorenzo Control Intense Conditioner 275ml Online Only")</f>
        <v xml:space="preserve"> De Lorenzo Control Intense Conditioner 275ml Online Only</v>
      </c>
      <c r="C8877" t="s">
        <v>161</v>
      </c>
      <c r="D8877" t="s">
        <v>350</v>
      </c>
    </row>
    <row r="8878" spans="1:4" x14ac:dyDescent="0.25">
      <c r="B8878" t="str">
        <f>HYPERLINK("https://www.chemistwarehouse.com.au/buy/79841/De-Lorenzo-Control-Revive-Conditioner-275ml-Online-Only"," De Lorenzo Control Revive Conditioner 275ml Online Only")</f>
        <v xml:space="preserve"> De Lorenzo Control Revive Conditioner 275ml Online Only</v>
      </c>
      <c r="C8878" t="s">
        <v>161</v>
      </c>
      <c r="D8878" t="s">
        <v>350</v>
      </c>
    </row>
    <row r="8879" spans="1:4" x14ac:dyDescent="0.25">
      <c r="B8879" t="str">
        <f>HYPERLINK("https://www.chemistwarehouse.com.au/buy/79844/De-Lorenzo-Instant-Accentu8-Shampoo-375ml-Online-Only"," De Lorenzo Instant Accentu8 Shampoo 375ml Online Only")</f>
        <v xml:space="preserve"> De Lorenzo Instant Accentu8 Shampoo 375ml Online Only</v>
      </c>
      <c r="C8879" t="s">
        <v>224</v>
      </c>
      <c r="D8879" t="s">
        <v>332</v>
      </c>
    </row>
    <row r="8880" spans="1:4" x14ac:dyDescent="0.25">
      <c r="B8880" t="str">
        <f>HYPERLINK("https://www.chemistwarehouse.com.au/buy/79842/De-Lorenzo-Control-Shampoo-275ml-Online-Only"," De Lorenzo Control Shampoo 275ml Online Only")</f>
        <v xml:space="preserve"> De Lorenzo Control Shampoo 275ml Online Only</v>
      </c>
      <c r="C8880" t="s">
        <v>161</v>
      </c>
      <c r="D8880" t="s">
        <v>350</v>
      </c>
    </row>
    <row r="8881" spans="1:4" x14ac:dyDescent="0.25">
      <c r="B8881" t="str">
        <f>HYPERLINK("https://www.chemistwarehouse.com.au/buy/79843/De-Lorenzo-Instant-Accentu8-Conditioner-375ml-Online-Only"," De Lorenzo Instant Accentu8 Conditioner 375ml Online Only")</f>
        <v xml:space="preserve"> De Lorenzo Instant Accentu8 Conditioner 375ml Online Only</v>
      </c>
      <c r="C8881" t="s">
        <v>224</v>
      </c>
      <c r="D8881" t="s">
        <v>332</v>
      </c>
    </row>
    <row r="8882" spans="1:4" x14ac:dyDescent="0.25">
      <c r="A8882" t="s">
        <v>1936</v>
      </c>
    </row>
    <row r="8883" spans="1:4" x14ac:dyDescent="0.25">
      <c r="B8883" t="str">
        <f>HYPERLINK("https://www.chemistwarehouse.com.au/buy/58124/Goldwell-Lacquer-Super-Firm-500g-Bonus"," Goldwell Lacquer Super Firm 500g Bonus")</f>
        <v xml:space="preserve"> Goldwell Lacquer Super Firm 500g Bonus</v>
      </c>
      <c r="C8883" t="s">
        <v>103</v>
      </c>
      <c r="D8883" t="s">
        <v>64</v>
      </c>
    </row>
    <row r="8884" spans="1:4" x14ac:dyDescent="0.25">
      <c r="B8884" t="str">
        <f>HYPERLINK("https://www.chemistwarehouse.com.au/buy/79855/Goldwell-Dualsenses-Colour-Extra-Rich-Conditioner-300ml-Online-Only"," Goldwell Dualsenses Colour Extra Rich Conditioner 300ml Online Only")</f>
        <v xml:space="preserve"> Goldwell Dualsenses Colour Extra Rich Conditioner 300ml Online Only</v>
      </c>
      <c r="C8884" t="s">
        <v>1</v>
      </c>
      <c r="D8884" t="s">
        <v>1286</v>
      </c>
    </row>
    <row r="8885" spans="1:4" x14ac:dyDescent="0.25">
      <c r="B8885" t="str">
        <f>HYPERLINK("https://www.chemistwarehouse.com.au/buy/79857/Goldwell-Dualsenses-Curly-Twist-Shampoo-300ml-Online-Only"," Goldwell Dualsenses Curly Twist Shampoo 300ml Online Only")</f>
        <v xml:space="preserve"> Goldwell Dualsenses Curly Twist Shampoo 300ml Online Only</v>
      </c>
      <c r="C8885" t="s">
        <v>1</v>
      </c>
      <c r="D8885" t="s">
        <v>1286</v>
      </c>
    </row>
    <row r="8886" spans="1:4" x14ac:dyDescent="0.25">
      <c r="B8886" t="str">
        <f>HYPERLINK("https://www.chemistwarehouse.com.au/buy/79860/Goldwell-Dualsenses-Rich-Repair-Shampoo-300ml-Online-Only"," Goldwell Dualsenses Rich Repair Shampoo 300ml Online Only")</f>
        <v xml:space="preserve"> Goldwell Dualsenses Rich Repair Shampoo 300ml Online Only</v>
      </c>
      <c r="C8886" t="s">
        <v>1</v>
      </c>
      <c r="D8886" t="s">
        <v>1286</v>
      </c>
    </row>
    <row r="8887" spans="1:4" x14ac:dyDescent="0.25">
      <c r="B8887" t="str">
        <f>HYPERLINK("https://www.chemistwarehouse.com.au/buy/79861/Goldwell-Dualsenses-Sensitive-Foam-Shampoo-250ml-Online-Only"," Goldwell Dualsenses Sensitive Foam Shampoo 250ml Online Only")</f>
        <v xml:space="preserve"> Goldwell Dualsenses Sensitive Foam Shampoo 250ml Online Only</v>
      </c>
      <c r="C8887" t="s">
        <v>187</v>
      </c>
      <c r="D8887" t="s">
        <v>1937</v>
      </c>
    </row>
    <row r="8888" spans="1:4" x14ac:dyDescent="0.25">
      <c r="B8888" t="str">
        <f>HYPERLINK("https://www.chemistwarehouse.com.au/buy/79862/Goldwell-Dualsenses-Ultra-Volume-Conditioner-300ml-Online-Only"," Goldwell Dualsenses Ultra Volume Conditioner 300ml Online Only")</f>
        <v xml:space="preserve"> Goldwell Dualsenses Ultra Volume Conditioner 300ml Online Only</v>
      </c>
      <c r="C8888" t="s">
        <v>1</v>
      </c>
      <c r="D8888" t="s">
        <v>1286</v>
      </c>
    </row>
    <row r="8889" spans="1:4" x14ac:dyDescent="0.25">
      <c r="B8889" t="str">
        <f>HYPERLINK("https://www.chemistwarehouse.com.au/buy/79863/Goldwell-Dualsenses-Ultra-Volume-Shampoo-300ml-Online-Only"," Goldwell Dualsenses Ultra Volume Shampoo 300ml Online Only")</f>
        <v xml:space="preserve"> Goldwell Dualsenses Ultra Volume Shampoo 300ml Online Only</v>
      </c>
      <c r="C8889" t="s">
        <v>1</v>
      </c>
      <c r="D8889" t="s">
        <v>1286</v>
      </c>
    </row>
    <row r="8890" spans="1:4" x14ac:dyDescent="0.25">
      <c r="B8890" t="str">
        <f>HYPERLINK("https://www.chemistwarehouse.com.au/buy/79864/Goldwell-Style-Sign-Hardliner-150ml-Online-Only"," Goldwell Style Sign Hardliner 150ml Online Only")</f>
        <v xml:space="preserve"> Goldwell Style Sign Hardliner 150ml Online Only</v>
      </c>
      <c r="C8890" t="s">
        <v>187</v>
      </c>
      <c r="D8890" t="s">
        <v>1937</v>
      </c>
    </row>
    <row r="8891" spans="1:4" x14ac:dyDescent="0.25">
      <c r="B8891" t="str">
        <f>HYPERLINK("https://www.chemistwarehouse.com.au/buy/79865/Goldwell-Style-Sign-Lagoom-Jam-150ml-Online-Only"," Goldwell Style Sign Lagoom Jam 150ml Online Only")</f>
        <v xml:space="preserve"> Goldwell Style Sign Lagoom Jam 150ml Online Only</v>
      </c>
      <c r="C8891" t="s">
        <v>1</v>
      </c>
      <c r="D8891" t="s">
        <v>1286</v>
      </c>
    </row>
    <row r="8892" spans="1:4" x14ac:dyDescent="0.25">
      <c r="B8892" t="str">
        <f>HYPERLINK("https://www.chemistwarehouse.com.au/buy/79858/Goldwell-Dualsenses-Rich-Repair-60-Second-Treatment-200ml-Online-Only"," Goldwell Dualsenses Rich Repair 60 Second Treatment 200ml Online Only")</f>
        <v xml:space="preserve"> Goldwell Dualsenses Rich Repair 60 Second Treatment 200ml Online Only</v>
      </c>
      <c r="C8892" t="s">
        <v>173</v>
      </c>
      <c r="D8892" t="s">
        <v>157</v>
      </c>
    </row>
    <row r="8893" spans="1:4" x14ac:dyDescent="0.25">
      <c r="A8893" t="s">
        <v>1938</v>
      </c>
    </row>
    <row r="8894" spans="1:4" x14ac:dyDescent="0.25">
      <c r="B8894" t="str">
        <f>HYPERLINK("https://www.chemistwarehouse.com.au/buy/79869/KMS-Color-Vitality-Blonde-Treatment-125ml-Online-Only"," KMS Color Vitality Blonde Treatment 125ml Online Only")</f>
        <v xml:space="preserve"> KMS Color Vitality Blonde Treatment 125ml Online Only</v>
      </c>
      <c r="C8894" t="s">
        <v>173</v>
      </c>
      <c r="D8894" t="s">
        <v>157</v>
      </c>
    </row>
    <row r="8895" spans="1:4" x14ac:dyDescent="0.25">
      <c r="B8895" t="str">
        <f>HYPERLINK("https://www.chemistwarehouse.com.au/buy/79870/KMS-Color-Vitality-Conditioner-250ml-Online-Only"," KMS Color Vitality Conditioner 250ml Online Only")</f>
        <v xml:space="preserve"> KMS Color Vitality Conditioner 250ml Online Only</v>
      </c>
      <c r="C8895" t="s">
        <v>161</v>
      </c>
      <c r="D8895" t="s">
        <v>157</v>
      </c>
    </row>
    <row r="8896" spans="1:4" x14ac:dyDescent="0.25">
      <c r="B8896" t="str">
        <f>HYPERLINK("https://www.chemistwarehouse.com.au/buy/79871/KMS-Color-Vitality-Shampoo-300ml-Online-Only"," KMS Color Vitality Shampoo 300ml Online Only")</f>
        <v xml:space="preserve"> KMS Color Vitality Shampoo 300ml Online Only</v>
      </c>
      <c r="C8896" t="s">
        <v>161</v>
      </c>
      <c r="D8896" t="s">
        <v>157</v>
      </c>
    </row>
    <row r="8897" spans="2:4" x14ac:dyDescent="0.25">
      <c r="B8897" t="str">
        <f>HYPERLINK("https://www.chemistwarehouse.com.au/buy/79872/KMS-Curl-Up-Bounce-Back-Spray-200ml-Online-Only"," KMS Curl Up Bounce Back Spray 200ml Online Only")</f>
        <v xml:space="preserve"> KMS Curl Up Bounce Back Spray 200ml Online Only</v>
      </c>
      <c r="C8897" t="s">
        <v>10</v>
      </c>
      <c r="D8897" t="s">
        <v>155</v>
      </c>
    </row>
    <row r="8898" spans="2:4" x14ac:dyDescent="0.25">
      <c r="B8898" t="str">
        <f>HYPERLINK("https://www.chemistwarehouse.com.au/buy/79873/KMS-Curl-Up-Conditioner-250ml-Online-Only"," KMS Curl Up Conditioner 250ml Online Only")</f>
        <v xml:space="preserve"> KMS Curl Up Conditioner 250ml Online Only</v>
      </c>
      <c r="C8898" t="s">
        <v>161</v>
      </c>
      <c r="D8898" t="s">
        <v>157</v>
      </c>
    </row>
    <row r="8899" spans="2:4" x14ac:dyDescent="0.25">
      <c r="B8899" t="str">
        <f>HYPERLINK("https://www.chemistwarehouse.com.au/buy/79874/KMS-Curl-Up-Shampoo-300ml-Online-Only"," KMS Curl Up Shampoo 300ml Online Only")</f>
        <v xml:space="preserve"> KMS Curl Up Shampoo 300ml Online Only</v>
      </c>
      <c r="C8899" t="s">
        <v>161</v>
      </c>
      <c r="D8899" t="s">
        <v>157</v>
      </c>
    </row>
    <row r="8900" spans="2:4" x14ac:dyDescent="0.25">
      <c r="B8900" t="str">
        <f>HYPERLINK("https://www.chemistwarehouse.com.au/buy/79875/KMS-Hairplay-Clay-Creme-125ml-Online-Only"," KMS Hairplay Clay Creme 125ml Online Only")</f>
        <v xml:space="preserve"> KMS Hairplay Clay Creme 125ml Online Only</v>
      </c>
      <c r="C8900" t="s">
        <v>123</v>
      </c>
      <c r="D8900" t="s">
        <v>155</v>
      </c>
    </row>
    <row r="8901" spans="2:4" x14ac:dyDescent="0.25">
      <c r="B8901" t="str">
        <f>HYPERLINK("https://www.chemistwarehouse.com.au/buy/79876/KMS-Hairplay-Dry-Touch-Up-125ml-Online-Only"," KMS Hairplay Dry Touch Up 125ml Online Only")</f>
        <v xml:space="preserve"> KMS Hairplay Dry Touch Up 125ml Online Only</v>
      </c>
      <c r="C8901" t="s">
        <v>8</v>
      </c>
      <c r="D8901" t="s">
        <v>159</v>
      </c>
    </row>
    <row r="8902" spans="2:4" x14ac:dyDescent="0.25">
      <c r="B8902" t="str">
        <f>HYPERLINK("https://www.chemistwarehouse.com.au/buy/79877/KMS-Hairplay-Dry-Wax-150ml-Online-Only"," KMS Hairplay Dry Wax 150ml Online Only")</f>
        <v xml:space="preserve"> KMS Hairplay Dry Wax 150ml Online Only</v>
      </c>
      <c r="C8902" t="s">
        <v>123</v>
      </c>
      <c r="D8902" t="s">
        <v>155</v>
      </c>
    </row>
    <row r="8903" spans="2:4" x14ac:dyDescent="0.25">
      <c r="B8903" t="str">
        <f>HYPERLINK("https://www.chemistwarehouse.com.au/buy/79878/KMS-Hairplay-Gel-Wax-100ml-Online-Only"," KMS Hairplay Gel Wax 100ml Online Only")</f>
        <v xml:space="preserve"> KMS Hairplay Gel Wax 100ml Online Only</v>
      </c>
      <c r="C8903" t="s">
        <v>173</v>
      </c>
      <c r="D8903" t="s">
        <v>157</v>
      </c>
    </row>
    <row r="8904" spans="2:4" x14ac:dyDescent="0.25">
      <c r="B8904" t="str">
        <f>HYPERLINK("https://www.chemistwarehouse.com.au/buy/79879/KMS-Hairplay-Makeover-Spray-250ml-Online-Only"," KMS Hairplay Makeover Spray 250ml Online Only")</f>
        <v xml:space="preserve"> KMS Hairplay Makeover Spray 250ml Online Only</v>
      </c>
      <c r="C8904" t="s">
        <v>161</v>
      </c>
      <c r="D8904" t="s">
        <v>157</v>
      </c>
    </row>
    <row r="8905" spans="2:4" x14ac:dyDescent="0.25">
      <c r="B8905" t="str">
        <f>HYPERLINK("https://www.chemistwarehouse.com.au/buy/79880/KMS-Hairplay-Playable-Texture-200ml-Online-Only"," KMS Hairplay Playable Texture 200ml Online Only")</f>
        <v xml:space="preserve"> KMS Hairplay Playable Texture 200ml Online Only</v>
      </c>
      <c r="C8905" t="s">
        <v>123</v>
      </c>
      <c r="D8905" t="s">
        <v>155</v>
      </c>
    </row>
    <row r="8906" spans="2:4" x14ac:dyDescent="0.25">
      <c r="B8906" t="str">
        <f>HYPERLINK("https://www.chemistwarehouse.com.au/buy/79881/KMS-Hairplay-Sea-Salt-Spray-200ml-Online-Only"," KMS Hairplay Sea Salt Spray 200ml Online Only")</f>
        <v xml:space="preserve"> KMS Hairplay Sea Salt Spray 200ml Online Only</v>
      </c>
      <c r="C8906" t="s">
        <v>123</v>
      </c>
      <c r="D8906" t="s">
        <v>155</v>
      </c>
    </row>
    <row r="8907" spans="2:4" x14ac:dyDescent="0.25">
      <c r="B8907" t="str">
        <f>HYPERLINK("https://www.chemistwarehouse.com.au/buy/79882/KMS-Moisture-Repair-Conditioner-250ml-Online-Only"," KMS Moisture Repair Conditioner 250ml Online Only")</f>
        <v xml:space="preserve"> KMS Moisture Repair Conditioner 250ml Online Only</v>
      </c>
      <c r="C8907" t="s">
        <v>161</v>
      </c>
      <c r="D8907" t="s">
        <v>157</v>
      </c>
    </row>
    <row r="8908" spans="2:4" x14ac:dyDescent="0.25">
      <c r="B8908" t="str">
        <f>HYPERLINK("https://www.chemistwarehouse.com.au/buy/79884/KMS-Moisture-Repair-Shampoo-300ml-Online-Only"," KMS Moisture Repair Shampoo 300ml Online Only")</f>
        <v xml:space="preserve"> KMS Moisture Repair Shampoo 300ml Online Only</v>
      </c>
      <c r="C8908" t="s">
        <v>161</v>
      </c>
      <c r="D8908" t="s">
        <v>157</v>
      </c>
    </row>
    <row r="8909" spans="2:4" x14ac:dyDescent="0.25">
      <c r="B8909" t="str">
        <f>HYPERLINK("https://www.chemistwarehouse.com.au/buy/79885/KMS-Moisture-Repair-Therapy-Treatment-125ml-Online-Only"," KMS Moisture Repair Therapy Treatment 125ml Online Only")</f>
        <v xml:space="preserve"> KMS Moisture Repair Therapy Treatment 125ml Online Only</v>
      </c>
      <c r="C8909" t="s">
        <v>10</v>
      </c>
      <c r="D8909" t="s">
        <v>155</v>
      </c>
    </row>
    <row r="8910" spans="2:4" x14ac:dyDescent="0.25">
      <c r="B8910" t="str">
        <f>HYPERLINK("https://www.chemistwarehouse.com.au/buy/79886/KMS-Silk-Sheen-Conditioner-250ml-Online-Only"," KMS Silk Sheen Conditioner 250ml Online Only")</f>
        <v xml:space="preserve"> KMS Silk Sheen Conditioner 250ml Online Only</v>
      </c>
      <c r="C8910" t="s">
        <v>161</v>
      </c>
      <c r="D8910" t="s">
        <v>157</v>
      </c>
    </row>
    <row r="8911" spans="2:4" x14ac:dyDescent="0.25">
      <c r="B8911" t="str">
        <f>HYPERLINK("https://www.chemistwarehouse.com.au/buy/79887/KMS-Silk-Sheen-Leave-In-Conditioner-150ml-Online-Only"," KMS Silk Sheen Leave In Conditioner 150ml Online Only")</f>
        <v xml:space="preserve"> KMS Silk Sheen Leave In Conditioner 150ml Online Only</v>
      </c>
      <c r="C8911" t="s">
        <v>161</v>
      </c>
      <c r="D8911" t="s">
        <v>157</v>
      </c>
    </row>
    <row r="8912" spans="2:4" x14ac:dyDescent="0.25">
      <c r="B8912" t="str">
        <f>HYPERLINK("https://www.chemistwarehouse.com.au/buy/79888/KMS-Silk-Sheen-Shampoo-300ml-Online-Only"," KMS Silk Sheen Shampoo 300ml Online Only")</f>
        <v xml:space="preserve"> KMS Silk Sheen Shampoo 300ml Online Only</v>
      </c>
      <c r="C8912" t="s">
        <v>161</v>
      </c>
      <c r="D8912" t="s">
        <v>157</v>
      </c>
    </row>
    <row r="8913" spans="1:4" x14ac:dyDescent="0.25">
      <c r="B8913" t="str">
        <f>HYPERLINK("https://www.chemistwarehouse.com.au/buy/79866/KMS-Add-Volume-Body-Build-Detangler-150ml-Online-Only"," KMS Add Volume Body Build Detangler 150ml Online Only")</f>
        <v xml:space="preserve"> KMS Add Volume Body Build Detangler 150ml Online Only</v>
      </c>
      <c r="C8913" t="s">
        <v>1</v>
      </c>
      <c r="D8913" t="s">
        <v>343</v>
      </c>
    </row>
    <row r="8914" spans="1:4" x14ac:dyDescent="0.25">
      <c r="B8914" t="str">
        <f>HYPERLINK("https://www.chemistwarehouse.com.au/buy/79867/KMS-Add-Volume-Shampoo-300ml-Online-Only"," KMS Add Volume Shampoo 300ml Online Only")</f>
        <v xml:space="preserve"> KMS Add Volume Shampoo 300ml Online Only</v>
      </c>
      <c r="C8914" t="s">
        <v>161</v>
      </c>
      <c r="D8914" t="s">
        <v>157</v>
      </c>
    </row>
    <row r="8915" spans="1:4" x14ac:dyDescent="0.25">
      <c r="B8915" t="str">
        <f>HYPERLINK("https://www.chemistwarehouse.com.au/buy/79868/KMS-Color-Vitality-Blonde-Shampoo-300ml-Online-Only"," KMS Color Vitality Blonde Shampoo 300ml Online Only")</f>
        <v xml:space="preserve"> KMS Color Vitality Blonde Shampoo 300ml Online Only</v>
      </c>
      <c r="C8915" t="s">
        <v>161</v>
      </c>
      <c r="D8915" t="s">
        <v>157</v>
      </c>
    </row>
    <row r="8916" spans="1:4" x14ac:dyDescent="0.25">
      <c r="B8916" t="str">
        <f>HYPERLINK("https://www.chemistwarehouse.com.au/buy/79883/KMS-Moisture-Repair-Leave-In-Conditioner-150ml-Online-Only"," KMS Moisture Repair Leave In Conditioner 150ml Online Only")</f>
        <v xml:space="preserve"> KMS Moisture Repair Leave In Conditioner 150ml Online Only</v>
      </c>
      <c r="C8916" t="s">
        <v>10</v>
      </c>
      <c r="D8916" t="s">
        <v>155</v>
      </c>
    </row>
    <row r="8917" spans="1:4" x14ac:dyDescent="0.25">
      <c r="A8917" t="s">
        <v>1939</v>
      </c>
    </row>
    <row r="8918" spans="1:4" x14ac:dyDescent="0.25">
      <c r="B8918" t="str">
        <f>HYPERLINK("https://www.chemistwarehouse.com.au/buy/79892/Matrix-Biolage-Hydra-Source-Detangling-Solution-400ml-Online-Only"," Matrix Biolage Hydra Source Detangling Solution 400ml Online Only")</f>
        <v xml:space="preserve"> Matrix Biolage Hydra Source Detangling Solution 400ml Online Only</v>
      </c>
      <c r="C8918" t="s">
        <v>125</v>
      </c>
      <c r="D8918" t="s">
        <v>500</v>
      </c>
    </row>
    <row r="8919" spans="1:4" x14ac:dyDescent="0.25">
      <c r="B8919" t="str">
        <f>HYPERLINK("https://www.chemistwarehouse.com.au/buy/79893/Matrix-Biolage-Hydra-Source-Mask-150ml-Online-Only"," Matrix Biolage Hydra Source Mask 150ml Online Only")</f>
        <v xml:space="preserve"> Matrix Biolage Hydra Source Mask 150ml Online Only</v>
      </c>
      <c r="C8919" t="s">
        <v>125</v>
      </c>
      <c r="D8919" t="s">
        <v>500</v>
      </c>
    </row>
    <row r="8920" spans="1:4" x14ac:dyDescent="0.25">
      <c r="B8920" t="str">
        <f>HYPERLINK("https://www.chemistwarehouse.com.au/buy/79894/Matrix-Biolage-Hydra-Source-Shampoo-400ml-Online-Only"," Matrix Biolage Hydra Source Shampoo 400ml Online Only")</f>
        <v xml:space="preserve"> Matrix Biolage Hydra Source Shampoo 400ml Online Only</v>
      </c>
      <c r="C8920" t="s">
        <v>125</v>
      </c>
      <c r="D8920" t="s">
        <v>500</v>
      </c>
    </row>
    <row r="8921" spans="1:4" x14ac:dyDescent="0.25">
      <c r="B8921" t="str">
        <f>HYPERLINK("https://www.chemistwarehouse.com.au/buy/79895/Matrix-Biolage-Keratin-Dose-Conditioner-400ml-Online-Only"," Matrix Biolage Keratin Dose Conditioner 400ml Online Only")</f>
        <v xml:space="preserve"> Matrix Biolage Keratin Dose Conditioner 400ml Online Only</v>
      </c>
      <c r="C8921" t="s">
        <v>316</v>
      </c>
      <c r="D8921" t="s">
        <v>923</v>
      </c>
    </row>
    <row r="8922" spans="1:4" x14ac:dyDescent="0.25">
      <c r="B8922" t="str">
        <f>HYPERLINK("https://www.chemistwarehouse.com.au/buy/79896/Matrix-Biolage-Keratin-Dose-Shampoo-400ml-Online-Only"," Matrix Biolage Keratin Dose Shampoo 400ml Online Only")</f>
        <v xml:space="preserve"> Matrix Biolage Keratin Dose Shampoo 400ml Online Only</v>
      </c>
      <c r="C8922" t="s">
        <v>316</v>
      </c>
      <c r="D8922" t="s">
        <v>923</v>
      </c>
    </row>
    <row r="8923" spans="1:4" x14ac:dyDescent="0.25">
      <c r="B8923" t="str">
        <f>HYPERLINK("https://www.chemistwarehouse.com.au/buy/79897/Matrix-Biolage-Smoothproof-Conditioner-400ml-Online-Only"," Matrix Biolage Smoothproof Conditioner 400ml Online Only")</f>
        <v xml:space="preserve"> Matrix Biolage Smoothproof Conditioner 400ml Online Only</v>
      </c>
      <c r="C8923" t="s">
        <v>125</v>
      </c>
      <c r="D8923" t="s">
        <v>500</v>
      </c>
    </row>
    <row r="8924" spans="1:4" x14ac:dyDescent="0.25">
      <c r="B8924" t="str">
        <f>HYPERLINK("https://www.chemistwarehouse.com.au/buy/79898/Matrix-Biolage-Smoothproof-Mask-150ml-Online-Only"," Matrix Biolage Smoothproof Mask 150ml Online Only")</f>
        <v xml:space="preserve"> Matrix Biolage Smoothproof Mask 150ml Online Only</v>
      </c>
      <c r="C8924" t="s">
        <v>125</v>
      </c>
      <c r="D8924" t="s">
        <v>500</v>
      </c>
    </row>
    <row r="8925" spans="1:4" x14ac:dyDescent="0.25">
      <c r="B8925" t="str">
        <f>HYPERLINK("https://www.chemistwarehouse.com.au/buy/79899/Matrix-Biolage-Smoothproof-Shampoo-400ml-Online-Only"," Matrix Biolage Smoothproof Shampoo 400ml Online Only")</f>
        <v xml:space="preserve"> Matrix Biolage Smoothproof Shampoo 400ml Online Only</v>
      </c>
      <c r="C8925" t="s">
        <v>125</v>
      </c>
      <c r="D8925" t="s">
        <v>500</v>
      </c>
    </row>
    <row r="8926" spans="1:4" x14ac:dyDescent="0.25">
      <c r="B8926" t="str">
        <f>HYPERLINK("https://www.chemistwarehouse.com.au/buy/79900/Matrix-Biolage-Volume-Bloom-Conditioner-400ml-Online-Only"," Matrix Biolage Volume Bloom Conditioner 400ml Online Only")</f>
        <v xml:space="preserve"> Matrix Biolage Volume Bloom Conditioner 400ml Online Only</v>
      </c>
      <c r="C8926" t="s">
        <v>125</v>
      </c>
      <c r="D8926" t="s">
        <v>500</v>
      </c>
    </row>
    <row r="8927" spans="1:4" x14ac:dyDescent="0.25">
      <c r="B8927" t="str">
        <f>HYPERLINK("https://www.chemistwarehouse.com.au/buy/79889/Matrix-Biolage-Color-Last-Conditioner-400ml-Online-Only"," Matrix Biolage Color Last Conditioner 400ml Online Only")</f>
        <v xml:space="preserve"> Matrix Biolage Color Last Conditioner 400ml Online Only</v>
      </c>
      <c r="C8927" t="s">
        <v>125</v>
      </c>
      <c r="D8927" t="s">
        <v>500</v>
      </c>
    </row>
    <row r="8928" spans="1:4" x14ac:dyDescent="0.25">
      <c r="B8928" t="str">
        <f>HYPERLINK("https://www.chemistwarehouse.com.au/buy/79890/Matrix-Biolage-Color-Last-Shampoo-400ml-Online-Only"," Matrix Biolage Color Last Shampoo 400ml Online Only")</f>
        <v xml:space="preserve"> Matrix Biolage Color Last Shampoo 400ml Online Only</v>
      </c>
      <c r="C8928" t="s">
        <v>125</v>
      </c>
      <c r="D8928" t="s">
        <v>500</v>
      </c>
    </row>
    <row r="8929" spans="1:4" x14ac:dyDescent="0.25">
      <c r="B8929" t="str">
        <f>HYPERLINK("https://www.chemistwarehouse.com.au/buy/79891/Matrix-Biolage-Hydra-Source-Conditioner-280ml-Online-Only"," Matrix Biolage Hydra Source Conditioner 280ml Online Only")</f>
        <v xml:space="preserve"> Matrix Biolage Hydra Source Conditioner 280ml Online Only</v>
      </c>
      <c r="C8929" t="s">
        <v>1</v>
      </c>
      <c r="D8929" t="s">
        <v>1940</v>
      </c>
    </row>
    <row r="8930" spans="1:4" x14ac:dyDescent="0.25">
      <c r="A8930" t="s">
        <v>1941</v>
      </c>
    </row>
    <row r="8931" spans="1:4" x14ac:dyDescent="0.25">
      <c r="B8931" t="str">
        <f>HYPERLINK("https://www.chemistwarehouse.com.au/buy/79913/Moroccanoil-Smoothing-Shampoo-250ml-Online-Only"," Moroccanoil Smoothing Shampoo 250ml Online Only")</f>
        <v xml:space="preserve"> Moroccanoil Smoothing Shampoo 250ml Online Only</v>
      </c>
      <c r="C8931" t="s">
        <v>166</v>
      </c>
      <c r="D8931" t="s">
        <v>93</v>
      </c>
    </row>
    <row r="8932" spans="1:4" x14ac:dyDescent="0.25">
      <c r="B8932" t="str">
        <f>HYPERLINK("https://www.chemistwarehouse.com.au/buy/79910/Moroccanoil-Smoothing-Conditioner-250ml-Online-Only"," Moroccanoil Smoothing Conditioner 250ml Online Only")</f>
        <v xml:space="preserve"> Moroccanoil Smoothing Conditioner 250ml Online Only</v>
      </c>
      <c r="C8932" t="s">
        <v>166</v>
      </c>
      <c r="D8932" t="s">
        <v>93</v>
      </c>
    </row>
    <row r="8933" spans="1:4" x14ac:dyDescent="0.25">
      <c r="B8933" t="str">
        <f>HYPERLINK("https://www.chemistwarehouse.com.au/buy/79911/Moroccanoil-Smoothing-Lotion-300ml-Online-Only"," Moroccanoil Smoothing Lotion 300ml Online Only")</f>
        <v xml:space="preserve"> Moroccanoil Smoothing Lotion 300ml Online Only</v>
      </c>
      <c r="C8933" t="s">
        <v>168</v>
      </c>
      <c r="D8933" t="s">
        <v>159</v>
      </c>
    </row>
    <row r="8934" spans="1:4" x14ac:dyDescent="0.25">
      <c r="B8934" t="str">
        <f>HYPERLINK("https://www.chemistwarehouse.com.au/buy/79912/Moroccanoil-Smoothing-Mask-250ml-Online-Only"," Moroccanoil Smoothing Mask 250ml Online Only")</f>
        <v xml:space="preserve"> Moroccanoil Smoothing Mask 250ml Online Only</v>
      </c>
      <c r="C8934" t="s">
        <v>288</v>
      </c>
      <c r="D8934" t="s">
        <v>1933</v>
      </c>
    </row>
    <row r="8935" spans="1:4" x14ac:dyDescent="0.25">
      <c r="B8935" t="str">
        <f>HYPERLINK("https://www.chemistwarehouse.com.au/buy/79902/Moroccanoil-Hydrating-Conditioner-250ml-Online-Only"," Moroccanoil Hydrating Conditioner 250ml Online Only")</f>
        <v xml:space="preserve"> Moroccanoil Hydrating Conditioner 250ml Online Only</v>
      </c>
      <c r="C8935" t="s">
        <v>924</v>
      </c>
      <c r="D8935" t="s">
        <v>149</v>
      </c>
    </row>
    <row r="8936" spans="1:4" x14ac:dyDescent="0.25">
      <c r="B8936" t="str">
        <f>HYPERLINK("https://www.chemistwarehouse.com.au/buy/79903/Moroccanoil-Hydrating-Shampoo-250ml-Online-Only"," Moroccanoil Hydrating Shampoo 250ml Online Only")</f>
        <v xml:space="preserve"> Moroccanoil Hydrating Shampoo 250ml Online Only</v>
      </c>
      <c r="C8936" t="s">
        <v>924</v>
      </c>
      <c r="D8936" t="s">
        <v>149</v>
      </c>
    </row>
    <row r="8937" spans="1:4" x14ac:dyDescent="0.25">
      <c r="B8937" t="str">
        <f>HYPERLINK("https://www.chemistwarehouse.com.au/buy/79904/Moroccanoil-Hydrating-Styling-Cream-300ml-Online-Only"," Moroccanoil Hydrating Styling Cream 300ml Online Only")</f>
        <v xml:space="preserve"> Moroccanoil Hydrating Styling Cream 300ml Online Only</v>
      </c>
      <c r="C8937" t="s">
        <v>243</v>
      </c>
      <c r="D8937" t="s">
        <v>615</v>
      </c>
    </row>
    <row r="8938" spans="1:4" x14ac:dyDescent="0.25">
      <c r="B8938" t="str">
        <f>HYPERLINK("https://www.chemistwarehouse.com.au/buy/79905/Moroccanoil-Intense-Hydrating-Mask-250ml-Online-Only"," Moroccanoil Intense Hydrating Mask 250ml Online Only")</f>
        <v xml:space="preserve"> Moroccanoil Intense Hydrating Mask 250ml Online Only</v>
      </c>
      <c r="C8938" t="s">
        <v>1942</v>
      </c>
      <c r="D8938" t="s">
        <v>159</v>
      </c>
    </row>
    <row r="8939" spans="1:4" x14ac:dyDescent="0.25">
      <c r="B8939" t="str">
        <f>HYPERLINK("https://www.chemistwarehouse.com.au/buy/79906/Moroccanoil-Light-Oil-Treatment-100ml-Online-Only"," Moroccanoil Light Oil Treatment 100ml Online Only")</f>
        <v xml:space="preserve"> Moroccanoil Light Oil Treatment 100ml Online Only</v>
      </c>
      <c r="C8939" t="s">
        <v>1943</v>
      </c>
      <c r="D8939" t="s">
        <v>1346</v>
      </c>
    </row>
    <row r="8940" spans="1:4" x14ac:dyDescent="0.25">
      <c r="B8940" t="str">
        <f>HYPERLINK("https://www.chemistwarehouse.com.au/buy/79908/Moroccanoil-Original-Oil-Treatment-25ml-Online-Only"," Moroccanoil Original Oil Treatment 25ml Online Only")</f>
        <v xml:space="preserve"> Moroccanoil Original Oil Treatment 25ml Online Only</v>
      </c>
      <c r="C8940" t="s">
        <v>448</v>
      </c>
      <c r="D8940" t="s">
        <v>1944</v>
      </c>
    </row>
    <row r="8941" spans="1:4" x14ac:dyDescent="0.25">
      <c r="B8941" t="str">
        <f>HYPERLINK("https://www.chemistwarehouse.com.au/buy/79909/Moroccanoil-Restorative-Hair-Mask-250ml-Online-Only"," Moroccanoil Restorative Hair Mask 250ml Online Only")</f>
        <v xml:space="preserve"> Moroccanoil Restorative Hair Mask 250ml Online Only</v>
      </c>
      <c r="C8941" t="s">
        <v>1942</v>
      </c>
      <c r="D8941" t="s">
        <v>159</v>
      </c>
    </row>
    <row r="8942" spans="1:4" x14ac:dyDescent="0.25">
      <c r="A8942" t="s">
        <v>1945</v>
      </c>
    </row>
    <row r="8943" spans="1:4" x14ac:dyDescent="0.25">
      <c r="B8943" t="str">
        <f>HYPERLINK("https://www.chemistwarehouse.com.au/buy/79914/Nioxin-System-2-Online-Only"," Nioxin System 2 Online Only")</f>
        <v xml:space="preserve"> Nioxin System 2 Online Only</v>
      </c>
      <c r="C8943" t="s">
        <v>1946</v>
      </c>
      <c r="D8943" t="s">
        <v>1947</v>
      </c>
    </row>
    <row r="8944" spans="1:4" x14ac:dyDescent="0.25">
      <c r="B8944" t="str">
        <f>HYPERLINK("https://www.chemistwarehouse.com.au/buy/79915/Nioxin-System-4-Online-Only"," Nioxin System 4 Online Only")</f>
        <v xml:space="preserve"> Nioxin System 4 Online Only</v>
      </c>
      <c r="C8944" t="s">
        <v>1946</v>
      </c>
      <c r="D8944" t="s">
        <v>1947</v>
      </c>
    </row>
    <row r="8945" spans="1:4" x14ac:dyDescent="0.25">
      <c r="A8945" t="s">
        <v>1948</v>
      </c>
    </row>
    <row r="8946" spans="1:4" x14ac:dyDescent="0.25">
      <c r="B8946" t="str">
        <f>HYPERLINK("https://www.chemistwarehouse.com.au/buy/63513/Schwarzkopf-Silhouette-Lacquer-Super-Hold-500g"," Schwarzkopf Silhouette Lacquer Super Hold 500g")</f>
        <v xml:space="preserve"> Schwarzkopf Silhouette Lacquer Super Hold 500g</v>
      </c>
      <c r="C8946" t="s">
        <v>32</v>
      </c>
      <c r="D8946" t="s">
        <v>1280</v>
      </c>
    </row>
    <row r="8947" spans="1:4" x14ac:dyDescent="0.25">
      <c r="B8947" t="str">
        <f>HYPERLINK("https://www.chemistwarehouse.com.au/buy/72313/Schwarzkopf-Silhouette-Lacquer-Super-Hold-100g"," Schwarzkopf Silhouette Lacquer Super Hold 100g")</f>
        <v xml:space="preserve"> Schwarzkopf Silhouette Lacquer Super Hold 100g</v>
      </c>
      <c r="C8947" t="s">
        <v>162</v>
      </c>
      <c r="D8947" t="s">
        <v>482</v>
      </c>
    </row>
    <row r="8948" spans="1:4" x14ac:dyDescent="0.25">
      <c r="B8948" t="str">
        <f>HYPERLINK("https://www.chemistwarehouse.com.au/buy/74567/Schwarzkopf-Silhouette-Lacquer-Flexible-Hold-400g"," Schwarzkopf Silhouette Lacquer Flexible Hold 400g ")</f>
        <v xml:space="preserve"> Schwarzkopf Silhouette Lacquer Flexible Hold 400g </v>
      </c>
      <c r="C8948" t="s">
        <v>32</v>
      </c>
      <c r="D8948" t="s">
        <v>160</v>
      </c>
    </row>
    <row r="8949" spans="1:4" x14ac:dyDescent="0.25">
      <c r="B8949" t="str">
        <f>HYPERLINK("https://www.chemistwarehouse.com.au/buy/79916/Schwarzkopf-Bonacure-Colour-Freeze-CC-Control-Cream-150ml-Online-Only"," Schwarzkopf Bonacure Colour Freeze CC Control Cream 150ml Online Only")</f>
        <v xml:space="preserve"> Schwarzkopf Bonacure Colour Freeze CC Control Cream 150ml Online Only</v>
      </c>
      <c r="C8949" t="s">
        <v>58</v>
      </c>
      <c r="D8949" t="s">
        <v>159</v>
      </c>
    </row>
    <row r="8950" spans="1:4" x14ac:dyDescent="0.25">
      <c r="B8950" t="str">
        <f>HYPERLINK("https://www.chemistwarehouse.com.au/buy/79917/Schwarzkopf-Bonacure-Colour-Freeze-Conditioner-200ml-Online-Only"," Schwarzkopf Bonacure Colour Freeze Conditioner 200ml Online Only")</f>
        <v xml:space="preserve"> Schwarzkopf Bonacure Colour Freeze Conditioner 200ml Online Only</v>
      </c>
      <c r="C8950" t="s">
        <v>1</v>
      </c>
      <c r="D8950" t="s">
        <v>155</v>
      </c>
    </row>
    <row r="8951" spans="1:4" x14ac:dyDescent="0.25">
      <c r="B8951" t="str">
        <f>HYPERLINK("https://www.chemistwarehouse.com.au/buy/79918/Schwarzkopf-Bonacure-Colour-Freeze-Rich-Shampoo-250ml-Online-Only"," Schwarzkopf Bonacure Colour Freeze Rich Shampoo 250ml Online Only")</f>
        <v xml:space="preserve"> Schwarzkopf Bonacure Colour Freeze Rich Shampoo 250ml Online Only</v>
      </c>
      <c r="C8951" t="s">
        <v>1</v>
      </c>
      <c r="D8951" t="s">
        <v>155</v>
      </c>
    </row>
    <row r="8952" spans="1:4" x14ac:dyDescent="0.25">
      <c r="B8952" t="str">
        <f>HYPERLINK("https://www.chemistwarehouse.com.au/buy/79919/Schwarzkopf-Bonacure-Colour-Freeze-Silver-Shampoo-250ml-Online-Only"," Schwarzkopf Bonacure Colour Freeze Silver Shampoo 250ml Online Only")</f>
        <v xml:space="preserve"> Schwarzkopf Bonacure Colour Freeze Silver Shampoo 250ml Online Only</v>
      </c>
      <c r="C8952" t="s">
        <v>1</v>
      </c>
      <c r="D8952" t="s">
        <v>155</v>
      </c>
    </row>
    <row r="8953" spans="1:4" x14ac:dyDescent="0.25">
      <c r="B8953" t="str">
        <f>HYPERLINK("https://www.chemistwarehouse.com.au/buy/79920/Schwarzkopf-Bonacure-Colour-Freeze-Treatment-200ml-Online-Only"," Schwarzkopf Bonacure Colour Freeze Treatment 200ml Online Only")</f>
        <v xml:space="preserve"> Schwarzkopf Bonacure Colour Freeze Treatment 200ml Online Only</v>
      </c>
      <c r="C8953" t="s">
        <v>58</v>
      </c>
      <c r="D8953" t="s">
        <v>159</v>
      </c>
    </row>
    <row r="8954" spans="1:4" x14ac:dyDescent="0.25">
      <c r="B8954" t="str">
        <f>HYPERLINK("https://www.chemistwarehouse.com.au/buy/79921/Schwarzkopf-Bonacure-Moisture-Kick-Beauty-Balm-150ml-Online-Only"," Schwarzkopf Bonacure Moisture Kick Beauty Balm 150ml Online Only")</f>
        <v xml:space="preserve"> Schwarzkopf Bonacure Moisture Kick Beauty Balm 150ml Online Only</v>
      </c>
      <c r="C8954" t="s">
        <v>58</v>
      </c>
      <c r="D8954" t="s">
        <v>159</v>
      </c>
    </row>
    <row r="8955" spans="1:4" x14ac:dyDescent="0.25">
      <c r="B8955" t="str">
        <f>HYPERLINK("https://www.chemistwarehouse.com.au/buy/79922/Schwarzkopf-Bonacure-Moisture-Kick-Shampoo-250ml-Online-Only"," Schwarzkopf Bonacure Moisture Kick Shampoo 250ml Online Only")</f>
        <v xml:space="preserve"> Schwarzkopf Bonacure Moisture Kick Shampoo 250ml Online Only</v>
      </c>
      <c r="C8955" t="s">
        <v>58</v>
      </c>
      <c r="D8955" t="s">
        <v>159</v>
      </c>
    </row>
    <row r="8956" spans="1:4" x14ac:dyDescent="0.25">
      <c r="B8956" t="str">
        <f>HYPERLINK("https://www.chemistwarehouse.com.au/buy/79923/Schwarzkopf-Bonacure-Moisture-Kick-Treatment-200ml-Online-Only"," Schwarzkopf Bonacure Moisture Kick Treatment 200ml Online Only")</f>
        <v xml:space="preserve"> Schwarzkopf Bonacure Moisture Kick Treatment 200ml Online Only</v>
      </c>
      <c r="C8956" t="s">
        <v>58</v>
      </c>
      <c r="D8956" t="s">
        <v>159</v>
      </c>
    </row>
    <row r="8957" spans="1:4" x14ac:dyDescent="0.25">
      <c r="B8957" t="str">
        <f>HYPERLINK("https://www.chemistwarehouse.com.au/buy/79924/Schwarzkopf-Bonacure-Repair-Rescue-Conditioner-200ml-Online-Only"," Schwarzkopf Bonacure Repair Rescue Conditioner 200ml Online Only")</f>
        <v xml:space="preserve"> Schwarzkopf Bonacure Repair Rescue Conditioner 200ml Online Only</v>
      </c>
      <c r="C8957" t="s">
        <v>1</v>
      </c>
      <c r="D8957" t="s">
        <v>155</v>
      </c>
    </row>
    <row r="8958" spans="1:4" x14ac:dyDescent="0.25">
      <c r="B8958" t="str">
        <f>HYPERLINK("https://www.chemistwarehouse.com.au/buy/79925/Schwarzkopf-Bonacure-Repair-Rescue-Shampoo-250ml-Online-Only"," Schwarzkopf Bonacure Repair Rescue Shampoo 250ml Online Only")</f>
        <v xml:space="preserve"> Schwarzkopf Bonacure Repair Rescue Shampoo 250ml Online Only</v>
      </c>
      <c r="C8958" t="s">
        <v>1</v>
      </c>
      <c r="D8958" t="s">
        <v>155</v>
      </c>
    </row>
    <row r="8959" spans="1:4" x14ac:dyDescent="0.25">
      <c r="B8959" t="str">
        <f>HYPERLINK("https://www.chemistwarehouse.com.au/buy/79926/Schwarzkopf-Bonacure-Smooth-Perfect-Conditioner-200ml-Online-Only"," Schwarzkopf Bonacure Smooth Perfect Conditioner 200ml Online Only")</f>
        <v xml:space="preserve"> Schwarzkopf Bonacure Smooth Perfect Conditioner 200ml Online Only</v>
      </c>
      <c r="C8959" t="s">
        <v>58</v>
      </c>
      <c r="D8959" t="s">
        <v>159</v>
      </c>
    </row>
    <row r="8960" spans="1:4" x14ac:dyDescent="0.25">
      <c r="B8960" t="str">
        <f>HYPERLINK("https://www.chemistwarehouse.com.au/buy/79927/Schwarzkopf-Bonacure-Smooth-Perfect-Shampoo-250ml-Online-Only"," Schwarzkopf Bonacure Smooth Perfect Shampoo 250ml Online Only")</f>
        <v xml:space="preserve"> Schwarzkopf Bonacure Smooth Perfect Shampoo 250ml Online Only</v>
      </c>
      <c r="C8960" t="s">
        <v>58</v>
      </c>
      <c r="D8960" t="s">
        <v>159</v>
      </c>
    </row>
    <row r="8961" spans="1:4" x14ac:dyDescent="0.25">
      <c r="B8961" t="str">
        <f>HYPERLINK("https://www.chemistwarehouse.com.au/buy/79928/Schwarzkopf-Bonacure-Smooth-Perfect-Treatment-150ml-Online-Only"," Schwarzkopf Bonacure Smooth Perfect Treatment  150ml Online Only")</f>
        <v xml:space="preserve"> Schwarzkopf Bonacure Smooth Perfect Treatment  150ml Online Only</v>
      </c>
      <c r="C8961" t="s">
        <v>58</v>
      </c>
      <c r="D8961" t="s">
        <v>159</v>
      </c>
    </row>
    <row r="8962" spans="1:4" x14ac:dyDescent="0.25">
      <c r="B8962" t="str">
        <f>HYPERLINK("https://www.chemistwarehouse.com.au/buy/79930/Schwarzkopf-Osis-Dust-It-10g-Online-Only"," Schwarzkopf Osis+ Dust It 10g Online Only")</f>
        <v xml:space="preserve"> Schwarzkopf Osis+ Dust It 10g Online Only</v>
      </c>
      <c r="C8962" t="s">
        <v>161</v>
      </c>
      <c r="D8962" t="s">
        <v>157</v>
      </c>
    </row>
    <row r="8963" spans="1:4" x14ac:dyDescent="0.25">
      <c r="B8963" t="str">
        <f>HYPERLINK("https://www.chemistwarehouse.com.au/buy/79931/Schwarzkopf-Osis-Elastic-300ml-Online-Only"," Schwarzkopf Osis+ Elastic 300ml Online Only")</f>
        <v xml:space="preserve"> Schwarzkopf Osis+ Elastic 300ml Online Only</v>
      </c>
      <c r="C8963" t="s">
        <v>1</v>
      </c>
      <c r="D8963" t="s">
        <v>157</v>
      </c>
    </row>
    <row r="8964" spans="1:4" x14ac:dyDescent="0.25">
      <c r="B8964" t="str">
        <f>HYPERLINK("https://www.chemistwarehouse.com.au/buy/79932/Schwarzkopf-Osis-Flatliner-200ml-Online-Only"," Schwarzkopf Osis+ Flatliner 200ml Online Only")</f>
        <v xml:space="preserve"> Schwarzkopf Osis+ Flatliner 200ml Online Only</v>
      </c>
      <c r="C8964" t="s">
        <v>61</v>
      </c>
      <c r="D8964" t="s">
        <v>343</v>
      </c>
    </row>
    <row r="8965" spans="1:4" x14ac:dyDescent="0.25">
      <c r="B8965" t="str">
        <f>HYPERLINK("https://www.chemistwarehouse.com.au/buy/79933/Schwarzkopf-Osis-Flex-Wax-50ml-Online-Only"," Schwarzkopf Osis+ Flex Wax 50ml Online Only")</f>
        <v xml:space="preserve"> Schwarzkopf Osis+ Flex Wax 50ml Online Only</v>
      </c>
      <c r="C8965" t="s">
        <v>161</v>
      </c>
      <c r="D8965" t="s">
        <v>157</v>
      </c>
    </row>
    <row r="8966" spans="1:4" x14ac:dyDescent="0.25">
      <c r="B8966" t="str">
        <f>HYPERLINK("https://www.chemistwarehouse.com.au/buy/79934/Schwarzkopf-Osis-Gelastic-100ml-Online-Only"," Schwarzkopf Osis+ Gelastic 100ml Online Only")</f>
        <v xml:space="preserve"> Schwarzkopf Osis+ Gelastic 100ml Online Only</v>
      </c>
      <c r="C8966" t="s">
        <v>61</v>
      </c>
      <c r="D8966" t="s">
        <v>343</v>
      </c>
    </row>
    <row r="8967" spans="1:4" x14ac:dyDescent="0.25">
      <c r="B8967" t="str">
        <f>HYPERLINK("https://www.chemistwarehouse.com.au/buy/79935/Schwarzkopf-Osis-Grip-200ml-Online-Only"," Schwarzkopf Osis+ Grip 200ml Online Only")</f>
        <v xml:space="preserve"> Schwarzkopf Osis+ Grip 200ml Online Only</v>
      </c>
      <c r="C8967" t="s">
        <v>61</v>
      </c>
      <c r="D8967" t="s">
        <v>343</v>
      </c>
    </row>
    <row r="8968" spans="1:4" x14ac:dyDescent="0.25">
      <c r="B8968" t="str">
        <f>HYPERLINK("https://www.chemistwarehouse.com.au/buy/79936/Schwarzkopf-Osis-Mess-Up-100ml-Online-Only"," Schwarzkopf Osis+ Mess Up 100ml Online Only")</f>
        <v xml:space="preserve"> Schwarzkopf Osis+ Mess Up 100ml Online Only</v>
      </c>
      <c r="C8968" t="s">
        <v>61</v>
      </c>
      <c r="D8968" t="s">
        <v>343</v>
      </c>
    </row>
    <row r="8969" spans="1:4" x14ac:dyDescent="0.25">
      <c r="B8969" t="str">
        <f>HYPERLINK("https://www.chemistwarehouse.com.au/buy/79939/Schwarzkopf-Osis-Whipped-Wax-75ml-Online-Only"," Schwarzkopf Osis+ Whipped Wax 75ml Online Only")</f>
        <v xml:space="preserve"> Schwarzkopf Osis+ Whipped Wax 75ml Online Only</v>
      </c>
      <c r="C8969" t="s">
        <v>161</v>
      </c>
      <c r="D8969" t="s">
        <v>157</v>
      </c>
    </row>
    <row r="8970" spans="1:4" x14ac:dyDescent="0.25">
      <c r="A8970" t="s">
        <v>1949</v>
      </c>
    </row>
    <row r="8971" spans="1:4" x14ac:dyDescent="0.25">
      <c r="B8971" t="str">
        <f>HYPERLINK("https://www.chemistwarehouse.com.au/buy/79940/Tigi-Bedhead-Recovery-Conditioner-200ml-Online-Only"," Tigi Bedhead Recovery Conditioner 200ml Online Only")</f>
        <v xml:space="preserve"> Tigi Bedhead Recovery Conditioner 200ml Online Only</v>
      </c>
      <c r="C8971" t="s">
        <v>1</v>
      </c>
      <c r="D8971" t="s">
        <v>487</v>
      </c>
    </row>
    <row r="8972" spans="1:4" x14ac:dyDescent="0.25">
      <c r="B8972" t="str">
        <f>HYPERLINK("https://www.chemistwarehouse.com.au/buy/79941/Tigi-Bedhead-Recovery-Shampoo-250ml-Online-Only"," Tigi Bedhead Recovery Shampoo 250ml Online Only")</f>
        <v xml:space="preserve"> Tigi Bedhead Recovery Shampoo 250ml Online Only</v>
      </c>
      <c r="C8972" t="s">
        <v>1</v>
      </c>
      <c r="D8972" t="s">
        <v>487</v>
      </c>
    </row>
    <row r="8973" spans="1:4" x14ac:dyDescent="0.25">
      <c r="B8973" t="str">
        <f>HYPERLINK("https://www.chemistwarehouse.com.au/buy/79942/Tigi-Bedhead-Reenergise-Conditioner-200ml-Online-Only"," Tigi Bedhead Reenergise Conditioner 200ml Online Only")</f>
        <v xml:space="preserve"> Tigi Bedhead Reenergise Conditioner 200ml Online Only</v>
      </c>
      <c r="C8973" t="s">
        <v>1</v>
      </c>
      <c r="D8973" t="s">
        <v>487</v>
      </c>
    </row>
    <row r="8974" spans="1:4" x14ac:dyDescent="0.25">
      <c r="B8974" t="str">
        <f>HYPERLINK("https://www.chemistwarehouse.com.au/buy/79943/Tigi-Bedhead-Reenergise-Shampoo-250ml-Online-Only"," Tigi Bedhead Reenergise Shampoo 250ml Online Only")</f>
        <v xml:space="preserve"> Tigi Bedhead Reenergise Shampoo 250ml Online Only</v>
      </c>
      <c r="C8974" t="s">
        <v>1</v>
      </c>
      <c r="D8974" t="s">
        <v>487</v>
      </c>
    </row>
    <row r="8975" spans="1:4" x14ac:dyDescent="0.25">
      <c r="B8975" t="str">
        <f>HYPERLINK("https://www.chemistwarehouse.com.au/buy/79944/Tigi-Bedhead-Resurrection-Conditioner-200ml-Online-Only"," Tigi Bedhead Resurrection Conditioner 200ml Online Only")</f>
        <v xml:space="preserve"> Tigi Bedhead Resurrection Conditioner 200ml Online Only</v>
      </c>
      <c r="C8975" t="s">
        <v>1</v>
      </c>
      <c r="D8975" t="s">
        <v>487</v>
      </c>
    </row>
    <row r="8976" spans="1:4" x14ac:dyDescent="0.25">
      <c r="B8976" t="str">
        <f>HYPERLINK("https://www.chemistwarehouse.com.au/buy/79945/Tigi-Bedhead-Resurrection-Shampoo-250ml-Online-Only"," Tigi Bedhead Resurrection Shampoo 250ml Online Only")</f>
        <v xml:space="preserve"> Tigi Bedhead Resurrection Shampoo 250ml Online Only</v>
      </c>
      <c r="C8976" t="s">
        <v>1</v>
      </c>
      <c r="D8976" t="s">
        <v>487</v>
      </c>
    </row>
    <row r="8977" spans="1:4" x14ac:dyDescent="0.25">
      <c r="B8977" t="str">
        <f>HYPERLINK("https://www.chemistwarehouse.com.au/buy/79946/Tigi-Catwalk-Afterparty-Smoothing-Cream-100ml-Online-Only"," Tigi Catwalk Afterparty Smoothing Cream 100ml Online Only")</f>
        <v xml:space="preserve"> Tigi Catwalk Afterparty Smoothing Cream 100ml Online Only</v>
      </c>
      <c r="C8977" t="s">
        <v>10</v>
      </c>
      <c r="D8977" t="s">
        <v>93</v>
      </c>
    </row>
    <row r="8978" spans="1:4" x14ac:dyDescent="0.25">
      <c r="B8978" t="str">
        <f>HYPERLINK("https://www.chemistwarehouse.com.au/buy/79948/Tigi-Catwalk-Ego-Boost-Split-End-Mender-200ml-Online-Only"," Tigi Catwalk Ego Boost Split End Mender 200ml Online Only")</f>
        <v xml:space="preserve"> Tigi Catwalk Ego Boost Split End Mender 200ml Online Only</v>
      </c>
      <c r="C8978" t="s">
        <v>153</v>
      </c>
      <c r="D8978" t="s">
        <v>157</v>
      </c>
    </row>
    <row r="8979" spans="1:4" x14ac:dyDescent="0.25">
      <c r="B8979" t="str">
        <f>HYPERLINK("https://www.chemistwarehouse.com.au/buy/79949/Tigi-Catwalk-Masterpiece-Shine-Hairspray-300ml-Online-Only"," Tigi Catwalk Masterpiece Shine Hairspray 300ml Online Only")</f>
        <v xml:space="preserve"> Tigi Catwalk Masterpiece Shine Hairspray 300ml Online Only</v>
      </c>
      <c r="C8979" t="s">
        <v>448</v>
      </c>
      <c r="D8979" t="s">
        <v>157</v>
      </c>
    </row>
    <row r="8980" spans="1:4" x14ac:dyDescent="0.25">
      <c r="B8980" t="str">
        <f>HYPERLINK("https://www.chemistwarehouse.com.au/buy/79950/Tigi-Catwalk-Root-Boost-250ml-Online-Only"," Tigi Catwalk Root Boost 250ml Online Only")</f>
        <v xml:space="preserve"> Tigi Catwalk Root Boost 250ml Online Only</v>
      </c>
      <c r="C8980" t="s">
        <v>262</v>
      </c>
      <c r="D8980" t="s">
        <v>1950</v>
      </c>
    </row>
    <row r="8981" spans="1:4" x14ac:dyDescent="0.25">
      <c r="B8981" t="str">
        <f>HYPERLINK("https://www.chemistwarehouse.com.au/buy/79947/Tigi-Catwalk-Curls-Rock-Amplifier-150ml-Online-Only"," Tigi Catwalk Curls Rock Amplifier 150ml Online Only")</f>
        <v xml:space="preserve"> Tigi Catwalk Curls Rock Amplifier 150ml Online Only</v>
      </c>
      <c r="C8981" t="s">
        <v>262</v>
      </c>
      <c r="D8981" t="s">
        <v>149</v>
      </c>
    </row>
    <row r="8982" spans="1:4" x14ac:dyDescent="0.25">
      <c r="A8982" t="s">
        <v>1951</v>
      </c>
    </row>
    <row r="8983" spans="1:4" x14ac:dyDescent="0.25">
      <c r="B8983" t="str">
        <f>HYPERLINK("https://www.chemistwarehouse.com.au/buy/44397/Gillette-Foam-Lemon-Lime-250g"," Gillette Foam - Lemon/Lime 250g")</f>
        <v xml:space="preserve"> Gillette Foam - Lemon/Lime 250g</v>
      </c>
      <c r="C8983" t="s">
        <v>1495</v>
      </c>
      <c r="D8983" t="s">
        <v>611</v>
      </c>
    </row>
    <row r="8984" spans="1:4" x14ac:dyDescent="0.25">
      <c r="B8984" t="str">
        <f>HYPERLINK("https://www.chemistwarehouse.com.au/buy/63693/Shave-Cream-75g"," Shave Cream 75g")</f>
        <v xml:space="preserve"> Shave Cream 75g</v>
      </c>
      <c r="C8984" t="s">
        <v>399</v>
      </c>
      <c r="D8984" t="s">
        <v>776</v>
      </c>
    </row>
    <row r="8985" spans="1:4" x14ac:dyDescent="0.25">
      <c r="B8985" t="str">
        <f>HYPERLINK("https://www.chemistwarehouse.com.au/buy/72659/Gillette-Fusion-Hydra-Gel-Sensitive-Skin-75ml"," Gillette Fusion Hydra Gel Sensitive Skin 75ml")</f>
        <v xml:space="preserve"> Gillette Fusion Hydra Gel Sensitive Skin 75ml</v>
      </c>
      <c r="C8985" t="s">
        <v>146</v>
      </c>
      <c r="D8985" t="s">
        <v>738</v>
      </c>
    </row>
    <row r="8986" spans="1:4" x14ac:dyDescent="0.25">
      <c r="B8986" t="str">
        <f>HYPERLINK("https://www.chemistwarehouse.com.au/buy/5174/Gillette-Shaving-Foam-Lemon-Lime-250g"," Gillette Shaving Foam Lemon/Lime 250g")</f>
        <v xml:space="preserve"> Gillette Shaving Foam Lemon/Lime 250g</v>
      </c>
      <c r="C8986" t="s">
        <v>1495</v>
      </c>
      <c r="D8986" t="s">
        <v>611</v>
      </c>
    </row>
    <row r="8987" spans="1:4" x14ac:dyDescent="0.25">
      <c r="B8987" t="str">
        <f>HYPERLINK("https://www.chemistwarehouse.com.au/buy/44394/Gillette-Series-Shave-Gel-Moisturising-195g"," Gillette Series Shave Gel Moisturising 195g")</f>
        <v xml:space="preserve"> Gillette Series Shave Gel Moisturising 195g</v>
      </c>
      <c r="C8987" t="s">
        <v>120</v>
      </c>
      <c r="D8987" t="s">
        <v>804</v>
      </c>
    </row>
    <row r="8988" spans="1:4" x14ac:dyDescent="0.25">
      <c r="B8988" t="str">
        <f>HYPERLINK("https://www.chemistwarehouse.com.au/buy/59299/Gillette-Fusion-HydraGel-Pure-amp-Sensitive-195g"," Gillette Fusion HydraGel Pure &amp; Sensitive 195g")</f>
        <v xml:space="preserve"> Gillette Fusion HydraGel Pure &amp; Sensitive 195g</v>
      </c>
      <c r="C8988" t="s">
        <v>326</v>
      </c>
      <c r="D8988" t="s">
        <v>318</v>
      </c>
    </row>
    <row r="8989" spans="1:4" x14ac:dyDescent="0.25">
      <c r="B8989" t="str">
        <f>HYPERLINK("https://www.chemistwarehouse.com.au/buy/65760/Schick-Hydro-Shave-Gel-Skin-Protect-236g"," Schick Hydro Shave Gel Skin Protect 236g")</f>
        <v xml:space="preserve"> Schick Hydro Shave Gel Skin Protect 236g</v>
      </c>
      <c r="C8989" t="s">
        <v>556</v>
      </c>
      <c r="D8989" t="s">
        <v>371</v>
      </c>
    </row>
    <row r="8990" spans="1:4" x14ac:dyDescent="0.25">
      <c r="B8990" t="str">
        <f>HYPERLINK("https://www.chemistwarehouse.com.au/buy/63432/Gillette-Series-Shave-Foam-Sensitive-245g"," Gillette Series Shave Foam Sensitive 245g")</f>
        <v xml:space="preserve"> Gillette Series Shave Foam Sensitive 245g</v>
      </c>
      <c r="C8990" t="s">
        <v>483</v>
      </c>
      <c r="D8990" t="s">
        <v>813</v>
      </c>
    </row>
    <row r="8991" spans="1:4" x14ac:dyDescent="0.25">
      <c r="B8991" t="str">
        <f>HYPERLINK("https://www.chemistwarehouse.com.au/buy/70252/Gillette-Series-Sensitive-Shave-Gel-200ml"," Gillette Series Sensitive Shave Gel 200ml")</f>
        <v xml:space="preserve"> Gillette Series Sensitive Shave Gel 200ml</v>
      </c>
      <c r="C8991" t="s">
        <v>483</v>
      </c>
      <c r="D8991">
        <v>0</v>
      </c>
    </row>
    <row r="8992" spans="1:4" x14ac:dyDescent="0.25">
      <c r="B8992" t="str">
        <f>HYPERLINK("https://www.chemistwarehouse.com.au/buy/63431/Gillette-Fusion-Hydra-Gel-Sensitive-195g"," Gillette Fusion Hydra Gel Sensitive 195g")</f>
        <v xml:space="preserve"> Gillette Fusion Hydra Gel Sensitive 195g</v>
      </c>
      <c r="C8992" t="s">
        <v>326</v>
      </c>
      <c r="D8992" t="s">
        <v>318</v>
      </c>
    </row>
    <row r="8993" spans="1:4" x14ac:dyDescent="0.25">
      <c r="B8993" t="str">
        <f>HYPERLINK("https://www.chemistwarehouse.com.au/buy/65145/Gillette-Series-Gel-200ml"," Gillette Series Gel 200ml")</f>
        <v xml:space="preserve"> Gillette Series Gel 200ml</v>
      </c>
      <c r="C8993" t="s">
        <v>483</v>
      </c>
      <c r="D8993">
        <v>0</v>
      </c>
    </row>
    <row r="8994" spans="1:4" x14ac:dyDescent="0.25">
      <c r="B8994" t="str">
        <f>HYPERLINK("https://www.chemistwarehouse.com.au/buy/44396/Gillette-Foam-Sensitive-Skin-250g"," Gillette Foam - Sensitive Skin 250g")</f>
        <v xml:space="preserve"> Gillette Foam - Sensitive Skin 250g</v>
      </c>
      <c r="C8994" t="s">
        <v>146</v>
      </c>
      <c r="D8994" t="s">
        <v>1434</v>
      </c>
    </row>
    <row r="8995" spans="1:4" x14ac:dyDescent="0.25">
      <c r="B8995" t="str">
        <f>HYPERLINK("https://www.chemistwarehouse.com.au/buy/6184/Palmolive-for-Men-Rapid-Shave-Foam-Ocean-Breeze-250g"," Palmolive for Men Rapid Shave Foam Ocean Breeze 250g")</f>
        <v xml:space="preserve"> Palmolive for Men Rapid Shave Foam Ocean Breeze 250g</v>
      </c>
      <c r="C8995" t="s">
        <v>775</v>
      </c>
      <c r="D8995" t="s">
        <v>1952</v>
      </c>
    </row>
    <row r="8996" spans="1:4" x14ac:dyDescent="0.25">
      <c r="B8996" t="str">
        <f>HYPERLINK("https://www.chemistwarehouse.com.au/buy/53301/L-39-Oreal-Men-39-s-Expert-Shaving-Gel-200ml"," L'Oreal Men's Expert Shaving Gel 200ml")</f>
        <v xml:space="preserve"> L'Oreal Men's Expert Shaving Gel 200ml</v>
      </c>
      <c r="C8996" t="s">
        <v>786</v>
      </c>
      <c r="D8996" t="s">
        <v>799</v>
      </c>
    </row>
    <row r="8997" spans="1:4" x14ac:dyDescent="0.25">
      <c r="B8997" t="str">
        <f>HYPERLINK("https://www.chemistwarehouse.com.au/buy/53534/Gillette-Series-Shave-Gel-Sensitive-195g"," Gillette Series Shave Gel Sensitive 195g")</f>
        <v xml:space="preserve"> Gillette Series Shave Gel Sensitive 195g</v>
      </c>
      <c r="C8997" t="s">
        <v>120</v>
      </c>
      <c r="D8997" t="s">
        <v>804</v>
      </c>
    </row>
    <row r="8998" spans="1:4" x14ac:dyDescent="0.25">
      <c r="B8998" t="str">
        <f>HYPERLINK("https://www.chemistwarehouse.com.au/buy/55847/Gillette-Shave-Foam-Sensitive-Skin-200mL"," Gillette Shave Foam Sensitive Skin 200mL")</f>
        <v xml:space="preserve"> Gillette Shave Foam Sensitive Skin 200mL</v>
      </c>
      <c r="C8998" t="s">
        <v>146</v>
      </c>
      <c r="D8998">
        <v>0</v>
      </c>
    </row>
    <row r="8999" spans="1:4" x14ac:dyDescent="0.25">
      <c r="B8999" t="str">
        <f>HYPERLINK("https://www.chemistwarehouse.com.au/buy/55848/Gillette-Shave-Foam-Regular"," Gillette Shave Foam Regular ")</f>
        <v xml:space="preserve"> Gillette Shave Foam Regular </v>
      </c>
      <c r="C8999" t="s">
        <v>146</v>
      </c>
      <c r="D8999">
        <v>0</v>
      </c>
    </row>
    <row r="9000" spans="1:4" x14ac:dyDescent="0.25">
      <c r="B9000" t="str">
        <f>HYPERLINK("https://www.chemistwarehouse.com.au/buy/58684/L-39-Oreal-Men-Expert-Hydra-Sensitive-After-Shave-100ml"," L'Oreal Men Expert Hydra Sensitive After Shave 100ml")</f>
        <v xml:space="preserve"> L'Oreal Men Expert Hydra Sensitive After Shave 100ml</v>
      </c>
      <c r="C9000" t="s">
        <v>240</v>
      </c>
      <c r="D9000" t="s">
        <v>152</v>
      </c>
    </row>
    <row r="9001" spans="1:4" x14ac:dyDescent="0.25">
      <c r="B9001" t="str">
        <f>HYPERLINK("https://www.chemistwarehouse.com.au/buy/79402/Gillette-Fusion-Pro-Glide-Cooling-Shave-Gel-200ml"," Gillette Fusion Pro Glide Cooling Shave Gel 200ml")</f>
        <v xml:space="preserve"> Gillette Fusion Pro Glide Cooling Shave Gel 200ml</v>
      </c>
      <c r="C9001" t="s">
        <v>483</v>
      </c>
      <c r="D9001">
        <v>0</v>
      </c>
    </row>
    <row r="9002" spans="1:4" x14ac:dyDescent="0.25">
      <c r="B9002" t="str">
        <f>HYPERLINK("https://www.chemistwarehouse.com.au/buy/80147/Nivea-for-Men-Sensitive-Shave-Cream-100ml"," Nivea for Men Sensitive Shave Cream 100ml")</f>
        <v xml:space="preserve"> Nivea for Men Sensitive Shave Cream 100ml</v>
      </c>
      <c r="C9002" t="s">
        <v>775</v>
      </c>
      <c r="D9002" t="s">
        <v>1466</v>
      </c>
    </row>
    <row r="9003" spans="1:4" x14ac:dyDescent="0.25">
      <c r="B9003" t="str">
        <f>HYPERLINK("https://www.chemistwarehouse.com.au/buy/82045/Pino-Silvestre-Shave-Shaving-Foam-300ml"," Pino Silvestre Shave Shaving Foam 300ml")</f>
        <v xml:space="preserve"> Pino Silvestre Shave Shaving Foam 300ml</v>
      </c>
      <c r="C9003" t="s">
        <v>103</v>
      </c>
      <c r="D9003">
        <v>0</v>
      </c>
    </row>
    <row r="9004" spans="1:4" x14ac:dyDescent="0.25">
      <c r="B9004" t="str">
        <f>HYPERLINK("https://www.chemistwarehouse.com.au/buy/82699/Health-amp-Beauty-Shaving-Brush-Deluxe-Natural-Bristle"," Health &amp; Beauty Shaving Brush Deluxe Natural Bristle")</f>
        <v xml:space="preserve"> Health &amp; Beauty Shaving Brush Deluxe Natural Bristle</v>
      </c>
      <c r="C9004" t="s">
        <v>92</v>
      </c>
      <c r="D9004" t="s">
        <v>115</v>
      </c>
    </row>
    <row r="9005" spans="1:4" x14ac:dyDescent="0.25">
      <c r="B9005" t="str">
        <f>HYPERLINK("https://www.chemistwarehouse.com.au/buy/82833/Blue-Stratos-Pre-Eletric-Shaving-Lotion-100ml"," Blue Stratos Pre Eletric Shaving Lotion 100ml")</f>
        <v xml:space="preserve"> Blue Stratos Pre Eletric Shaving Lotion 100ml</v>
      </c>
      <c r="C9005" t="s">
        <v>187</v>
      </c>
      <c r="D9005" t="s">
        <v>46</v>
      </c>
    </row>
    <row r="9006" spans="1:4" x14ac:dyDescent="0.25">
      <c r="B9006" t="str">
        <f>HYPERLINK("https://www.chemistwarehouse.com.au/buy/79442/Gillette-Fusion-Pro-Glide-Hydrating-Shave-Gel-200ml"," Gillette Fusion Pro Glide Hydrating Shave Gel 200ml")</f>
        <v xml:space="preserve"> Gillette Fusion Pro Glide Hydrating Shave Gel 200ml</v>
      </c>
      <c r="C9006" t="s">
        <v>483</v>
      </c>
      <c r="D9006">
        <v>0</v>
      </c>
    </row>
    <row r="9007" spans="1:4" x14ac:dyDescent="0.25">
      <c r="A9007" t="s">
        <v>1953</v>
      </c>
    </row>
    <row r="9008" spans="1:4" x14ac:dyDescent="0.25">
      <c r="B9008" t="str">
        <f>HYPERLINK("https://www.chemistwarehouse.com.au/buy/67785/Gillette-Fusion-Shaving-Blades-Refill-8-Pack"," Gillette Fusion Shaving Blades Refill 8 Pack")</f>
        <v xml:space="preserve"> Gillette Fusion Shaving Blades Refill 8 Pack</v>
      </c>
      <c r="C9008" t="s">
        <v>282</v>
      </c>
      <c r="D9008" t="s">
        <v>270</v>
      </c>
    </row>
    <row r="9009" spans="1:4" x14ac:dyDescent="0.25">
      <c r="B9009" t="str">
        <f>HYPERLINK("https://www.chemistwarehouse.com.au/buy/51020/Gillette-Fusion-4-Pack-Razors"," Gillette Fusion 4 Pack Razors")</f>
        <v xml:space="preserve"> Gillette Fusion 4 Pack Razors</v>
      </c>
      <c r="C9009" t="s">
        <v>173</v>
      </c>
      <c r="D9009" t="s">
        <v>796</v>
      </c>
    </row>
    <row r="9010" spans="1:4" x14ac:dyDescent="0.25">
      <c r="B9010" t="str">
        <f>HYPERLINK("https://www.chemistwarehouse.com.au/buy/59899/Gillette-Fusion-Power-Cartridge-4-Pack"," Gillette Fusion Power Cartridge 4 Pack")</f>
        <v xml:space="preserve"> Gillette Fusion Power Cartridge 4 Pack</v>
      </c>
      <c r="C9010" t="s">
        <v>890</v>
      </c>
      <c r="D9010" t="s">
        <v>1954</v>
      </c>
    </row>
    <row r="9011" spans="1:4" x14ac:dyDescent="0.25">
      <c r="B9011" t="str">
        <f>HYPERLINK("https://www.chemistwarehouse.com.au/buy/67784/Gillette-Fusion-Power-Cartridge-8-Pack"," Gillette Fusion Power Cartridge 8 Pack")</f>
        <v xml:space="preserve"> Gillette Fusion Power Cartridge 8 Pack</v>
      </c>
      <c r="C9011" t="s">
        <v>267</v>
      </c>
      <c r="D9011" t="s">
        <v>402</v>
      </c>
    </row>
    <row r="9012" spans="1:4" x14ac:dyDescent="0.25">
      <c r="B9012" t="str">
        <f>HYPERLINK("https://www.chemistwarehouse.com.au/buy/59297/Gillette-Fusion-Gamer-Razor-1-up"," Gillette Fusion Gamer Razor 1-up")</f>
        <v xml:space="preserve"> Gillette Fusion Gamer Razor 1-up</v>
      </c>
      <c r="C9012" t="s">
        <v>283</v>
      </c>
      <c r="D9012" t="s">
        <v>1285</v>
      </c>
    </row>
    <row r="9013" spans="1:4" x14ac:dyDescent="0.25">
      <c r="B9013" t="str">
        <f>HYPERLINK("https://www.chemistwarehouse.com.au/buy/75028/Gillette-Fusion-Hydra-Gel-Ultra-Protection-200ml"," Gillette Fusion Hydra Gel Ultra Protection 200ml")</f>
        <v xml:space="preserve"> Gillette Fusion Hydra Gel Ultra Protection 200ml</v>
      </c>
      <c r="C9013" t="s">
        <v>483</v>
      </c>
      <c r="D9013">
        <v>0</v>
      </c>
    </row>
    <row r="9014" spans="1:4" x14ac:dyDescent="0.25">
      <c r="B9014" t="str">
        <f>HYPERLINK("https://www.chemistwarehouse.com.au/buy/72276/Gillette-Fusion-Power-Cartridge-6-Pack"," Gillette Fusion Power Cartridge 6 Pack")</f>
        <v xml:space="preserve"> Gillette Fusion Power Cartridge 6 Pack</v>
      </c>
      <c r="C9014" t="s">
        <v>10</v>
      </c>
      <c r="D9014" t="s">
        <v>280</v>
      </c>
    </row>
    <row r="9015" spans="1:4" x14ac:dyDescent="0.25">
      <c r="B9015" t="str">
        <f>HYPERLINK("https://www.chemistwarehouse.com.au/buy/59298/Gillette-Fusion-Gamer-Power-Razor-1-up"," Gillette Fusion Gamer Power Razor 1-up")</f>
        <v xml:space="preserve"> Gillette Fusion Gamer Power Razor 1-up</v>
      </c>
      <c r="C9015" t="s">
        <v>1657</v>
      </c>
      <c r="D9015" t="s">
        <v>213</v>
      </c>
    </row>
    <row r="9016" spans="1:4" x14ac:dyDescent="0.25">
      <c r="A9016" t="s">
        <v>1955</v>
      </c>
    </row>
    <row r="9017" spans="1:4" x14ac:dyDescent="0.25">
      <c r="B9017" t="str">
        <f>HYPERLINK("https://www.chemistwarehouse.com.au/buy/67783/Gillette-Fusion-Pro-Glide-Manual-Cartridges-8-Pack"," Gillette Fusion Pro Glide Manual Cartridges 8 Pack")</f>
        <v xml:space="preserve"> Gillette Fusion Pro Glide Manual Cartridges 8 Pack</v>
      </c>
      <c r="C9017" t="s">
        <v>479</v>
      </c>
      <c r="D9017" t="s">
        <v>261</v>
      </c>
    </row>
    <row r="9018" spans="1:4" x14ac:dyDescent="0.25">
      <c r="B9018" t="str">
        <f>HYPERLINK("https://www.chemistwarehouse.com.au/buy/67314/Gillette-Fusion-ProGlide-Styler-Trimmer"," Gillette Fusion ProGlide Styler Trimmer")</f>
        <v xml:space="preserve"> Gillette Fusion ProGlide Styler Trimmer</v>
      </c>
      <c r="C9018" t="s">
        <v>173</v>
      </c>
      <c r="D9018" t="s">
        <v>283</v>
      </c>
    </row>
    <row r="9019" spans="1:4" x14ac:dyDescent="0.25">
      <c r="B9019" t="str">
        <f>HYPERLINK("https://www.chemistwarehouse.com.au/buy/63830/Gillette-Fusion-Pro-Glide-Power-Cartridges-4-Pack"," Gillette Fusion Pro Glide Power Cartridges 4 Pack")</f>
        <v xml:space="preserve"> Gillette Fusion Pro Glide Power Cartridges 4 Pack</v>
      </c>
      <c r="C9019" t="s">
        <v>286</v>
      </c>
      <c r="D9019" t="s">
        <v>518</v>
      </c>
    </row>
    <row r="9020" spans="1:4" x14ac:dyDescent="0.25">
      <c r="B9020" t="str">
        <f>HYPERLINK("https://www.chemistwarehouse.com.au/buy/63831/Gillette-Fusion-Pro-Glide-Manual-Cartridge-4-Pack"," Gillette Fusion Pro Glide Manual Cartridge 4 Pack")</f>
        <v xml:space="preserve"> Gillette Fusion Pro Glide Manual Cartridge 4 Pack</v>
      </c>
      <c r="C9020" t="s">
        <v>125</v>
      </c>
      <c r="D9020" t="s">
        <v>1419</v>
      </c>
    </row>
    <row r="9021" spans="1:4" x14ac:dyDescent="0.25">
      <c r="B9021" t="str">
        <f>HYPERLINK("https://www.chemistwarehouse.com.au/buy/67786/Gillette-Fusion-Pro-Glide-Power-Cartridges-8-Pack"," Gillette Fusion Pro Glide Power Cartridges 8 Pack")</f>
        <v xml:space="preserve"> Gillette Fusion Pro Glide Power Cartridges 8 Pack</v>
      </c>
      <c r="C9021" t="s">
        <v>1942</v>
      </c>
      <c r="D9021" t="s">
        <v>1956</v>
      </c>
    </row>
    <row r="9022" spans="1:4" x14ac:dyDescent="0.25">
      <c r="B9022" t="str">
        <f>HYPERLINK("https://www.chemistwarehouse.com.au/buy/74871/Gillette-Fusion-Pro-Glide-Flexball-Manual-Razor"," Gillette Fusion Pro Glide Flexball Manual Razor")</f>
        <v xml:space="preserve"> Gillette Fusion Pro Glide Flexball Manual Razor</v>
      </c>
      <c r="C9022" t="s">
        <v>187</v>
      </c>
      <c r="D9022" t="s">
        <v>261</v>
      </c>
    </row>
    <row r="9023" spans="1:4" x14ac:dyDescent="0.25">
      <c r="B9023" t="str">
        <f>HYPERLINK("https://www.chemistwarehouse.com.au/buy/74872/Gillette-Fusion-Pro-Glide-Flexball-Power-Razor"," Gillette Fusion Pro Glide Flexball Power Razor")</f>
        <v xml:space="preserve"> Gillette Fusion Pro Glide Flexball Power Razor</v>
      </c>
      <c r="C9023" t="s">
        <v>202</v>
      </c>
      <c r="D9023" t="s">
        <v>64</v>
      </c>
    </row>
    <row r="9024" spans="1:4" x14ac:dyDescent="0.25">
      <c r="B9024" t="str">
        <f>HYPERLINK("https://www.chemistwarehouse.com.au/buy/74874/Gillette-Fusion-Pro-Glide-Flexball-Silvertouch-Manual"," Gillette Fusion Pro Glide Flexball Silvertouch Manual ")</f>
        <v xml:space="preserve"> Gillette Fusion Pro Glide Flexball Silvertouch Manual </v>
      </c>
      <c r="C9024" t="s">
        <v>46</v>
      </c>
      <c r="D9024" t="s">
        <v>1305</v>
      </c>
    </row>
    <row r="9025" spans="1:4" x14ac:dyDescent="0.25">
      <c r="B9025" t="str">
        <f>HYPERLINK("https://www.chemistwarehouse.com.au/buy/74875/Gillette-Fusion-Pro-Glide-Flexball-Silvertouch-Power"," Gillette Fusion Pro Glide Flexball Silvertouch Power")</f>
        <v xml:space="preserve"> Gillette Fusion Pro Glide Flexball Silvertouch Power</v>
      </c>
      <c r="C9025" t="s">
        <v>280</v>
      </c>
      <c r="D9025" t="s">
        <v>103</v>
      </c>
    </row>
    <row r="9026" spans="1:4" x14ac:dyDescent="0.25">
      <c r="B9026" t="str">
        <f>HYPERLINK("https://www.chemistwarehouse.com.au/buy/74876/Gillette-Fusion-Pro-Glide-Sensitive-Shave-Foam-Active-Sport-245g"," Gillette Fusion Pro Glide Sensitive Shave Foam Active Sport 245g")</f>
        <v xml:space="preserve"> Gillette Fusion Pro Glide Sensitive Shave Foam Active Sport 245g</v>
      </c>
      <c r="C9026" t="s">
        <v>375</v>
      </c>
      <c r="D9026" t="s">
        <v>806</v>
      </c>
    </row>
    <row r="9027" spans="1:4" x14ac:dyDescent="0.25">
      <c r="B9027" t="str">
        <f>HYPERLINK("https://www.chemistwarehouse.com.au/buy/74877/Gillette-Fusion-Pro-Glide-Sensitive-Shave-Gel-Active-Sport-170g"," Gillette Fusion Pro Glide Sensitive Shave Gel Active Sport 170g")</f>
        <v xml:space="preserve"> Gillette Fusion Pro Glide Sensitive Shave Gel Active Sport 170g</v>
      </c>
      <c r="C9027" t="s">
        <v>375</v>
      </c>
      <c r="D9027" t="s">
        <v>806</v>
      </c>
    </row>
    <row r="9028" spans="1:4" x14ac:dyDescent="0.25">
      <c r="B9028" t="str">
        <f>HYPERLINK("https://www.chemistwarehouse.com.au/buy/74878/Gillette-Fusion-Pro-Glide-Sensitive-Shave-Gel-Ocean-Cool-170g"," Gillette Fusion Pro Glide Sensitive Shave Gel Ocean Cool 170g")</f>
        <v xml:space="preserve"> Gillette Fusion Pro Glide Sensitive Shave Gel Ocean Cool 170g</v>
      </c>
      <c r="C9028" t="s">
        <v>375</v>
      </c>
      <c r="D9028" t="s">
        <v>806</v>
      </c>
    </row>
    <row r="9029" spans="1:4" x14ac:dyDescent="0.25">
      <c r="A9029" t="s">
        <v>1957</v>
      </c>
    </row>
    <row r="9030" spans="1:4" x14ac:dyDescent="0.25">
      <c r="B9030" t="str">
        <f>HYPERLINK("https://www.chemistwarehouse.com.au/buy/5180/Gillette-Mach3-Shaving-Blades-Refill-4-Pack"," Gillette Mach3 Shaving Blades Refill 4 Pack")</f>
        <v xml:space="preserve"> Gillette Mach3 Shaving Blades Refill 4 Pack</v>
      </c>
      <c r="C9030" t="s">
        <v>202</v>
      </c>
      <c r="D9030" t="s">
        <v>465</v>
      </c>
    </row>
    <row r="9031" spans="1:4" x14ac:dyDescent="0.25">
      <c r="B9031" t="str">
        <f>HYPERLINK("https://www.chemistwarehouse.com.au/buy/5181/Gillette-Mach3-Shaving-Blades-Refill-8-Pack"," Gillette Mach3 Shaving Blades Refill 8 Pack")</f>
        <v xml:space="preserve"> Gillette Mach3 Shaving Blades Refill 8 Pack</v>
      </c>
      <c r="C9031" t="s">
        <v>387</v>
      </c>
      <c r="D9031" t="s">
        <v>119</v>
      </c>
    </row>
    <row r="9032" spans="1:4" x14ac:dyDescent="0.25">
      <c r="B9032" t="str">
        <f>HYPERLINK("https://www.chemistwarehouse.com.au/buy/65592/Gillette-Mach-3-Turbo-Sensitive-Razor"," Gillette Mach 3 Turbo Sensitive Razor")</f>
        <v xml:space="preserve"> Gillette Mach 3 Turbo Sensitive Razor</v>
      </c>
      <c r="C9032" t="s">
        <v>240</v>
      </c>
      <c r="D9032" t="s">
        <v>561</v>
      </c>
    </row>
    <row r="9033" spans="1:4" x14ac:dyDescent="0.25">
      <c r="B9033" t="str">
        <f>HYPERLINK("https://www.chemistwarehouse.com.au/buy/43107/Gillette-Mach-3-Turbo-Cartridges-8"," Gillette Mach 3 Turbo Cartridges 8")</f>
        <v xml:space="preserve"> Gillette Mach 3 Turbo Cartridges 8</v>
      </c>
      <c r="C9033" t="s">
        <v>109</v>
      </c>
      <c r="D9033" t="s">
        <v>1935</v>
      </c>
    </row>
    <row r="9034" spans="1:4" x14ac:dyDescent="0.25">
      <c r="B9034" t="str">
        <f>HYPERLINK("https://www.chemistwarehouse.com.au/buy/43105/Gillette-Mach-3-Turbo-Razor-2-Up"," Gillette Mach 3 Turbo Razor 2 Up")</f>
        <v xml:space="preserve"> Gillette Mach 3 Turbo Razor 2 Up</v>
      </c>
      <c r="C9034" t="s">
        <v>244</v>
      </c>
      <c r="D9034" t="s">
        <v>612</v>
      </c>
    </row>
    <row r="9035" spans="1:4" x14ac:dyDescent="0.25">
      <c r="B9035" t="str">
        <f>HYPERLINK("https://www.chemistwarehouse.com.au/buy/43106/Gillette-Mach-3-Turbo-Cartridges-4"," Gillette Mach 3 Turbo Cartridges 4")</f>
        <v xml:space="preserve"> Gillette Mach 3 Turbo Cartridges 4</v>
      </c>
      <c r="C9035" t="s">
        <v>151</v>
      </c>
      <c r="D9035" t="s">
        <v>397</v>
      </c>
    </row>
    <row r="9036" spans="1:4" x14ac:dyDescent="0.25">
      <c r="B9036" t="str">
        <f>HYPERLINK("https://www.chemistwarehouse.com.au/buy/65593/Gillette-Mach-3-Turbo-Sensative-8-Pack"," Gillette Mach 3 Turbo Sensative 8 Pack")</f>
        <v xml:space="preserve"> Gillette Mach 3 Turbo Sensative 8 Pack</v>
      </c>
      <c r="C9036" t="s">
        <v>123</v>
      </c>
      <c r="D9036" t="s">
        <v>162</v>
      </c>
    </row>
    <row r="9037" spans="1:4" x14ac:dyDescent="0.25">
      <c r="B9037" t="str">
        <f>HYPERLINK("https://www.chemistwarehouse.com.au/buy/73668/Gillette-Mach-3-Razor"," Gillette Mach 3 Razor")</f>
        <v xml:space="preserve"> Gillette Mach 3 Razor</v>
      </c>
      <c r="C9037" t="s">
        <v>103</v>
      </c>
      <c r="D9037" t="s">
        <v>593</v>
      </c>
    </row>
    <row r="9038" spans="1:4" x14ac:dyDescent="0.25">
      <c r="B9038" t="str">
        <f>HYPERLINK("https://www.chemistwarehouse.com.au/buy/49466/Gillette-M3-Power-Razor-Refills-4-Pack"," Gillette M3 Power Razor Refills 4 Pack")</f>
        <v xml:space="preserve"> Gillette M3 Power Razor Refills 4 Pack</v>
      </c>
      <c r="C9038" t="s">
        <v>167</v>
      </c>
      <c r="D9038" t="s">
        <v>1305</v>
      </c>
    </row>
    <row r="9039" spans="1:4" x14ac:dyDescent="0.25">
      <c r="B9039" t="str">
        <f>HYPERLINK("https://www.chemistwarehouse.com.au/buy/65591/Gillette-Mach-3-Turbo-Sensative-4-Pack"," Gillette Mach 3 Turbo Sensative 4 Pack")</f>
        <v xml:space="preserve"> Gillette Mach 3 Turbo Sensative 4 Pack</v>
      </c>
      <c r="C9039" t="s">
        <v>61</v>
      </c>
      <c r="D9039" t="s">
        <v>115</v>
      </c>
    </row>
    <row r="9040" spans="1:4" x14ac:dyDescent="0.25">
      <c r="B9040" t="str">
        <f>HYPERLINK("https://www.chemistwarehouse.com.au/buy/82017/Gillette-Mach-3-Cartridges-12-Pack"," Gillette Mach 3 Cartridges 12 Pack")</f>
        <v xml:space="preserve"> Gillette Mach 3 Cartridges 12 Pack</v>
      </c>
      <c r="C9040" t="s">
        <v>6</v>
      </c>
      <c r="D9040">
        <v>0</v>
      </c>
    </row>
    <row r="9041" spans="1:4" x14ac:dyDescent="0.25">
      <c r="A9041" t="s">
        <v>1958</v>
      </c>
    </row>
    <row r="9042" spans="1:4" x14ac:dyDescent="0.25">
      <c r="B9042" t="str">
        <f>HYPERLINK("https://www.chemistwarehouse.com.au/buy/77514/Gillette-Sensor-Excel-Razor-1up"," Gillette Sensor Excel Razor 1up")</f>
        <v xml:space="preserve"> Gillette Sensor Excel Razor 1up</v>
      </c>
      <c r="C9042" t="s">
        <v>326</v>
      </c>
      <c r="D9042" t="s">
        <v>781</v>
      </c>
    </row>
    <row r="9043" spans="1:4" x14ac:dyDescent="0.25">
      <c r="B9043" t="str">
        <f>HYPERLINK("https://www.chemistwarehouse.com.au/buy/5183/Gillette-Sensor-Excel-Shaving-Refill-Cartridge-Pack-5"," Gillette Sensor Excel Shaving Refill Cartridge Pack 5")</f>
        <v xml:space="preserve"> Gillette Sensor Excel Shaving Refill Cartridge Pack 5</v>
      </c>
      <c r="C9043" t="s">
        <v>443</v>
      </c>
      <c r="D9043" t="s">
        <v>1411</v>
      </c>
    </row>
    <row r="9044" spans="1:4" x14ac:dyDescent="0.25">
      <c r="B9044" t="str">
        <f>HYPERLINK("https://www.chemistwarehouse.com.au/buy/5184/Gillette-Sensor-Excel-Refill-Shaving-Cartridge-Pack-10"," Gillette Sensor Excel Refill Shaving Cartridge Pack 10")</f>
        <v xml:space="preserve"> Gillette Sensor Excel Refill Shaving Cartridge Pack 10</v>
      </c>
      <c r="C9044" t="s">
        <v>387</v>
      </c>
      <c r="D9044" t="s">
        <v>1450</v>
      </c>
    </row>
    <row r="9045" spans="1:4" x14ac:dyDescent="0.25">
      <c r="B9045" t="str">
        <f>HYPERLINK("https://www.chemistwarehouse.com.au/buy/5186/Gillette-Sensor-Refill-Shaving-Cartridge-Pack-5"," Gillette Sensor Refill Shaving Cartridge Pack 5")</f>
        <v xml:space="preserve"> Gillette Sensor Refill Shaving Cartridge Pack 5</v>
      </c>
      <c r="C9045" t="s">
        <v>443</v>
      </c>
      <c r="D9045" t="s">
        <v>1411</v>
      </c>
    </row>
    <row r="9046" spans="1:4" x14ac:dyDescent="0.25">
      <c r="B9046" t="str">
        <f>HYPERLINK("https://www.chemistwarehouse.com.au/buy/5187/Gillette-Sensor-Refill-Shaving-Cartridge-Pack-10"," Gillette Sensor Refill Shaving Cartridge Pack 10")</f>
        <v xml:space="preserve"> Gillette Sensor Refill Shaving Cartridge Pack 10</v>
      </c>
      <c r="C9046" t="s">
        <v>387</v>
      </c>
      <c r="D9046" t="s">
        <v>1450</v>
      </c>
    </row>
    <row r="9047" spans="1:4" x14ac:dyDescent="0.25">
      <c r="A9047" t="s">
        <v>1959</v>
      </c>
    </row>
    <row r="9048" spans="1:4" x14ac:dyDescent="0.25">
      <c r="B9048" t="str">
        <f>HYPERLINK("https://www.chemistwarehouse.com.au/buy/63435/Gillette-Disposable-Razors-Blue-II-10-Pack"," Gillette Disposable Razors Blue II 10 Pack")</f>
        <v xml:space="preserve"> Gillette Disposable Razors Blue II 10 Pack</v>
      </c>
      <c r="C9048" t="s">
        <v>92</v>
      </c>
      <c r="D9048" t="s">
        <v>738</v>
      </c>
    </row>
    <row r="9049" spans="1:4" x14ac:dyDescent="0.25">
      <c r="B9049" t="str">
        <f>HYPERLINK("https://www.chemistwarehouse.com.au/buy/59870/Gillette-Disposable-Razors-Blue-II-Plus-5-Pack-Pivot"," Gillette Disposable Razors Blue II Plus 5 Pack Pivot")</f>
        <v xml:space="preserve"> Gillette Disposable Razors Blue II Plus 5 Pack Pivot</v>
      </c>
      <c r="C9049" t="s">
        <v>786</v>
      </c>
      <c r="D9049" t="s">
        <v>1320</v>
      </c>
    </row>
    <row r="9050" spans="1:4" x14ac:dyDescent="0.25">
      <c r="B9050" t="str">
        <f>HYPERLINK("https://www.chemistwarehouse.com.au/buy/44525/Gillette-Blue-II-Sensitive-Disposable-5-Pack"," Gillette Blue II Sensitive Disposable 5 Pack")</f>
        <v xml:space="preserve"> Gillette Blue II Sensitive Disposable 5 Pack</v>
      </c>
      <c r="C9050" t="s">
        <v>483</v>
      </c>
      <c r="D9050" t="s">
        <v>553</v>
      </c>
    </row>
    <row r="9051" spans="1:4" x14ac:dyDescent="0.25">
      <c r="B9051" t="str">
        <f>HYPERLINK("https://www.chemistwarehouse.com.au/buy/44524/Gillette-Blue-II-5-Pack-Disposable"," Gillette Blue II 5 Pack Disposable")</f>
        <v xml:space="preserve"> Gillette Blue II 5 Pack Disposable</v>
      </c>
      <c r="C9051" t="s">
        <v>483</v>
      </c>
      <c r="D9051" t="s">
        <v>553</v>
      </c>
    </row>
    <row r="9052" spans="1:4" x14ac:dyDescent="0.25">
      <c r="B9052" t="str">
        <f>HYPERLINK("https://www.chemistwarehouse.com.au/buy/82197/Gillette-Sensor-3-Disposable-4-Pack"," Gillette Sensor 3 Disposable 4 Pack")</f>
        <v xml:space="preserve"> Gillette Sensor 3 Disposable 4 Pack</v>
      </c>
      <c r="C9052" t="s">
        <v>775</v>
      </c>
      <c r="D9052" t="s">
        <v>785</v>
      </c>
    </row>
    <row r="9053" spans="1:4" x14ac:dyDescent="0.25">
      <c r="A9053" t="s">
        <v>1960</v>
      </c>
    </row>
    <row r="9054" spans="1:4" x14ac:dyDescent="0.25">
      <c r="B9054" t="str">
        <f>HYPERLINK("https://www.chemistwarehouse.com.au/buy/82457/Gillette-Fusion-ProShield-Chill-Cartridges-8-Pack"," Gillette Fusion ProShield Chill Cartridges 8 Pack")</f>
        <v xml:space="preserve"> Gillette Fusion ProShield Chill Cartridges 8 Pack</v>
      </c>
      <c r="C9054" t="s">
        <v>288</v>
      </c>
      <c r="D9054" t="s">
        <v>164</v>
      </c>
    </row>
    <row r="9055" spans="1:4" x14ac:dyDescent="0.25">
      <c r="B9055" t="str">
        <f>HYPERLINK("https://www.chemistwarehouse.com.au/buy/82458/Gillette-Fusion-ProShield-Razor-2-Up"," Gillette Fusion ProShield Razor 2 Up")</f>
        <v xml:space="preserve"> Gillette Fusion ProShield Razor 2 Up</v>
      </c>
      <c r="C9055" t="s">
        <v>105</v>
      </c>
      <c r="D9055" t="s">
        <v>302</v>
      </c>
    </row>
    <row r="9056" spans="1:4" x14ac:dyDescent="0.25">
      <c r="B9056" t="str">
        <f>HYPERLINK("https://www.chemistwarehouse.com.au/buy/82459/Gillette-Fusion-ProShield-Razor-Chill-2-Up"," Gillette Fusion ProShield Razor Chill 2 Up")</f>
        <v xml:space="preserve"> Gillette Fusion ProShield Razor Chill 2 Up</v>
      </c>
      <c r="C9056" t="s">
        <v>105</v>
      </c>
      <c r="D9056" t="s">
        <v>302</v>
      </c>
    </row>
    <row r="9057" spans="1:4" x14ac:dyDescent="0.25">
      <c r="B9057" t="str">
        <f>HYPERLINK("https://www.chemistwarehouse.com.au/buy/82454/Gillette-Fusion-ProShield-Cartridges-4-Pack"," Gillette Fusion ProShield Cartridges 4 Pack")</f>
        <v xml:space="preserve"> Gillette Fusion ProShield Cartridges 4 Pack</v>
      </c>
      <c r="C9057" t="s">
        <v>286</v>
      </c>
      <c r="D9057" t="s">
        <v>229</v>
      </c>
    </row>
    <row r="9058" spans="1:4" x14ac:dyDescent="0.25">
      <c r="B9058" t="str">
        <f>HYPERLINK("https://www.chemistwarehouse.com.au/buy/82455/Gillette-Fusion-ProShield-Cartridges-8-Pack"," Gillette Fusion ProShield Cartridges 8 Pack")</f>
        <v xml:space="preserve"> Gillette Fusion ProShield Cartridges 8 Pack</v>
      </c>
      <c r="C9058" t="s">
        <v>288</v>
      </c>
      <c r="D9058" t="s">
        <v>164</v>
      </c>
    </row>
    <row r="9059" spans="1:4" x14ac:dyDescent="0.25">
      <c r="B9059" t="str">
        <f>HYPERLINK("https://www.chemistwarehouse.com.au/buy/82456/Gillette-Fusion-ProShield-Chill-Cartridges-4-Pack"," Gillette Fusion ProShield Chill Cartridges 4 Pack")</f>
        <v xml:space="preserve"> Gillette Fusion ProShield Chill Cartridges 4 Pack</v>
      </c>
      <c r="C9059" t="s">
        <v>286</v>
      </c>
      <c r="D9059" t="s">
        <v>229</v>
      </c>
    </row>
    <row r="9060" spans="1:4" x14ac:dyDescent="0.25">
      <c r="A9060" t="s">
        <v>1961</v>
      </c>
    </row>
    <row r="9061" spans="1:4" x14ac:dyDescent="0.25">
      <c r="B9061" t="str">
        <f>HYPERLINK("https://www.chemistwarehouse.com.au/buy/65526/Schick-Exacta2-Sensitive-5-1-Disposable-Razors"," Schick Exacta2 Sensitive 5+1 Disposable Razors")</f>
        <v xml:space="preserve"> Schick Exacta2 Sensitive 5+1 Disposable Razors</v>
      </c>
      <c r="C9061" t="s">
        <v>728</v>
      </c>
      <c r="D9061" t="s">
        <v>327</v>
      </c>
    </row>
    <row r="9062" spans="1:4" x14ac:dyDescent="0.25">
      <c r="B9062" t="str">
        <f>HYPERLINK("https://www.chemistwarehouse.com.au/buy/51992/Schick-Quattro-Titanium-Blade-4pk"," Schick Quattro Titanium Blade 4pk")</f>
        <v xml:space="preserve"> Schick Quattro Titanium Blade 4pk</v>
      </c>
      <c r="C9062" t="s">
        <v>212</v>
      </c>
      <c r="D9062" t="s">
        <v>318</v>
      </c>
    </row>
    <row r="9063" spans="1:4" x14ac:dyDescent="0.25">
      <c r="B9063" t="str">
        <f>HYPERLINK("https://www.chemistwarehouse.com.au/buy/65528/Schick-Xtreme3-Sensitive-4-Disposable-Razors"," Schick Xtreme3 Sensitive 4 Disposable Razors")</f>
        <v xml:space="preserve"> Schick Xtreme3 Sensitive 4 Disposable Razors</v>
      </c>
      <c r="C9063" t="s">
        <v>483</v>
      </c>
      <c r="D9063" t="s">
        <v>371</v>
      </c>
    </row>
    <row r="9064" spans="1:4" x14ac:dyDescent="0.25">
      <c r="B9064" t="str">
        <f>HYPERLINK("https://www.chemistwarehouse.com.au/buy/67850/Schick-Quattro-Titanium-1-Up-Kit"," Schick Quattro Titanium 1 Up Kit")</f>
        <v xml:space="preserve"> Schick Quattro Titanium 1 Up Kit</v>
      </c>
      <c r="C9064" t="s">
        <v>98</v>
      </c>
      <c r="D9064">
        <v>0</v>
      </c>
    </row>
    <row r="9065" spans="1:4" x14ac:dyDescent="0.25">
      <c r="B9065" t="str">
        <f>HYPERLINK("https://www.chemistwarehouse.com.au/buy/62717/Schick-Hydro-Gel-sensitive-238g"," Schick Hydro Gel sensitive 238g")</f>
        <v xml:space="preserve"> Schick Hydro Gel sensitive 238g</v>
      </c>
      <c r="C9065" t="s">
        <v>556</v>
      </c>
      <c r="D9065" t="s">
        <v>371</v>
      </c>
    </row>
    <row r="9066" spans="1:4" x14ac:dyDescent="0.25">
      <c r="B9066" t="str">
        <f>HYPERLINK("https://www.chemistwarehouse.com.au/buy/79061/Schick-Hydro-5-Kit"," Schick Hydro 5 Kit")</f>
        <v xml:space="preserve"> Schick Hydro 5 Kit</v>
      </c>
      <c r="C9066" t="s">
        <v>98</v>
      </c>
      <c r="D9066" t="s">
        <v>312</v>
      </c>
    </row>
    <row r="9067" spans="1:4" x14ac:dyDescent="0.25">
      <c r="B9067" t="str">
        <f>HYPERLINK("https://www.chemistwarehouse.com.au/buy/79064/Schick-Hydro-Groomer-Kit"," Schick Hydro Groomer Kit")</f>
        <v xml:space="preserve"> Schick Hydro Groomer Kit</v>
      </c>
      <c r="C9067" t="s">
        <v>404</v>
      </c>
      <c r="D9067" t="s">
        <v>108</v>
      </c>
    </row>
    <row r="9068" spans="1:4" x14ac:dyDescent="0.25">
      <c r="B9068" t="str">
        <f>HYPERLINK("https://www.chemistwarehouse.com.au/buy/79060/Schick-Hydro-3-Refill-4-Cartridges"," Schick Hydro 3 Refill 4 Cartridges")</f>
        <v xml:space="preserve"> Schick Hydro 3 Refill 4 Cartridges</v>
      </c>
      <c r="C9068" t="s">
        <v>244</v>
      </c>
      <c r="D9068" t="s">
        <v>612</v>
      </c>
    </row>
    <row r="9069" spans="1:4" x14ac:dyDescent="0.25">
      <c r="B9069" t="str">
        <f>HYPERLINK("https://www.chemistwarehouse.com.au/buy/79065/Schick-Hydro-Groomer-Power-Refill"," Schick Hydro Groomer Power Refill")</f>
        <v xml:space="preserve"> Schick Hydro Groomer Power Refill</v>
      </c>
      <c r="C9069" t="s">
        <v>365</v>
      </c>
      <c r="D9069" t="s">
        <v>108</v>
      </c>
    </row>
    <row r="9070" spans="1:4" x14ac:dyDescent="0.25">
      <c r="B9070" t="str">
        <f>HYPERLINK("https://www.chemistwarehouse.com.au/buy/79062/Schick-Hydro-5-Power-Kit"," Schick Hydro 5 Power Kit")</f>
        <v xml:space="preserve"> Schick Hydro 5 Power Kit</v>
      </c>
      <c r="C9070" t="s">
        <v>228</v>
      </c>
      <c r="D9070" t="s">
        <v>121</v>
      </c>
    </row>
    <row r="9071" spans="1:4" x14ac:dyDescent="0.25">
      <c r="B9071" t="str">
        <f>HYPERLINK("https://www.chemistwarehouse.com.au/buy/79063/Schick-Hydro-5-Refill-4-Cartridges"," Schick Hydro 5 Refill 4 Cartridges")</f>
        <v xml:space="preserve"> Schick Hydro 5 Refill 4 Cartridges</v>
      </c>
      <c r="C9071" t="s">
        <v>61</v>
      </c>
      <c r="D9071" t="s">
        <v>115</v>
      </c>
    </row>
    <row r="9072" spans="1:4" x14ac:dyDescent="0.25">
      <c r="B9072" t="str">
        <f>HYPERLINK("https://www.chemistwarehouse.com.au/buy/79059/Schick-Hydro-3-Kit"," Schick Hydro 3 Kit")</f>
        <v xml:space="preserve"> Schick Hydro 3 Kit</v>
      </c>
      <c r="C9072" t="s">
        <v>240</v>
      </c>
      <c r="D9072" t="s">
        <v>561</v>
      </c>
    </row>
    <row r="9073" spans="1:4" x14ac:dyDescent="0.25">
      <c r="A9073" t="s">
        <v>1962</v>
      </c>
    </row>
    <row r="9074" spans="1:4" x14ac:dyDescent="0.25">
      <c r="B9074" t="str">
        <f>HYPERLINK("https://www.chemistwarehouse.com.au/buy/5421/Holdtite-Denture-Powder-70g"," Holdtite Denture Powder 70g")</f>
        <v xml:space="preserve"> Holdtite Denture Powder 70g</v>
      </c>
      <c r="C9074" t="s">
        <v>103</v>
      </c>
      <c r="D9074" t="s">
        <v>1086</v>
      </c>
    </row>
    <row r="9075" spans="1:4" x14ac:dyDescent="0.25">
      <c r="B9075" t="str">
        <f>HYPERLINK("https://www.chemistwarehouse.com.au/buy/7908/Steradent-Active-Plus-Denture-Cleansing-48-Tablets"," Steradent Active Plus Denture Cleansing 48 Tablets")</f>
        <v xml:space="preserve"> Steradent Active Plus Denture Cleansing 48 Tablets</v>
      </c>
      <c r="C9075" t="s">
        <v>116</v>
      </c>
      <c r="D9075" t="s">
        <v>1086</v>
      </c>
    </row>
    <row r="9076" spans="1:4" x14ac:dyDescent="0.25">
      <c r="B9076" t="str">
        <f>HYPERLINK("https://www.chemistwarehouse.com.au/buy/7187/Polident-Fresh-Active-Denture-Cleanser-36-Tablets"," Polident Fresh Active Denture Cleanser 36 Tablets")</f>
        <v xml:space="preserve"> Polident Fresh Active Denture Cleanser 36 Tablets</v>
      </c>
      <c r="C9076" t="s">
        <v>326</v>
      </c>
      <c r="D9076" t="s">
        <v>776</v>
      </c>
    </row>
    <row r="9077" spans="1:4" x14ac:dyDescent="0.25">
      <c r="B9077" t="str">
        <f>HYPERLINK("https://www.chemistwarehouse.com.au/buy/44657/Polident-Denture-Adhesive-Cream-Flavour-Free-60g"," Polident Denture Adhesive Cream Flavour Free 60g")</f>
        <v xml:space="preserve"> Polident Denture Adhesive Cream Flavour Free 60g</v>
      </c>
      <c r="C9077" t="s">
        <v>290</v>
      </c>
      <c r="D9077" t="s">
        <v>611</v>
      </c>
    </row>
    <row r="9078" spans="1:4" x14ac:dyDescent="0.25">
      <c r="B9078" t="str">
        <f>HYPERLINK("https://www.chemistwarehouse.com.au/buy/53406/Fittydent-Denture-Adhesive-40g"," Fittydent Denture Adhesive 40g")</f>
        <v xml:space="preserve"> Fittydent Denture Adhesive 40g</v>
      </c>
      <c r="C9078" t="s">
        <v>103</v>
      </c>
      <c r="D9078" t="s">
        <v>597</v>
      </c>
    </row>
    <row r="9079" spans="1:4" x14ac:dyDescent="0.25">
      <c r="B9079" t="str">
        <f>HYPERLINK("https://www.chemistwarehouse.com.au/buy/1815/Caldent-Denture-Cleaner-Sachets-16"," Caldent Denture Cleaner Sachets 16")</f>
        <v xml:space="preserve"> Caldent Denture Cleaner Sachets 16</v>
      </c>
      <c r="C9079" t="s">
        <v>242</v>
      </c>
      <c r="D9079" t="s">
        <v>561</v>
      </c>
    </row>
    <row r="9080" spans="1:4" x14ac:dyDescent="0.25">
      <c r="B9080" t="str">
        <f>HYPERLINK("https://www.chemistwarehouse.com.au/buy/61431/Fittydent-Denture-Adhesive-Cushions-15-Strips"," Fittydent Denture Adhesive Cushions 15 Strips")</f>
        <v xml:space="preserve"> Fittydent Denture Adhesive Cushions 15 Strips</v>
      </c>
      <c r="C9080" t="s">
        <v>782</v>
      </c>
      <c r="D9080">
        <v>0</v>
      </c>
    </row>
    <row r="9081" spans="1:4" x14ac:dyDescent="0.25">
      <c r="B9081" t="str">
        <f>HYPERLINK("https://www.chemistwarehouse.com.au/buy/44655/Polident-Denture-Adhesive-Cream-Fresh-Mint-60g"," Polident Denture Adhesive Cream Fresh Mint 60g")</f>
        <v xml:space="preserve"> Polident Denture Adhesive Cream Fresh Mint 60g</v>
      </c>
      <c r="C9081" t="s">
        <v>290</v>
      </c>
      <c r="D9081" t="s">
        <v>611</v>
      </c>
    </row>
    <row r="9082" spans="1:4" x14ac:dyDescent="0.25">
      <c r="B9082" t="str">
        <f>HYPERLINK("https://www.chemistwarehouse.com.au/buy/7905/Steradent-Active-Plus-Denture-Cleansing-Powder-200g"," Steradent Active Plus Denture Cleansing Powder 200g")</f>
        <v xml:space="preserve"> Steradent Active Plus Denture Cleansing Powder 200g</v>
      </c>
      <c r="C9082" t="s">
        <v>786</v>
      </c>
      <c r="D9082" t="s">
        <v>725</v>
      </c>
    </row>
    <row r="9083" spans="1:4" x14ac:dyDescent="0.25">
      <c r="B9083" t="str">
        <f>HYPERLINK("https://www.chemistwarehouse.com.au/buy/61432/Fittydent-Super-Denture-Cleaning-32-Tablets"," Fittydent Super Denture Cleaning 32 Tablets")</f>
        <v xml:space="preserve"> Fittydent Super Denture Cleaning 32 Tablets</v>
      </c>
      <c r="C9083" t="s">
        <v>116</v>
      </c>
      <c r="D9083" t="s">
        <v>1029</v>
      </c>
    </row>
    <row r="9084" spans="1:4" x14ac:dyDescent="0.25">
      <c r="B9084" t="str">
        <f>HYPERLINK("https://www.chemistwarehouse.com.au/buy/64876/Sea-Bond-Denture-Adhesive-Lowers-30"," Sea Bond Denture Adhesive Lowers 30")</f>
        <v xml:space="preserve"> Sea Bond Denture Adhesive Lowers 30</v>
      </c>
      <c r="C9084" t="s">
        <v>80</v>
      </c>
      <c r="D9084" t="s">
        <v>371</v>
      </c>
    </row>
    <row r="9085" spans="1:4" x14ac:dyDescent="0.25">
      <c r="B9085" t="str">
        <f>HYPERLINK("https://www.chemistwarehouse.com.au/buy/64877/Sea-Bond-Denture-Adhesive-Uppers-30"," Sea Bond Denture Adhesive Uppers 30")</f>
        <v xml:space="preserve"> Sea Bond Denture Adhesive Uppers 30</v>
      </c>
      <c r="C9085" t="s">
        <v>80</v>
      </c>
      <c r="D9085" t="s">
        <v>371</v>
      </c>
    </row>
    <row r="9086" spans="1:4" x14ac:dyDescent="0.25">
      <c r="B9086" t="str">
        <f>HYPERLINK("https://www.chemistwarehouse.com.au/buy/69459/Steradent-Ultra-3-Fixative-40g"," Steradent Ultra 3 Fixative 40g")</f>
        <v xml:space="preserve"> Steradent Ultra 3 Fixative 40g</v>
      </c>
      <c r="C9086" t="s">
        <v>782</v>
      </c>
      <c r="D9086" t="s">
        <v>611</v>
      </c>
    </row>
    <row r="9087" spans="1:4" x14ac:dyDescent="0.25">
      <c r="B9087" t="str">
        <f>HYPERLINK("https://www.chemistwarehouse.com.au/buy/79562/Health-amp-Beauty-Denture-Brush"," Health &amp; Beauty Denture Brush ")</f>
        <v xml:space="preserve"> Health &amp; Beauty Denture Brush </v>
      </c>
      <c r="C9087" t="s">
        <v>635</v>
      </c>
      <c r="D9087" t="s">
        <v>312</v>
      </c>
    </row>
    <row r="9088" spans="1:4" x14ac:dyDescent="0.25">
      <c r="B9088" t="str">
        <f>HYPERLINK("https://www.chemistwarehouse.com.au/buy/82702/Health-amp-Wellness-Denture-Bath"," Health &amp; Wellness Denture Bath")</f>
        <v xml:space="preserve"> Health &amp; Wellness Denture Bath</v>
      </c>
      <c r="C9088" t="s">
        <v>635</v>
      </c>
      <c r="D9088" t="s">
        <v>312</v>
      </c>
    </row>
    <row r="9089" spans="1:4" x14ac:dyDescent="0.25">
      <c r="B9089" t="str">
        <f>HYPERLINK("https://www.chemistwarehouse.com.au/buy/5423/Holdtite-Denture-Cream-58g"," Holdtite Denture Cream 58g")</f>
        <v xml:space="preserve"> Holdtite Denture Cream 58g</v>
      </c>
      <c r="C9089" t="s">
        <v>103</v>
      </c>
      <c r="D9089" t="s">
        <v>785</v>
      </c>
    </row>
    <row r="9090" spans="1:4" x14ac:dyDescent="0.25">
      <c r="B9090" t="str">
        <f>HYPERLINK("https://www.chemistwarehouse.com.au/buy/44664/Steradent-Extra-Strength-Whitening-Denture-Cleansing-30-Tablets"," Steradent Extra Strength Whitening Denture Cleansing 30 Tablets")</f>
        <v xml:space="preserve"> Steradent Extra Strength Whitening Denture Cleansing 30 Tablets</v>
      </c>
      <c r="C9090" t="s">
        <v>375</v>
      </c>
      <c r="D9090" t="s">
        <v>727</v>
      </c>
    </row>
    <row r="9091" spans="1:4" x14ac:dyDescent="0.25">
      <c r="A9091" t="s">
        <v>1963</v>
      </c>
    </row>
    <row r="9092" spans="1:4" x14ac:dyDescent="0.25">
      <c r="B9092" t="str">
        <f>HYPERLINK("https://www.chemistwarehouse.com.au/buy/76238/Colgate-Toothbrush-Extra-Clean-Medium-4-Pack"," Colgate Toothbrush Extra Clean Medium 4 Pack")</f>
        <v xml:space="preserve"> Colgate Toothbrush Extra Clean Medium 4 Pack</v>
      </c>
      <c r="C9092" t="s">
        <v>483</v>
      </c>
      <c r="D9092" t="s">
        <v>371</v>
      </c>
    </row>
    <row r="9093" spans="1:4" x14ac:dyDescent="0.25">
      <c r="B9093" t="str">
        <f>HYPERLINK("https://www.chemistwarehouse.com.au/buy/71431/Colgate-Slim-Soft-Toothbrush-Charcoal-1-Pack"," Colgate Slim Soft Toothbrush Charcoal 1 Pack")</f>
        <v xml:space="preserve"> Colgate Slim Soft Toothbrush Charcoal 1 Pack</v>
      </c>
      <c r="C9093" t="s">
        <v>1357</v>
      </c>
      <c r="D9093" t="s">
        <v>593</v>
      </c>
    </row>
    <row r="9094" spans="1:4" x14ac:dyDescent="0.25">
      <c r="B9094" t="str">
        <f>HYPERLINK("https://www.chemistwarehouse.com.au/buy/51787/Colgate-Toothbrush-360-Degree-Sensitive-Ultra-Soft"," Colgate Toothbrush 360 Degree Sensitive Ultra Soft")</f>
        <v xml:space="preserve"> Colgate Toothbrush 360 Degree Sensitive Ultra Soft</v>
      </c>
      <c r="C9094" t="s">
        <v>483</v>
      </c>
      <c r="D9094" t="s">
        <v>371</v>
      </c>
    </row>
    <row r="9095" spans="1:4" x14ac:dyDescent="0.25">
      <c r="B9095" t="str">
        <f>HYPERLINK("https://www.chemistwarehouse.com.au/buy/49396/Colgate-Toothbrush-360-Degree-Medium"," Colgate Toothbrush 360 Degree Medium")</f>
        <v xml:space="preserve"> Colgate Toothbrush 360 Degree Medium</v>
      </c>
      <c r="C9095" t="s">
        <v>483</v>
      </c>
      <c r="D9095" t="s">
        <v>371</v>
      </c>
    </row>
    <row r="9096" spans="1:4" x14ac:dyDescent="0.25">
      <c r="B9096" t="str">
        <f>HYPERLINK("https://www.chemistwarehouse.com.au/buy/32983/Colgate-Toothbrush-Child-Smiles-My-First-0-2-Years"," Colgate Toothbrush Child Smiles My First 0-2 Years")</f>
        <v xml:space="preserve"> Colgate Toothbrush Child Smiles My First 0-2 Years</v>
      </c>
      <c r="C9096" t="s">
        <v>146</v>
      </c>
      <c r="D9096" t="s">
        <v>312</v>
      </c>
    </row>
    <row r="9097" spans="1:4" x14ac:dyDescent="0.25">
      <c r="B9097" t="str">
        <f>HYPERLINK("https://www.chemistwarehouse.com.au/buy/65791/Colgate-Toothbrush-360-Degree-Soft-Twin-Pack"," Colgate Toothbrush 360 Degree Soft Twin Pack")</f>
        <v xml:space="preserve"> Colgate Toothbrush 360 Degree Soft Twin Pack</v>
      </c>
      <c r="C9097" t="s">
        <v>1608</v>
      </c>
      <c r="D9097" t="s">
        <v>1964</v>
      </c>
    </row>
    <row r="9098" spans="1:4" x14ac:dyDescent="0.25">
      <c r="B9098" t="str">
        <f>HYPERLINK("https://www.chemistwarehouse.com.au/buy/66129/Colgate-Toothbrush-Zig-Zag-Plus-Medium-6-Pack"," Colgate Toothbrush Zig Zag Plus Medium 6 Pack")</f>
        <v xml:space="preserve"> Colgate Toothbrush Zig Zag Plus Medium 6 Pack</v>
      </c>
      <c r="C9098" t="s">
        <v>103</v>
      </c>
      <c r="D9098" t="s">
        <v>104</v>
      </c>
    </row>
    <row r="9099" spans="1:4" x14ac:dyDescent="0.25">
      <c r="B9099" t="str">
        <f>HYPERLINK("https://www.chemistwarehouse.com.au/buy/60607/Colgate-Toothbrush-Child-Smiles-2-5-Years"," Colgate Toothbrush Child Smiles 2-5 Years")</f>
        <v xml:space="preserve"> Colgate Toothbrush Child Smiles 2-5 Years</v>
      </c>
      <c r="C9099" t="s">
        <v>146</v>
      </c>
      <c r="D9099" t="s">
        <v>1965</v>
      </c>
    </row>
    <row r="9100" spans="1:4" x14ac:dyDescent="0.25">
      <c r="B9100" t="str">
        <f>HYPERLINK("https://www.chemistwarehouse.com.au/buy/50704/Colgate-Toothbrush-360-Degree-Soft"," Colgate Toothbrush 360 Degree Soft")</f>
        <v xml:space="preserve"> Colgate Toothbrush 360 Degree Soft</v>
      </c>
      <c r="C9100" t="s">
        <v>483</v>
      </c>
      <c r="D9100" t="s">
        <v>371</v>
      </c>
    </row>
    <row r="9101" spans="1:4" x14ac:dyDescent="0.25">
      <c r="B9101" t="str">
        <f>HYPERLINK("https://www.chemistwarehouse.com.au/buy/63414/Colgate-Toothbrush-Max-White-One-Sonic-Power-Medium"," Colgate Toothbrush Max White One Sonic Power Medium")</f>
        <v xml:space="preserve"> Colgate Toothbrush Max White One Sonic Power Medium</v>
      </c>
      <c r="C9101" t="s">
        <v>92</v>
      </c>
      <c r="D9101" t="s">
        <v>371</v>
      </c>
    </row>
    <row r="9102" spans="1:4" x14ac:dyDescent="0.25">
      <c r="B9102" t="str">
        <f>HYPERLINK("https://www.chemistwarehouse.com.au/buy/59632/Colgate-Interdental-Kit-4mm"," Colgate Interdental Kit 4mm")</f>
        <v xml:space="preserve"> Colgate Interdental Kit 4mm</v>
      </c>
      <c r="C9102" t="s">
        <v>92</v>
      </c>
      <c r="D9102" t="s">
        <v>371</v>
      </c>
    </row>
    <row r="9103" spans="1:4" x14ac:dyDescent="0.25">
      <c r="B9103" t="str">
        <f>HYPERLINK("https://www.chemistwarehouse.com.au/buy/32982/Colgate-Toothbrush-Zig-Zag-Soft"," Colgate Toothbrush Zig Zag Soft")</f>
        <v xml:space="preserve"> Colgate Toothbrush Zig Zag Soft</v>
      </c>
      <c r="C9103" t="s">
        <v>1966</v>
      </c>
      <c r="D9103" t="s">
        <v>1416</v>
      </c>
    </row>
    <row r="9104" spans="1:4" x14ac:dyDescent="0.25">
      <c r="B9104" t="str">
        <f>HYPERLINK("https://www.chemistwarehouse.com.au/buy/72151/Colgate-Toothbrush-Zig-Zag-Soft-6pk"," Colgate Toothbrush Zig Zag Soft 6pk")</f>
        <v xml:space="preserve"> Colgate Toothbrush Zig Zag Soft 6pk</v>
      </c>
      <c r="C9104" t="s">
        <v>103</v>
      </c>
      <c r="D9104" t="s">
        <v>104</v>
      </c>
    </row>
    <row r="9105" spans="1:4" x14ac:dyDescent="0.25">
      <c r="B9105" t="str">
        <f>HYPERLINK("https://www.chemistwarehouse.com.au/buy/75032/Colgate-Toothbrush-Soft-2-Pack"," Colgate Toothbrush Soft 2 Pack")</f>
        <v xml:space="preserve"> Colgate Toothbrush Soft 2 Pack</v>
      </c>
      <c r="C9105" t="s">
        <v>146</v>
      </c>
      <c r="D9105">
        <v>0</v>
      </c>
    </row>
    <row r="9106" spans="1:4" x14ac:dyDescent="0.25">
      <c r="B9106" t="str">
        <f>HYPERLINK("https://www.chemistwarehouse.com.au/buy/75035/Colgate-Toothbrush-Total-Massage-Soft"," Colgate Toothbrush Total Massage Soft")</f>
        <v xml:space="preserve"> Colgate Toothbrush Total Massage Soft</v>
      </c>
      <c r="C9106" t="s">
        <v>146</v>
      </c>
      <c r="D9106">
        <v>0</v>
      </c>
    </row>
    <row r="9107" spans="1:4" x14ac:dyDescent="0.25">
      <c r="B9107" t="str">
        <f>HYPERLINK("https://www.chemistwarehouse.com.au/buy/75323/Colgate-Slim-Soft-Dual-Action-Manual-Tooth-Brush-1-Pack"," Colgate Slim Soft Dual Action Manual Tooth Brush 1 Pack")</f>
        <v xml:space="preserve"> Colgate Slim Soft Dual Action Manual Tooth Brush 1 Pack</v>
      </c>
      <c r="C9107" t="s">
        <v>1357</v>
      </c>
      <c r="D9107" t="s">
        <v>593</v>
      </c>
    </row>
    <row r="9108" spans="1:4" x14ac:dyDescent="0.25">
      <c r="B9108" t="str">
        <f>HYPERLINK("https://www.chemistwarehouse.com.au/buy/81455/Colgate-Toothbrush-Wave-Zig-Zag-Soft-4-Pack"," Colgate Toothbrush Wave Zig Zag Soft 4 Pack")</f>
        <v xml:space="preserve"> Colgate Toothbrush Wave Zig Zag Soft 4 Pack</v>
      </c>
      <c r="C9108" t="s">
        <v>116</v>
      </c>
      <c r="D9108">
        <v>0</v>
      </c>
    </row>
    <row r="9109" spans="1:4" x14ac:dyDescent="0.25">
      <c r="B9109" t="str">
        <f>HYPERLINK("https://www.chemistwarehouse.com.au/buy/82489/Colgate-Toothbrush-360-Advanced-Medium-1-Pack"," Colgate Toothbrush 360 Advanced Medium 1 Pack")</f>
        <v xml:space="preserve"> Colgate Toothbrush 360 Advanced Medium 1 Pack</v>
      </c>
      <c r="C9109" t="s">
        <v>326</v>
      </c>
      <c r="D9109" t="s">
        <v>327</v>
      </c>
    </row>
    <row r="9110" spans="1:4" x14ac:dyDescent="0.25">
      <c r="B9110" t="str">
        <f>HYPERLINK("https://www.chemistwarehouse.com.au/buy/82490/Colgate-Toothbrush-360-Advanced-Soft-1-Pack"," Colgate Toothbrush 360 Advanced Soft 1 Pack")</f>
        <v xml:space="preserve"> Colgate Toothbrush 360 Advanced Soft 1 Pack</v>
      </c>
      <c r="C9110" t="s">
        <v>326</v>
      </c>
      <c r="D9110" t="s">
        <v>327</v>
      </c>
    </row>
    <row r="9111" spans="1:4" x14ac:dyDescent="0.25">
      <c r="B9111" t="str">
        <f>HYPERLINK("https://www.chemistwarehouse.com.au/buy/82491/Colgate-Toothbrush-360-Sensitive-2-Pack"," Colgate Toothbrush 360 Sensitive 2 Pack")</f>
        <v xml:space="preserve"> Colgate Toothbrush 360 Sensitive 2 Pack</v>
      </c>
      <c r="C9111" t="s">
        <v>242</v>
      </c>
      <c r="D9111" t="s">
        <v>327</v>
      </c>
    </row>
    <row r="9112" spans="1:4" x14ac:dyDescent="0.25">
      <c r="B9112" t="str">
        <f>HYPERLINK("https://www.chemistwarehouse.com.au/buy/82691/Colgate-Spongebob-Toothbrushes-2-Pack"," Colgate Spongebob Toothbrushes 2 Pack")</f>
        <v xml:space="preserve"> Colgate Spongebob Toothbrushes 2 Pack</v>
      </c>
      <c r="C9112" t="s">
        <v>146</v>
      </c>
      <c r="D9112" t="s">
        <v>371</v>
      </c>
    </row>
    <row r="9113" spans="1:4" x14ac:dyDescent="0.25">
      <c r="B9113" t="str">
        <f>HYPERLINK("https://www.chemistwarehouse.com.au/buy/82692/Colgate-Dora-The-Explorer-Toothbrushes-2-Pack"," Colgate Dora The Explorer Toothbrushes 2 Pack")</f>
        <v xml:space="preserve"> Colgate Dora The Explorer Toothbrushes 2 Pack</v>
      </c>
      <c r="C9113" t="s">
        <v>146</v>
      </c>
      <c r="D9113" t="s">
        <v>371</v>
      </c>
    </row>
    <row r="9114" spans="1:4" x14ac:dyDescent="0.25">
      <c r="B9114" t="str">
        <f>HYPERLINK("https://www.chemistwarehouse.com.au/buy/82834/Colgate-Toothbrush-Zig-Zag-Medium-Single-Pack"," Colgate Toothbrush Zig Zag Medium Single Pack")</f>
        <v xml:space="preserve"> Colgate Toothbrush Zig Zag Medium Single Pack</v>
      </c>
      <c r="C9114" t="s">
        <v>635</v>
      </c>
      <c r="D9114">
        <v>0</v>
      </c>
    </row>
    <row r="9115" spans="1:4" x14ac:dyDescent="0.25">
      <c r="B9115" t="str">
        <f>HYPERLINK("https://www.chemistwarehouse.com.au/buy/71430/Colgate-Floss-Tip-Toothbrush-Soft-1-Pack"," Colgate Floss Tip Toothbrush Soft 1 Pack")</f>
        <v xml:space="preserve"> Colgate Floss Tip Toothbrush Soft 1 Pack</v>
      </c>
      <c r="C9115" t="s">
        <v>1285</v>
      </c>
      <c r="D9115" t="s">
        <v>593</v>
      </c>
    </row>
    <row r="9116" spans="1:4" x14ac:dyDescent="0.25">
      <c r="A9116" t="s">
        <v>1967</v>
      </c>
    </row>
    <row r="9117" spans="1:4" x14ac:dyDescent="0.25">
      <c r="B9117" t="str">
        <f>HYPERLINK("https://www.chemistwarehouse.com.au/buy/55503/Macleans-Milk-Teeth-Brush"," Macleans Milk Teeth Brush")</f>
        <v xml:space="preserve"> Macleans Milk Teeth Brush</v>
      </c>
      <c r="C9117" t="s">
        <v>146</v>
      </c>
      <c r="D9117" t="s">
        <v>1332</v>
      </c>
    </row>
    <row r="9118" spans="1:4" x14ac:dyDescent="0.25">
      <c r="B9118" t="str">
        <f>HYPERLINK("https://www.chemistwarehouse.com.au/buy/64400/Macleans-Toothbrush-Little-Teeth-Soft"," Macleans Toothbrush Little Teeth Soft")</f>
        <v xml:space="preserve"> Macleans Toothbrush Little Teeth Soft</v>
      </c>
      <c r="C9118" t="s">
        <v>728</v>
      </c>
      <c r="D9118" t="s">
        <v>776</v>
      </c>
    </row>
    <row r="9119" spans="1:4" x14ac:dyDescent="0.25">
      <c r="B9119" t="str">
        <f>HYPERLINK("https://www.chemistwarehouse.com.au/buy/64401/Macleans-Toothbrush-Big-Teeth-Soft"," Macleans Toothbrush Big Teeth Soft")</f>
        <v xml:space="preserve"> Macleans Toothbrush Big Teeth Soft</v>
      </c>
      <c r="C9119" t="s">
        <v>728</v>
      </c>
      <c r="D9119" t="s">
        <v>776</v>
      </c>
    </row>
    <row r="9120" spans="1:4" x14ac:dyDescent="0.25">
      <c r="A9120" t="s">
        <v>1968</v>
      </c>
    </row>
    <row r="9121" spans="2:4" x14ac:dyDescent="0.25">
      <c r="B9121" t="str">
        <f>HYPERLINK("https://www.chemistwarehouse.com.au/buy/64133/Oral-B-Sensitive-Clean-2-pack"," Oral B Sensitive Clean 2 pack")</f>
        <v xml:space="preserve"> Oral B Sensitive Clean 2 pack</v>
      </c>
      <c r="C9121" t="s">
        <v>237</v>
      </c>
      <c r="D9121" t="s">
        <v>371</v>
      </c>
    </row>
    <row r="9122" spans="2:4" x14ac:dyDescent="0.25">
      <c r="B9122" t="str">
        <f>HYPERLINK("https://www.chemistwarehouse.com.au/buy/53106/Oral-B-Denture-Brush"," Oral B Denture Brush")</f>
        <v xml:space="preserve"> Oral B Denture Brush</v>
      </c>
      <c r="C9122" t="s">
        <v>786</v>
      </c>
      <c r="D9122" t="s">
        <v>611</v>
      </c>
    </row>
    <row r="9123" spans="2:4" x14ac:dyDescent="0.25">
      <c r="B9123" t="str">
        <f>HYPERLINK("https://www.chemistwarehouse.com.au/buy/47438/Oral-B-Toothbrush-Ortho-Brush"," Oral B Toothbrush Ortho Brush ")</f>
        <v xml:space="preserve"> Oral B Toothbrush Ortho Brush </v>
      </c>
      <c r="C9123" t="s">
        <v>556</v>
      </c>
      <c r="D9123" t="s">
        <v>371</v>
      </c>
    </row>
    <row r="9124" spans="2:4" x14ac:dyDescent="0.25">
      <c r="B9124" t="str">
        <f>HYPERLINK("https://www.chemistwarehouse.com.au/buy/62828/Oral-B-Toothbrush-Classic-Care-Medium-Duo"," Oral B Toothbrush Classic Care Medium Duo")</f>
        <v xml:space="preserve"> Oral B Toothbrush Classic Care Medium Duo</v>
      </c>
      <c r="C9124" t="s">
        <v>146</v>
      </c>
      <c r="D9124">
        <v>0</v>
      </c>
    </row>
    <row r="9125" spans="2:4" x14ac:dyDescent="0.25">
      <c r="B9125" t="str">
        <f>HYPERLINK("https://www.chemistwarehouse.com.au/buy/53048/Oral-B-Cross-Action-Power-Replacement-Toothbrush-Heads-Medium-2"," Oral B Cross Action Power Replacement Toothbrush Heads Medium 2")</f>
        <v xml:space="preserve"> Oral B Cross Action Power Replacement Toothbrush Heads Medium 2</v>
      </c>
      <c r="C9125" t="s">
        <v>92</v>
      </c>
      <c r="D9125" t="s">
        <v>800</v>
      </c>
    </row>
    <row r="9126" spans="2:4" x14ac:dyDescent="0.25">
      <c r="B9126" t="str">
        <f>HYPERLINK("https://www.chemistwarehouse.com.au/buy/44505/Oral-B-Toothbrush-Stages-2-2-4-years"," Oral B Toothbrush Stages 2 2-4 years")</f>
        <v xml:space="preserve"> Oral B Toothbrush Stages 2 2-4 years</v>
      </c>
      <c r="C9126" t="s">
        <v>728</v>
      </c>
      <c r="D9126" t="s">
        <v>327</v>
      </c>
    </row>
    <row r="9127" spans="2:4" x14ac:dyDescent="0.25">
      <c r="B9127" t="str">
        <f>HYPERLINK("https://www.chemistwarehouse.com.au/buy/44507/Oral-B-Toothbrush-Stages-4-8-years"," Oral B Toothbrush Stages 4 8+ years")</f>
        <v xml:space="preserve"> Oral B Toothbrush Stages 4 8+ years</v>
      </c>
      <c r="C9127" t="s">
        <v>728</v>
      </c>
      <c r="D9127" t="s">
        <v>327</v>
      </c>
    </row>
    <row r="9128" spans="2:4" x14ac:dyDescent="0.25">
      <c r="B9128" t="str">
        <f>HYPERLINK("https://www.chemistwarehouse.com.au/buy/44504/Oral-B-Toothbrush-Stages-1-4-24months"," Oral B Toothbrush Stages 1 4-24months")</f>
        <v xml:space="preserve"> Oral B Toothbrush Stages 1 4-24months</v>
      </c>
      <c r="C9128" t="s">
        <v>728</v>
      </c>
      <c r="D9128" t="s">
        <v>327</v>
      </c>
    </row>
    <row r="9129" spans="2:4" x14ac:dyDescent="0.25">
      <c r="B9129" t="str">
        <f>HYPERLINK("https://www.chemistwarehouse.com.au/buy/44506/Oral-B-Toothbrush-Stages-3-5-7-years"," Oral B Toothbrush Stages 3 5-7 years")</f>
        <v xml:space="preserve"> Oral B Toothbrush Stages 3 5-7 years</v>
      </c>
      <c r="C9129" t="s">
        <v>483</v>
      </c>
      <c r="D9129" t="s">
        <v>1969</v>
      </c>
    </row>
    <row r="9130" spans="2:4" x14ac:dyDescent="0.25">
      <c r="B9130" t="str">
        <f>HYPERLINK("https://www.chemistwarehouse.com.au/buy/55540/Oral-B-Precsion-Clean-2-Pack"," Oral B Precsion Clean 2 Pack")</f>
        <v xml:space="preserve"> Oral B Precsion Clean 2 Pack</v>
      </c>
      <c r="C9130" t="s">
        <v>45</v>
      </c>
      <c r="D9130" t="s">
        <v>104</v>
      </c>
    </row>
    <row r="9131" spans="2:4" x14ac:dyDescent="0.25">
      <c r="B9131" t="str">
        <f>HYPERLINK("https://www.chemistwarehouse.com.au/buy/56726/Oral-B-Toothbrush-Cross-Action-Anti-Bacterial-40-Medium"," Oral B Toothbrush Cross Action Anti-Bacterial 40 Medium")</f>
        <v xml:space="preserve"> Oral B Toothbrush Cross Action Anti-Bacterial 40 Medium</v>
      </c>
      <c r="C9131" t="s">
        <v>1746</v>
      </c>
      <c r="D9131" t="s">
        <v>785</v>
      </c>
    </row>
    <row r="9132" spans="2:4" x14ac:dyDescent="0.25">
      <c r="B9132" t="str">
        <f>HYPERLINK("https://www.chemistwarehouse.com.au/buy/60366/Oral-B-All-Rounder-Fresh-Clean-40-Soft"," Oral B All Rounder Fresh Clean 40 Soft")</f>
        <v xml:space="preserve"> Oral B All Rounder Fresh Clean 40 Soft</v>
      </c>
      <c r="C9132" t="s">
        <v>635</v>
      </c>
      <c r="D9132" t="s">
        <v>371</v>
      </c>
    </row>
    <row r="9133" spans="2:4" x14ac:dyDescent="0.25">
      <c r="B9133" t="str">
        <f>HYPERLINK("https://www.chemistwarehouse.com.au/buy/60367/Oral-B-All-Rounder-Fresh-Clean-40-Medium"," Oral B All Rounder Fresh Clean 40 Medium")</f>
        <v xml:space="preserve"> Oral B All Rounder Fresh Clean 40 Medium</v>
      </c>
      <c r="C9133" t="s">
        <v>635</v>
      </c>
      <c r="D9133" t="s">
        <v>371</v>
      </c>
    </row>
    <row r="9134" spans="2:4" x14ac:dyDescent="0.25">
      <c r="B9134" t="str">
        <f>HYPERLINK("https://www.chemistwarehouse.com.au/buy/61584/Oral-B-Cross-Action-Power-Anti-Bacterial-Handle-Toothbrush-Soft"," Oral B Cross Action Power Anti-Bacterial Handle Toothbrush Soft")</f>
        <v xml:space="preserve"> Oral B Cross Action Power Anti-Bacterial Handle Toothbrush Soft</v>
      </c>
      <c r="C9134" t="s">
        <v>1970</v>
      </c>
      <c r="D9134" t="s">
        <v>235</v>
      </c>
    </row>
    <row r="9135" spans="2:4" x14ac:dyDescent="0.25">
      <c r="B9135" t="str">
        <f>HYPERLINK("https://www.chemistwarehouse.com.au/buy/65763/Oral-B-Pro-Health-Clinical-Pro-Flex-Soft-1-Pack"," Oral B Pro Health Clinical Pro Flex Soft 1 Pack")</f>
        <v xml:space="preserve"> Oral B Pro Health Clinical Pro Flex Soft 1 Pack</v>
      </c>
      <c r="C9135" t="s">
        <v>174</v>
      </c>
      <c r="D9135" t="s">
        <v>612</v>
      </c>
    </row>
    <row r="9136" spans="2:4" x14ac:dyDescent="0.25">
      <c r="B9136" t="str">
        <f>HYPERLINK("https://www.chemistwarehouse.com.au/buy/67914/Oral-B-Complete-5-Way-Clean-40-Medium-2-Pack"," Oral B Complete 5 Way Clean 40 Medium 2 Pack")</f>
        <v xml:space="preserve"> Oral B Complete 5 Way Clean 40 Medium 2 Pack</v>
      </c>
      <c r="C9136" t="s">
        <v>786</v>
      </c>
      <c r="D9136" t="s">
        <v>318</v>
      </c>
    </row>
    <row r="9137" spans="1:4" x14ac:dyDescent="0.25">
      <c r="B9137" t="str">
        <f>HYPERLINK("https://www.chemistwarehouse.com.au/buy/80423/Oral-B-Cross-Action-Superior-Clean-40-Medium-2-Pack-Plus-Paste-22g"," Oral B Cross Action Superior Clean 40 Medium 2 Pack Plus Paste 22g")</f>
        <v xml:space="preserve"> Oral B Cross Action Superior Clean 40 Medium 2 Pack Plus Paste 22g</v>
      </c>
      <c r="C9137" t="s">
        <v>1971</v>
      </c>
      <c r="D9137" t="s">
        <v>809</v>
      </c>
    </row>
    <row r="9138" spans="1:4" x14ac:dyDescent="0.25">
      <c r="B9138" t="str">
        <f>HYPERLINK("https://www.chemistwarehouse.com.au/buy/80424/Oral-B-Cross-Action-Superior-Clean-40-Medium-Plus-Paste-22g"," Oral B Cross Action Superior Clean 40 Medium Plus Paste 22g")</f>
        <v xml:space="preserve"> Oral B Cross Action Superior Clean 40 Medium Plus Paste 22g</v>
      </c>
      <c r="C9138" t="s">
        <v>1746</v>
      </c>
      <c r="D9138" t="s">
        <v>785</v>
      </c>
    </row>
    <row r="9139" spans="1:4" x14ac:dyDescent="0.25">
      <c r="B9139" t="str">
        <f>HYPERLINK("https://www.chemistwarehouse.com.au/buy/80425/Oral-B-Fresh-Clean-40-Medium-2-Pack-Plus-Paste-22g"," Oral B Fresh Clean 40 Medium 2 Pack Plus Paste 22g")</f>
        <v xml:space="preserve"> Oral B Fresh Clean 40 Medium 2 Pack Plus Paste 22g</v>
      </c>
      <c r="C9139" t="s">
        <v>483</v>
      </c>
      <c r="D9139" t="s">
        <v>785</v>
      </c>
    </row>
    <row r="9140" spans="1:4" x14ac:dyDescent="0.25">
      <c r="B9140" t="str">
        <f>HYPERLINK("https://www.chemistwarehouse.com.au/buy/80426/Oral-B-Fresh-Clean-40-Soft-2-Pack-Plus-Paste-22g"," Oral B Fresh Clean 40 Soft 2 Pack Plus Paste 22g")</f>
        <v xml:space="preserve"> Oral B Fresh Clean 40 Soft 2 Pack Plus Paste 22g</v>
      </c>
      <c r="C9140" t="s">
        <v>483</v>
      </c>
      <c r="D9140" t="s">
        <v>785</v>
      </c>
    </row>
    <row r="9141" spans="1:4" x14ac:dyDescent="0.25">
      <c r="B9141" t="str">
        <f>HYPERLINK("https://www.chemistwarehouse.com.au/buy/82557/Oral-B-Compact-Gum-Care-Toothbrush-2-Pack"," Oral B Compact Gum Care Toothbrush 2 Pack")</f>
        <v xml:space="preserve"> Oral B Compact Gum Care Toothbrush 2 Pack</v>
      </c>
      <c r="C9141" t="s">
        <v>556</v>
      </c>
      <c r="D9141" t="s">
        <v>312</v>
      </c>
    </row>
    <row r="9142" spans="1:4" x14ac:dyDescent="0.25">
      <c r="B9142" t="str">
        <f>HYPERLINK("https://www.chemistwarehouse.com.au/buy/82558/Oral-B-Precision-Gum-Care-Toothbrush-2-Pack"," Oral B Precision Gum Care Toothbrush 2 Pack")</f>
        <v xml:space="preserve"> Oral B Precision Gum Care Toothbrush 2 Pack</v>
      </c>
      <c r="C9142" t="s">
        <v>92</v>
      </c>
      <c r="D9142" t="s">
        <v>115</v>
      </c>
    </row>
    <row r="9143" spans="1:4" x14ac:dyDescent="0.25">
      <c r="B9143" t="str">
        <f>HYPERLINK("https://www.chemistwarehouse.com.au/buy/72322/Oral-B-Toothbrush-All-Rounder-1-2-3-Clean-3-Pack"," Oral B Toothbrush All Rounder 1 2 3 Clean 3 Pack")</f>
        <v xml:space="preserve"> Oral B Toothbrush All Rounder 1 2 3 Clean 3 Pack</v>
      </c>
      <c r="C9143" t="s">
        <v>146</v>
      </c>
      <c r="D9143">
        <v>0</v>
      </c>
    </row>
    <row r="9144" spans="1:4" x14ac:dyDescent="0.25">
      <c r="B9144" t="str">
        <f>HYPERLINK("https://www.chemistwarehouse.com.au/buy/72323/Oral-B-Toothbrush-Complete-Anti-Bacterial-Medium"," Oral B Toothbrush Complete Anti Bacterial Medium")</f>
        <v xml:space="preserve"> Oral B Toothbrush Complete Anti Bacterial Medium</v>
      </c>
      <c r="C9144" t="s">
        <v>371</v>
      </c>
      <c r="D9144" t="s">
        <v>635</v>
      </c>
    </row>
    <row r="9145" spans="1:4" x14ac:dyDescent="0.25">
      <c r="A9145" t="s">
        <v>1972</v>
      </c>
    </row>
    <row r="9146" spans="1:4" x14ac:dyDescent="0.25">
      <c r="B9146" t="str">
        <f>HYPERLINK("https://www.chemistwarehouse.com.au/buy/63734/Piksters-Inter-Brush-Size-2-Pack-10-white"," Piksters Inter Brush Size 2 Pack 10 (white)")</f>
        <v xml:space="preserve"> Piksters Inter Brush Size 2 Pack 10 (white)</v>
      </c>
      <c r="C9146" t="s">
        <v>610</v>
      </c>
      <c r="D9146" t="s">
        <v>814</v>
      </c>
    </row>
    <row r="9147" spans="1:4" x14ac:dyDescent="0.25">
      <c r="B9147" t="str">
        <f>HYPERLINK("https://www.chemistwarehouse.com.au/buy/63729/Piksters-Inter-Brush-Size-5-Pack-10-blue"," Piksters Inter Brush Size 5 Pack 10 (blue)")</f>
        <v xml:space="preserve"> Piksters Inter Brush Size 5 Pack 10 (blue)</v>
      </c>
      <c r="C9147" t="s">
        <v>610</v>
      </c>
      <c r="D9147" t="s">
        <v>814</v>
      </c>
    </row>
    <row r="9148" spans="1:4" x14ac:dyDescent="0.25">
      <c r="B9148" t="str">
        <f>HYPERLINK("https://www.chemistwarehouse.com.au/buy/71809/Piksters-Supa-Grips-50-Pack"," Piksters Supa Grips 50 Pack")</f>
        <v xml:space="preserve"> Piksters Supa Grips 50 Pack</v>
      </c>
      <c r="C9148" t="s">
        <v>116</v>
      </c>
      <c r="D9148" t="s">
        <v>371</v>
      </c>
    </row>
    <row r="9149" spans="1:4" x14ac:dyDescent="0.25">
      <c r="B9149" t="str">
        <f>HYPERLINK("https://www.chemistwarehouse.com.au/buy/63728/Piksters-Inter-Brush-Size-4-Pack-10-red"," Piksters Inter Brush Size 4 Pack 10 (red)")</f>
        <v xml:space="preserve"> Piksters Inter Brush Size 4 Pack 10 (red)</v>
      </c>
      <c r="C9149" t="s">
        <v>610</v>
      </c>
      <c r="D9149" t="s">
        <v>814</v>
      </c>
    </row>
    <row r="9150" spans="1:4" x14ac:dyDescent="0.25">
      <c r="B9150" t="str">
        <f>HYPERLINK("https://www.chemistwarehouse.com.au/buy/63731/Piksters-Inter-Brush-Size-3-Pack-10-yellow"," Piksters Inter Brush Size 3 Pack 10 (yellow)")</f>
        <v xml:space="preserve"> Piksters Inter Brush Size 3 Pack 10 (yellow)</v>
      </c>
      <c r="C9150" t="s">
        <v>610</v>
      </c>
      <c r="D9150" t="s">
        <v>814</v>
      </c>
    </row>
    <row r="9151" spans="1:4" x14ac:dyDescent="0.25">
      <c r="B9151" t="str">
        <f>HYPERLINK("https://www.chemistwarehouse.com.au/buy/63732/Piksters-Inter-Brush-Size-1-Pack-10-purple"," Piksters Inter Brush Size 1 Pack 10 (purple)")</f>
        <v xml:space="preserve"> Piksters Inter Brush Size 1 Pack 10 (purple)</v>
      </c>
      <c r="C9151" t="s">
        <v>610</v>
      </c>
      <c r="D9151" t="s">
        <v>814</v>
      </c>
    </row>
    <row r="9152" spans="1:4" x14ac:dyDescent="0.25">
      <c r="B9152" t="str">
        <f>HYPERLINK("https://www.chemistwarehouse.com.au/buy/63733/Piksters-Inter-Brush-Size-0-Pack-10-grey"," Piksters Inter Brush Size 0 Pack 10 (grey)")</f>
        <v xml:space="preserve"> Piksters Inter Brush Size 0 Pack 10 (grey)</v>
      </c>
      <c r="C9152" t="s">
        <v>610</v>
      </c>
      <c r="D9152" t="s">
        <v>814</v>
      </c>
    </row>
    <row r="9153" spans="1:4" x14ac:dyDescent="0.25">
      <c r="A9153" t="s">
        <v>1973</v>
      </c>
    </row>
    <row r="9154" spans="1:4" x14ac:dyDescent="0.25">
      <c r="B9154" t="str">
        <f>HYPERLINK("https://www.chemistwarehouse.com.au/buy/60133/Reach-Toothbrush-Between-Medium"," Reach Toothbrush Between Medium")</f>
        <v xml:space="preserve"> Reach Toothbrush Between Medium</v>
      </c>
      <c r="C9154" t="s">
        <v>691</v>
      </c>
      <c r="D9154" t="s">
        <v>776</v>
      </c>
    </row>
    <row r="9155" spans="1:4" x14ac:dyDescent="0.25">
      <c r="B9155" t="str">
        <f>HYPERLINK("https://www.chemistwarehouse.com.au/buy/60134/Reach-Toothbrush-Between-Soft"," Reach Toothbrush Between Soft")</f>
        <v xml:space="preserve"> Reach Toothbrush Between Soft</v>
      </c>
      <c r="C9155" t="s">
        <v>691</v>
      </c>
      <c r="D9155" t="s">
        <v>776</v>
      </c>
    </row>
    <row r="9156" spans="1:4" x14ac:dyDescent="0.25">
      <c r="B9156" t="str">
        <f>HYPERLINK("https://www.chemistwarehouse.com.au/buy/54324/Reach-Toothbrush-Between-Firm"," Reach Toothbrush Between Firm")</f>
        <v xml:space="preserve"> Reach Toothbrush Between Firm</v>
      </c>
      <c r="C9156" t="s">
        <v>691</v>
      </c>
      <c r="D9156" t="s">
        <v>776</v>
      </c>
    </row>
    <row r="9157" spans="1:4" x14ac:dyDescent="0.25">
      <c r="B9157" t="str">
        <f>HYPERLINK("https://www.chemistwarehouse.com.au/buy/57041/Reach-Toothbrush-Total-Care-Medium"," Reach Toothbrush Total Care Medium")</f>
        <v xml:space="preserve"> Reach Toothbrush Total Care Medium</v>
      </c>
      <c r="C9157" t="s">
        <v>120</v>
      </c>
      <c r="D9157" t="s">
        <v>327</v>
      </c>
    </row>
    <row r="9158" spans="1:4" x14ac:dyDescent="0.25">
      <c r="B9158" t="str">
        <f>HYPERLINK("https://www.chemistwarehouse.com.au/buy/66287/Reach-Toothbrush-Clean-and-Whiten-Medium"," Reach Toothbrush Clean and Whiten Medium")</f>
        <v xml:space="preserve"> Reach Toothbrush Clean and Whiten Medium</v>
      </c>
      <c r="C9158" t="s">
        <v>635</v>
      </c>
      <c r="D9158">
        <v>0</v>
      </c>
    </row>
    <row r="9159" spans="1:4" x14ac:dyDescent="0.25">
      <c r="B9159" t="str">
        <f>HYPERLINK("https://www.chemistwarehouse.com.au/buy/69940/Reach-Toothbrush-Between-By-Design-Triple-Medium"," Reach Toothbrush Between By Design Triple Medium ")</f>
        <v xml:space="preserve"> Reach Toothbrush Between By Design Triple Medium </v>
      </c>
      <c r="C9159" t="s">
        <v>483</v>
      </c>
      <c r="D9159" t="s">
        <v>115</v>
      </c>
    </row>
    <row r="9160" spans="1:4" x14ac:dyDescent="0.25">
      <c r="A9160" t="s">
        <v>1974</v>
      </c>
    </row>
    <row r="9161" spans="1:4" x14ac:dyDescent="0.25">
      <c r="B9161" t="str">
        <f>HYPERLINK("https://www.chemistwarehouse.com.au/buy/80071/Colgate-Toothbrush-Classic-with-Tongue-Cleaner-Medium-2-Pack"," Colgate Toothbrush Classic with Tongue Cleaner Medium 2 Pack")</f>
        <v xml:space="preserve"> Colgate Toothbrush Classic with Tongue Cleaner Medium 2 Pack</v>
      </c>
      <c r="C9161" t="s">
        <v>146</v>
      </c>
      <c r="D9161">
        <v>0</v>
      </c>
    </row>
    <row r="9162" spans="1:4" x14ac:dyDescent="0.25">
      <c r="B9162" t="str">
        <f>HYPERLINK("https://www.chemistwarehouse.com.au/buy/71380/Angry-Birds-Toothbrush-3"," Angry Birds Toothbrush 3")</f>
        <v xml:space="preserve"> Angry Birds Toothbrush 3</v>
      </c>
      <c r="C9162" t="s">
        <v>146</v>
      </c>
      <c r="D9162" t="s">
        <v>371</v>
      </c>
    </row>
    <row r="9163" spans="1:4" x14ac:dyDescent="0.25">
      <c r="B9163" t="str">
        <f>HYPERLINK("https://www.chemistwarehouse.com.au/buy/54336/Spin-Brush-Pro-Clean-Brush-Medium"," Spin Brush Pro Clean Brush Medium")</f>
        <v xml:space="preserve"> Spin Brush Pro Clean Brush Medium</v>
      </c>
      <c r="C9163" t="s">
        <v>283</v>
      </c>
      <c r="D9163" t="s">
        <v>483</v>
      </c>
    </row>
    <row r="9164" spans="1:4" x14ac:dyDescent="0.25">
      <c r="B9164" t="str">
        <f>HYPERLINK("https://www.chemistwarehouse.com.au/buy/67979/Health-amp-Beauty-Toothbrush-5-Value-Pack"," Health &amp; Beauty Toothbrush 5 Value Pack")</f>
        <v xml:space="preserve"> Health &amp; Beauty Toothbrush 5 Value Pack</v>
      </c>
      <c r="C9164" t="s">
        <v>635</v>
      </c>
      <c r="D9164">
        <v>0</v>
      </c>
    </row>
    <row r="9165" spans="1:4" x14ac:dyDescent="0.25">
      <c r="B9165" t="str">
        <f>HYPERLINK("https://www.chemistwarehouse.com.au/buy/80429/Brush-Buddies-Toothbrush-Rio-2-Pack"," Brush Buddies Toothbrush Rio 2 Pack")</f>
        <v xml:space="preserve"> Brush Buddies Toothbrush Rio 2 Pack</v>
      </c>
      <c r="C9165" t="s">
        <v>827</v>
      </c>
      <c r="D9165" t="s">
        <v>327</v>
      </c>
    </row>
    <row r="9166" spans="1:4" x14ac:dyDescent="0.25">
      <c r="B9166" t="str">
        <f>HYPERLINK("https://www.chemistwarehouse.com.au/buy/79564/Health-amp-Beauty-Kids-Toothbrush-Duo-With-Timer"," Health &amp; Beauty Kids Toothbrush Duo With Timer")</f>
        <v xml:space="preserve"> Health &amp; Beauty Kids Toothbrush Duo With Timer</v>
      </c>
      <c r="C9166" t="s">
        <v>635</v>
      </c>
      <c r="D9166" t="s">
        <v>371</v>
      </c>
    </row>
    <row r="9167" spans="1:4" x14ac:dyDescent="0.25">
      <c r="B9167" t="str">
        <f>HYPERLINK("https://www.chemistwarehouse.com.au/buy/64382/Kids-Marvel-Heroes-Toothbrush-Set"," Kids Marvel Heroes Toothbrush Set")</f>
        <v xml:space="preserve"> Kids Marvel Heroes Toothbrush Set</v>
      </c>
      <c r="C9167" t="s">
        <v>146</v>
      </c>
      <c r="D9167">
        <v>0</v>
      </c>
    </row>
    <row r="9168" spans="1:4" x14ac:dyDescent="0.25">
      <c r="B9168" t="str">
        <f>HYPERLINK("https://www.chemistwarehouse.com.au/buy/64135/Sensodyne-Toothbrush-Totalcare"," Sensodyne Toothbrush Totalcare")</f>
        <v xml:space="preserve"> Sensodyne Toothbrush Totalcare</v>
      </c>
      <c r="C9168" t="s">
        <v>483</v>
      </c>
      <c r="D9168" t="s">
        <v>643</v>
      </c>
    </row>
    <row r="9169" spans="2:4" x14ac:dyDescent="0.25">
      <c r="B9169" t="str">
        <f>HYPERLINK("https://www.chemistwarehouse.com.au/buy/79563/Health-amp-Beauty-Tongue-Cleaner-Duo"," Health &amp; Beauty Tongue Cleaner Duo")</f>
        <v xml:space="preserve"> Health &amp; Beauty Tongue Cleaner Duo</v>
      </c>
      <c r="C9169" t="s">
        <v>635</v>
      </c>
      <c r="D9169" t="s">
        <v>371</v>
      </c>
    </row>
    <row r="9170" spans="2:4" x14ac:dyDescent="0.25">
      <c r="B9170" t="str">
        <f>HYPERLINK("https://www.chemistwarehouse.com.au/buy/80427/Active-Wave-Action-Toothbrush-3-Pack"," Active Wave Action Toothbrush 3 Pack")</f>
        <v xml:space="preserve"> Active Wave Action Toothbrush 3 Pack</v>
      </c>
      <c r="C9170" t="s">
        <v>312</v>
      </c>
      <c r="D9170" t="s">
        <v>635</v>
      </c>
    </row>
    <row r="9171" spans="2:4" x14ac:dyDescent="0.25">
      <c r="B9171" t="str">
        <f>HYPERLINK("https://www.chemistwarehouse.com.au/buy/80068/Close-Up-Toothbrush-Medium"," Close Up Toothbrush Medium")</f>
        <v xml:space="preserve"> Close Up Toothbrush Medium</v>
      </c>
      <c r="C9171" t="s">
        <v>635</v>
      </c>
      <c r="D9171">
        <v>0</v>
      </c>
    </row>
    <row r="9172" spans="2:4" x14ac:dyDescent="0.25">
      <c r="B9172" t="str">
        <f>HYPERLINK("https://www.chemistwarehouse.com.au/buy/80070/Close-Up-Toothbrush-Medium-Soft-4-Pack"," Close Up Toothbrush Medium Soft 4 Pack")</f>
        <v xml:space="preserve"> Close Up Toothbrush Medium Soft 4 Pack</v>
      </c>
      <c r="C9172" t="s">
        <v>483</v>
      </c>
      <c r="D9172">
        <v>0</v>
      </c>
    </row>
    <row r="9173" spans="2:4" x14ac:dyDescent="0.25">
      <c r="B9173" t="str">
        <f>HYPERLINK("https://www.chemistwarehouse.com.au/buy/80443/Active-Control-Action-Toothbrush-3-Pack"," Active Control Action Toothbrush 3 Pack")</f>
        <v xml:space="preserve"> Active Control Action Toothbrush 3 Pack</v>
      </c>
      <c r="C9173" t="s">
        <v>483</v>
      </c>
      <c r="D9173">
        <v>0</v>
      </c>
    </row>
    <row r="9174" spans="2:4" x14ac:dyDescent="0.25">
      <c r="B9174" t="str">
        <f>HYPERLINK("https://www.chemistwarehouse.com.au/buy/81452/Active-Junior-Toothbrush-3-Pack"," Active Junior Toothbrush 3 Pack")</f>
        <v xml:space="preserve"> Active Junior Toothbrush 3 Pack</v>
      </c>
      <c r="C9174" t="s">
        <v>635</v>
      </c>
      <c r="D9174" t="s">
        <v>312</v>
      </c>
    </row>
    <row r="9175" spans="2:4" x14ac:dyDescent="0.25">
      <c r="B9175" t="str">
        <f>HYPERLINK("https://www.chemistwarehouse.com.au/buy/66395/Listerine-By-Reach-Toothbrush-Plaque-Sweeper-Medium"," Listerine By Reach Toothbrush Plaque Sweeper Medium")</f>
        <v xml:space="preserve"> Listerine By Reach Toothbrush Plaque Sweeper Medium</v>
      </c>
      <c r="C9175" t="s">
        <v>104</v>
      </c>
      <c r="D9175" t="s">
        <v>748</v>
      </c>
    </row>
    <row r="9176" spans="2:4" x14ac:dyDescent="0.25">
      <c r="B9176" t="str">
        <f>HYPERLINK("https://www.chemistwarehouse.com.au/buy/66396/Listerine-By-Reach-Toothbrush-Plaque-Sweeper-Soft"," Listerine By Reach Toothbrush Plaque Sweeper Soft")</f>
        <v xml:space="preserve"> Listerine By Reach Toothbrush Plaque Sweeper Soft</v>
      </c>
      <c r="C9176" t="s">
        <v>104</v>
      </c>
      <c r="D9176" t="s">
        <v>748</v>
      </c>
    </row>
    <row r="9177" spans="2:4" x14ac:dyDescent="0.25">
      <c r="B9177" t="str">
        <f>HYPERLINK("https://www.chemistwarehouse.com.au/buy/63105/Toothbrush-Close-Up-Medium-Twin-Pack"," Toothbrush Close Up Medium Twin Pack")</f>
        <v xml:space="preserve"> Toothbrush Close Up Medium Twin Pack</v>
      </c>
      <c r="C9177" t="s">
        <v>635</v>
      </c>
      <c r="D9177">
        <v>0</v>
      </c>
    </row>
    <row r="9178" spans="2:4" x14ac:dyDescent="0.25">
      <c r="B9178" t="str">
        <f>HYPERLINK("https://www.chemistwarehouse.com.au/buy/68162/Listerine-Reach-Teeth-Defence-Tooth-Brush-Soft"," Listerine Reach Teeth Defence Tooth Brush Soft")</f>
        <v xml:space="preserve"> Listerine Reach Teeth Defence Tooth Brush Soft</v>
      </c>
      <c r="C9178" t="s">
        <v>146</v>
      </c>
      <c r="D9178" t="s">
        <v>371</v>
      </c>
    </row>
    <row r="9179" spans="2:4" x14ac:dyDescent="0.25">
      <c r="B9179" t="str">
        <f>HYPERLINK("https://www.chemistwarehouse.com.au/buy/68163/Listerine-Reach-Teeth-Defence-Tooth-Brush-Medium"," Listerine Reach Teeth Defence Tooth Brush Medium")</f>
        <v xml:space="preserve"> Listerine Reach Teeth Defence Tooth Brush Medium</v>
      </c>
      <c r="C9179" t="s">
        <v>146</v>
      </c>
      <c r="D9179" t="s">
        <v>371</v>
      </c>
    </row>
    <row r="9180" spans="2:4" x14ac:dyDescent="0.25">
      <c r="B9180" t="str">
        <f>HYPERLINK("https://www.chemistwarehouse.com.au/buy/68926/Sensodyne-Complete-Care-Toothbrush"," Sensodyne Complete Care Toothbrush")</f>
        <v xml:space="preserve"> Sensodyne Complete Care Toothbrush</v>
      </c>
      <c r="C9180" t="s">
        <v>483</v>
      </c>
      <c r="D9180" t="s">
        <v>643</v>
      </c>
    </row>
    <row r="9181" spans="2:4" x14ac:dyDescent="0.25">
      <c r="B9181" t="str">
        <f>HYPERLINK("https://www.chemistwarehouse.com.au/buy/78592/Sensodyne-Toothbrush-True-White-Soft"," Sensodyne Toothbrush True White Soft")</f>
        <v xml:space="preserve"> Sensodyne Toothbrush True White Soft</v>
      </c>
      <c r="C9181" t="s">
        <v>556</v>
      </c>
      <c r="D9181" t="s">
        <v>371</v>
      </c>
    </row>
    <row r="9182" spans="2:4" x14ac:dyDescent="0.25">
      <c r="B9182" t="str">
        <f>HYPERLINK("https://www.chemistwarehouse.com.au/buy/80428/Brush-Buddies-Toothbrush-Garfield-2-Pack"," Brush Buddies Toothbrush Garfield 2 Pack")</f>
        <v xml:space="preserve"> Brush Buddies Toothbrush Garfield 2 Pack</v>
      </c>
      <c r="C9182" t="s">
        <v>827</v>
      </c>
      <c r="D9182" t="s">
        <v>327</v>
      </c>
    </row>
    <row r="9183" spans="2:4" x14ac:dyDescent="0.25">
      <c r="B9183" t="str">
        <f>HYPERLINK("https://www.chemistwarehouse.com.au/buy/81930/Marvel-Superhero-Toothbrush-3-Pack"," Marvel Superhero Toothbrush 3 Pack")</f>
        <v xml:space="preserve"> Marvel Superhero Toothbrush 3 Pack</v>
      </c>
      <c r="C9183" t="s">
        <v>146</v>
      </c>
      <c r="D9183" t="s">
        <v>371</v>
      </c>
    </row>
    <row r="9184" spans="2:4" x14ac:dyDescent="0.25">
      <c r="B9184" t="str">
        <f>HYPERLINK("https://www.chemistwarehouse.com.au/buy/81697/Kids-Toothbrush-Transformers-Soft-2-Pack"," Kids Toothbrush Transformers Soft 2 Pack")</f>
        <v xml:space="preserve"> Kids Toothbrush Transformers Soft 2 Pack</v>
      </c>
      <c r="C9184" t="s">
        <v>733</v>
      </c>
      <c r="D9184" t="s">
        <v>776</v>
      </c>
    </row>
    <row r="9185" spans="1:4" x14ac:dyDescent="0.25">
      <c r="A9185" t="s">
        <v>1975</v>
      </c>
    </row>
    <row r="9186" spans="1:4" x14ac:dyDescent="0.25">
      <c r="B9186" t="str">
        <f>HYPERLINK("https://www.chemistwarehouse.com.au/buy/72330/AFL-Toothbrush-Adelaide-Crows-Twin-Pack"," AFL Toothbrush Adelaide Crows Twin Pack")</f>
        <v xml:space="preserve"> AFL Toothbrush Adelaide Crows Twin Pack</v>
      </c>
      <c r="C9186" t="s">
        <v>103</v>
      </c>
      <c r="D9186" t="s">
        <v>312</v>
      </c>
    </row>
    <row r="9187" spans="1:4" x14ac:dyDescent="0.25">
      <c r="B9187" t="str">
        <f>HYPERLINK("https://www.chemistwarehouse.com.au/buy/72331/AFL-Toothbrush-Brisbane-Lions-Twin-Pack"," AFL Toothbrush Brisbane Lions Twin Pack")</f>
        <v xml:space="preserve"> AFL Toothbrush Brisbane Lions Twin Pack</v>
      </c>
      <c r="C9187" t="s">
        <v>103</v>
      </c>
      <c r="D9187" t="s">
        <v>312</v>
      </c>
    </row>
    <row r="9188" spans="1:4" x14ac:dyDescent="0.25">
      <c r="B9188" t="str">
        <f>HYPERLINK("https://www.chemistwarehouse.com.au/buy/72332/AFL-Toothbrush-Carlton-Blues-Twin-Pack"," AFL Toothbrush Carlton Blues Twin Pack")</f>
        <v xml:space="preserve"> AFL Toothbrush Carlton Blues Twin Pack</v>
      </c>
      <c r="C9188" t="s">
        <v>103</v>
      </c>
      <c r="D9188" t="s">
        <v>312</v>
      </c>
    </row>
    <row r="9189" spans="1:4" x14ac:dyDescent="0.25">
      <c r="B9189" t="str">
        <f>HYPERLINK("https://www.chemistwarehouse.com.au/buy/72333/AFL-Toothbrush-Collingwood-Magpies-Twin-Pack"," AFL Toothbrush Collingwood Magpies Twin Pack")</f>
        <v xml:space="preserve"> AFL Toothbrush Collingwood Magpies Twin Pack</v>
      </c>
      <c r="C9189" t="s">
        <v>103</v>
      </c>
      <c r="D9189" t="s">
        <v>312</v>
      </c>
    </row>
    <row r="9190" spans="1:4" x14ac:dyDescent="0.25">
      <c r="B9190" t="str">
        <f>HYPERLINK("https://www.chemistwarehouse.com.au/buy/72334/AFL-Toothbrush-Essendon-Bombers-Twin-Pack"," AFL Toothbrush Essendon Bombers Twin Pack")</f>
        <v xml:space="preserve"> AFL Toothbrush Essendon Bombers Twin Pack</v>
      </c>
      <c r="C9190" t="s">
        <v>103</v>
      </c>
      <c r="D9190" t="s">
        <v>312</v>
      </c>
    </row>
    <row r="9191" spans="1:4" x14ac:dyDescent="0.25">
      <c r="B9191" t="str">
        <f>HYPERLINK("https://www.chemistwarehouse.com.au/buy/72335/AFL-Toothbrush-Fremantle-Dockers-Twin-Pack"," AFL Toothbrush Fremantle Dockers Twin Pack")</f>
        <v xml:space="preserve"> AFL Toothbrush Fremantle Dockers Twin Pack</v>
      </c>
      <c r="C9191" t="s">
        <v>103</v>
      </c>
      <c r="D9191" t="s">
        <v>312</v>
      </c>
    </row>
    <row r="9192" spans="1:4" x14ac:dyDescent="0.25">
      <c r="B9192" t="str">
        <f>HYPERLINK("https://www.chemistwarehouse.com.au/buy/72336/AFL-Toothbrush-Geelong-Cats-Twin-Pack"," AFL Toothbrush Geelong Cats Twin Pack")</f>
        <v xml:space="preserve"> AFL Toothbrush Geelong Cats Twin Pack</v>
      </c>
      <c r="C9192" t="s">
        <v>103</v>
      </c>
      <c r="D9192" t="s">
        <v>312</v>
      </c>
    </row>
    <row r="9193" spans="1:4" x14ac:dyDescent="0.25">
      <c r="B9193" t="str">
        <f>HYPERLINK("https://www.chemistwarehouse.com.au/buy/72337/AFL-Toothbrush-Gold-Coast-Suns-Twin-Pack"," AFL Toothbrush Gold Coast Suns Twin Pack")</f>
        <v xml:space="preserve"> AFL Toothbrush Gold Coast Suns Twin Pack</v>
      </c>
      <c r="C9193" t="s">
        <v>103</v>
      </c>
      <c r="D9193" t="s">
        <v>312</v>
      </c>
    </row>
    <row r="9194" spans="1:4" x14ac:dyDescent="0.25">
      <c r="B9194" t="str">
        <f>HYPERLINK("https://www.chemistwarehouse.com.au/buy/72338/AFL-Toothbrush-Hawthorn-Hawks-Twin-Pack"," AFL Toothbrush Hawthorn Hawks Twin Pack")</f>
        <v xml:space="preserve"> AFL Toothbrush Hawthorn Hawks Twin Pack</v>
      </c>
      <c r="C9194" t="s">
        <v>103</v>
      </c>
      <c r="D9194" t="s">
        <v>312</v>
      </c>
    </row>
    <row r="9195" spans="1:4" x14ac:dyDescent="0.25">
      <c r="B9195" t="str">
        <f>HYPERLINK("https://www.chemistwarehouse.com.au/buy/72339/AFL-Toothbrush-Melbourne-Demons-Twin-Pack"," AFL Toothbrush Melbourne Demons Twin Pack")</f>
        <v xml:space="preserve"> AFL Toothbrush Melbourne Demons Twin Pack</v>
      </c>
      <c r="C9195" t="s">
        <v>103</v>
      </c>
      <c r="D9195" t="s">
        <v>312</v>
      </c>
    </row>
    <row r="9196" spans="1:4" x14ac:dyDescent="0.25">
      <c r="B9196" t="str">
        <f>HYPERLINK("https://www.chemistwarehouse.com.au/buy/72340/AFL-Toothbrush-North-Melbourne-Kangaroos-Twin-Pack"," AFL Toothbrush North Melbourne Kangaroos Twin Pack")</f>
        <v xml:space="preserve"> AFL Toothbrush North Melbourne Kangaroos Twin Pack</v>
      </c>
      <c r="C9196" t="s">
        <v>103</v>
      </c>
      <c r="D9196" t="s">
        <v>312</v>
      </c>
    </row>
    <row r="9197" spans="1:4" x14ac:dyDescent="0.25">
      <c r="B9197" t="str">
        <f>HYPERLINK("https://www.chemistwarehouse.com.au/buy/72341/AFL-Toothbrush-Port-Adelaide-Power-Twin-Pack"," AFL Toothbrush Port Adelaide Power Twin Pack")</f>
        <v xml:space="preserve"> AFL Toothbrush Port Adelaide Power Twin Pack</v>
      </c>
      <c r="C9197" t="s">
        <v>103</v>
      </c>
      <c r="D9197" t="s">
        <v>312</v>
      </c>
    </row>
    <row r="9198" spans="1:4" x14ac:dyDescent="0.25">
      <c r="B9198" t="str">
        <f>HYPERLINK("https://www.chemistwarehouse.com.au/buy/72342/AFL-Toothbrush-Richmond-Tigers-Twin-Pack"," AFL Toothbrush Richmond Tigers Twin Pack")</f>
        <v xml:space="preserve"> AFL Toothbrush Richmond Tigers Twin Pack</v>
      </c>
      <c r="C9198" t="s">
        <v>103</v>
      </c>
      <c r="D9198" t="s">
        <v>312</v>
      </c>
    </row>
    <row r="9199" spans="1:4" x14ac:dyDescent="0.25">
      <c r="B9199" t="str">
        <f>HYPERLINK("https://www.chemistwarehouse.com.au/buy/72343/AFL-Toothbrush-St-Kilda-Saints-Twin-Pack"," AFL Toothbrush St. Kilda Saints Twin Pack")</f>
        <v xml:space="preserve"> AFL Toothbrush St. Kilda Saints Twin Pack</v>
      </c>
      <c r="C9199" t="s">
        <v>103</v>
      </c>
      <c r="D9199" t="s">
        <v>312</v>
      </c>
    </row>
    <row r="9200" spans="1:4" x14ac:dyDescent="0.25">
      <c r="B9200" t="str">
        <f>HYPERLINK("https://www.chemistwarehouse.com.au/buy/72344/AFL-Toothbrush-Sydney-Swans-Twin-Pack"," AFL Toothbrush Sydney Swans Twin Pack")</f>
        <v xml:space="preserve"> AFL Toothbrush Sydney Swans Twin Pack</v>
      </c>
      <c r="C9200" t="s">
        <v>103</v>
      </c>
      <c r="D9200" t="s">
        <v>312</v>
      </c>
    </row>
    <row r="9201" spans="1:4" x14ac:dyDescent="0.25">
      <c r="B9201" t="str">
        <f>HYPERLINK("https://www.chemistwarehouse.com.au/buy/72345/AFL-Toothbrush-West-Coast-Eagles-Twin-Pack"," AFL Toothbrush West Coast Eagles Twin Pack")</f>
        <v xml:space="preserve"> AFL Toothbrush West Coast Eagles Twin Pack</v>
      </c>
      <c r="C9201" t="s">
        <v>103</v>
      </c>
      <c r="D9201" t="s">
        <v>312</v>
      </c>
    </row>
    <row r="9202" spans="1:4" x14ac:dyDescent="0.25">
      <c r="B9202" t="str">
        <f>HYPERLINK("https://www.chemistwarehouse.com.au/buy/72346/AFL-Toothbrush-Western-Bulldogs-Twin-Pack"," AFL Toothbrush Western Bulldogs Twin Pack")</f>
        <v xml:space="preserve"> AFL Toothbrush Western Bulldogs Twin Pack</v>
      </c>
      <c r="C9202" t="s">
        <v>103</v>
      </c>
      <c r="D9202" t="s">
        <v>312</v>
      </c>
    </row>
    <row r="9203" spans="1:4" x14ac:dyDescent="0.25">
      <c r="B9203" t="str">
        <f>HYPERLINK("https://www.chemistwarehouse.com.au/buy/72347/AFL-Toothbrush-GWS-Giants-Twin-Pack"," AFL Toothbrush GWS Giants Twin Pack")</f>
        <v xml:space="preserve"> AFL Toothbrush GWS Giants Twin Pack</v>
      </c>
      <c r="C9203" t="s">
        <v>103</v>
      </c>
      <c r="D9203" t="s">
        <v>312</v>
      </c>
    </row>
    <row r="9204" spans="1:4" x14ac:dyDescent="0.25">
      <c r="A9204" t="s">
        <v>1976</v>
      </c>
    </row>
    <row r="9205" spans="1:4" x14ac:dyDescent="0.25">
      <c r="B9205" t="str">
        <f>HYPERLINK("https://www.chemistwarehouse.com.au/buy/76632/NRL-Toothbrush-Melbourne-Storm-2-Pack"," NRL Toothbrush Melbourne Storm 2 Pack")</f>
        <v xml:space="preserve"> NRL Toothbrush Melbourne Storm 2 Pack</v>
      </c>
      <c r="C9205" t="s">
        <v>103</v>
      </c>
      <c r="D9205" t="s">
        <v>312</v>
      </c>
    </row>
    <row r="9206" spans="1:4" x14ac:dyDescent="0.25">
      <c r="B9206" t="str">
        <f>HYPERLINK("https://www.chemistwarehouse.com.au/buy/76633/NRL-Toothbrush-New-Zealand-Warriors-2-Pack"," NRL Toothbrush New Zealand Warriors 2 Pack")</f>
        <v xml:space="preserve"> NRL Toothbrush New Zealand Warriors 2 Pack</v>
      </c>
      <c r="C9206" t="s">
        <v>103</v>
      </c>
      <c r="D9206" t="s">
        <v>312</v>
      </c>
    </row>
    <row r="9207" spans="1:4" x14ac:dyDescent="0.25">
      <c r="B9207" t="str">
        <f>HYPERLINK("https://www.chemistwarehouse.com.au/buy/76634/NRL-Toothbrush-Newcastle-Knights-2-Pack"," NRL Toothbrush Newcastle Knights 2 Pack")</f>
        <v xml:space="preserve"> NRL Toothbrush Newcastle Knights 2 Pack</v>
      </c>
      <c r="C9207" t="s">
        <v>103</v>
      </c>
      <c r="D9207" t="s">
        <v>312</v>
      </c>
    </row>
    <row r="9208" spans="1:4" x14ac:dyDescent="0.25">
      <c r="B9208" t="str">
        <f>HYPERLINK("https://www.chemistwarehouse.com.au/buy/76635/NRL-Toothbrush-North-Queensland-Cowboys-2-Pack"," NRL Toothbrush North Queensland Cowboys 2 Pack")</f>
        <v xml:space="preserve"> NRL Toothbrush North Queensland Cowboys 2 Pack</v>
      </c>
      <c r="C9208" t="s">
        <v>103</v>
      </c>
      <c r="D9208" t="s">
        <v>312</v>
      </c>
    </row>
    <row r="9209" spans="1:4" x14ac:dyDescent="0.25">
      <c r="B9209" t="str">
        <f>HYPERLINK("https://www.chemistwarehouse.com.au/buy/76636/NRL-Toothbrush-Parramatta-Eels-2-Pack"," NRL Toothbrush Parramatta Eels 2 Pack")</f>
        <v xml:space="preserve"> NRL Toothbrush Parramatta Eels 2 Pack</v>
      </c>
      <c r="C9209" t="s">
        <v>103</v>
      </c>
      <c r="D9209" t="s">
        <v>312</v>
      </c>
    </row>
    <row r="9210" spans="1:4" x14ac:dyDescent="0.25">
      <c r="B9210" t="str">
        <f>HYPERLINK("https://www.chemistwarehouse.com.au/buy/76637/NRL-Toothbrush-Penrith-Panthers-2-Pack"," NRL Toothbrush Penrith Panthers 2 Pack")</f>
        <v xml:space="preserve"> NRL Toothbrush Penrith Panthers 2 Pack</v>
      </c>
      <c r="C9210" t="s">
        <v>103</v>
      </c>
      <c r="D9210" t="s">
        <v>312</v>
      </c>
    </row>
    <row r="9211" spans="1:4" x14ac:dyDescent="0.25">
      <c r="B9211" t="str">
        <f>HYPERLINK("https://www.chemistwarehouse.com.au/buy/76638/NRL-Toothbrush-South-Sydney-Rabbitohs-2-Pack"," NRL Toothbrush South Sydney Rabbitohs 2 Pack")</f>
        <v xml:space="preserve"> NRL Toothbrush South Sydney Rabbitohs 2 Pack</v>
      </c>
      <c r="C9211" t="s">
        <v>103</v>
      </c>
      <c r="D9211" t="s">
        <v>312</v>
      </c>
    </row>
    <row r="9212" spans="1:4" x14ac:dyDescent="0.25">
      <c r="B9212" t="str">
        <f>HYPERLINK("https://www.chemistwarehouse.com.au/buy/76639/NRL-Toothbrush-St-George-Illawarra-Dragons-2-Pack"," NRL Toothbrush St George Illawarra Dragons 2 Pack")</f>
        <v xml:space="preserve"> NRL Toothbrush St George Illawarra Dragons 2 Pack</v>
      </c>
      <c r="C9212" t="s">
        <v>103</v>
      </c>
      <c r="D9212" t="s">
        <v>312</v>
      </c>
    </row>
    <row r="9213" spans="1:4" x14ac:dyDescent="0.25">
      <c r="B9213" t="str">
        <f>HYPERLINK("https://www.chemistwarehouse.com.au/buy/76640/NRL-Toothbrush-Sydney-Roosters-2-Pack"," NRL Toothbrush Sydney Roosters 2 Pack")</f>
        <v xml:space="preserve"> NRL Toothbrush Sydney Roosters 2 Pack</v>
      </c>
      <c r="C9213" t="s">
        <v>103</v>
      </c>
      <c r="D9213" t="s">
        <v>312</v>
      </c>
    </row>
    <row r="9214" spans="1:4" x14ac:dyDescent="0.25">
      <c r="B9214" t="str">
        <f>HYPERLINK("https://www.chemistwarehouse.com.au/buy/76641/NRL-Toothbrush-Wests-Tigers-2-Pack"," NRL Toothbrush Wests Tigers 2 Pack")</f>
        <v xml:space="preserve"> NRL Toothbrush Wests Tigers 2 Pack</v>
      </c>
      <c r="C9214" t="s">
        <v>103</v>
      </c>
      <c r="D9214" t="s">
        <v>312</v>
      </c>
    </row>
    <row r="9215" spans="1:4" x14ac:dyDescent="0.25">
      <c r="B9215" t="str">
        <f>HYPERLINK("https://www.chemistwarehouse.com.au/buy/76626/NRL-Toothbrush-Brisbane-Broncos-2-Pack"," NRL Toothbrush Brisbane Broncos 2 Pack")</f>
        <v xml:space="preserve"> NRL Toothbrush Brisbane Broncos 2 Pack</v>
      </c>
      <c r="C9215" t="s">
        <v>103</v>
      </c>
      <c r="D9215" t="s">
        <v>312</v>
      </c>
    </row>
    <row r="9216" spans="1:4" x14ac:dyDescent="0.25">
      <c r="B9216" t="str">
        <f>HYPERLINK("https://www.chemistwarehouse.com.au/buy/76627/NRL-Toothbrush-Canberra-Raiders-2-Pack"," NRL Toothbrush Canberra Raiders 2 Pack")</f>
        <v xml:space="preserve"> NRL Toothbrush Canberra Raiders 2 Pack</v>
      </c>
      <c r="C9216" t="s">
        <v>103</v>
      </c>
      <c r="D9216" t="s">
        <v>312</v>
      </c>
    </row>
    <row r="9217" spans="1:4" x14ac:dyDescent="0.25">
      <c r="B9217" t="str">
        <f>HYPERLINK("https://www.chemistwarehouse.com.au/buy/76628/NRL-Toothbrush-Canterbury-Bulldogs-2-Pack"," NRL Toothbrush Canterbury Bulldogs 2 Pack")</f>
        <v xml:space="preserve"> NRL Toothbrush Canterbury Bulldogs 2 Pack</v>
      </c>
      <c r="C9217" t="s">
        <v>103</v>
      </c>
      <c r="D9217" t="s">
        <v>312</v>
      </c>
    </row>
    <row r="9218" spans="1:4" x14ac:dyDescent="0.25">
      <c r="B9218" t="str">
        <f>HYPERLINK("https://www.chemistwarehouse.com.au/buy/76630/NRL-Toothbrush-Gold-Coast-Titans-2-Pack"," NRL Toothbrush Gold Coast Titans 2 Pack")</f>
        <v xml:space="preserve"> NRL Toothbrush Gold Coast Titans 2 Pack</v>
      </c>
      <c r="C9218" t="s">
        <v>103</v>
      </c>
      <c r="D9218" t="s">
        <v>312</v>
      </c>
    </row>
    <row r="9219" spans="1:4" x14ac:dyDescent="0.25">
      <c r="B9219" t="str">
        <f>HYPERLINK("https://www.chemistwarehouse.com.au/buy/76631/NRL-Toothbrush-Manly-Warringah-Sea-Eagles-2-Pack"," NRL Toothbrush Manly Warringah Sea Eagles 2 Pack")</f>
        <v xml:space="preserve"> NRL Toothbrush Manly Warringah Sea Eagles 2 Pack</v>
      </c>
      <c r="C9219" t="s">
        <v>103</v>
      </c>
      <c r="D9219" t="s">
        <v>312</v>
      </c>
    </row>
    <row r="9220" spans="1:4" x14ac:dyDescent="0.25">
      <c r="B9220" t="str">
        <f>HYPERLINK("https://www.chemistwarehouse.com.au/buy/76629/NRL-Toothbrush-Cronulla-Sharks-2-Pack"," NRL Toothbrush Cronulla Sharks 2 Pack")</f>
        <v xml:space="preserve"> NRL Toothbrush Cronulla Sharks 2 Pack</v>
      </c>
      <c r="C9220" t="s">
        <v>103</v>
      </c>
      <c r="D9220" t="s">
        <v>312</v>
      </c>
    </row>
    <row r="9221" spans="1:4" x14ac:dyDescent="0.25">
      <c r="A9221" t="s">
        <v>1977</v>
      </c>
    </row>
    <row r="9222" spans="1:4" x14ac:dyDescent="0.25">
      <c r="B9222" t="str">
        <f>HYPERLINK("https://www.chemistwarehouse.com.au/buy/67119/Aim-Toothbrush-4-Pack"," Aim Toothbrush 4 Pack")</f>
        <v xml:space="preserve"> Aim Toothbrush 4 Pack</v>
      </c>
      <c r="C9222" t="s">
        <v>146</v>
      </c>
      <c r="D9222" t="s">
        <v>371</v>
      </c>
    </row>
    <row r="9223" spans="1:4" x14ac:dyDescent="0.25">
      <c r="A9223" t="s">
        <v>1978</v>
      </c>
    </row>
    <row r="9224" spans="1:4" x14ac:dyDescent="0.25">
      <c r="B9224" t="str">
        <f>HYPERLINK("https://www.chemistwarehouse.com.au/buy/77549/Health-amp-Beauty-Interdental-Brushes-15-Pieces-Size-1"," Health &amp; Beauty Interdental Brushes 15 Pieces Size 1")</f>
        <v xml:space="preserve"> Health &amp; Beauty Interdental Brushes 15 Pieces Size 1</v>
      </c>
      <c r="C9224" t="s">
        <v>483</v>
      </c>
      <c r="D9224">
        <v>0</v>
      </c>
    </row>
    <row r="9225" spans="1:4" x14ac:dyDescent="0.25">
      <c r="B9225" t="str">
        <f>HYPERLINK("https://www.chemistwarehouse.com.au/buy/77547/Health-amp-Beauty-Interdental-Brushes-15-Pieces-Assorted"," Health &amp; Beauty Interdental Brushes 15 Pieces Assorted")</f>
        <v xml:space="preserve"> Health &amp; Beauty Interdental Brushes 15 Pieces Assorted</v>
      </c>
      <c r="C9225" t="s">
        <v>483</v>
      </c>
      <c r="D9225">
        <v>0</v>
      </c>
    </row>
    <row r="9226" spans="1:4" x14ac:dyDescent="0.25">
      <c r="B9226" t="str">
        <f>HYPERLINK("https://www.chemistwarehouse.com.au/buy/77548/Health-amp-Beauty-Interdental-Brushes-15-Pieces-Size-0"," Health &amp; Beauty Interdental Brushes 15 Pieces Size 0")</f>
        <v xml:space="preserve"> Health &amp; Beauty Interdental Brushes 15 Pieces Size 0</v>
      </c>
      <c r="C9226" t="s">
        <v>483</v>
      </c>
      <c r="D9226">
        <v>0</v>
      </c>
    </row>
    <row r="9227" spans="1:4" x14ac:dyDescent="0.25">
      <c r="B9227" t="str">
        <f>HYPERLINK("https://www.chemistwarehouse.com.au/buy/77550/Health-amp-Beauty-Interdental-Brushes-15-Pieces-Size-2"," Health &amp; Beauty Interdental Brushes 15 Pieces Size 2")</f>
        <v xml:space="preserve"> Health &amp; Beauty Interdental Brushes 15 Pieces Size 2</v>
      </c>
      <c r="C9227" t="s">
        <v>483</v>
      </c>
      <c r="D9227">
        <v>0</v>
      </c>
    </row>
    <row r="9228" spans="1:4" x14ac:dyDescent="0.25">
      <c r="B9228" t="str">
        <f>HYPERLINK("https://www.chemistwarehouse.com.au/buy/77551/Health-amp-Beauty-Interdental-Brushes-15-Pieces-Size-3"," Health &amp; Beauty Interdental Brushes 15 Pieces Size 3")</f>
        <v xml:space="preserve"> Health &amp; Beauty Interdental Brushes 15 Pieces Size 3</v>
      </c>
      <c r="C9228" t="s">
        <v>483</v>
      </c>
      <c r="D9228">
        <v>0</v>
      </c>
    </row>
    <row r="9229" spans="1:4" x14ac:dyDescent="0.25">
      <c r="B9229" t="str">
        <f>HYPERLINK("https://www.chemistwarehouse.com.au/buy/77552/Health-amp-Beauty-Interdental-Brushes-15-Pieces-Size-4"," Health &amp; Beauty Interdental Brushes 15 Pieces Size 4")</f>
        <v xml:space="preserve"> Health &amp; Beauty Interdental Brushes 15 Pieces Size 4</v>
      </c>
      <c r="C9229" t="s">
        <v>483</v>
      </c>
      <c r="D9229">
        <v>0</v>
      </c>
    </row>
    <row r="9230" spans="1:4" x14ac:dyDescent="0.25">
      <c r="B9230" t="str">
        <f>HYPERLINK("https://www.chemistwarehouse.com.au/buy/77553/Health-amp-Beauty-Interdental-Brushes-15-Pieces-Size-5"," Health &amp; Beauty Interdental Brushes 15 Pieces Size 5")</f>
        <v xml:space="preserve"> Health &amp; Beauty Interdental Brushes 15 Pieces Size 5</v>
      </c>
      <c r="C9230" t="s">
        <v>483</v>
      </c>
      <c r="D9230">
        <v>0</v>
      </c>
    </row>
    <row r="9231" spans="1:4" x14ac:dyDescent="0.25">
      <c r="B9231" t="str">
        <f>HYPERLINK("https://www.chemistwarehouse.com.au/buy/77554/Health-amp-Beauty-Interdental-Brushes-15-Pieces-Size-6"," Health &amp; Beauty Interdental Brushes 15 Pieces Size 6")</f>
        <v xml:space="preserve"> Health &amp; Beauty Interdental Brushes 15 Pieces Size 6</v>
      </c>
      <c r="C9231" t="s">
        <v>483</v>
      </c>
      <c r="D9231">
        <v>0</v>
      </c>
    </row>
    <row r="9232" spans="1:4" x14ac:dyDescent="0.25">
      <c r="B9232" t="str">
        <f>HYPERLINK("https://www.chemistwarehouse.com.au/buy/77555/Health-amp-Beauty-Interdental-Brushes-15-Pieces-Size-7"," Health &amp; Beauty Interdental Brushes 15 Pieces Size 7")</f>
        <v xml:space="preserve"> Health &amp; Beauty Interdental Brushes 15 Pieces Size 7</v>
      </c>
      <c r="C9232" t="s">
        <v>483</v>
      </c>
      <c r="D9232">
        <v>0</v>
      </c>
    </row>
    <row r="9233" spans="1:4" x14ac:dyDescent="0.25">
      <c r="A9233" t="s">
        <v>1979</v>
      </c>
    </row>
    <row r="9234" spans="1:4" x14ac:dyDescent="0.25">
      <c r="B9234" t="str">
        <f>HYPERLINK("https://www.chemistwarehouse.com.au/buy/65794/Colgate-Toothpaste-Sensitive-Pro-Relief-Enamel-110g"," Colgate Toothpaste Sensitive Pro Relief Enamel 110g")</f>
        <v xml:space="preserve"> Colgate Toothpaste Sensitive Pro Relief Enamel 110g</v>
      </c>
      <c r="C9234" t="s">
        <v>556</v>
      </c>
      <c r="D9234" t="s">
        <v>162</v>
      </c>
    </row>
    <row r="9235" spans="1:4" x14ac:dyDescent="0.25">
      <c r="B9235" t="str">
        <f>HYPERLINK("https://www.chemistwarehouse.com.au/buy/64972/Colgate-Toothpaste-Sensitive-Pro-Relief-Multi-Protect-110g"," Colgate Toothpaste Sensitive Pro Relief Multi Protect 110g")</f>
        <v xml:space="preserve"> Colgate Toothpaste Sensitive Pro Relief Multi Protect 110g</v>
      </c>
      <c r="C9235" t="s">
        <v>556</v>
      </c>
      <c r="D9235" t="s">
        <v>162</v>
      </c>
    </row>
    <row r="9236" spans="1:4" x14ac:dyDescent="0.25">
      <c r="B9236" t="str">
        <f>HYPERLINK("https://www.chemistwarehouse.com.au/buy/60584/Colgate-Toothpaste-Sensitive-Pro-Relief-White-110g"," Colgate Toothpaste Sensitive Pro Relief White 110g")</f>
        <v xml:space="preserve"> Colgate Toothpaste Sensitive Pro Relief White 110g</v>
      </c>
      <c r="C9236" t="s">
        <v>556</v>
      </c>
      <c r="D9236" t="s">
        <v>162</v>
      </c>
    </row>
    <row r="9237" spans="1:4" x14ac:dyDescent="0.25">
      <c r="B9237" t="str">
        <f>HYPERLINK("https://www.chemistwarehouse.com.au/buy/82497/Colgate-Toothpaste-Pro-Relief-Repair-amp-Prevent-110g"," Colgate Toothpaste Pro Relief Repair &amp; Prevent 110g")</f>
        <v xml:space="preserve"> Colgate Toothpaste Pro Relief Repair &amp; Prevent 110g</v>
      </c>
      <c r="C9237" t="s">
        <v>32</v>
      </c>
      <c r="D9237" t="s">
        <v>115</v>
      </c>
    </row>
    <row r="9238" spans="1:4" x14ac:dyDescent="0.25">
      <c r="B9238" t="str">
        <f>HYPERLINK("https://www.chemistwarehouse.com.au/buy/82498/Colgate-Toothpaste-Pro-Relief-Smart-White-110g"," Colgate Toothpaste Pro Relief Smart White 110g")</f>
        <v xml:space="preserve"> Colgate Toothpaste Pro Relief Smart White 110g</v>
      </c>
      <c r="C9238" t="s">
        <v>32</v>
      </c>
      <c r="D9238" t="s">
        <v>115</v>
      </c>
    </row>
    <row r="9239" spans="1:4" x14ac:dyDescent="0.25">
      <c r="B9239" t="str">
        <f>HYPERLINK("https://www.chemistwarehouse.com.au/buy/82496/Colgate-Toothpaste-Pro-Relief-Extra-Protect-110g"," Colgate Toothpaste Pro Relief Extra Protect 110g")</f>
        <v xml:space="preserve"> Colgate Toothpaste Pro Relief Extra Protect 110g</v>
      </c>
      <c r="C9239" t="s">
        <v>32</v>
      </c>
      <c r="D9239" t="s">
        <v>115</v>
      </c>
    </row>
    <row r="9240" spans="1:4" x14ac:dyDescent="0.25">
      <c r="B9240" t="str">
        <f>HYPERLINK("https://www.chemistwarehouse.com.au/buy/78435/Colgate-Toothpaste-Pro-Relief-Repair-amp-Prevent-100g"," Colgate Toothpaste Pro Relief Repair &amp; Prevent 100g")</f>
        <v xml:space="preserve"> Colgate Toothpaste Pro Relief Repair &amp; Prevent 100g</v>
      </c>
      <c r="C9240" t="s">
        <v>162</v>
      </c>
      <c r="D9240" t="s">
        <v>556</v>
      </c>
    </row>
    <row r="9241" spans="1:4" x14ac:dyDescent="0.25">
      <c r="A9241" t="s">
        <v>1980</v>
      </c>
    </row>
    <row r="9242" spans="1:4" x14ac:dyDescent="0.25">
      <c r="B9242" t="str">
        <f>HYPERLINK("https://www.chemistwarehouse.com.au/buy/78428/Colgate-Toothpaste-Total-190g"," Colgate Toothpaste Total 190g")</f>
        <v xml:space="preserve"> Colgate Toothpaste Total 190g</v>
      </c>
      <c r="C9242" t="s">
        <v>556</v>
      </c>
      <c r="D9242" t="s">
        <v>725</v>
      </c>
    </row>
    <row r="9243" spans="1:4" x14ac:dyDescent="0.25">
      <c r="B9243" t="str">
        <f>HYPERLINK("https://www.chemistwarehouse.com.au/buy/51304/Colgate-Total-Toothpaste-110g"," Colgate Total Toothpaste 110g")</f>
        <v xml:space="preserve"> Colgate Total Toothpaste 110g</v>
      </c>
      <c r="C9243" t="s">
        <v>1357</v>
      </c>
      <c r="D9243" t="s">
        <v>371</v>
      </c>
    </row>
    <row r="9244" spans="1:4" x14ac:dyDescent="0.25">
      <c r="B9244" t="str">
        <f>HYPERLINK("https://www.chemistwarehouse.com.au/buy/68512/Colgate-Total-Toothpaste-Twin-2x110g"," Colgate Total Toothpaste Twin 2x110g")</f>
        <v xml:space="preserve"> Colgate Total Toothpaste Twin 2x110g</v>
      </c>
      <c r="C9244" t="s">
        <v>92</v>
      </c>
      <c r="D9244">
        <v>0</v>
      </c>
    </row>
    <row r="9245" spans="1:4" x14ac:dyDescent="0.25">
      <c r="B9245" t="str">
        <f>HYPERLINK("https://www.chemistwarehouse.com.au/buy/78945/Colgate-Toothpaste-Total-Proof-100g"," Colgate Toothpaste Total Proof 100g")</f>
        <v xml:space="preserve"> Colgate Toothpaste Total Proof 100g</v>
      </c>
      <c r="C9245" t="s">
        <v>120</v>
      </c>
      <c r="D9245" t="s">
        <v>327</v>
      </c>
    </row>
    <row r="9246" spans="1:4" x14ac:dyDescent="0.25">
      <c r="B9246" t="str">
        <f>HYPERLINK("https://www.chemistwarehouse.com.au/buy/52969/Colgate-Total-Toothpaste-Mint-Stripe-110g"," Colgate Total Toothpaste Mint Stripe 110g")</f>
        <v xml:space="preserve"> Colgate Total Toothpaste Mint Stripe 110g</v>
      </c>
      <c r="C9246" t="s">
        <v>1357</v>
      </c>
      <c r="D9246" t="s">
        <v>371</v>
      </c>
    </row>
    <row r="9247" spans="1:4" x14ac:dyDescent="0.25">
      <c r="B9247" t="str">
        <f>HYPERLINK("https://www.chemistwarehouse.com.au/buy/2639/Colgate-Total-Toothpaste-45g"," Colgate Total Toothpaste 45g")</f>
        <v xml:space="preserve"> Colgate Total Toothpaste 45g</v>
      </c>
      <c r="C9247" t="s">
        <v>733</v>
      </c>
      <c r="D9247" t="s">
        <v>1257</v>
      </c>
    </row>
    <row r="9248" spans="1:4" x14ac:dyDescent="0.25">
      <c r="B9248" t="str">
        <f>HYPERLINK("https://www.chemistwarehouse.com.au/buy/74756/Colgate-Total-Pro-Clean-Breath-Toothpaste-170g"," Colgate Total Pro Clean Breath Toothpaste 170g")</f>
        <v xml:space="preserve"> Colgate Total Pro Clean Breath Toothpaste 170g</v>
      </c>
      <c r="C9248" t="s">
        <v>556</v>
      </c>
      <c r="D9248" t="s">
        <v>312</v>
      </c>
    </row>
    <row r="9249" spans="1:4" x14ac:dyDescent="0.25">
      <c r="B9249" t="str">
        <f>HYPERLINK("https://www.chemistwarehouse.com.au/buy/65487/Colgate-Total-Toothpaste-Whitening-190g"," Colgate Total Toothpaste Whitening 190g")</f>
        <v xml:space="preserve"> Colgate Total Toothpaste Whitening 190g</v>
      </c>
      <c r="C9249" t="s">
        <v>556</v>
      </c>
      <c r="D9249" t="s">
        <v>312</v>
      </c>
    </row>
    <row r="9250" spans="1:4" x14ac:dyDescent="0.25">
      <c r="B9250" t="str">
        <f>HYPERLINK("https://www.chemistwarehouse.com.au/buy/65488/Colgate-Total-Toothpaste-Advanced-Clean-190g"," Colgate Total Toothpaste Advanced Clean 190g")</f>
        <v xml:space="preserve"> Colgate Total Toothpaste Advanced Clean 190g</v>
      </c>
      <c r="C9250" t="s">
        <v>556</v>
      </c>
      <c r="D9250" t="s">
        <v>312</v>
      </c>
    </row>
    <row r="9251" spans="1:4" x14ac:dyDescent="0.25">
      <c r="B9251" t="str">
        <f>HYPERLINK("https://www.chemistwarehouse.com.au/buy/78434/Colgate-Toothpaste-Total-Pump-120g"," Colgate Toothpaste Total Pump 120g")</f>
        <v xml:space="preserve"> Colgate Toothpaste Total Pump 120g</v>
      </c>
      <c r="C9251" t="s">
        <v>554</v>
      </c>
      <c r="D9251" t="s">
        <v>611</v>
      </c>
    </row>
    <row r="9252" spans="1:4" x14ac:dyDescent="0.25">
      <c r="B9252" t="str">
        <f>HYPERLINK("https://www.chemistwarehouse.com.au/buy/82499/Colgate-Toothpaste-Total-Advanced-Fresh-190g"," Colgate Toothpaste Total Advanced Fresh 190g")</f>
        <v xml:space="preserve"> Colgate Toothpaste Total Advanced Fresh 190g</v>
      </c>
      <c r="C9252" t="s">
        <v>556</v>
      </c>
      <c r="D9252" t="s">
        <v>312</v>
      </c>
    </row>
    <row r="9253" spans="1:4" x14ac:dyDescent="0.25">
      <c r="B9253" t="str">
        <f>HYPERLINK("https://www.chemistwarehouse.com.au/buy/74755/Colgate-Total-Pro-Clean-Breath-Toothpaste-100g"," Colgate Total Pro Clean Breath Toothpaste 100g")</f>
        <v xml:space="preserve"> Colgate Total Pro Clean Breath Toothpaste 100g</v>
      </c>
      <c r="C9253" t="s">
        <v>115</v>
      </c>
      <c r="D9253" t="s">
        <v>635</v>
      </c>
    </row>
    <row r="9254" spans="1:4" x14ac:dyDescent="0.25">
      <c r="A9254" t="s">
        <v>1981</v>
      </c>
    </row>
    <row r="9255" spans="1:4" x14ac:dyDescent="0.25">
      <c r="B9255" t="str">
        <f>HYPERLINK("https://www.chemistwarehouse.com.au/buy/62732/Colgate-Toothpaste-Triple-Action-220g"," Colgate Toothpaste Triple Action 220g")</f>
        <v xml:space="preserve"> Colgate Toothpaste Triple Action 220g</v>
      </c>
      <c r="C9255" t="s">
        <v>483</v>
      </c>
      <c r="D9255" t="s">
        <v>725</v>
      </c>
    </row>
    <row r="9256" spans="1:4" x14ac:dyDescent="0.25">
      <c r="B9256" t="str">
        <f>HYPERLINK("https://www.chemistwarehouse.com.au/buy/54733/Colgate-Toothpaste-Triple-Action-160g-Plus-Free-Brush"," Colgate Toothpaste Triple Action 160g Plus Free Brush")</f>
        <v xml:space="preserve"> Colgate Toothpaste Triple Action 160g Plus Free Brush</v>
      </c>
      <c r="C9256" t="s">
        <v>775</v>
      </c>
      <c r="D9256" t="s">
        <v>776</v>
      </c>
    </row>
    <row r="9257" spans="1:4" x14ac:dyDescent="0.25">
      <c r="B9257" t="str">
        <f>HYPERLINK("https://www.chemistwarehouse.com.au/buy/50829/Colgate-Toothpaste-Triple-Action-110g"," Colgate Toothpaste Triple Action 110g")</f>
        <v xml:space="preserve"> Colgate Toothpaste Triple Action 110g</v>
      </c>
      <c r="C9257" t="s">
        <v>691</v>
      </c>
      <c r="D9257" t="s">
        <v>1257</v>
      </c>
    </row>
    <row r="9258" spans="1:4" x14ac:dyDescent="0.25">
      <c r="A9258" t="s">
        <v>1982</v>
      </c>
    </row>
    <row r="9259" spans="1:4" x14ac:dyDescent="0.25">
      <c r="B9259" t="str">
        <f>HYPERLINK("https://www.chemistwarehouse.com.au/buy/75945/Colgate-Toothpaste-Cavity-Protect-113g"," Colgate Toothpaste Cavity Protect 113g")</f>
        <v xml:space="preserve"> Colgate Toothpaste Cavity Protect 113g</v>
      </c>
      <c r="C9259" t="s">
        <v>775</v>
      </c>
      <c r="D9259">
        <v>0</v>
      </c>
    </row>
    <row r="9260" spans="1:4" x14ac:dyDescent="0.25">
      <c r="B9260" t="str">
        <f>HYPERLINK("https://www.chemistwarehouse.com.au/buy/76461/Colgate-Toothpaste-Cavity-Protect-130g"," Colgate Toothpaste Cavity Protect 130g")</f>
        <v xml:space="preserve"> Colgate Toothpaste Cavity Protect 130g</v>
      </c>
      <c r="C9260" t="s">
        <v>312</v>
      </c>
      <c r="D9260" t="s">
        <v>635</v>
      </c>
    </row>
    <row r="9261" spans="1:4" x14ac:dyDescent="0.25">
      <c r="A9261" t="s">
        <v>1983</v>
      </c>
    </row>
    <row r="9262" spans="1:4" x14ac:dyDescent="0.25">
      <c r="B9262" t="str">
        <f>HYPERLINK("https://www.chemistwarehouse.com.au/buy/71433/Colgate-Optic-White-Enamel-White-Toothpaste-140g"," Colgate Optic White Enamel White Toothpaste 140g")</f>
        <v xml:space="preserve"> Colgate Optic White Enamel White Toothpaste 140g</v>
      </c>
      <c r="C9262" t="s">
        <v>430</v>
      </c>
      <c r="D9262" t="s">
        <v>611</v>
      </c>
    </row>
    <row r="9263" spans="1:4" x14ac:dyDescent="0.25">
      <c r="B9263" t="str">
        <f>HYPERLINK("https://www.chemistwarehouse.com.au/buy/75248/Colgate-Optic-White-Express-White-125g"," Colgate Optic White Express White 125g")</f>
        <v xml:space="preserve"> Colgate Optic White Express White 125g</v>
      </c>
      <c r="C9263" t="s">
        <v>98</v>
      </c>
      <c r="D9263" t="s">
        <v>312</v>
      </c>
    </row>
    <row r="9264" spans="1:4" x14ac:dyDescent="0.25">
      <c r="B9264" t="str">
        <f>HYPERLINK("https://www.chemistwarehouse.com.au/buy/67916/Colgate-Toothpaste-Optic-White-Toothpaste-140g"," Colgate Toothpaste Optic White Toothpaste 140g")</f>
        <v xml:space="preserve"> Colgate Toothpaste Optic White Toothpaste 140g</v>
      </c>
      <c r="C9264" t="s">
        <v>430</v>
      </c>
      <c r="D9264" t="s">
        <v>611</v>
      </c>
    </row>
    <row r="9265" spans="1:4" x14ac:dyDescent="0.25">
      <c r="B9265" t="str">
        <f>HYPERLINK("https://www.chemistwarehouse.com.au/buy/71432/Colgate-Optic-White-Enamel-White-Toothpaste-95g"," Colgate Optic White Enamel White Toothpaste 95g")</f>
        <v xml:space="preserve"> Colgate Optic White Enamel White Toothpaste 95g</v>
      </c>
      <c r="C9265" t="s">
        <v>554</v>
      </c>
      <c r="D9265" t="s">
        <v>611</v>
      </c>
    </row>
    <row r="9266" spans="1:4" x14ac:dyDescent="0.25">
      <c r="B9266" t="str">
        <f>HYPERLINK("https://www.chemistwarehouse.com.au/buy/75249/Colgate-Optic-White-Express-White-85g"," Colgate Optic White Express White 85g")</f>
        <v xml:space="preserve"> Colgate Optic White Express White 85g</v>
      </c>
      <c r="C9266" t="s">
        <v>240</v>
      </c>
      <c r="D9266" t="s">
        <v>561</v>
      </c>
    </row>
    <row r="9267" spans="1:4" x14ac:dyDescent="0.25">
      <c r="B9267" t="str">
        <f>HYPERLINK("https://www.chemistwarehouse.com.au/buy/78946/Colgate-Toothpaste-Optic-White-High-Impact-85g"," Colgate Toothpaste Optic White High Impact 85g")</f>
        <v xml:space="preserve"> Colgate Toothpaste Optic White High Impact 85g</v>
      </c>
      <c r="C9267" t="s">
        <v>240</v>
      </c>
      <c r="D9267" t="s">
        <v>561</v>
      </c>
    </row>
    <row r="9268" spans="1:4" x14ac:dyDescent="0.25">
      <c r="A9268" t="s">
        <v>1984</v>
      </c>
    </row>
    <row r="9269" spans="1:4" x14ac:dyDescent="0.25">
      <c r="B9269" t="str">
        <f>HYPERLINK("https://www.chemistwarehouse.com.au/buy/81695/Colgate-Toothbrush-MaxFresh-Medium-with-Tongue-Freshener"," Colgate Toothbrush MaxFresh Medium with Tongue Freshener")</f>
        <v xml:space="preserve"> Colgate Toothbrush MaxFresh Medium with Tongue Freshener</v>
      </c>
      <c r="C9269" t="s">
        <v>635</v>
      </c>
      <c r="D9269" t="s">
        <v>115</v>
      </c>
    </row>
    <row r="9270" spans="1:4" x14ac:dyDescent="0.25">
      <c r="B9270" t="str">
        <f>HYPERLINK("https://www.chemistwarehouse.com.au/buy/81696/Colgate-Toothbrush-MaxFresh-Soft-with-Tongue-Freshener"," Colgate Toothbrush MaxFresh Soft with Tongue Freshener")</f>
        <v xml:space="preserve"> Colgate Toothbrush MaxFresh Soft with Tongue Freshener</v>
      </c>
      <c r="C9270" t="s">
        <v>635</v>
      </c>
      <c r="D9270" t="s">
        <v>115</v>
      </c>
    </row>
    <row r="9271" spans="1:4" x14ac:dyDescent="0.25">
      <c r="B9271" t="str">
        <f>HYPERLINK("https://www.chemistwarehouse.com.au/buy/82495/Colgate-Toothpaste-Max-Fresh-Sparkling-Clean-Mint-190g"," Colgate Toothpaste Max Fresh Sparkling Clean Mint 190g")</f>
        <v xml:space="preserve"> Colgate Toothpaste Max Fresh Sparkling Clean Mint 190g</v>
      </c>
      <c r="C9271" t="s">
        <v>1264</v>
      </c>
      <c r="D9271" t="s">
        <v>238</v>
      </c>
    </row>
    <row r="9272" spans="1:4" x14ac:dyDescent="0.25">
      <c r="A9272" t="s">
        <v>1985</v>
      </c>
    </row>
    <row r="9273" spans="1:4" x14ac:dyDescent="0.25">
      <c r="B9273" t="str">
        <f>HYPERLINK("https://www.chemistwarehouse.com.au/buy/66082/Colgate-Toothpaste-Advance-Whitening-110g"," Colgate Toothpaste Advance Whitening 110g")</f>
        <v xml:space="preserve"> Colgate Toothpaste Advance Whitening 110g</v>
      </c>
      <c r="C9273" t="s">
        <v>120</v>
      </c>
      <c r="D9273" t="s">
        <v>1986</v>
      </c>
    </row>
    <row r="9274" spans="1:4" x14ac:dyDescent="0.25">
      <c r="B9274" t="str">
        <f>HYPERLINK("https://www.chemistwarehouse.com.au/buy/82494/Colgate-Toothpaste-Advanced-Whitening-190g"," Colgate Toothpaste Advanced Whitening 190g")</f>
        <v xml:space="preserve"> Colgate Toothpaste Advanced Whitening 190g</v>
      </c>
      <c r="C9274" t="s">
        <v>1264</v>
      </c>
      <c r="D9274" t="s">
        <v>238</v>
      </c>
    </row>
    <row r="9275" spans="1:4" x14ac:dyDescent="0.25">
      <c r="A9275" t="s">
        <v>1987</v>
      </c>
    </row>
    <row r="9276" spans="1:4" x14ac:dyDescent="0.25">
      <c r="B9276" t="str">
        <f>HYPERLINK("https://www.chemistwarehouse.com.au/buy/56797/Aim-Toothpaste-Fresh-Mint-3-Pack"," Aim Toothpaste Fresh Mint 3 Pack")</f>
        <v xml:space="preserve"> Aim Toothpaste Fresh Mint 3 Pack</v>
      </c>
      <c r="C9276" t="s">
        <v>146</v>
      </c>
      <c r="D9276">
        <v>0</v>
      </c>
    </row>
    <row r="9277" spans="1:4" x14ac:dyDescent="0.25">
      <c r="A9277" t="s">
        <v>1988</v>
      </c>
    </row>
    <row r="9278" spans="1:4" x14ac:dyDescent="0.25">
      <c r="B9278" t="str">
        <f>HYPERLINK("https://www.chemistwarehouse.com.au/buy/40608/Sensodyne-Gentle-Whitening-110g"," Sensodyne Gentle Whitening 110g")</f>
        <v xml:space="preserve"> Sensodyne Gentle Whitening 110g</v>
      </c>
      <c r="C9278" t="s">
        <v>556</v>
      </c>
      <c r="D9278" t="s">
        <v>104</v>
      </c>
    </row>
    <row r="9279" spans="1:4" x14ac:dyDescent="0.25">
      <c r="B9279" t="str">
        <f>HYPERLINK("https://www.chemistwarehouse.com.au/buy/40606/Sensodyne-Total-Care-Gel-Toothpaste110g-Blue"," Sensodyne Total Care Gel Toothpaste110g (Blue)")</f>
        <v xml:space="preserve"> Sensodyne Total Care Gel Toothpaste110g (Blue)</v>
      </c>
      <c r="C9279" t="s">
        <v>556</v>
      </c>
      <c r="D9279" t="s">
        <v>104</v>
      </c>
    </row>
    <row r="9280" spans="1:4" x14ac:dyDescent="0.25">
      <c r="B9280" t="str">
        <f>HYPERLINK("https://www.chemistwarehouse.com.au/buy/31776/Sensodyne-Original-Toothpaste-100g-Red"," Sensodyne Original Toothpaste 100g (Red)")</f>
        <v xml:space="preserve"> Sensodyne Original Toothpaste 100g (Red)</v>
      </c>
      <c r="C9280" t="s">
        <v>556</v>
      </c>
      <c r="D9280" t="s">
        <v>104</v>
      </c>
    </row>
    <row r="9281" spans="1:4" x14ac:dyDescent="0.25">
      <c r="B9281" t="str">
        <f>HYPERLINK("https://www.chemistwarehouse.com.au/buy/66288/Sensodyne-Repair-and-Protect-Whitening-Toothpaste-100g"," Sensodyne Repair and Protect Whitening Toothpaste 100g")</f>
        <v xml:space="preserve"> Sensodyne Repair and Protect Whitening Toothpaste 100g</v>
      </c>
      <c r="C9281" t="s">
        <v>240</v>
      </c>
      <c r="D9281" t="s">
        <v>121</v>
      </c>
    </row>
    <row r="9282" spans="1:4" x14ac:dyDescent="0.25">
      <c r="B9282" t="str">
        <f>HYPERLINK("https://www.chemistwarehouse.com.au/buy/64362/Sensodyne-Repair-and-Protect-Toothpaste-100g"," Sensodyne Repair and Protect Toothpaste 100g")</f>
        <v xml:space="preserve"> Sensodyne Repair and Protect Toothpaste 100g</v>
      </c>
      <c r="C9282" t="s">
        <v>240</v>
      </c>
      <c r="D9282" t="s">
        <v>121</v>
      </c>
    </row>
    <row r="9283" spans="1:4" x14ac:dyDescent="0.25">
      <c r="B9283" t="str">
        <f>HYPERLINK("https://www.chemistwarehouse.com.au/buy/40607/Sensodyne-Toothpaste-Daily-Care-110g"," Sensodyne Toothpaste Daily Care 110g")</f>
        <v xml:space="preserve"> Sensodyne Toothpaste Daily Care 110g</v>
      </c>
      <c r="C9283" t="s">
        <v>556</v>
      </c>
      <c r="D9283" t="s">
        <v>104</v>
      </c>
    </row>
    <row r="9284" spans="1:4" x14ac:dyDescent="0.25">
      <c r="B9284" t="str">
        <f>HYPERLINK("https://www.chemistwarehouse.com.au/buy/68669/Sensodyne-Complete-Care-Extra-Fresh-Toothpaste-100g"," Sensodyne Complete Care Extra Fresh Toothpaste 100g")</f>
        <v xml:space="preserve"> Sensodyne Complete Care Extra Fresh Toothpaste 100g</v>
      </c>
      <c r="C9284" t="s">
        <v>32</v>
      </c>
      <c r="D9284" t="s">
        <v>312</v>
      </c>
    </row>
    <row r="9285" spans="1:4" x14ac:dyDescent="0.25">
      <c r="B9285" t="str">
        <f>HYPERLINK("https://www.chemistwarehouse.com.au/buy/61288/Sensodyne-Toothpaste-Rapid-Relief-110g"," Sensodyne Toothpaste Rapid Relief 110g")</f>
        <v xml:space="preserve"> Sensodyne Toothpaste Rapid Relief 110g</v>
      </c>
      <c r="C9285" t="s">
        <v>32</v>
      </c>
      <c r="D9285" t="s">
        <v>593</v>
      </c>
    </row>
    <row r="9286" spans="1:4" x14ac:dyDescent="0.25">
      <c r="B9286" t="str">
        <f>HYPERLINK("https://www.chemistwarehouse.com.au/buy/66825/Sensodyne-Repair-amp-Protect-Extra-Fresh-100g"," Sensodyne Repair &amp; Protect Extra Fresh 100g")</f>
        <v xml:space="preserve"> Sensodyne Repair &amp; Protect Extra Fresh 100g</v>
      </c>
      <c r="C9286" t="s">
        <v>240</v>
      </c>
      <c r="D9286" t="s">
        <v>121</v>
      </c>
    </row>
    <row r="9287" spans="1:4" x14ac:dyDescent="0.25">
      <c r="B9287" t="str">
        <f>HYPERLINK("https://www.chemistwarehouse.com.au/buy/82533/Sensodyne-Toothpaste-Deep-Clean-110g"," Sensodyne Toothpaste Deep Clean 110g")</f>
        <v xml:space="preserve"> Sensodyne Toothpaste Deep Clean 110g</v>
      </c>
      <c r="C9287" t="s">
        <v>103</v>
      </c>
      <c r="D9287" t="s">
        <v>371</v>
      </c>
    </row>
    <row r="9288" spans="1:4" x14ac:dyDescent="0.25">
      <c r="B9288" t="str">
        <f>HYPERLINK("https://www.chemistwarehouse.com.au/buy/78591/Sensodyne-Toothpaste-True-White-Extra-Fresh-110g"," Sensodyne Toothpaste True White Extra Fresh 110g")</f>
        <v xml:space="preserve"> Sensodyne Toothpaste True White Extra Fresh 110g</v>
      </c>
      <c r="C9288" t="s">
        <v>317</v>
      </c>
      <c r="D9288" t="s">
        <v>739</v>
      </c>
    </row>
    <row r="9289" spans="1:4" x14ac:dyDescent="0.25">
      <c r="B9289" t="str">
        <f>HYPERLINK("https://www.chemistwarehouse.com.au/buy/78590/Sensodyne-Toothpaste-True-White-Mint-110g"," Sensodyne Toothpaste True White Mint 110g")</f>
        <v xml:space="preserve"> Sensodyne Toothpaste True White Mint 110g</v>
      </c>
      <c r="C9289" t="s">
        <v>317</v>
      </c>
      <c r="D9289" t="s">
        <v>739</v>
      </c>
    </row>
    <row r="9290" spans="1:4" x14ac:dyDescent="0.25">
      <c r="A9290" t="s">
        <v>1989</v>
      </c>
    </row>
    <row r="9291" spans="1:4" x14ac:dyDescent="0.25">
      <c r="B9291" t="str">
        <f>HYPERLINK("https://www.chemistwarehouse.com.au/buy/67708/Oral-B-Prohealth-Fresh-Mint-Toothpaste-145g"," Oral B Prohealth Fresh Mint Toothpaste 145g")</f>
        <v xml:space="preserve"> Oral B Prohealth Fresh Mint Toothpaste 145g</v>
      </c>
      <c r="C9291" t="s">
        <v>1746</v>
      </c>
      <c r="D9291" t="s">
        <v>785</v>
      </c>
    </row>
    <row r="9292" spans="1:4" x14ac:dyDescent="0.25">
      <c r="B9292" t="str">
        <f>HYPERLINK("https://www.chemistwarehouse.com.au/buy/78551/Oral-B-Toothpaste-3D-White-Luxe-Diamond-Strong-95g"," Oral B Toothpaste 3D White Luxe Diamond Strong 95g")</f>
        <v xml:space="preserve"> Oral B Toothpaste 3D White Luxe Diamond Strong 95g</v>
      </c>
      <c r="C9292" t="s">
        <v>1618</v>
      </c>
      <c r="D9292" t="s">
        <v>808</v>
      </c>
    </row>
    <row r="9293" spans="1:4" x14ac:dyDescent="0.25">
      <c r="B9293" t="str">
        <f>HYPERLINK("https://www.chemistwarehouse.com.au/buy/67707/Oral-B-Prohealth-Clean-Mint-Toothpaste-145g"," Oral B Prohealth Clean Mint Toothpaste 145g")</f>
        <v xml:space="preserve"> Oral B Prohealth Clean Mint Toothpaste 145g</v>
      </c>
      <c r="C9293" t="s">
        <v>1746</v>
      </c>
      <c r="D9293" t="s">
        <v>785</v>
      </c>
    </row>
    <row r="9294" spans="1:4" x14ac:dyDescent="0.25">
      <c r="B9294" t="str">
        <f>HYPERLINK("https://www.chemistwarehouse.com.au/buy/78550/Oral-B-Toothpaste-Pro-Health-Advanced-Whitening-110g"," Oral B Toothpaste Pro Health Advanced Whitening 110g")</f>
        <v xml:space="preserve"> Oral B Toothpaste Pro Health Advanced Whitening 110g</v>
      </c>
      <c r="C9294" t="s">
        <v>1264</v>
      </c>
      <c r="D9294" t="s">
        <v>593</v>
      </c>
    </row>
    <row r="9295" spans="1:4" x14ac:dyDescent="0.25">
      <c r="B9295" t="str">
        <f>HYPERLINK("https://www.chemistwarehouse.com.au/buy/78589/Oral-B-3D-White-Luxe-Advanced-Seal-White-Strips-14-Pack"," Oral B 3D White Luxe Advanced Seal White Strips 14 Pack")</f>
        <v xml:space="preserve"> Oral B 3D White Luxe Advanced Seal White Strips 14 Pack</v>
      </c>
      <c r="C9295" t="s">
        <v>161</v>
      </c>
      <c r="D9295" t="s">
        <v>280</v>
      </c>
    </row>
    <row r="9296" spans="1:4" x14ac:dyDescent="0.25">
      <c r="B9296" t="str">
        <f>HYPERLINK("https://www.chemistwarehouse.com.au/buy/82484/Oral-B-Gum-Care-amp-Enamel-Restore-Toothpaste-110g"," Oral B Gum Care &amp; Enamel Restore Toothpaste 110g")</f>
        <v xml:space="preserve"> Oral B Gum Care &amp; Enamel Restore Toothpaste 110g</v>
      </c>
      <c r="C9296" t="s">
        <v>116</v>
      </c>
      <c r="D9296" t="s">
        <v>104</v>
      </c>
    </row>
    <row r="9297" spans="1:4" x14ac:dyDescent="0.25">
      <c r="B9297" t="str">
        <f>HYPERLINK("https://www.chemistwarehouse.com.au/buy/82485/Oral-B-Gum-Care-amp-Extra-Fresh-Toothpaste-110g"," Oral B Gum Care &amp; Extra Fresh Toothpaste 110g")</f>
        <v xml:space="preserve"> Oral B Gum Care &amp; Extra Fresh Toothpaste 110g</v>
      </c>
      <c r="C9297" t="s">
        <v>116</v>
      </c>
      <c r="D9297" t="s">
        <v>104</v>
      </c>
    </row>
    <row r="9298" spans="1:4" x14ac:dyDescent="0.25">
      <c r="B9298" t="str">
        <f>HYPERLINK("https://www.chemistwarehouse.com.au/buy/82486/Oral-B-Gum-Care-amp-Sensitivity-Repair-Toothpaste-110g"," Oral B Gum Care &amp; Sensitivity Repair Toothpaste 110g")</f>
        <v xml:space="preserve"> Oral B Gum Care &amp; Sensitivity Repair Toothpaste 110g</v>
      </c>
      <c r="C9298" t="s">
        <v>116</v>
      </c>
      <c r="D9298" t="s">
        <v>104</v>
      </c>
    </row>
    <row r="9299" spans="1:4" x14ac:dyDescent="0.25">
      <c r="B9299" t="str">
        <f>HYPERLINK("https://www.chemistwarehouse.com.au/buy/82559/Oral-B-3D-White-Arctic-Fresh-Toothpaste-130g"," Oral B 3D White Arctic Fresh Toothpaste 130g")</f>
        <v xml:space="preserve"> Oral B 3D White Arctic Fresh Toothpaste 130g</v>
      </c>
      <c r="C9299" t="s">
        <v>116</v>
      </c>
      <c r="D9299" t="s">
        <v>238</v>
      </c>
    </row>
    <row r="9300" spans="1:4" x14ac:dyDescent="0.25">
      <c r="B9300" t="str">
        <f>HYPERLINK("https://www.chemistwarehouse.com.au/buy/82560/Oral-B-Pro-Health-Advanced-Enamel-Strong-Toothpaste-110g"," Oral B Pro Health Advanced Enamel Strong Toothpaste 110g")</f>
        <v xml:space="preserve"> Oral B Pro Health Advanced Enamel Strong Toothpaste 110g</v>
      </c>
      <c r="C9300" t="s">
        <v>146</v>
      </c>
      <c r="D9300" t="s">
        <v>312</v>
      </c>
    </row>
    <row r="9301" spans="1:4" x14ac:dyDescent="0.25">
      <c r="B9301" t="str">
        <f>HYPERLINK("https://www.chemistwarehouse.com.au/buy/70076/Oral-B-Pro-Health-Whitening-Toothpaste-145g"," Oral B Pro Health Whitening Toothpaste 145g")</f>
        <v xml:space="preserve"> Oral B Pro Health Whitening Toothpaste 145g</v>
      </c>
      <c r="C9301" t="s">
        <v>104</v>
      </c>
      <c r="D9301" t="s">
        <v>635</v>
      </c>
    </row>
    <row r="9302" spans="1:4" x14ac:dyDescent="0.25">
      <c r="B9302" t="str">
        <f>HYPERLINK("https://www.chemistwarehouse.com.au/buy/74855/Oral-B-Clinical-Toothpaste-Gum-Protection-110g"," Oral B Clinical Toothpaste Gum Protection 110g")</f>
        <v xml:space="preserve"> Oral B Clinical Toothpaste Gum Protection 110g</v>
      </c>
      <c r="C9302" t="s">
        <v>115</v>
      </c>
      <c r="D9302" t="s">
        <v>635</v>
      </c>
    </row>
    <row r="9303" spans="1:4" x14ac:dyDescent="0.25">
      <c r="B9303" t="str">
        <f>HYPERLINK("https://www.chemistwarehouse.com.au/buy/78549/Oral-B-Toothpaste-Pro-Health-Advanced-Deep-Clean-110g"," Oral B Toothpaste Pro Health Advanced Deep Clean 110g")</f>
        <v xml:space="preserve"> Oral B Toothpaste Pro Health Advanced Deep Clean 110g</v>
      </c>
      <c r="C9303" t="s">
        <v>1264</v>
      </c>
      <c r="D9303" t="s">
        <v>593</v>
      </c>
    </row>
    <row r="9304" spans="1:4" x14ac:dyDescent="0.25">
      <c r="B9304" t="str">
        <f>HYPERLINK("https://www.chemistwarehouse.com.au/buy/54002/Oral-B-Toothpaste-Winnie-92g"," Oral B Toothpaste Winnie 92g")</f>
        <v xml:space="preserve"> Oral B Toothpaste Winnie 92g</v>
      </c>
      <c r="C9304" t="s">
        <v>775</v>
      </c>
      <c r="D9304" t="s">
        <v>776</v>
      </c>
    </row>
    <row r="9305" spans="1:4" x14ac:dyDescent="0.25">
      <c r="A9305" t="s">
        <v>1990</v>
      </c>
    </row>
    <row r="9306" spans="1:4" x14ac:dyDescent="0.25">
      <c r="B9306" t="str">
        <f>HYPERLINK("https://www.chemistwarehouse.com.au/buy/58613/White-Glo-Express-Whitening-Kit"," White Glo Express Whitening Kit")</f>
        <v xml:space="preserve"> White Glo Express Whitening Kit</v>
      </c>
      <c r="C9306" t="s">
        <v>237</v>
      </c>
      <c r="D9306" t="s">
        <v>312</v>
      </c>
    </row>
    <row r="9307" spans="1:4" x14ac:dyDescent="0.25">
      <c r="B9307" t="str">
        <f>HYPERLINK("https://www.chemistwarehouse.com.au/buy/80456/White-Glo-Diamond-Series-Advanced-Teeth-Whitening-Kit"," White Glo Diamond Series Advanced Teeth Whitening Kit")</f>
        <v xml:space="preserve"> White Glo Diamond Series Advanced Teeth Whitening Kit</v>
      </c>
      <c r="C9307" t="s">
        <v>80</v>
      </c>
      <c r="D9307" t="s">
        <v>164</v>
      </c>
    </row>
    <row r="9308" spans="1:4" x14ac:dyDescent="0.25">
      <c r="B9308" t="str">
        <f>HYPERLINK("https://www.chemistwarehouse.com.au/buy/52018/White-Glo-Toothpaste-Professional-150G"," White Glo Toothpaste Professional 150G")</f>
        <v xml:space="preserve"> White Glo Toothpaste Professional 150G</v>
      </c>
      <c r="C9308" t="s">
        <v>146</v>
      </c>
      <c r="D9308" t="s">
        <v>312</v>
      </c>
    </row>
    <row r="9309" spans="1:4" x14ac:dyDescent="0.25">
      <c r="B9309" t="str">
        <f>HYPERLINK("https://www.chemistwarehouse.com.au/buy/62829/Whiteglo-Coffee-And-Tea-Toothpaste-150g"," Whiteglo Coffee And Tea Toothpaste 150g")</f>
        <v xml:space="preserve"> Whiteglo Coffee And Tea Toothpaste 150g</v>
      </c>
      <c r="C9309" t="s">
        <v>146</v>
      </c>
      <c r="D9309" t="s">
        <v>312</v>
      </c>
    </row>
    <row r="9310" spans="1:4" x14ac:dyDescent="0.25">
      <c r="B9310" t="str">
        <f>HYPERLINK("https://www.chemistwarehouse.com.au/buy/52012/White-Glo-Toothpaste-Smokers-Formula-150G"," White Glo Toothpaste Smokers Formula 150G")</f>
        <v xml:space="preserve"> White Glo Toothpaste Smokers Formula 150G</v>
      </c>
      <c r="C9310" t="s">
        <v>146</v>
      </c>
      <c r="D9310" t="s">
        <v>312</v>
      </c>
    </row>
    <row r="9311" spans="1:4" x14ac:dyDescent="0.25">
      <c r="B9311" t="str">
        <f>HYPERLINK("https://www.chemistwarehouse.com.au/buy/53422/White-Glo-Toothpaste-2-in-1-with-Mouthwash-150G"," White Glo Toothpaste 2 in 1 with Mouthwash 150G")</f>
        <v xml:space="preserve"> White Glo Toothpaste 2 in 1 with Mouthwash 150G</v>
      </c>
      <c r="C9311" t="s">
        <v>146</v>
      </c>
      <c r="D9311" t="s">
        <v>312</v>
      </c>
    </row>
    <row r="9312" spans="1:4" x14ac:dyDescent="0.25">
      <c r="A9312" t="s">
        <v>1991</v>
      </c>
    </row>
    <row r="9313" spans="1:4" x14ac:dyDescent="0.25">
      <c r="B9313" t="str">
        <f>HYPERLINK("https://www.chemistwarehouse.com.au/buy/50369/Macleans-Toothpaste-Extreme-Clean-170g"," Macleans Toothpaste Extreme Clean 170g")</f>
        <v xml:space="preserve"> Macleans Toothpaste Extreme Clean 170g</v>
      </c>
      <c r="C9313" t="s">
        <v>635</v>
      </c>
      <c r="D9313" t="s">
        <v>115</v>
      </c>
    </row>
    <row r="9314" spans="1:4" x14ac:dyDescent="0.25">
      <c r="B9314" t="str">
        <f>HYPERLINK("https://www.chemistwarehouse.com.au/buy/77899/Macleans-Extreme-Clean-Whitening-170g"," Macleans Extreme Clean Whitening 170g")</f>
        <v xml:space="preserve"> Macleans Extreme Clean Whitening 170g</v>
      </c>
      <c r="C9314" t="s">
        <v>120</v>
      </c>
      <c r="D9314" t="s">
        <v>327</v>
      </c>
    </row>
    <row r="9315" spans="1:4" x14ac:dyDescent="0.25">
      <c r="B9315" t="str">
        <f>HYPERLINK("https://www.chemistwarehouse.com.au/buy/63691/Macleans-Toothpaste-Sensitive-Fresh-Mint-100g"," Macleans Toothpaste Sensitive Fresh Mint 100g")</f>
        <v xml:space="preserve"> Macleans Toothpaste Sensitive Fresh Mint 100g</v>
      </c>
      <c r="C9315" t="s">
        <v>786</v>
      </c>
      <c r="D9315" t="s">
        <v>776</v>
      </c>
    </row>
    <row r="9316" spans="1:4" x14ac:dyDescent="0.25">
      <c r="B9316" t="str">
        <f>HYPERLINK("https://www.chemistwarehouse.com.au/buy/64403/Macleans-Little-Teeth-Paste-63g"," Macleans Little Teeth Paste 63g")</f>
        <v xml:space="preserve"> Macleans Little Teeth Paste 63g</v>
      </c>
      <c r="C9316" t="s">
        <v>635</v>
      </c>
      <c r="D9316">
        <v>0</v>
      </c>
    </row>
    <row r="9317" spans="1:4" x14ac:dyDescent="0.25">
      <c r="B9317" t="str">
        <f>HYPERLINK("https://www.chemistwarehouse.com.au/buy/64402/Macleans-Big-Teeth-Paste-63g"," Macleans Big Teeth Paste 63g")</f>
        <v xml:space="preserve"> Macleans Big Teeth Paste 63g</v>
      </c>
      <c r="C9317" t="s">
        <v>635</v>
      </c>
      <c r="D9317">
        <v>0</v>
      </c>
    </row>
    <row r="9318" spans="1:4" x14ac:dyDescent="0.25">
      <c r="B9318" t="str">
        <f>HYPERLINK("https://www.chemistwarehouse.com.au/buy/44253/Macleans-Milk-Teeth-Toothpaste-63g"," Macleans Milk Teeth Toothpaste 63g")</f>
        <v xml:space="preserve"> Macleans Milk Teeth Toothpaste 63g</v>
      </c>
      <c r="C9318" t="s">
        <v>733</v>
      </c>
      <c r="D9318" t="s">
        <v>643</v>
      </c>
    </row>
    <row r="9319" spans="1:4" x14ac:dyDescent="0.25">
      <c r="B9319" t="str">
        <f>HYPERLINK("https://www.chemistwarehouse.com.au/buy/79982/Macleans-Multi-Action-Whitening-Toothpaste-120g"," Macleans Multi Action Whitening Toothpaste 120g")</f>
        <v xml:space="preserve"> Macleans Multi Action Whitening Toothpaste 120g</v>
      </c>
      <c r="C9319" t="s">
        <v>635</v>
      </c>
      <c r="D9319" t="s">
        <v>593</v>
      </c>
    </row>
    <row r="9320" spans="1:4" x14ac:dyDescent="0.25">
      <c r="B9320" t="str">
        <f>HYPERLINK("https://www.chemistwarehouse.com.au/buy/77898/Macleans-Extreme-Clean-Deep-Action-White-170g"," Macleans Extreme Clean Deep Action + White 170g")</f>
        <v xml:space="preserve"> Macleans Extreme Clean Deep Action + White 170g</v>
      </c>
      <c r="C9320" t="s">
        <v>120</v>
      </c>
      <c r="D9320" t="s">
        <v>327</v>
      </c>
    </row>
    <row r="9321" spans="1:4" x14ac:dyDescent="0.25">
      <c r="A9321" t="s">
        <v>1992</v>
      </c>
    </row>
    <row r="9322" spans="1:4" x14ac:dyDescent="0.25">
      <c r="B9322" t="str">
        <f>HYPERLINK("https://www.chemistwarehouse.com.au/buy/59410/Healthy-Care-Propolis-Toothpaste-120g"," Healthy Care Propolis Toothpaste 120g")</f>
        <v xml:space="preserve"> Healthy Care Propolis Toothpaste 120g</v>
      </c>
      <c r="C9322" t="s">
        <v>146</v>
      </c>
      <c r="D9322">
        <v>0</v>
      </c>
    </row>
    <row r="9323" spans="1:4" x14ac:dyDescent="0.25">
      <c r="B9323" t="str">
        <f>HYPERLINK("https://www.chemistwarehouse.com.au/buy/48866/Thursday-Plantation-Toothpaste-Fluoride-Free-110g"," Thursday Plantation Toothpaste Fluoride Free 110g")</f>
        <v xml:space="preserve"> Thursday Plantation Toothpaste Fluoride Free 110g</v>
      </c>
      <c r="C9323" t="s">
        <v>120</v>
      </c>
      <c r="D9323" t="s">
        <v>1993</v>
      </c>
    </row>
    <row r="9324" spans="1:4" x14ac:dyDescent="0.25">
      <c r="B9324" t="str">
        <f>HYPERLINK("https://www.chemistwarehouse.com.au/buy/7904/Steradent-Denture-Paste-115g"," Steradent Denture Paste 115g")</f>
        <v xml:space="preserve"> Steradent Denture Paste 115g</v>
      </c>
      <c r="C9324" t="s">
        <v>483</v>
      </c>
      <c r="D9324" t="s">
        <v>776</v>
      </c>
    </row>
    <row r="9325" spans="1:4" x14ac:dyDescent="0.25">
      <c r="B9325" t="str">
        <f>HYPERLINK("https://www.chemistwarehouse.com.au/buy/80430/Colgate-Toothpaste-Regular-181g-Twin-Pack"," Colgate Toothpaste Regular 181g Twin Pack")</f>
        <v xml:space="preserve"> Colgate Toothpaste Regular 181g Twin Pack</v>
      </c>
      <c r="C9325" t="s">
        <v>556</v>
      </c>
      <c r="D9325" t="s">
        <v>371</v>
      </c>
    </row>
    <row r="9326" spans="1:4" x14ac:dyDescent="0.25">
      <c r="B9326" t="str">
        <f>HYPERLINK("https://www.chemistwarehouse.com.au/buy/55130/Chlorofluor-Gel-30ml"," Chlorofluor Gel 30ml")</f>
        <v xml:space="preserve"> Chlorofluor Gel 30ml</v>
      </c>
      <c r="C9326" t="s">
        <v>98</v>
      </c>
      <c r="D9326" t="s">
        <v>465</v>
      </c>
    </row>
    <row r="9327" spans="1:4" x14ac:dyDescent="0.25">
      <c r="B9327" t="str">
        <f>HYPERLINK("https://www.chemistwarehouse.com.au/buy/71349/Polident-Whitening-Cleanser-36-Tablets"," Polident Whitening Cleanser 36 Tablets")</f>
        <v xml:space="preserve"> Polident Whitening Cleanser 36 Tablets</v>
      </c>
      <c r="C9327" t="s">
        <v>326</v>
      </c>
      <c r="D9327" t="s">
        <v>776</v>
      </c>
    </row>
    <row r="9328" spans="1:4" x14ac:dyDescent="0.25">
      <c r="B9328" t="str">
        <f>HYPERLINK("https://www.chemistwarehouse.com.au/buy/71277/Oral-B-3D-White-Whitestrips-28-Treatments"," Oral B 3D White Whitestrips 28 Treatments")</f>
        <v xml:space="preserve"> Oral B 3D White Whitestrips 28 Treatments</v>
      </c>
      <c r="C9328" t="s">
        <v>279</v>
      </c>
      <c r="D9328" t="s">
        <v>112</v>
      </c>
    </row>
    <row r="9329" spans="2:4" x14ac:dyDescent="0.25">
      <c r="B9329" t="str">
        <f>HYPERLINK("https://www.chemistwarehouse.com.au/buy/64873/Alfree-Plain-Toothpaste-100g"," Alfree Plain Toothpaste 100g")</f>
        <v xml:space="preserve"> Alfree Plain Toothpaste 100g</v>
      </c>
      <c r="C9329" t="s">
        <v>116</v>
      </c>
      <c r="D9329" t="s">
        <v>553</v>
      </c>
    </row>
    <row r="9330" spans="2:4" x14ac:dyDescent="0.25">
      <c r="B9330" t="str">
        <f>HYPERLINK("https://www.chemistwarehouse.com.au/buy/32357/Biotene-Oral-Balance-Gel-42g"," Biotene Oral Balance Gel 42g")</f>
        <v xml:space="preserve"> Biotene Oral Balance Gel 42g</v>
      </c>
      <c r="C9330" t="s">
        <v>98</v>
      </c>
      <c r="D9330" t="s">
        <v>1864</v>
      </c>
    </row>
    <row r="9331" spans="2:4" x14ac:dyDescent="0.25">
      <c r="B9331" t="str">
        <f>HYPERLINK("https://www.chemistwarehouse.com.au/buy/74885/Oral-B-3D-White-Luxe-Paste-Glamorous-White-95g"," Oral B 3D White Luxe Paste Glamorous White 95g")</f>
        <v xml:space="preserve"> Oral B 3D White Luxe Paste Glamorous White 95g</v>
      </c>
      <c r="C9331" t="s">
        <v>1618</v>
      </c>
      <c r="D9331" t="s">
        <v>808</v>
      </c>
    </row>
    <row r="9332" spans="2:4" x14ac:dyDescent="0.25">
      <c r="B9332" t="str">
        <f>HYPERLINK("https://www.chemistwarehouse.com.au/buy/80175/Health-amp-Beauty-Toothpaste-Whitening-with-Fluoride-150g-3-Pack"," Health &amp; Beauty Toothpaste Whitening with Fluoride 150g 3 Pack")</f>
        <v xml:space="preserve"> Health &amp; Beauty Toothpaste Whitening with Fluoride 150g 3 Pack</v>
      </c>
      <c r="C9332" t="s">
        <v>691</v>
      </c>
      <c r="D9332" t="s">
        <v>776</v>
      </c>
    </row>
    <row r="9333" spans="2:4" x14ac:dyDescent="0.25">
      <c r="B9333" t="str">
        <f>HYPERLINK("https://www.chemistwarehouse.com.au/buy/80173/Health-amp-Beauty-Toothpaste-Freshmint-50g-3-Pack"," Health &amp; Beauty Toothpaste Freshmint 50g 3 Pack")</f>
        <v xml:space="preserve"> Health &amp; Beauty Toothpaste Freshmint 50g 3 Pack</v>
      </c>
      <c r="C9333" t="s">
        <v>691</v>
      </c>
      <c r="D9333" t="s">
        <v>776</v>
      </c>
    </row>
    <row r="9334" spans="2:4" x14ac:dyDescent="0.25">
      <c r="B9334" t="str">
        <f>HYPERLINK("https://www.chemistwarehouse.com.au/buy/6153/MediJel-Mouth-Gel-15g"," MediJel Mouth Gel 15g")</f>
        <v xml:space="preserve"> MediJel Mouth Gel 15g</v>
      </c>
      <c r="C9334" t="s">
        <v>103</v>
      </c>
      <c r="D9334">
        <v>0</v>
      </c>
    </row>
    <row r="9335" spans="2:4" x14ac:dyDescent="0.25">
      <c r="B9335" t="str">
        <f>HYPERLINK("https://www.chemistwarehouse.com.au/buy/71350/Oral-B-3D-White-Brilliant-Mint-130g"," Oral B 3D White Brilliant Mint 130g")</f>
        <v xml:space="preserve"> Oral B 3D White Brilliant Mint 130g</v>
      </c>
      <c r="C9335" t="s">
        <v>64</v>
      </c>
      <c r="D9335" t="s">
        <v>1264</v>
      </c>
    </row>
    <row r="9336" spans="2:4" x14ac:dyDescent="0.25">
      <c r="B9336" t="str">
        <f>HYPERLINK("https://www.chemistwarehouse.com.au/buy/68923/Gum-Orthodontic-Wax-Mint"," Gum Orthodontic Wax Mint")</f>
        <v xml:space="preserve"> Gum Orthodontic Wax Mint</v>
      </c>
      <c r="C9336" t="s">
        <v>104</v>
      </c>
      <c r="D9336" t="s">
        <v>318</v>
      </c>
    </row>
    <row r="9337" spans="2:4" x14ac:dyDescent="0.25">
      <c r="B9337" t="str">
        <f>HYPERLINK("https://www.chemistwarehouse.com.au/buy/68925/Oral-Seven-Toothpaste"," Oral Seven Toothpaste")</f>
        <v xml:space="preserve"> Oral Seven Toothpaste</v>
      </c>
      <c r="C9337" t="s">
        <v>45</v>
      </c>
      <c r="D9337" t="s">
        <v>115</v>
      </c>
    </row>
    <row r="9338" spans="2:4" x14ac:dyDescent="0.25">
      <c r="B9338" t="str">
        <f>HYPERLINK("https://www.chemistwarehouse.com.au/buy/3113/Daktarin-Oral-Gel-40g"," Daktarin Oral Gel 40g")</f>
        <v xml:space="preserve"> Daktarin Oral Gel 40g</v>
      </c>
      <c r="C9338" t="s">
        <v>8</v>
      </c>
      <c r="D9338">
        <v>0</v>
      </c>
    </row>
    <row r="9339" spans="2:4" x14ac:dyDescent="0.25">
      <c r="B9339" t="str">
        <f>HYPERLINK("https://www.chemistwarehouse.com.au/buy/3114/Daktarin-Oral-Gel-2-15g"," Daktarin Oral Gel 2% 15g")</f>
        <v xml:space="preserve"> Daktarin Oral Gel 2% 15g</v>
      </c>
      <c r="C9339" t="s">
        <v>45</v>
      </c>
      <c r="D9339">
        <v>0</v>
      </c>
    </row>
    <row r="9340" spans="2:4" x14ac:dyDescent="0.25">
      <c r="B9340" t="str">
        <f>HYPERLINK("https://www.chemistwarehouse.com.au/buy/62280/Oral-Seven-Mouth-Gel-50mL"," Oral Seven Mouth Gel 50mL")</f>
        <v xml:space="preserve"> Oral Seven Mouth Gel 50mL</v>
      </c>
      <c r="C9340" t="s">
        <v>32</v>
      </c>
      <c r="D9340" t="s">
        <v>64</v>
      </c>
    </row>
    <row r="9341" spans="2:4" x14ac:dyDescent="0.25">
      <c r="B9341" t="str">
        <f>HYPERLINK("https://www.chemistwarehouse.com.au/buy/63134/Pearl-Drops-Professional-Intensive-Whitening-80g"," Pearl Drops Professional Intensive Whitening 80g")</f>
        <v xml:space="preserve"> Pearl Drops Professional Intensive Whitening 80g</v>
      </c>
      <c r="C9341" t="s">
        <v>92</v>
      </c>
      <c r="D9341" t="s">
        <v>312</v>
      </c>
    </row>
    <row r="9342" spans="2:4" x14ac:dyDescent="0.25">
      <c r="B9342" t="str">
        <f>HYPERLINK("https://www.chemistwarehouse.com.au/buy/64651/Steradent-Extra-Whitening-48-Tablets"," Steradent Extra Whitening 48 Tablets")</f>
        <v xml:space="preserve"> Steradent Extra Whitening 48 Tablets</v>
      </c>
      <c r="C9342" t="s">
        <v>103</v>
      </c>
      <c r="D9342" t="s">
        <v>371</v>
      </c>
    </row>
    <row r="9343" spans="2:4" x14ac:dyDescent="0.25">
      <c r="B9343" t="str">
        <f>HYPERLINK("https://www.chemistwarehouse.com.au/buy/80174/Health-amp-Beauty-Toothpaste-Sensitive-150g-3-Pack"," Health &amp; Beauty Toothpaste Sensitive 150g 3 Pack")</f>
        <v xml:space="preserve"> Health &amp; Beauty Toothpaste Sensitive 150g 3 Pack</v>
      </c>
      <c r="C9343" t="s">
        <v>691</v>
      </c>
      <c r="D9343" t="s">
        <v>776</v>
      </c>
    </row>
    <row r="9344" spans="2:4" x14ac:dyDescent="0.25">
      <c r="B9344" t="str">
        <f>HYPERLINK("https://www.chemistwarehouse.com.au/buy/77659/Pearl-Drops-Everyday-Extra-White-Fresh-Mint-Toothpaste-110g"," Pearl Drops Everyday Extra White Fresh Mint Toothpaste 110g")</f>
        <v xml:space="preserve"> Pearl Drops Everyday Extra White Fresh Mint Toothpaste 110g</v>
      </c>
      <c r="C9344" t="s">
        <v>483</v>
      </c>
      <c r="D9344" t="s">
        <v>371</v>
      </c>
    </row>
    <row r="9345" spans="1:4" x14ac:dyDescent="0.25">
      <c r="B9345" t="str">
        <f>HYPERLINK("https://www.chemistwarehouse.com.au/buy/77660/Pearl-Drops-Everyday-Extreme-White-Cool-Mint-Toothpaste-110g"," Pearl Drops Everyday Extreme White Cool Mint Toothpaste 110g")</f>
        <v xml:space="preserve"> Pearl Drops Everyday Extreme White Cool Mint Toothpaste 110g</v>
      </c>
      <c r="C9345" t="s">
        <v>483</v>
      </c>
      <c r="D9345" t="s">
        <v>371</v>
      </c>
    </row>
    <row r="9346" spans="1:4" x14ac:dyDescent="0.25">
      <c r="A9346" t="s">
        <v>1994</v>
      </c>
    </row>
    <row r="9347" spans="1:4" x14ac:dyDescent="0.25">
      <c r="B9347" t="str">
        <f>HYPERLINK("https://www.chemistwarehouse.com.au/buy/82262/Red-Seal-Natural-SLS-Free-Toothpaste"," Red Seal Natural SLS Free Toothpaste")</f>
        <v xml:space="preserve"> Red Seal Natural SLS Free Toothpaste</v>
      </c>
      <c r="C9347" t="s">
        <v>146</v>
      </c>
      <c r="D9347" t="s">
        <v>1086</v>
      </c>
    </row>
    <row r="9348" spans="1:4" x14ac:dyDescent="0.25">
      <c r="B9348" t="str">
        <f>HYPERLINK("https://www.chemistwarehouse.com.au/buy/82264/Red-Seal-Toothpaste-Baking-Soda"," Red Seal Toothpaste Baking Soda")</f>
        <v xml:space="preserve"> Red Seal Toothpaste Baking Soda</v>
      </c>
      <c r="C9348" t="s">
        <v>146</v>
      </c>
      <c r="D9348" t="s">
        <v>1086</v>
      </c>
    </row>
    <row r="9349" spans="1:4" x14ac:dyDescent="0.25">
      <c r="B9349" t="str">
        <f>HYPERLINK("https://www.chemistwarehouse.com.au/buy/82261/Red-Seal-Kids-Toothpaste-Sodium-Lauryl-Sulphate-Free"," Red Seal Kids Toothpaste Sodium Lauryl Sulphate Free")</f>
        <v xml:space="preserve"> Red Seal Kids Toothpaste Sodium Lauryl Sulphate Free</v>
      </c>
      <c r="C9349" t="s">
        <v>399</v>
      </c>
      <c r="D9349" t="s">
        <v>1451</v>
      </c>
    </row>
    <row r="9350" spans="1:4" x14ac:dyDescent="0.25">
      <c r="B9350" t="str">
        <f>HYPERLINK("https://www.chemistwarehouse.com.au/buy/82265/Red-Seal-Toothpaste-Lemon-Sodium-Lauryl-Sulphate-Free"," Red Seal Toothpaste Lemon Sodium Lauryl Sulphate Free")</f>
        <v xml:space="preserve"> Red Seal Toothpaste Lemon Sodium Lauryl Sulphate Free</v>
      </c>
      <c r="C9350" t="s">
        <v>146</v>
      </c>
      <c r="D9350" t="s">
        <v>1086</v>
      </c>
    </row>
    <row r="9351" spans="1:4" x14ac:dyDescent="0.25">
      <c r="B9351" t="str">
        <f>HYPERLINK("https://www.chemistwarehouse.com.au/buy/82266/Red-Seal-Toothpaste-Propolis"," Red Seal Toothpaste Propolis")</f>
        <v xml:space="preserve"> Red Seal Toothpaste Propolis</v>
      </c>
      <c r="C9351" t="s">
        <v>146</v>
      </c>
      <c r="D9351" t="s">
        <v>1086</v>
      </c>
    </row>
    <row r="9352" spans="1:4" x14ac:dyDescent="0.25">
      <c r="B9352" t="str">
        <f>HYPERLINK("https://www.chemistwarehouse.com.au/buy/82260/Red-Seal-Herbal-Toothpaste"," Red Seal Herbal Toothpaste")</f>
        <v xml:space="preserve"> Red Seal Herbal Toothpaste</v>
      </c>
      <c r="C9352" t="s">
        <v>146</v>
      </c>
      <c r="D9352" t="s">
        <v>1086</v>
      </c>
    </row>
    <row r="9353" spans="1:4" x14ac:dyDescent="0.25">
      <c r="B9353" t="str">
        <f>HYPERLINK("https://www.chemistwarehouse.com.au/buy/82263/Red-Seal-Smokers-Toothpaste"," Red Seal Smokers Toothpaste")</f>
        <v xml:space="preserve"> Red Seal Smokers Toothpaste</v>
      </c>
      <c r="C9353" t="s">
        <v>146</v>
      </c>
      <c r="D9353" t="s">
        <v>1086</v>
      </c>
    </row>
    <row r="9354" spans="1:4" x14ac:dyDescent="0.25">
      <c r="A9354" t="s">
        <v>1995</v>
      </c>
    </row>
    <row r="9355" spans="1:4" x14ac:dyDescent="0.25">
      <c r="B9355" t="str">
        <f>HYPERLINK("https://www.chemistwarehouse.com.au/buy/71323/Listerine-Total-Care-1-Litre-Bonus-Total-Care-250ml"," Listerine Total Care 1 Litre + Bonus Total Care 250ml ")</f>
        <v xml:space="preserve"> Listerine Total Care 1 Litre + Bonus Total Care 250ml </v>
      </c>
      <c r="C9355" t="s">
        <v>324</v>
      </c>
      <c r="D9355" t="s">
        <v>809</v>
      </c>
    </row>
    <row r="9356" spans="1:4" x14ac:dyDescent="0.25">
      <c r="B9356" t="str">
        <f>HYPERLINK("https://www.chemistwarehouse.com.au/buy/6005/Listerine-Fresh-Burst-1Litre"," Listerine Fresh Burst 1Litre")</f>
        <v xml:space="preserve"> Listerine Fresh Burst 1Litre</v>
      </c>
      <c r="C9356" t="s">
        <v>45</v>
      </c>
      <c r="D9356" t="s">
        <v>115</v>
      </c>
    </row>
    <row r="9357" spans="1:4" x14ac:dyDescent="0.25">
      <c r="B9357" t="str">
        <f>HYPERLINK("https://www.chemistwarehouse.com.au/buy/35540/Listerine-Gold-1-Litre"," Listerine Gold 1 Litre")</f>
        <v xml:space="preserve"> Listerine Gold 1 Litre</v>
      </c>
      <c r="C9357" t="s">
        <v>45</v>
      </c>
      <c r="D9357" t="s">
        <v>612</v>
      </c>
    </row>
    <row r="9358" spans="1:4" x14ac:dyDescent="0.25">
      <c r="B9358" t="str">
        <f>HYPERLINK("https://www.chemistwarehouse.com.au/buy/63778/Listerine-Mouthwash-Zero-1-Litre"," Listerine Mouthwash Zero 1 Litre")</f>
        <v xml:space="preserve"> Listerine Mouthwash Zero 1 Litre</v>
      </c>
      <c r="C9358" t="s">
        <v>324</v>
      </c>
      <c r="D9358" t="s">
        <v>805</v>
      </c>
    </row>
    <row r="9359" spans="1:4" x14ac:dyDescent="0.25">
      <c r="B9359" t="str">
        <f>HYPERLINK("https://www.chemistwarehouse.com.au/buy/56852/Listerine-Total-Care-250ml"," Listerine Total Care 250ml")</f>
        <v xml:space="preserve"> Listerine Total Care 250ml</v>
      </c>
      <c r="C9359" t="s">
        <v>146</v>
      </c>
      <c r="D9359" t="s">
        <v>613</v>
      </c>
    </row>
    <row r="9360" spans="1:4" x14ac:dyDescent="0.25">
      <c r="B9360" t="str">
        <f>HYPERLINK("https://www.chemistwarehouse.com.au/buy/63776/Listerine-Mouthwash-Zero-250ml"," Listerine Mouthwash Zero 250ml")</f>
        <v xml:space="preserve"> Listerine Mouthwash Zero 250ml</v>
      </c>
      <c r="C9360" t="s">
        <v>146</v>
      </c>
      <c r="D9360" t="s">
        <v>1358</v>
      </c>
    </row>
    <row r="9361" spans="1:4" x14ac:dyDescent="0.25">
      <c r="B9361" t="str">
        <f>HYPERLINK("https://www.chemistwarehouse.com.au/buy/66373/Listerine-Teeth-Defence-1L-Total-Care-250ml"," Listerine Teeth Defence 1L + Total Care 250ml")</f>
        <v xml:space="preserve"> Listerine Teeth Defence 1L + Total Care 250ml</v>
      </c>
      <c r="C9361" t="s">
        <v>324</v>
      </c>
      <c r="D9361" t="s">
        <v>805</v>
      </c>
    </row>
    <row r="9362" spans="1:4" x14ac:dyDescent="0.25">
      <c r="B9362" t="str">
        <f>HYPERLINK("https://www.chemistwarehouse.com.au/buy/39353/Listerine-Tartar-Control-1Litre"," Listerine Tartar Control 1Litre")</f>
        <v xml:space="preserve"> Listerine Tartar Control 1Litre</v>
      </c>
      <c r="C9362" t="s">
        <v>324</v>
      </c>
      <c r="D9362" t="s">
        <v>799</v>
      </c>
    </row>
    <row r="9363" spans="1:4" x14ac:dyDescent="0.25">
      <c r="B9363" t="str">
        <f>HYPERLINK("https://www.chemistwarehouse.com.au/buy/47747/Listerine-Teeth-Defence-250mL"," Listerine Teeth Defence 250mL")</f>
        <v xml:space="preserve"> Listerine Teeth Defence 250mL</v>
      </c>
      <c r="C9363" t="s">
        <v>146</v>
      </c>
      <c r="D9363" t="s">
        <v>808</v>
      </c>
    </row>
    <row r="9364" spans="1:4" x14ac:dyDescent="0.25">
      <c r="B9364" t="str">
        <f>HYPERLINK("https://www.chemistwarehouse.com.au/buy/47750/Listerine-Teeth-Defence-1-Litre"," Listerine Teeth Defence 1 Litre")</f>
        <v xml:space="preserve"> Listerine Teeth Defence 1 Litre</v>
      </c>
      <c r="C9364" t="s">
        <v>324</v>
      </c>
      <c r="D9364" t="s">
        <v>799</v>
      </c>
    </row>
    <row r="9365" spans="1:4" x14ac:dyDescent="0.25">
      <c r="B9365" t="str">
        <f>HYPERLINK("https://www.chemistwarehouse.com.au/buy/35541/Listerine-Cool-Mint-1-Litre"," Listerine Cool Mint 1 Litre")</f>
        <v xml:space="preserve"> Listerine Cool Mint 1 Litre</v>
      </c>
      <c r="C9365" t="s">
        <v>45</v>
      </c>
      <c r="D9365" t="s">
        <v>612</v>
      </c>
    </row>
    <row r="9366" spans="1:4" x14ac:dyDescent="0.25">
      <c r="B9366" t="str">
        <f>HYPERLINK("https://www.chemistwarehouse.com.au/buy/6006/Listerine-Fresh-Burst-250ml"," Listerine Fresh Burst 250ml")</f>
        <v xml:space="preserve"> Listerine Fresh Burst 250ml</v>
      </c>
      <c r="C9366" t="s">
        <v>146</v>
      </c>
      <c r="D9366" t="s">
        <v>808</v>
      </c>
    </row>
    <row r="9367" spans="1:4" x14ac:dyDescent="0.25">
      <c r="B9367" t="str">
        <f>HYPERLINK("https://www.chemistwarehouse.com.au/buy/6004/Listerine-Cool-Mint-250mL"," Listerine Cool Mint 250mL")</f>
        <v xml:space="preserve"> Listerine Cool Mint 250mL</v>
      </c>
      <c r="C9367" t="s">
        <v>146</v>
      </c>
      <c r="D9367" t="s">
        <v>799</v>
      </c>
    </row>
    <row r="9368" spans="1:4" x14ac:dyDescent="0.25">
      <c r="B9368" t="str">
        <f>HYPERLINK("https://www.chemistwarehouse.com.au/buy/56851/Listerine-Total-Care-1-Litre"," Listerine Total Care 1 Litre")</f>
        <v xml:space="preserve"> Listerine Total Care 1 Litre</v>
      </c>
      <c r="C9368" t="s">
        <v>324</v>
      </c>
      <c r="D9368" t="s">
        <v>371</v>
      </c>
    </row>
    <row r="9369" spans="1:4" x14ac:dyDescent="0.25">
      <c r="B9369" t="str">
        <f>HYPERLINK("https://www.chemistwarehouse.com.au/buy/71521/Listerine-Mouthwash-Zero-1-Litre-Zero-250ml-Bonus-Pack"," Listerine Mouthwash Zero 1 Litre + Zero 250ml Bonus Pack")</f>
        <v xml:space="preserve"> Listerine Mouthwash Zero 1 Litre + Zero 250ml Bonus Pack</v>
      </c>
      <c r="C9369" t="s">
        <v>324</v>
      </c>
      <c r="D9369" t="s">
        <v>805</v>
      </c>
    </row>
    <row r="9370" spans="1:4" x14ac:dyDescent="0.25">
      <c r="B9370" t="str">
        <f>HYPERLINK("https://www.chemistwarehouse.com.au/buy/74133/Listerine-Reach-Flosser-Clean-Paste-Refill-28"," Listerine Reach Flosser Clean Paste Refill 28")</f>
        <v xml:space="preserve"> Listerine Reach Flosser Clean Paste Refill 28</v>
      </c>
      <c r="C9370" t="s">
        <v>116</v>
      </c>
      <c r="D9370" t="s">
        <v>611</v>
      </c>
    </row>
    <row r="9371" spans="1:4" x14ac:dyDescent="0.25">
      <c r="B9371" t="str">
        <f>HYPERLINK("https://www.chemistwarehouse.com.au/buy/74134/Listerine-by-Reach-Flosser-Clean-Paste-Starter-Pack"," Listerine by Reach Flosser Clean Paste Starter Pack")</f>
        <v xml:space="preserve"> Listerine by Reach Flosser Clean Paste Starter Pack</v>
      </c>
      <c r="C9371" t="s">
        <v>483</v>
      </c>
      <c r="D9371" t="s">
        <v>371</v>
      </c>
    </row>
    <row r="9372" spans="1:4" x14ac:dyDescent="0.25">
      <c r="B9372" t="str">
        <f>HYPERLINK("https://www.chemistwarehouse.com.au/buy/82537/Listerine-Mouthwash-Total-Care-Zero-1-Litre"," Listerine Mouthwash Total Care Zero 1 Litre")</f>
        <v xml:space="preserve"> Listerine Mouthwash Total Care Zero 1 Litre</v>
      </c>
      <c r="C9372" t="s">
        <v>237</v>
      </c>
      <c r="D9372" t="s">
        <v>640</v>
      </c>
    </row>
    <row r="9373" spans="1:4" x14ac:dyDescent="0.25">
      <c r="B9373" t="str">
        <f>HYPERLINK("https://www.chemistwarehouse.com.au/buy/82538/Listerine-Mouthwash-Total-Care-Zero-250ml"," Listerine Mouthwash Total Care Zero 250ml")</f>
        <v xml:space="preserve"> Listerine Mouthwash Total Care Zero 250ml</v>
      </c>
      <c r="C9373" t="s">
        <v>146</v>
      </c>
      <c r="D9373" t="s">
        <v>1310</v>
      </c>
    </row>
    <row r="9374" spans="1:4" x14ac:dyDescent="0.25">
      <c r="B9374" t="str">
        <f>HYPERLINK("https://www.chemistwarehouse.com.au/buy/68158/Listerine-Total-Care-Sensitive-250ml"," Listerine Total Care Sensitive 250ml")</f>
        <v xml:space="preserve"> Listerine Total Care Sensitive 250ml</v>
      </c>
      <c r="C9374" t="s">
        <v>146</v>
      </c>
      <c r="D9374" t="s">
        <v>808</v>
      </c>
    </row>
    <row r="9375" spans="1:4" x14ac:dyDescent="0.25">
      <c r="B9375" t="str">
        <f>HYPERLINK("https://www.chemistwarehouse.com.au/buy/50346/Listerine-Whitening-945mL"," Listerine Whitening 945mL")</f>
        <v xml:space="preserve"> Listerine Whitening 945mL</v>
      </c>
      <c r="C9375" t="s">
        <v>324</v>
      </c>
      <c r="D9375" t="s">
        <v>809</v>
      </c>
    </row>
    <row r="9376" spans="1:4" x14ac:dyDescent="0.25">
      <c r="A9376" t="s">
        <v>1996</v>
      </c>
    </row>
    <row r="9377" spans="1:4" x14ac:dyDescent="0.25">
      <c r="B9377" t="str">
        <f>HYPERLINK("https://www.chemistwarehouse.com.au/buy/69479/Waterpik-Waterflosser-Cordless-Plus"," Waterpik Waterflosser Cordless Plus")</f>
        <v xml:space="preserve"> Waterpik Waterflosser Cordless Plus</v>
      </c>
      <c r="C9377" t="s">
        <v>564</v>
      </c>
      <c r="D9377" t="s">
        <v>1613</v>
      </c>
    </row>
    <row r="9378" spans="1:4" x14ac:dyDescent="0.25">
      <c r="B9378" t="str">
        <f>HYPERLINK("https://www.chemistwarehouse.com.au/buy/69480/Waterpik-Waterflosser-Ultra"," Waterpik Waterflosser Ultra")</f>
        <v xml:space="preserve"> Waterpik Waterflosser Ultra</v>
      </c>
      <c r="C9378" t="s">
        <v>1997</v>
      </c>
      <c r="D9378" t="s">
        <v>1998</v>
      </c>
    </row>
    <row r="9379" spans="1:4" x14ac:dyDescent="0.25">
      <c r="B9379" t="str">
        <f>HYPERLINK("https://www.chemistwarehouse.com.au/buy/76250/Waterpik-Classic-Jet-Tips-2-Pack"," Waterpik Classic Jet Tips 2 Pack")</f>
        <v xml:space="preserve"> Waterpik Classic Jet Tips 2 Pack</v>
      </c>
      <c r="C9379" t="s">
        <v>8</v>
      </c>
      <c r="D9379" t="s">
        <v>150</v>
      </c>
    </row>
    <row r="9380" spans="1:4" x14ac:dyDescent="0.25">
      <c r="B9380" t="str">
        <f>HYPERLINK("https://www.chemistwarehouse.com.au/buy/76251/Waterpik-PikPocket-Tips-2-Pack"," Waterpik PikPocket Tips 2 Pack")</f>
        <v xml:space="preserve"> Waterpik PikPocket Tips 2 Pack</v>
      </c>
      <c r="C9380" t="s">
        <v>8</v>
      </c>
      <c r="D9380" t="s">
        <v>150</v>
      </c>
    </row>
    <row r="9381" spans="1:4" x14ac:dyDescent="0.25">
      <c r="B9381" t="str">
        <f>HYPERLINK("https://www.chemistwarehouse.com.au/buy/76252/Waterpik-Plaque-Seeker-Tips-2-Pack"," Waterpik Plaque Seeker Tips 2 Pack")</f>
        <v xml:space="preserve"> Waterpik Plaque Seeker Tips 2 Pack</v>
      </c>
      <c r="C9381" t="s">
        <v>8</v>
      </c>
      <c r="D9381" t="s">
        <v>150</v>
      </c>
    </row>
    <row r="9382" spans="1:4" x14ac:dyDescent="0.25">
      <c r="A9382" t="s">
        <v>1999</v>
      </c>
    </row>
    <row r="9383" spans="1:4" x14ac:dyDescent="0.25">
      <c r="B9383" t="str">
        <f>HYPERLINK("https://www.chemistwarehouse.com.au/buy/58568/Oral-B-Vitality-Precision-Clean-Electric-Toothbrush-2-Refills"," Oral B Vitality Precision Clean Electric Toothbrush +2 Refills")</f>
        <v xml:space="preserve"> Oral B Vitality Precision Clean Electric Toothbrush +2 Refills</v>
      </c>
      <c r="C9383" t="s">
        <v>166</v>
      </c>
      <c r="D9383" t="s">
        <v>167</v>
      </c>
    </row>
    <row r="9384" spans="1:4" x14ac:dyDescent="0.25">
      <c r="B9384" t="str">
        <f>HYPERLINK("https://www.chemistwarehouse.com.au/buy/58626/Oral-B-Vitality-Pro-White-Electric-Toothbrush-2-Refills"," Oral B Vitality Pro White Electric Toothbrush +2 Refills")</f>
        <v xml:space="preserve"> Oral B Vitality Pro White Electric Toothbrush +2 Refills</v>
      </c>
      <c r="C9384" t="s">
        <v>166</v>
      </c>
      <c r="D9384" t="s">
        <v>167</v>
      </c>
    </row>
    <row r="9385" spans="1:4" x14ac:dyDescent="0.25">
      <c r="B9385" t="str">
        <f>HYPERLINK("https://www.chemistwarehouse.com.au/buy/72648/Oral-B-EB20-3-Precision-Clean-6-Pack"," Oral B EB20-3 Precision Clean 6 Pack")</f>
        <v xml:space="preserve"> Oral B EB20-3 Precision Clean 6 Pack</v>
      </c>
      <c r="C9385" t="s">
        <v>266</v>
      </c>
      <c r="D9385" t="s">
        <v>164</v>
      </c>
    </row>
    <row r="9386" spans="1:4" x14ac:dyDescent="0.25">
      <c r="B9386" t="str">
        <f>HYPERLINK("https://www.chemistwarehouse.com.au/buy/58091/Oral-B-EB25-Floss-Action-Refill-2-Pack"," Oral B EB25 Floss Action Refill 2 Pack")</f>
        <v xml:space="preserve"> Oral B EB25 Floss Action Refill 2 Pack</v>
      </c>
      <c r="C9386" t="s">
        <v>98</v>
      </c>
      <c r="D9386" t="s">
        <v>64</v>
      </c>
    </row>
    <row r="9387" spans="1:4" x14ac:dyDescent="0.25">
      <c r="B9387" t="str">
        <f>HYPERLINK("https://www.chemistwarehouse.com.au/buy/63293/Oral-B-Vitality-Sensitive-Clean-Electric-Toothbrush"," Oral B Vitality Sensitive Clean Electric Toothbrush")</f>
        <v xml:space="preserve"> Oral B Vitality Sensitive Clean Electric Toothbrush</v>
      </c>
      <c r="C9387" t="s">
        <v>166</v>
      </c>
      <c r="D9387" t="s">
        <v>167</v>
      </c>
    </row>
    <row r="9388" spans="1:4" x14ac:dyDescent="0.25">
      <c r="B9388" t="str">
        <f>HYPERLINK("https://www.chemistwarehouse.com.au/buy/76278/Oral-B-Professional-Care-3000"," Oral B Professional Care 3000")</f>
        <v xml:space="preserve"> Oral B Professional Care 3000</v>
      </c>
      <c r="C9388" t="s">
        <v>2000</v>
      </c>
      <c r="D9388" t="s">
        <v>2001</v>
      </c>
    </row>
    <row r="9389" spans="1:4" x14ac:dyDescent="0.25">
      <c r="B9389" t="str">
        <f>HYPERLINK("https://www.chemistwarehouse.com.au/buy/74900/Oral-B-Cross-Action-Refills-4-Pack"," Oral B Cross Action Refills 4 Pack")</f>
        <v xml:space="preserve"> Oral B Cross Action Refills 4 Pack</v>
      </c>
      <c r="C9389" t="s">
        <v>230</v>
      </c>
      <c r="D9389" t="s">
        <v>293</v>
      </c>
    </row>
    <row r="9390" spans="1:4" x14ac:dyDescent="0.25">
      <c r="B9390" t="str">
        <f>HYPERLINK("https://www.chemistwarehouse.com.au/buy/76268/Oral-B-Regimen-Kit"," Oral B Regimen Kit")</f>
        <v xml:space="preserve"> Oral B Regimen Kit</v>
      </c>
      <c r="C9390" t="s">
        <v>614</v>
      </c>
      <c r="D9390" t="s">
        <v>110</v>
      </c>
    </row>
    <row r="9391" spans="1:4" x14ac:dyDescent="0.25">
      <c r="B9391" t="str">
        <f>HYPERLINK("https://www.chemistwarehouse.com.au/buy/82036/Oral-B-Cross-Action-Refill-3-1-Bonus-Pack"," Oral B Cross Action Refill 3+1 Bonus Pack")</f>
        <v xml:space="preserve"> Oral B Cross Action Refill 3+1 Bonus Pack</v>
      </c>
      <c r="C9391" t="s">
        <v>63</v>
      </c>
      <c r="D9391" t="s">
        <v>261</v>
      </c>
    </row>
    <row r="9392" spans="1:4" x14ac:dyDescent="0.25">
      <c r="B9392" t="str">
        <f>HYPERLINK("https://www.chemistwarehouse.com.au/buy/82483/Oral-B-PRO-500-3DW-Power-Toothbrush"," Oral B PRO 500 3DW Power Toothbrush")</f>
        <v xml:space="preserve"> Oral B PRO 500 3DW Power Toothbrush</v>
      </c>
      <c r="C9392" t="s">
        <v>833</v>
      </c>
      <c r="D9392" t="s">
        <v>303</v>
      </c>
    </row>
    <row r="9393" spans="1:4" x14ac:dyDescent="0.25">
      <c r="B9393" t="str">
        <f>HYPERLINK("https://www.chemistwarehouse.com.au/buy/82561/Oral-B-Vitality-Floss-Action-2-Refills"," Oral B Vitality Floss Action +2 Refills")</f>
        <v xml:space="preserve"> Oral B Vitality Floss Action +2 Refills</v>
      </c>
      <c r="C9393" t="s">
        <v>166</v>
      </c>
      <c r="D9393" t="s">
        <v>167</v>
      </c>
    </row>
    <row r="9394" spans="1:4" x14ac:dyDescent="0.25">
      <c r="B9394" t="str">
        <f>HYPERLINK("https://www.chemistwarehouse.com.au/buy/82562/Oral-B-Vitality-Cross-Action-2-Refills"," Oral B Vitality Cross Action +2 Refills")</f>
        <v xml:space="preserve"> Oral B Vitality Cross Action +2 Refills</v>
      </c>
      <c r="C9394" t="s">
        <v>166</v>
      </c>
      <c r="D9394" t="s">
        <v>167</v>
      </c>
    </row>
    <row r="9395" spans="1:4" x14ac:dyDescent="0.25">
      <c r="B9395" t="str">
        <f>HYPERLINK("https://www.chemistwarehouse.com.au/buy/72649/Oral-B-EB20-3-Precision-Clean-3-Pack"," Oral B EB20-3 Precision Clean 3 Pack")</f>
        <v xml:space="preserve"> Oral B EB20-3 Precision Clean 3 Pack</v>
      </c>
      <c r="C9395" t="s">
        <v>237</v>
      </c>
      <c r="D9395" t="s">
        <v>164</v>
      </c>
    </row>
    <row r="9396" spans="1:4" x14ac:dyDescent="0.25">
      <c r="B9396" t="str">
        <f>HYPERLINK("https://www.chemistwarehouse.com.au/buy/60919/Oral-B-Professional-Care-500-Power-Toothbrush"," Oral B Professional Care 500 Power Toothbrush")</f>
        <v xml:space="preserve"> Oral B Professional Care 500 Power Toothbrush</v>
      </c>
      <c r="C9396" t="s">
        <v>614</v>
      </c>
      <c r="D9396" t="s">
        <v>110</v>
      </c>
    </row>
    <row r="9397" spans="1:4" x14ac:dyDescent="0.25">
      <c r="B9397" t="str">
        <f>HYPERLINK("https://www.chemistwarehouse.com.au/buy/56875/Oral-B-Electric-Toothbrush-Triumph-with-Smart-Guide"," Oral B Electric Toothbrush Triumph with Smart Guide")</f>
        <v xml:space="preserve"> Oral B Electric Toothbrush Triumph with Smart Guide</v>
      </c>
      <c r="C9397" t="s">
        <v>2002</v>
      </c>
      <c r="D9397" t="s">
        <v>750</v>
      </c>
    </row>
    <row r="9398" spans="1:4" x14ac:dyDescent="0.25">
      <c r="B9398" t="str">
        <f>HYPERLINK("https://www.chemistwarehouse.com.au/buy/55539/Oral-B-EB18-Pro-White-Replacement-Heads-2-Pack"," Oral B EB18 Pro White Replacement Heads 2 Pack")</f>
        <v xml:space="preserve"> Oral B EB18 Pro White Replacement Heads 2 Pack</v>
      </c>
      <c r="C9398" t="s">
        <v>98</v>
      </c>
      <c r="D9398" t="s">
        <v>64</v>
      </c>
    </row>
    <row r="9399" spans="1:4" x14ac:dyDescent="0.25">
      <c r="B9399" t="str">
        <f>HYPERLINK("https://www.chemistwarehouse.com.au/buy/74899/Oral-B-Cross-Action-Refills-2-Pack"," Oral B Cross Action Refills 2 Pack")</f>
        <v xml:space="preserve"> Oral B Cross Action Refills 2 Pack</v>
      </c>
      <c r="C9399" t="s">
        <v>274</v>
      </c>
      <c r="D9399" t="s">
        <v>116</v>
      </c>
    </row>
    <row r="9400" spans="1:4" x14ac:dyDescent="0.25">
      <c r="A9400" t="s">
        <v>2003</v>
      </c>
    </row>
    <row r="9401" spans="1:4" x14ac:dyDescent="0.25">
      <c r="B9401" t="str">
        <f>HYPERLINK("https://www.chemistwarehouse.com.au/buy/82488/Colgate-Pro-Clinical-360-Black-Refills-2-Pack"," Colgate Pro Clinical 360 Black Refills 2 Pack")</f>
        <v xml:space="preserve"> Colgate Pro Clinical 360 Black Refills 2 Pack</v>
      </c>
      <c r="C9401" t="s">
        <v>228</v>
      </c>
      <c r="D9401" t="s">
        <v>270</v>
      </c>
    </row>
    <row r="9402" spans="1:4" x14ac:dyDescent="0.25">
      <c r="B9402" t="str">
        <f>HYPERLINK("https://www.chemistwarehouse.com.au/buy/82492/Colgate-Toothbrush-Pro-Clinical-Black-C250"," Colgate Toothbrush Pro Clinical Black C250+")</f>
        <v xml:space="preserve"> Colgate Toothbrush Pro Clinical Black C250+</v>
      </c>
      <c r="C9402" t="s">
        <v>6</v>
      </c>
      <c r="D9402" t="s">
        <v>373</v>
      </c>
    </row>
    <row r="9403" spans="1:4" x14ac:dyDescent="0.25">
      <c r="B9403" t="str">
        <f>HYPERLINK("https://www.chemistwarehouse.com.au/buy/82493/Colgate-Toothbrush-Pro-Clinical-C250"," Colgate Toothbrush Pro Clinical C250+")</f>
        <v xml:space="preserve"> Colgate Toothbrush Pro Clinical C250+</v>
      </c>
      <c r="C9403" t="s">
        <v>6</v>
      </c>
      <c r="D9403" t="s">
        <v>373</v>
      </c>
    </row>
    <row r="9404" spans="1:4" x14ac:dyDescent="0.25">
      <c r="B9404" t="str">
        <f>HYPERLINK("https://www.chemistwarehouse.com.au/buy/69481/Colgate-Toothbrush-Pro-Clinical-A1500"," Colgate Toothbrush Pro Clinical A1500")</f>
        <v xml:space="preserve"> Colgate Toothbrush Pro Clinical A1500</v>
      </c>
      <c r="C9404" t="s">
        <v>2004</v>
      </c>
      <c r="D9404" t="s">
        <v>2005</v>
      </c>
    </row>
    <row r="9405" spans="1:4" x14ac:dyDescent="0.25">
      <c r="B9405" t="str">
        <f>HYPERLINK("https://www.chemistwarehouse.com.au/buy/69482/Colgate-Toothbrush-Pro-Clinical-C350"," Colgate Toothbrush Pro Clinical C350")</f>
        <v xml:space="preserve"> Colgate Toothbrush Pro Clinical C350</v>
      </c>
      <c r="C9405" t="s">
        <v>2006</v>
      </c>
      <c r="D9405" t="s">
        <v>2007</v>
      </c>
    </row>
    <row r="9406" spans="1:4" x14ac:dyDescent="0.25">
      <c r="B9406" t="str">
        <f>HYPERLINK("https://www.chemistwarehouse.com.au/buy/69484/Colgate-Pro-Clinical-Refill-4-Pack-Triple-Clean"," Colgate Pro Clinical Refill 4 Pack Triple Clean")</f>
        <v xml:space="preserve"> Colgate Pro Clinical Refill 4 Pack Triple Clean</v>
      </c>
      <c r="C9406" t="s">
        <v>379</v>
      </c>
      <c r="D9406" t="s">
        <v>80</v>
      </c>
    </row>
    <row r="9407" spans="1:4" x14ac:dyDescent="0.25">
      <c r="B9407" t="str">
        <f>HYPERLINK("https://www.chemistwarehouse.com.au/buy/82700/Colgate-Pro-Clinical-Triple-Clean-Refills-2-Pack"," Colgate Pro Clinical Triple Clean Refills 2 Pack")</f>
        <v xml:space="preserve"> Colgate Pro Clinical Triple Clean Refills 2 Pack</v>
      </c>
      <c r="C9407" t="s">
        <v>80</v>
      </c>
      <c r="D9407" t="s">
        <v>162</v>
      </c>
    </row>
    <row r="9408" spans="1:4" x14ac:dyDescent="0.25">
      <c r="A9408" t="s">
        <v>2008</v>
      </c>
    </row>
    <row r="9409" spans="1:4" x14ac:dyDescent="0.25">
      <c r="B9409" t="str">
        <f>HYPERLINK("https://www.chemistwarehouse.com.au/buy/50656/Plunkett-Aloe-Vera-99-Pure-Gel-240ml"," Plunkett Aloe Vera 99% Pure Gel 240ml")</f>
        <v xml:space="preserve"> Plunkett Aloe Vera 99% Pure Gel 240ml</v>
      </c>
      <c r="C9409" t="s">
        <v>105</v>
      </c>
      <c r="D9409" t="s">
        <v>824</v>
      </c>
    </row>
    <row r="9410" spans="1:4" x14ac:dyDescent="0.25">
      <c r="B9410" t="str">
        <f>HYPERLINK("https://www.chemistwarehouse.com.au/buy/38130/Thursday-Plantation-Aloe-Vera-Gel-100g"," Thursday Plantation Aloe Vera Gel 100g")</f>
        <v xml:space="preserve"> Thursday Plantation Aloe Vera Gel 100g</v>
      </c>
      <c r="C9410" t="s">
        <v>430</v>
      </c>
      <c r="D9410" t="s">
        <v>796</v>
      </c>
    </row>
    <row r="9411" spans="1:4" x14ac:dyDescent="0.25">
      <c r="B9411" t="str">
        <f>HYPERLINK("https://www.chemistwarehouse.com.au/buy/48119/Nivea-Sun-Moisturising-After-Sun-Lotion-200ml"," Nivea Sun Moisturising After Sun Lotion 200ml")</f>
        <v xml:space="preserve"> Nivea Sun Moisturising After Sun Lotion 200ml</v>
      </c>
      <c r="C9411" t="s">
        <v>326</v>
      </c>
      <c r="D9411" t="s">
        <v>329</v>
      </c>
    </row>
    <row r="9412" spans="1:4" x14ac:dyDescent="0.25">
      <c r="B9412" t="str">
        <f>HYPERLINK("https://www.chemistwarehouse.com.au/buy/49478/Ego-Sunsense-Aftersun-Creme-Gel-200g"," Ego Sunsense Aftersun Creme Gel 200g")</f>
        <v xml:space="preserve"> Ego Sunsense Aftersun Creme Gel 200g</v>
      </c>
      <c r="C9412" t="s">
        <v>92</v>
      </c>
      <c r="D9412" t="s">
        <v>115</v>
      </c>
    </row>
    <row r="9413" spans="1:4" x14ac:dyDescent="0.25">
      <c r="B9413" t="str">
        <f>HYPERLINK("https://www.chemistwarehouse.com.au/buy/49479/Ego-Sunsense-Aftersun-Cooling-Spray-200ml"," Ego Sunsense Aftersun Cooling Spray 200ml")</f>
        <v xml:space="preserve"> Ego Sunsense Aftersun Cooling Spray 200ml</v>
      </c>
      <c r="C9413" t="s">
        <v>326</v>
      </c>
      <c r="D9413" t="s">
        <v>121</v>
      </c>
    </row>
    <row r="9414" spans="1:4" x14ac:dyDescent="0.25">
      <c r="B9414" t="str">
        <f>HYPERLINK("https://www.chemistwarehouse.com.au/buy/949/Banana-Boat-After-Sun-Aloe-Gel-250g"," Banana Boat After Sun Aloe Gel 250g")</f>
        <v xml:space="preserve"> Banana Boat After Sun Aloe Gel 250g</v>
      </c>
      <c r="C9414" t="s">
        <v>556</v>
      </c>
      <c r="D9414" t="s">
        <v>808</v>
      </c>
    </row>
    <row r="9415" spans="1:4" x14ac:dyDescent="0.25">
      <c r="B9415" t="str">
        <f>HYPERLINK("https://www.chemistwarehouse.com.au/buy/77727/Thursday-Plantation-Aloe-Vera-Gel-500g"," Thursday Plantation Aloe Vera Gel 500g")</f>
        <v xml:space="preserve"> Thursday Plantation Aloe Vera Gel 500g</v>
      </c>
      <c r="C9415" t="s">
        <v>443</v>
      </c>
      <c r="D9415" t="s">
        <v>821</v>
      </c>
    </row>
    <row r="9416" spans="1:4" x14ac:dyDescent="0.25">
      <c r="B9416" t="str">
        <f>HYPERLINK("https://www.chemistwarehouse.com.au/buy/62556/Ego-Soov-Burn-200mL"," Ego Soov Burn 200mL")</f>
        <v xml:space="preserve"> Ego Soov Burn 200mL</v>
      </c>
      <c r="C9416" t="s">
        <v>212</v>
      </c>
      <c r="D9416" t="s">
        <v>376</v>
      </c>
    </row>
    <row r="9417" spans="1:4" x14ac:dyDescent="0.25">
      <c r="B9417" t="str">
        <f>HYPERLINK("https://www.chemistwarehouse.com.au/buy/64675/Thursday-Plantation-Aloe-Vera-Gel-30g"," Thursday Plantation Aloe Vera Gel 30g")</f>
        <v xml:space="preserve"> Thursday Plantation Aloe Vera Gel 30g</v>
      </c>
      <c r="C9417" t="s">
        <v>728</v>
      </c>
      <c r="D9417" t="s">
        <v>576</v>
      </c>
    </row>
    <row r="9418" spans="1:4" x14ac:dyDescent="0.25">
      <c r="B9418" t="str">
        <f>HYPERLINK("https://www.chemistwarehouse.com.au/buy/51957/Garnier-Ambre-Solaire-Natural-Bronze-Up-150ml"," Garnier Ambre Solaire Natural Bronze Up 150ml")</f>
        <v xml:space="preserve"> Garnier Ambre Solaire Natural Bronze Up 150ml</v>
      </c>
      <c r="C9418" t="s">
        <v>32</v>
      </c>
      <c r="D9418" t="s">
        <v>150</v>
      </c>
    </row>
    <row r="9419" spans="1:4" x14ac:dyDescent="0.25">
      <c r="B9419" t="str">
        <f>HYPERLINK("https://www.chemistwarehouse.com.au/buy/58882/Banana-Boat-After-Sun-Spray-Aloe-Mist-250ml"," Banana Boat After Sun Spray Aloe Mist 250ml")</f>
        <v xml:space="preserve"> Banana Boat After Sun Spray Aloe Mist 250ml</v>
      </c>
      <c r="C9419" t="s">
        <v>554</v>
      </c>
      <c r="D9419" t="s">
        <v>611</v>
      </c>
    </row>
    <row r="9420" spans="1:4" x14ac:dyDescent="0.25">
      <c r="A9420" t="s">
        <v>2009</v>
      </c>
    </row>
    <row r="9421" spans="1:4" x14ac:dyDescent="0.25">
      <c r="B9421" t="str">
        <f>HYPERLINK("https://www.chemistwarehouse.com.au/buy/80421/Ego-Sunsense-SPF-50-Daily-Face-Invisible-Tint-Finish-200ml"," Ego Sunsense SPF 50+ Daily Face Invisible Tint Finish 200ml")</f>
        <v xml:space="preserve"> Ego Sunsense SPF 50+ Daily Face Invisible Tint Finish 200ml</v>
      </c>
      <c r="C9421" t="s">
        <v>401</v>
      </c>
      <c r="D9421" t="s">
        <v>408</v>
      </c>
    </row>
    <row r="9422" spans="1:4" x14ac:dyDescent="0.25">
      <c r="B9422" t="str">
        <f>HYPERLINK("https://www.chemistwarehouse.com.au/buy/73243/Ego-Sunsense-Junior-SPF-50-Roll-On-50ml"," Ego Sunsense Junior SPF 50+ Roll On 50ml")</f>
        <v xml:space="preserve"> Ego Sunsense Junior SPF 50+ Roll On 50ml</v>
      </c>
      <c r="C9422" t="s">
        <v>554</v>
      </c>
      <c r="D9422" t="s">
        <v>799</v>
      </c>
    </row>
    <row r="9423" spans="1:4" x14ac:dyDescent="0.25">
      <c r="B9423" t="str">
        <f>HYPERLINK("https://www.chemistwarehouse.com.au/buy/80422/Ego-Sunsense-SPF-50-Daily-Face-Invisible-Tint-Finish-75g"," Ego Sunsense SPF 50+ Daily Face Invisible Tint Finish 75g")</f>
        <v xml:space="preserve"> Ego Sunsense SPF 50+ Daily Face Invisible Tint Finish 75g</v>
      </c>
      <c r="C9423" t="s">
        <v>211</v>
      </c>
      <c r="D9423" t="s">
        <v>119</v>
      </c>
    </row>
    <row r="9424" spans="1:4" x14ac:dyDescent="0.25">
      <c r="B9424" t="str">
        <f>HYPERLINK("https://www.chemistwarehouse.com.au/buy/80306/Ego-Sunsense-SPF-50-Sensitive-Invisible-75g"," Ego Sunsense SPF 50+ Sensitive Invisible 75g")</f>
        <v xml:space="preserve"> Ego Sunsense SPF 50+ Sensitive Invisible 75g</v>
      </c>
      <c r="C9424" t="s">
        <v>782</v>
      </c>
      <c r="D9424" t="s">
        <v>376</v>
      </c>
    </row>
    <row r="9425" spans="2:4" x14ac:dyDescent="0.25">
      <c r="B9425" t="str">
        <f>HYPERLINK("https://www.chemistwarehouse.com.au/buy/67652/Ego-Sunsense-SPF-50-Sport-125ml"," Ego Sunsense SPF 50+ Sport 125ml")</f>
        <v xml:space="preserve"> Ego Sunsense SPF 50+ Sport 125ml</v>
      </c>
      <c r="C9425" t="s">
        <v>782</v>
      </c>
      <c r="D9425" t="s">
        <v>376</v>
      </c>
    </row>
    <row r="9426" spans="2:4" x14ac:dyDescent="0.25">
      <c r="B9426" t="str">
        <f>HYPERLINK("https://www.chemistwarehouse.com.au/buy/67792/Ego-Sunsense-SPF-50-Sport-500ml"," Ego Sunsense SPF 50+ Sport 500ml")</f>
        <v xml:space="preserve"> Ego Sunsense SPF 50+ Sport 500ml</v>
      </c>
      <c r="C9426" t="s">
        <v>432</v>
      </c>
      <c r="D9426" t="s">
        <v>423</v>
      </c>
    </row>
    <row r="9427" spans="2:4" x14ac:dyDescent="0.25">
      <c r="B9427" t="str">
        <f>HYPERLINK("https://www.chemistwarehouse.com.au/buy/69633/Ego-Sunsense-SPF-50-Ultra-Trigger-Spray-200ml"," Ego Sunsense SPF 50+ Ultra Trigger Spray 200ml")</f>
        <v xml:space="preserve"> Ego Sunsense SPF 50+ Ultra Trigger Spray 200ml</v>
      </c>
      <c r="C9427" t="s">
        <v>551</v>
      </c>
      <c r="D9427" t="s">
        <v>270</v>
      </c>
    </row>
    <row r="9428" spans="2:4" x14ac:dyDescent="0.25">
      <c r="B9428" t="str">
        <f>HYPERLINK("https://www.chemistwarehouse.com.au/buy/68921/Ego-Sunsense-SPF-50-Ultra-50ml"," Ego Sunsense SPF 50+ Ultra 50ml")</f>
        <v xml:space="preserve"> Ego Sunsense SPF 50+ Ultra 50ml</v>
      </c>
      <c r="C9428" t="s">
        <v>116</v>
      </c>
      <c r="D9428" t="s">
        <v>397</v>
      </c>
    </row>
    <row r="9429" spans="2:4" x14ac:dyDescent="0.25">
      <c r="B9429" t="str">
        <f>HYPERLINK("https://www.chemistwarehouse.com.au/buy/67797/Ego-Sunsense-SPF-50-Lip-Balm-15g"," Ego Sunsense SPF 50+ Lip Balm 15g")</f>
        <v xml:space="preserve"> Ego Sunsense SPF 50+ Lip Balm 15g</v>
      </c>
      <c r="C9429" t="s">
        <v>483</v>
      </c>
      <c r="D9429" t="s">
        <v>150</v>
      </c>
    </row>
    <row r="9430" spans="2:4" x14ac:dyDescent="0.25">
      <c r="B9430" t="str">
        <f>HYPERLINK("https://www.chemistwarehouse.com.au/buy/67790/Ego-Sunsense-SPF-50-Sport-75g"," Ego Sunsense SPF 50+ Sport 75g")</f>
        <v xml:space="preserve"> Ego Sunsense SPF 50+ Sport 75g</v>
      </c>
      <c r="C9430" t="s">
        <v>116</v>
      </c>
      <c r="D9430" t="s">
        <v>397</v>
      </c>
    </row>
    <row r="9431" spans="2:4" x14ac:dyDescent="0.25">
      <c r="B9431" t="str">
        <f>HYPERLINK("https://www.chemistwarehouse.com.au/buy/67653/Ego-Sunsense-SPF-50-Moisturising-Face-100ml"," Ego Sunsense SPF 50+ Moisturising Face 100ml")</f>
        <v xml:space="preserve"> Ego Sunsense SPF 50+ Moisturising Face 100ml</v>
      </c>
      <c r="C9431" t="s">
        <v>317</v>
      </c>
      <c r="D9431" t="s">
        <v>406</v>
      </c>
    </row>
    <row r="9432" spans="2:4" x14ac:dyDescent="0.25">
      <c r="B9432" t="str">
        <f>HYPERLINK("https://www.chemistwarehouse.com.au/buy/67657/Ego-Sunsense-SPF-50-Sensitive-75g"," Ego Sunsense SPF 50+ Sensitive 75g")</f>
        <v xml:space="preserve"> Ego Sunsense SPF 50+ Sensitive 75g</v>
      </c>
      <c r="C9432" t="s">
        <v>782</v>
      </c>
      <c r="D9432" t="s">
        <v>376</v>
      </c>
    </row>
    <row r="9433" spans="2:4" x14ac:dyDescent="0.25">
      <c r="B9433" t="str">
        <f>HYPERLINK("https://www.chemistwarehouse.com.au/buy/67659/Ego-Sunsense-SPF-50-Sport-200g"," Ego Sunsense SPF 50+ Sport 200g")</f>
        <v xml:space="preserve"> Ego Sunsense SPF 50+ Sport 200g</v>
      </c>
      <c r="C9433" t="s">
        <v>290</v>
      </c>
      <c r="D9433" t="s">
        <v>332</v>
      </c>
    </row>
    <row r="9434" spans="2:4" x14ac:dyDescent="0.25">
      <c r="B9434" t="str">
        <f>HYPERLINK("https://www.chemistwarehouse.com.au/buy/67789/Ego-Sunsense-SPF-50-Ultra-500ml"," Ego Sunsense SPF 50+ Ultra 500ml")</f>
        <v xml:space="preserve"> Ego Sunsense SPF 50+ Ultra 500ml</v>
      </c>
      <c r="C9434" t="s">
        <v>432</v>
      </c>
      <c r="D9434" t="s">
        <v>423</v>
      </c>
    </row>
    <row r="9435" spans="2:4" x14ac:dyDescent="0.25">
      <c r="B9435" t="str">
        <f>HYPERLINK("https://www.chemistwarehouse.com.au/buy/67791/Ego-Sunsense-SPF-50-Anti-Age-Face-Matte-100ml"," Ego Sunsense SPF 50+ Anti-Age Face Matte 100ml")</f>
        <v xml:space="preserve"> Ego Sunsense SPF 50+ Anti-Age Face Matte 100ml</v>
      </c>
      <c r="C9435" t="s">
        <v>233</v>
      </c>
      <c r="D9435" t="s">
        <v>821</v>
      </c>
    </row>
    <row r="9436" spans="2:4" x14ac:dyDescent="0.25">
      <c r="B9436" t="str">
        <f>HYPERLINK("https://www.chemistwarehouse.com.au/buy/67793/Ego-Sunsense-SPF-50-Clear-Gel-125ml"," Ego Sunsense SPF 50+ Clear Gel 125ml")</f>
        <v xml:space="preserve"> Ego Sunsense SPF 50+ Clear Gel 125ml</v>
      </c>
      <c r="C9436" t="s">
        <v>240</v>
      </c>
      <c r="D9436" t="s">
        <v>152</v>
      </c>
    </row>
    <row r="9437" spans="2:4" x14ac:dyDescent="0.25">
      <c r="B9437" t="str">
        <f>HYPERLINK("https://www.chemistwarehouse.com.au/buy/67795/Ego-Sunsense-SPF-50-Anti-Ageing-Face-100ml"," Ego Sunsense SPF 50+ Anti-Ageing Face 100ml")</f>
        <v xml:space="preserve"> Ego Sunsense SPF 50+ Anti-Ageing Face 100ml</v>
      </c>
      <c r="C9437" t="s">
        <v>233</v>
      </c>
      <c r="D9437" t="s">
        <v>821</v>
      </c>
    </row>
    <row r="9438" spans="2:4" x14ac:dyDescent="0.25">
      <c r="B9438" t="str">
        <f>HYPERLINK("https://www.chemistwarehouse.com.au/buy/67855/Ego-Sunsense-SPF-50-Sport-Roll-On-50ml"," Ego Sunsense SPF 50+ Sport Roll On 50ml")</f>
        <v xml:space="preserve"> Ego Sunsense SPF 50+ Sport Roll On 50ml</v>
      </c>
      <c r="C9438" t="s">
        <v>116</v>
      </c>
      <c r="D9438" t="s">
        <v>397</v>
      </c>
    </row>
    <row r="9439" spans="2:4" x14ac:dyDescent="0.25">
      <c r="B9439" t="str">
        <f>HYPERLINK("https://www.chemistwarehouse.com.au/buy/68919/Ego-Sunsense-SPF-50-Ultra-125ml"," Ego Sunsense SPF 50+ Ultra 125ml")</f>
        <v xml:space="preserve"> Ego Sunsense SPF 50+ Ultra 125ml</v>
      </c>
      <c r="C9439" t="s">
        <v>782</v>
      </c>
      <c r="D9439" t="s">
        <v>376</v>
      </c>
    </row>
    <row r="9440" spans="2:4" x14ac:dyDescent="0.25">
      <c r="B9440" t="str">
        <f>HYPERLINK("https://www.chemistwarehouse.com.au/buy/68920/Ego-Sunsense-SPF-50-Ultra-200g"," Ego Sunsense SPF 50+ Ultra 200g")</f>
        <v xml:space="preserve"> Ego Sunsense SPF 50+ Ultra 200g</v>
      </c>
      <c r="C9440" t="s">
        <v>290</v>
      </c>
      <c r="D9440" t="s">
        <v>332</v>
      </c>
    </row>
    <row r="9441" spans="1:4" x14ac:dyDescent="0.25">
      <c r="B9441" t="str">
        <f>HYPERLINK("https://www.chemistwarehouse.com.au/buy/67651/Ego-Sunsense-SPF-50-Clear-Mist-200ml-Finger-Spray"," Ego Sunsense SPF 50+ Clear Mist 200ml Finger Spray")</f>
        <v xml:space="preserve"> Ego Sunsense SPF 50+ Clear Mist 200ml Finger Spray</v>
      </c>
      <c r="C9441" t="s">
        <v>551</v>
      </c>
      <c r="D9441" t="s">
        <v>270</v>
      </c>
    </row>
    <row r="9442" spans="1:4" x14ac:dyDescent="0.25">
      <c r="B9442" t="str">
        <f>HYPERLINK("https://www.chemistwarehouse.com.au/buy/73242/Ego-Sunsense-Junior-SPF-50-250ml"," Ego Sunsense Junior SPF 50+ 250ml")</f>
        <v xml:space="preserve"> Ego Sunsense Junior SPF 50+ 250ml</v>
      </c>
      <c r="C9442" t="s">
        <v>212</v>
      </c>
      <c r="D9442" t="s">
        <v>2010</v>
      </c>
    </row>
    <row r="9443" spans="1:4" x14ac:dyDescent="0.25">
      <c r="B9443" t="str">
        <f>HYPERLINK("https://www.chemistwarehouse.com.au/buy/80305/Ego-Sunsense-SPF-50-Sensitive-Invisible-200g"," Ego Sunsense SPF 50+  Sensitive Invisible 200g")</f>
        <v xml:space="preserve"> Ego Sunsense SPF 50+  Sensitive Invisible 200g</v>
      </c>
      <c r="C9443" t="s">
        <v>237</v>
      </c>
      <c r="D9443" t="s">
        <v>157</v>
      </c>
    </row>
    <row r="9444" spans="1:4" x14ac:dyDescent="0.25">
      <c r="B9444" t="str">
        <f>HYPERLINK("https://www.chemistwarehouse.com.au/buy/68918/Ego-Sunsense-SPF-50-Sensitive-Matte-200g"," Ego Sunsense SPF 50+ Sensitive Matte 200g")</f>
        <v xml:space="preserve"> Ego Sunsense SPF 50+ Sensitive Matte 200g</v>
      </c>
      <c r="C9444" t="s">
        <v>167</v>
      </c>
      <c r="D9444" t="s">
        <v>897</v>
      </c>
    </row>
    <row r="9445" spans="1:4" x14ac:dyDescent="0.25">
      <c r="A9445" t="s">
        <v>2011</v>
      </c>
    </row>
    <row r="9446" spans="1:4" x14ac:dyDescent="0.25">
      <c r="B9446" t="str">
        <f>HYPERLINK("https://www.chemistwarehouse.com.au/buy/67660/Banana-Boat-SPF-50-Kids-75ml-Roll-On"," Banana Boat SPF 50+ Kids 75ml Roll On")</f>
        <v xml:space="preserve"> Banana Boat SPF 50+ Kids 75ml Roll On</v>
      </c>
      <c r="C9446" t="s">
        <v>430</v>
      </c>
      <c r="D9446" t="s">
        <v>785</v>
      </c>
    </row>
    <row r="9447" spans="1:4" x14ac:dyDescent="0.25">
      <c r="B9447" t="str">
        <f>HYPERLINK("https://www.chemistwarehouse.com.au/buy/69625/Banana-Boat-SPF-50-Kids-Clear-175g"," Banana Boat SPF 50+ Kids Clear 175g")</f>
        <v xml:space="preserve"> Banana Boat SPF 50+ Kids Clear 175g</v>
      </c>
      <c r="C9447" t="s">
        <v>202</v>
      </c>
      <c r="D9447" t="s">
        <v>281</v>
      </c>
    </row>
    <row r="9448" spans="1:4" x14ac:dyDescent="0.25">
      <c r="B9448" t="str">
        <f>HYPERLINK("https://www.chemistwarehouse.com.au/buy/69621/Banana-Boat-SPF-50-Baby-200ml-Spray"," Banana Boat SPF 50+ Baby 200ml Spray")</f>
        <v xml:space="preserve"> Banana Boat SPF 50+ Baby 200ml Spray</v>
      </c>
      <c r="C9448" t="s">
        <v>202</v>
      </c>
      <c r="D9448" t="s">
        <v>281</v>
      </c>
    </row>
    <row r="9449" spans="1:4" x14ac:dyDescent="0.25">
      <c r="B9449" t="str">
        <f>HYPERLINK("https://www.chemistwarehouse.com.au/buy/76949/Banana-Boat-SPF-50-Everyday-100g-Tube"," Banana Boat SPF 50+ Everyday 100g Tube")</f>
        <v xml:space="preserve"> Banana Boat SPF 50+ Everyday 100g Tube</v>
      </c>
      <c r="C9449" t="s">
        <v>45</v>
      </c>
      <c r="D9449" t="s">
        <v>312</v>
      </c>
    </row>
    <row r="9450" spans="1:4" x14ac:dyDescent="0.25">
      <c r="B9450" t="str">
        <f>HYPERLINK("https://www.chemistwarehouse.com.au/buy/73224/Banana-Boat-SPF-50-Kids-Trigger-Spray-240ml"," Banana Boat SPF 50+ Kids Trigger Spray 240ml ")</f>
        <v xml:space="preserve"> Banana Boat SPF 50+ Kids Trigger Spray 240ml </v>
      </c>
      <c r="C9450" t="s">
        <v>233</v>
      </c>
      <c r="D9450" t="s">
        <v>806</v>
      </c>
    </row>
    <row r="9451" spans="1:4" x14ac:dyDescent="0.25">
      <c r="B9451" t="str">
        <f>HYPERLINK("https://www.chemistwarehouse.com.au/buy/69624/Banana-Boat-SPF-50-Kids-400g-Pump"," Banana Boat SPF 50+ Kids 400g Pump")</f>
        <v xml:space="preserve"> Banana Boat SPF 50+ Kids 400g Pump</v>
      </c>
      <c r="C9451" t="s">
        <v>401</v>
      </c>
      <c r="D9451" t="s">
        <v>291</v>
      </c>
    </row>
    <row r="9452" spans="1:4" x14ac:dyDescent="0.25">
      <c r="B9452" t="str">
        <f>HYPERLINK("https://www.chemistwarehouse.com.au/buy/69626/Banana-Boat-SPF-50-Sensitive-200g"," Banana Boat SPF 50+ Sensitive 200g")</f>
        <v xml:space="preserve"> Banana Boat SPF 50+ Sensitive 200g</v>
      </c>
      <c r="C9452" t="s">
        <v>202</v>
      </c>
      <c r="D9452" t="s">
        <v>281</v>
      </c>
    </row>
    <row r="9453" spans="1:4" x14ac:dyDescent="0.25">
      <c r="B9453" t="str">
        <f>HYPERLINK("https://www.chemistwarehouse.com.au/buy/69622/Banana-Boat-SPF-50-Baby-75ml-Roll-On"," Banana Boat SPF 50+ Baby 75ml Roll On")</f>
        <v xml:space="preserve"> Banana Boat SPF 50+ Baby 75ml Roll On</v>
      </c>
      <c r="C9453" t="s">
        <v>430</v>
      </c>
      <c r="D9453" t="s">
        <v>785</v>
      </c>
    </row>
    <row r="9454" spans="1:4" x14ac:dyDescent="0.25">
      <c r="B9454" t="str">
        <f>HYPERLINK("https://www.chemistwarehouse.com.au/buy/69629/Banana-Boat-SPF-50-Ultra-Clear-175g"," Banana Boat SPF 50+ Ultra Clear 175g")</f>
        <v xml:space="preserve"> Banana Boat SPF 50+ Ultra Clear 175g</v>
      </c>
      <c r="C9454" t="s">
        <v>202</v>
      </c>
      <c r="D9454" t="s">
        <v>281</v>
      </c>
    </row>
    <row r="9455" spans="1:4" x14ac:dyDescent="0.25">
      <c r="B9455" t="str">
        <f>HYPERLINK("https://www.chemistwarehouse.com.au/buy/69623/Banana-Boat-SPF-50-Faces-100g"," Banana Boat SPF 50+ Faces 100g")</f>
        <v xml:space="preserve"> Banana Boat SPF 50+ Faces 100g</v>
      </c>
      <c r="C9455" t="s">
        <v>45</v>
      </c>
      <c r="D9455" t="s">
        <v>312</v>
      </c>
    </row>
    <row r="9456" spans="1:4" x14ac:dyDescent="0.25">
      <c r="B9456" t="str">
        <f>HYPERLINK("https://www.chemistwarehouse.com.au/buy/76951/Banana-Boat-SPF-50-Everyday-Sensitive-100g-Tube"," Banana Boat SPF 50+ Everyday Sensitive 100g Tube")</f>
        <v xml:space="preserve"> Banana Boat SPF 50+ Everyday Sensitive 100g Tube</v>
      </c>
      <c r="C9456" t="s">
        <v>45</v>
      </c>
      <c r="D9456" t="s">
        <v>312</v>
      </c>
    </row>
    <row r="9457" spans="1:4" x14ac:dyDescent="0.25">
      <c r="B9457" t="str">
        <f>HYPERLINK("https://www.chemistwarehouse.com.au/buy/69628/Banana-Boat-SPF-50-Sport-Clear-175g"," Banana Boat SPF 50+ Sport Clear 175g")</f>
        <v xml:space="preserve"> Banana Boat SPF 50+ Sport Clear 175g</v>
      </c>
      <c r="C9457" t="s">
        <v>202</v>
      </c>
      <c r="D9457" t="s">
        <v>281</v>
      </c>
    </row>
    <row r="9458" spans="1:4" x14ac:dyDescent="0.25">
      <c r="B9458" t="str">
        <f>HYPERLINK("https://www.chemistwarehouse.com.au/buy/76952/Banana-Boat-SPF-50-Sport-Cool-Zone-Lotion-175ml"," Banana Boat SPF 50+ Sport Cool Zone Lotion 175ml")</f>
        <v xml:space="preserve"> Banana Boat SPF 50+ Sport Cool Zone Lotion 175ml</v>
      </c>
      <c r="C9458" t="s">
        <v>202</v>
      </c>
      <c r="D9458" t="s">
        <v>281</v>
      </c>
    </row>
    <row r="9459" spans="1:4" x14ac:dyDescent="0.25">
      <c r="B9459" t="str">
        <f>HYPERLINK("https://www.chemistwarehouse.com.au/buy/80180/Banana-Boat-After-Sun-Aloe-Gel-Spray-175g"," Banana Boat After Sun Aloe Gel Spray 175g")</f>
        <v xml:space="preserve"> Banana Boat After Sun Aloe Gel Spray 175g</v>
      </c>
      <c r="C9459" t="s">
        <v>32</v>
      </c>
      <c r="D9459" t="s">
        <v>312</v>
      </c>
    </row>
    <row r="9460" spans="1:4" x14ac:dyDescent="0.25">
      <c r="B9460" t="str">
        <f>HYPERLINK("https://www.chemistwarehouse.com.au/buy/80181/Banana-Boat-SPF-50-Sun-Comfort-Aerosol-175g"," Banana Boat SPF 50+ Sun Comfort Aerosol 175g")</f>
        <v xml:space="preserve"> Banana Boat SPF 50+ Sun Comfort Aerosol 175g</v>
      </c>
      <c r="C9460" t="s">
        <v>187</v>
      </c>
      <c r="D9460" t="s">
        <v>115</v>
      </c>
    </row>
    <row r="9461" spans="1:4" x14ac:dyDescent="0.25">
      <c r="B9461" t="str">
        <f>HYPERLINK("https://www.chemistwarehouse.com.au/buy/80182/Banana-Boat-SPF-50-Sun-Comfort-Lotion-175ml"," Banana Boat SPF 50+ Sun Comfort Lotion 175ml")</f>
        <v xml:space="preserve"> Banana Boat SPF 50+ Sun Comfort Lotion 175ml</v>
      </c>
      <c r="C9461" t="s">
        <v>202</v>
      </c>
      <c r="D9461" t="s">
        <v>115</v>
      </c>
    </row>
    <row r="9462" spans="1:4" x14ac:dyDescent="0.25">
      <c r="B9462" t="str">
        <f>HYPERLINK("https://www.chemistwarehouse.com.au/buy/69627/Banana-Boat-SPF-50-Sport-400g"," Banana Boat SPF 50+ Sport 400g ")</f>
        <v xml:space="preserve"> Banana Boat SPF 50+ Sport 400g </v>
      </c>
      <c r="C9462" t="s">
        <v>401</v>
      </c>
      <c r="D9462" t="s">
        <v>291</v>
      </c>
    </row>
    <row r="9463" spans="1:4" x14ac:dyDescent="0.25">
      <c r="B9463" t="str">
        <f>HYPERLINK("https://www.chemistwarehouse.com.au/buy/67654/Banana-Boat-SPF-50-Sport-200g-Tube"," Banana Boat SPF 50+ Sport 200g Tube")</f>
        <v xml:space="preserve"> Banana Boat SPF 50+ Sport 200g Tube</v>
      </c>
      <c r="C9463" t="s">
        <v>202</v>
      </c>
      <c r="D9463" t="s">
        <v>281</v>
      </c>
    </row>
    <row r="9464" spans="1:4" x14ac:dyDescent="0.25">
      <c r="B9464" t="str">
        <f>HYPERLINK("https://www.chemistwarehouse.com.au/buy/73221/Banana-Boat-SPF-50-Everyday-200g-Tube"," Banana Boat SPF 50+ Everyday 200g Tube")</f>
        <v xml:space="preserve"> Banana Boat SPF 50+ Everyday 200g Tube</v>
      </c>
      <c r="C9464" t="s">
        <v>202</v>
      </c>
      <c r="D9464" t="s">
        <v>281</v>
      </c>
    </row>
    <row r="9465" spans="1:4" x14ac:dyDescent="0.25">
      <c r="B9465" t="str">
        <f>HYPERLINK("https://www.chemistwarehouse.com.au/buy/73222/Banana-Boat-SPF-50-Everyday-400g-Pump"," Banana Boat SPF 50+ Everyday 400g Pump")</f>
        <v xml:space="preserve"> Banana Boat SPF 50+ Everyday 400g Pump</v>
      </c>
      <c r="C9465" t="s">
        <v>401</v>
      </c>
      <c r="D9465" t="s">
        <v>291</v>
      </c>
    </row>
    <row r="9466" spans="1:4" x14ac:dyDescent="0.25">
      <c r="B9466" t="str">
        <f>HYPERLINK("https://www.chemistwarehouse.com.au/buy/76950/Banana-Boat-SPF-50-Everyday-Clear-Aerosol-Spray-175g"," Banana Boat SPF 50+ Everyday Clear Aerosol Spray 175g")</f>
        <v xml:space="preserve"> Banana Boat SPF 50+ Everyday Clear Aerosol Spray 175g</v>
      </c>
      <c r="C9466" t="s">
        <v>202</v>
      </c>
      <c r="D9466" t="s">
        <v>281</v>
      </c>
    </row>
    <row r="9467" spans="1:4" x14ac:dyDescent="0.25">
      <c r="B9467" t="str">
        <f>HYPERLINK("https://www.chemistwarehouse.com.au/buy/73225/Banana-Boat-SPF-50-Sport-40g-Tube"," Banana Boat SPF 50+ Sport 40g Tube")</f>
        <v xml:space="preserve"> Banana Boat SPF 50+ Sport 40g Tube</v>
      </c>
      <c r="C9467" t="s">
        <v>483</v>
      </c>
      <c r="D9467" t="s">
        <v>725</v>
      </c>
    </row>
    <row r="9468" spans="1:4" x14ac:dyDescent="0.25">
      <c r="B9468" t="str">
        <f>HYPERLINK("https://www.chemistwarehouse.com.au/buy/73226/Banana-Boat-SPF-50-Sport-Coolzone-Spray-175g"," Banana Boat SPF 50+ Sport Coolzone Spray 175g")</f>
        <v xml:space="preserve"> Banana Boat SPF 50+ Sport Coolzone Spray 175g</v>
      </c>
      <c r="C9468" t="s">
        <v>292</v>
      </c>
      <c r="D9468" t="s">
        <v>121</v>
      </c>
    </row>
    <row r="9469" spans="1:4" x14ac:dyDescent="0.25">
      <c r="B9469" t="str">
        <f>HYPERLINK("https://www.chemistwarehouse.com.au/buy/73227/Banana-Boat-SPF-50-Sport-Trigger-Spray-240ml"," Banana Boat SPF 50+ Sport Trigger Spray 240ml ")</f>
        <v xml:space="preserve"> Banana Boat SPF 50+ Sport Trigger Spray 240ml </v>
      </c>
      <c r="C9469" t="s">
        <v>233</v>
      </c>
      <c r="D9469" t="s">
        <v>806</v>
      </c>
    </row>
    <row r="9470" spans="1:4" x14ac:dyDescent="0.25">
      <c r="A9470" t="s">
        <v>2012</v>
      </c>
    </row>
    <row r="9471" spans="1:4" x14ac:dyDescent="0.25">
      <c r="B9471" t="str">
        <f>HYPERLINK("https://www.chemistwarehouse.com.au/buy/69631/Cancer-Council-SPF-50-Oil-Free-175g-Aerosol"," Cancer Council SPF 50+ Oil Free 175g Aerosol")</f>
        <v xml:space="preserve"> Cancer Council SPF 50+ Oil Free 175g Aerosol</v>
      </c>
      <c r="C9471" t="s">
        <v>212</v>
      </c>
      <c r="D9471" t="s">
        <v>234</v>
      </c>
    </row>
    <row r="9472" spans="1:4" x14ac:dyDescent="0.25">
      <c r="A9472" t="s">
        <v>2013</v>
      </c>
    </row>
    <row r="9473" spans="1:4" x14ac:dyDescent="0.25">
      <c r="B9473" t="str">
        <f>HYPERLINK("https://www.chemistwarehouse.com.au/buy/80250/Cancer-Council-SPF-50-Sensitive-110ml-Tube"," Cancer Council SPF 50+ Sensitive 110ml Tube")</f>
        <v xml:space="preserve"> Cancer Council SPF 50+ Sensitive 110ml Tube</v>
      </c>
      <c r="C9473" t="s">
        <v>211</v>
      </c>
      <c r="D9473" t="s">
        <v>336</v>
      </c>
    </row>
    <row r="9474" spans="1:4" x14ac:dyDescent="0.25">
      <c r="B9474" t="str">
        <f>HYPERLINK("https://www.chemistwarehouse.com.au/buy/73230/Cancer-Council-SPF-30-Everyday-250ml-Tube"," Cancer Council SPF 30+ Everyday 250ml Tube")</f>
        <v xml:space="preserve"> Cancer Council SPF 30+ Everyday 250ml Tube</v>
      </c>
      <c r="C9474" t="s">
        <v>80</v>
      </c>
      <c r="D9474" t="s">
        <v>349</v>
      </c>
    </row>
    <row r="9475" spans="1:4" x14ac:dyDescent="0.25">
      <c r="B9475" t="str">
        <f>HYPERLINK("https://www.chemistwarehouse.com.au/buy/76953/Cancer-Council-SPF-50-Day-Wear-Face-Matte-50m"," Cancer Council SPF 50+ Day Wear Face Matte 50m")</f>
        <v xml:space="preserve"> Cancer Council SPF 50+ Day Wear Face Matte 50m</v>
      </c>
      <c r="C9475" t="s">
        <v>211</v>
      </c>
      <c r="D9475" t="s">
        <v>336</v>
      </c>
    </row>
    <row r="9476" spans="1:4" x14ac:dyDescent="0.25">
      <c r="B9476" t="str">
        <f>HYPERLINK("https://www.chemistwarehouse.com.au/buy/61274/Cancer-Council-30-1-Litre-Pump-Everyday"," Cancer Council 30+ 1 Litre Pump Everyday")</f>
        <v xml:space="preserve"> Cancer Council 30+ 1 Litre Pump Everyday</v>
      </c>
      <c r="C9476" t="s">
        <v>387</v>
      </c>
      <c r="D9476" t="s">
        <v>458</v>
      </c>
    </row>
    <row r="9477" spans="1:4" x14ac:dyDescent="0.25">
      <c r="B9477" t="str">
        <f>HYPERLINK("https://www.chemistwarehouse.com.au/buy/55122/Cancer-Council-SPF-30-Everyday-500ml-Pump"," Cancer Council SPF 30+ Everyday 500ml Pump")</f>
        <v xml:space="preserve"> Cancer Council SPF 30+ Everyday 500ml Pump</v>
      </c>
      <c r="C9477" t="s">
        <v>407</v>
      </c>
      <c r="D9477" t="s">
        <v>149</v>
      </c>
    </row>
    <row r="9478" spans="1:4" x14ac:dyDescent="0.25">
      <c r="B9478" t="str">
        <f>HYPERLINK("https://www.chemistwarehouse.com.au/buy/55124/Cancer-Council-SPF-30-Everyday-75ml-Roll-On"," Cancer Council SPF 30+ Everyday 75ml Roll On")</f>
        <v xml:space="preserve"> Cancer Council SPF 30+ Everyday 75ml Roll On</v>
      </c>
      <c r="C9478" t="s">
        <v>782</v>
      </c>
      <c r="D9478" t="s">
        <v>376</v>
      </c>
    </row>
    <row r="9479" spans="1:4" x14ac:dyDescent="0.25">
      <c r="B9479" t="str">
        <f>HYPERLINK("https://www.chemistwarehouse.com.au/buy/66812/Cancer-Council-Finger-Spray-Everyday-200ml"," Cancer Council Finger Spray Everyday 200ml")</f>
        <v xml:space="preserve"> Cancer Council Finger Spray Everyday 200ml</v>
      </c>
      <c r="C9479" t="s">
        <v>290</v>
      </c>
      <c r="D9479" t="s">
        <v>332</v>
      </c>
    </row>
    <row r="9480" spans="1:4" x14ac:dyDescent="0.25">
      <c r="B9480" t="str">
        <f>HYPERLINK("https://www.chemistwarehouse.com.au/buy/70077/Cancer-Council-SPF-30-35ml-Traveller"," Cancer Council SPF 30+ 35ml Traveller")</f>
        <v xml:space="preserve"> Cancer Council SPF 30+ 35ml Traveller</v>
      </c>
      <c r="C9480" t="s">
        <v>483</v>
      </c>
      <c r="D9480" t="s">
        <v>158</v>
      </c>
    </row>
    <row r="9481" spans="1:4" x14ac:dyDescent="0.25">
      <c r="B9481" t="str">
        <f>HYPERLINK("https://www.chemistwarehouse.com.au/buy/80249/Cancer-Council-SPF-50-Professional-75ml-Tube"," Cancer Council SPF 50+ Professional 75ml Tube")</f>
        <v xml:space="preserve"> Cancer Council SPF 50+ Professional 75ml Tube</v>
      </c>
      <c r="C9481" t="s">
        <v>404</v>
      </c>
      <c r="D9481" t="s">
        <v>405</v>
      </c>
    </row>
    <row r="9482" spans="1:4" x14ac:dyDescent="0.25">
      <c r="B9482" t="str">
        <f>HYPERLINK("https://www.chemistwarehouse.com.au/buy/55119/Cancer-Council-SPF-30-Everyday-110ml-Tube"," Cancer Council SPF 30+ Everyday 110ml Tube")</f>
        <v xml:space="preserve"> Cancer Council SPF 30+ Everyday 110ml Tube</v>
      </c>
      <c r="C9482" t="s">
        <v>240</v>
      </c>
      <c r="D9482" t="s">
        <v>152</v>
      </c>
    </row>
    <row r="9483" spans="1:4" x14ac:dyDescent="0.25">
      <c r="A9483" t="s">
        <v>2014</v>
      </c>
    </row>
    <row r="9484" spans="1:4" x14ac:dyDescent="0.25">
      <c r="B9484" t="str">
        <f>HYPERLINK("https://www.chemistwarehouse.com.au/buy/69630/Cancer-Council-SPF-50-Active-110ml-Tube"," Cancer Council SPF 50+ Active 110ml Tube")</f>
        <v xml:space="preserve"> Cancer Council SPF 50+ Active 110ml Tube</v>
      </c>
      <c r="C9484" t="s">
        <v>211</v>
      </c>
      <c r="D9484" t="s">
        <v>336</v>
      </c>
    </row>
    <row r="9485" spans="1:4" x14ac:dyDescent="0.25">
      <c r="B9485" t="str">
        <f>HYPERLINK("https://www.chemistwarehouse.com.au/buy/73231/Cancer-Council-SPF-50-Active-200ml-Finger-Spray"," Cancer Council SPF 50+ Active 200ml Finger Spray")</f>
        <v xml:space="preserve"> Cancer Council SPF 50+ Active 200ml Finger Spray</v>
      </c>
      <c r="C9485" t="s">
        <v>228</v>
      </c>
      <c r="D9485" t="s">
        <v>2015</v>
      </c>
    </row>
    <row r="9486" spans="1:4" x14ac:dyDescent="0.25">
      <c r="B9486" t="str">
        <f>HYPERLINK("https://www.chemistwarehouse.com.au/buy/80243/Cancer-Council-SPF-50-Active-35ml-Tube"," Cancer Council SPF 50+ Active 35ml Tube")</f>
        <v xml:space="preserve"> Cancer Council SPF 50+ Active 35ml Tube</v>
      </c>
      <c r="C9486" t="s">
        <v>786</v>
      </c>
      <c r="D9486" t="s">
        <v>799</v>
      </c>
    </row>
    <row r="9487" spans="1:4" x14ac:dyDescent="0.25">
      <c r="A9487" t="s">
        <v>2016</v>
      </c>
    </row>
    <row r="9488" spans="1:4" x14ac:dyDescent="0.25">
      <c r="B9488" t="str">
        <f>HYPERLINK("https://www.chemistwarehouse.com.au/buy/76959/Cancer-Council-SPF-50-Ultra-1-Litre"," Cancer Council SPF 50+ Ultra 1 Litre")</f>
        <v xml:space="preserve"> Cancer Council SPF 50+ Ultra 1 Litre</v>
      </c>
      <c r="C9488" t="s">
        <v>1364</v>
      </c>
      <c r="D9488" t="s">
        <v>99</v>
      </c>
    </row>
    <row r="9489" spans="1:4" x14ac:dyDescent="0.25">
      <c r="B9489" t="str">
        <f>HYPERLINK("https://www.chemistwarehouse.com.au/buy/69632/Cancer-Council-SPF-50-Ultra-250ml-Tube"," Cancer Council SPF 50+ Ultra 250ml Tube")</f>
        <v xml:space="preserve"> Cancer Council SPF 50+ Ultra 250ml Tube</v>
      </c>
      <c r="C9489" t="s">
        <v>443</v>
      </c>
      <c r="D9489" t="s">
        <v>821</v>
      </c>
    </row>
    <row r="9490" spans="1:4" x14ac:dyDescent="0.25">
      <c r="B9490" t="str">
        <f>HYPERLINK("https://www.chemistwarehouse.com.au/buy/73239/Cancer-Council-SPF-50-Ultra-Lip-Balm"," Cancer Council SPF 50+ Ultra Lip Balm")</f>
        <v xml:space="preserve"> Cancer Council SPF 50+ Ultra Lip Balm</v>
      </c>
      <c r="C9490" t="s">
        <v>786</v>
      </c>
      <c r="D9490" t="s">
        <v>799</v>
      </c>
    </row>
    <row r="9491" spans="1:4" x14ac:dyDescent="0.25">
      <c r="B9491" t="str">
        <f>HYPERLINK("https://www.chemistwarehouse.com.au/buy/73240/Cancer-Council-SPF-50-Ultra-500ml-Pump"," Cancer Council SPF 50+ Ultra 500ml Pump")</f>
        <v xml:space="preserve"> Cancer Council SPF 50+ Ultra 500ml Pump</v>
      </c>
      <c r="C9491" t="s">
        <v>148</v>
      </c>
      <c r="D9491" t="s">
        <v>437</v>
      </c>
    </row>
    <row r="9492" spans="1:4" x14ac:dyDescent="0.25">
      <c r="B9492" t="str">
        <f>HYPERLINK("https://www.chemistwarehouse.com.au/buy/73241/Cancer-Council-SPF-50-Ultra-75ml-Roll-On"," Cancer Council SPF 50+ Ultra 75ml Roll On")</f>
        <v xml:space="preserve"> Cancer Council SPF 50+ Ultra 75ml Roll On</v>
      </c>
      <c r="C9492" t="s">
        <v>240</v>
      </c>
      <c r="D9492" t="s">
        <v>152</v>
      </c>
    </row>
    <row r="9493" spans="1:4" x14ac:dyDescent="0.25">
      <c r="B9493" t="str">
        <f>HYPERLINK("https://www.chemistwarehouse.com.au/buy/76958/Cancer-Council-SPF-50-Ultra-Cooling-Aerosol-175g"," Cancer Council SPF 50+ Ultra Cooling Aerosol 175g")</f>
        <v xml:space="preserve"> Cancer Council SPF 50+ Ultra Cooling Aerosol 175g</v>
      </c>
      <c r="C9493" t="s">
        <v>212</v>
      </c>
      <c r="D9493" t="s">
        <v>234</v>
      </c>
    </row>
    <row r="9494" spans="1:4" x14ac:dyDescent="0.25">
      <c r="B9494" t="str">
        <f>HYPERLINK("https://www.chemistwarehouse.com.au/buy/68917/Cancer-Council-SPF-50-Ultra-110ml-Tube"," Cancer Council SPF 50+ Ultra 110ml Tube")</f>
        <v xml:space="preserve"> Cancer Council SPF 50+ Ultra 110ml Tube</v>
      </c>
      <c r="C9494" t="s">
        <v>317</v>
      </c>
      <c r="D9494" t="s">
        <v>406</v>
      </c>
    </row>
    <row r="9495" spans="1:4" x14ac:dyDescent="0.25">
      <c r="A9495" t="s">
        <v>2017</v>
      </c>
    </row>
    <row r="9496" spans="1:4" x14ac:dyDescent="0.25">
      <c r="B9496" t="str">
        <f>HYPERLINK("https://www.chemistwarehouse.com.au/buy/68916/Cancer-Council-SPF-50-Sport-110ml-Tube"," Cancer Council SPF 50+ Sport 110ml Tube")</f>
        <v xml:space="preserve"> Cancer Council SPF 50+ Sport 110ml Tube</v>
      </c>
      <c r="C9496" t="s">
        <v>317</v>
      </c>
      <c r="D9496" t="s">
        <v>406</v>
      </c>
    </row>
    <row r="9497" spans="1:4" x14ac:dyDescent="0.25">
      <c r="B9497" t="str">
        <f>HYPERLINK("https://www.chemistwarehouse.com.au/buy/73238/Cancer-Council-SPF-50-Sport-500ml-Pump"," Cancer Council SPF 50+ Sport 500ml Pump")</f>
        <v xml:space="preserve"> Cancer Council SPF 50+ Sport 500ml Pump</v>
      </c>
      <c r="C9497" t="s">
        <v>148</v>
      </c>
      <c r="D9497" t="s">
        <v>437</v>
      </c>
    </row>
    <row r="9498" spans="1:4" x14ac:dyDescent="0.25">
      <c r="B9498" t="str">
        <f>HYPERLINK("https://www.chemistwarehouse.com.au/buy/76957/Cancer-Council-SPF-50-Sport-Foam-Aerosol-175g"," Cancer Council SPF 50+ Sport Foam Aerosol 175g")</f>
        <v xml:space="preserve"> Cancer Council SPF 50+ Sport Foam Aerosol 175g</v>
      </c>
      <c r="C9498" t="s">
        <v>212</v>
      </c>
      <c r="D9498" t="s">
        <v>234</v>
      </c>
    </row>
    <row r="9499" spans="1:4" x14ac:dyDescent="0.25">
      <c r="B9499" t="str">
        <f>HYPERLINK("https://www.chemistwarehouse.com.au/buy/73237/Cancer-Council-SPF-50-Sport-200ml-Finger-Spray"," Cancer Council SPF 50+ Sport 200ml Finger Spray")</f>
        <v xml:space="preserve"> Cancer Council SPF 50+ Sport 200ml Finger Spray</v>
      </c>
      <c r="C9499" t="s">
        <v>228</v>
      </c>
      <c r="D9499" t="s">
        <v>2015</v>
      </c>
    </row>
    <row r="9500" spans="1:4" x14ac:dyDescent="0.25">
      <c r="A9500" t="s">
        <v>2018</v>
      </c>
    </row>
    <row r="9501" spans="1:4" x14ac:dyDescent="0.25">
      <c r="B9501" t="str">
        <f>HYPERLINK("https://www.chemistwarehouse.com.au/buy/73232/Cancer-Council-SPF-50-Classic-100ml-Tube"," Cancer Council SPF 50+ Classic 100ml Tube")</f>
        <v xml:space="preserve"> Cancer Council SPF 50+ Classic 100ml Tube</v>
      </c>
      <c r="C9501" t="s">
        <v>211</v>
      </c>
      <c r="D9501" t="s">
        <v>336</v>
      </c>
    </row>
    <row r="9502" spans="1:4" x14ac:dyDescent="0.25">
      <c r="B9502" t="str">
        <f>HYPERLINK("https://www.chemistwarehouse.com.au/buy/73233/Cancer-Council-SPF-50-Classic-Triple-Pack-Zinc-Stick"," Cancer Council SPF 50+ Classic Triple Pack Zinc Stick")</f>
        <v xml:space="preserve"> Cancer Council SPF 50+ Classic Triple Pack Zinc Stick</v>
      </c>
      <c r="C9502" t="s">
        <v>443</v>
      </c>
      <c r="D9502" t="s">
        <v>821</v>
      </c>
    </row>
    <row r="9503" spans="1:4" x14ac:dyDescent="0.25">
      <c r="B9503" t="str">
        <f>HYPERLINK("https://www.chemistwarehouse.com.au/buy/80245/Cancer-Council-SPF-50-Classic-White-Zinc-Stick-12g"," Cancer Council SPF 50+ Classic White Zinc Stick 12g")</f>
        <v xml:space="preserve"> Cancer Council SPF 50+ Classic White Zinc Stick 12g</v>
      </c>
      <c r="C9503" t="s">
        <v>782</v>
      </c>
      <c r="D9503" t="s">
        <v>376</v>
      </c>
    </row>
    <row r="9504" spans="1:4" x14ac:dyDescent="0.25">
      <c r="B9504" t="str">
        <f>HYPERLINK("https://www.chemistwarehouse.com.au/buy/80244/Cancer-Council-SPF-50-Classic-Skin-Tone-Zinc-Stick-12g"," Cancer Council SPF 50+ Classic Skin Tone Zinc Stick 12g")</f>
        <v xml:space="preserve"> Cancer Council SPF 50+ Classic Skin Tone Zinc Stick 12g</v>
      </c>
      <c r="C9504" t="s">
        <v>782</v>
      </c>
      <c r="D9504" t="s">
        <v>376</v>
      </c>
    </row>
    <row r="9505" spans="1:4" x14ac:dyDescent="0.25">
      <c r="A9505" t="s">
        <v>2019</v>
      </c>
    </row>
    <row r="9506" spans="1:4" x14ac:dyDescent="0.25">
      <c r="B9506" t="str">
        <f>HYPERLINK("https://www.chemistwarehouse.com.au/buy/68915/Cancer-Council-SPF-50-Kids-110ml-Tube"," Cancer Council SPF 50+ Kids 110ml Tube")</f>
        <v xml:space="preserve"> Cancer Council SPF 50+ Kids 110ml Tube</v>
      </c>
      <c r="C9506" t="s">
        <v>317</v>
      </c>
      <c r="D9506" t="s">
        <v>406</v>
      </c>
    </row>
    <row r="9507" spans="1:4" x14ac:dyDescent="0.25">
      <c r="B9507" t="str">
        <f>HYPERLINK("https://www.chemistwarehouse.com.au/buy/76955/Cancer-Council-SPF-50-Peppa-Pig-200ml-Finger-Spray"," Cancer Council SPF 50+ Peppa Pig 200ml Finger Spray")</f>
        <v xml:space="preserve"> Cancer Council SPF 50+ Peppa Pig 200ml Finger Spray</v>
      </c>
      <c r="C9507" t="s">
        <v>228</v>
      </c>
      <c r="D9507" t="s">
        <v>2015</v>
      </c>
    </row>
    <row r="9508" spans="1:4" x14ac:dyDescent="0.25">
      <c r="B9508" t="str">
        <f>HYPERLINK("https://www.chemistwarehouse.com.au/buy/73234/Cancer-Council-SPF-50-Kids-250ml-Tube"," Cancer Council SPF 50+ Kids 250ml Tube")</f>
        <v xml:space="preserve"> Cancer Council SPF 50+ Kids 250ml Tube</v>
      </c>
      <c r="C9508" t="s">
        <v>443</v>
      </c>
      <c r="D9508" t="s">
        <v>821</v>
      </c>
    </row>
    <row r="9509" spans="1:4" x14ac:dyDescent="0.25">
      <c r="B9509" t="str">
        <f>HYPERLINK("https://www.chemistwarehouse.com.au/buy/73235/Cancer-Council-SPF-50-Kids-500ml-Pump"," Cancer Council SPF 50+ Kids 500ml Pump")</f>
        <v xml:space="preserve"> Cancer Council SPF 50+ Kids 500ml Pump</v>
      </c>
      <c r="C9509" t="s">
        <v>148</v>
      </c>
      <c r="D9509" t="s">
        <v>437</v>
      </c>
    </row>
    <row r="9510" spans="1:4" x14ac:dyDescent="0.25">
      <c r="B9510" t="str">
        <f>HYPERLINK("https://www.chemistwarehouse.com.au/buy/76954/Cancer-Council-SPF-50-Kids-75ml-Roll-On"," Cancer Council SPF 50+ Kids 75ml Roll On")</f>
        <v xml:space="preserve"> Cancer Council SPF 50+ Kids 75ml Roll On</v>
      </c>
      <c r="C9510" t="s">
        <v>240</v>
      </c>
      <c r="D9510" t="s">
        <v>152</v>
      </c>
    </row>
    <row r="9511" spans="1:4" x14ac:dyDescent="0.25">
      <c r="B9511" t="str">
        <f>HYPERLINK("https://www.chemistwarehouse.com.au/buy/76956/Cancer-Council-SPF-50-Peppa-Pig-75ml-Roll-On"," Cancer Council SPF 50+ Peppa Pig 75ml Roll On")</f>
        <v xml:space="preserve"> Cancer Council SPF 50+ Peppa Pig 75ml Roll On</v>
      </c>
      <c r="C9511" t="s">
        <v>240</v>
      </c>
      <c r="D9511" t="s">
        <v>152</v>
      </c>
    </row>
    <row r="9512" spans="1:4" x14ac:dyDescent="0.25">
      <c r="B9512" t="str">
        <f>HYPERLINK("https://www.chemistwarehouse.com.au/buy/80246/Cancer-Council-SPF-50-Finding-Dory-Watersport-180ml"," Cancer Council SPF 50+ Finding Dory Watersport 180ml")</f>
        <v xml:space="preserve"> Cancer Council SPF 50+ Finding Dory Watersport 180ml</v>
      </c>
      <c r="C9512" t="s">
        <v>551</v>
      </c>
      <c r="D9512" t="s">
        <v>867</v>
      </c>
    </row>
    <row r="9513" spans="1:4" x14ac:dyDescent="0.25">
      <c r="B9513" t="str">
        <f>HYPERLINK("https://www.chemistwarehouse.com.au/buy/80247/Cancer-Council-SPF-50-Finding-Dory-Watersport-500ml-Pump"," Cancer Council SPF 50+ Finding Dory Watersport 500ml Pump")</f>
        <v xml:space="preserve"> Cancer Council SPF 50+ Finding Dory Watersport 500ml Pump</v>
      </c>
      <c r="C9513" t="s">
        <v>148</v>
      </c>
      <c r="D9513" t="s">
        <v>437</v>
      </c>
    </row>
    <row r="9514" spans="1:4" x14ac:dyDescent="0.25">
      <c r="B9514" t="str">
        <f>HYPERLINK("https://www.chemistwarehouse.com.au/buy/80248/Cancer-Council-SPF-50-Kids-Peppa-Pig-500ml-Pump"," Cancer Council SPF 50+ Kids Peppa Pig 500ml Pump")</f>
        <v xml:space="preserve"> Cancer Council SPF 50+ Kids Peppa Pig 500ml Pump</v>
      </c>
      <c r="C9514" t="s">
        <v>148</v>
      </c>
      <c r="D9514" t="s">
        <v>437</v>
      </c>
    </row>
    <row r="9515" spans="1:4" x14ac:dyDescent="0.25">
      <c r="A9515" t="s">
        <v>2020</v>
      </c>
    </row>
    <row r="9516" spans="1:4" x14ac:dyDescent="0.25">
      <c r="B9516" t="str">
        <f>HYPERLINK("https://www.chemistwarehouse.com.au/buy/76960/Cancer-Council-SPF-50-Work-1-Litre"," Cancer Council SPF 50+ Work 1 Litre")</f>
        <v xml:space="preserve"> Cancer Council SPF 50+ Work 1 Litre</v>
      </c>
      <c r="C9516" t="s">
        <v>1364</v>
      </c>
      <c r="D9516" t="s">
        <v>99</v>
      </c>
    </row>
    <row r="9517" spans="1:4" x14ac:dyDescent="0.25">
      <c r="A9517" t="s">
        <v>2021</v>
      </c>
    </row>
    <row r="9518" spans="1:4" x14ac:dyDescent="0.25">
      <c r="B9518" t="str">
        <f>HYPERLINK("https://www.chemistwarehouse.com.au/buy/64871/Cancer-Council-Day-Wear-Light-Beige-75ml"," Cancer Council Day Wear Light Beige 75ml")</f>
        <v xml:space="preserve"> Cancer Council Day Wear Light Beige 75ml</v>
      </c>
      <c r="C9518" t="s">
        <v>211</v>
      </c>
      <c r="D9518" t="s">
        <v>336</v>
      </c>
    </row>
    <row r="9519" spans="1:4" x14ac:dyDescent="0.25">
      <c r="B9519" t="str">
        <f>HYPERLINK("https://www.chemistwarehouse.com.au/buy/58270/Cancer-Council-Day-Face-SPF-30-75ml"," Cancer Council Day Face SPF 30+ 75ml")</f>
        <v xml:space="preserve"> Cancer Council Day Face SPF 30+ 75ml</v>
      </c>
      <c r="C9519" t="s">
        <v>211</v>
      </c>
      <c r="D9519" t="s">
        <v>336</v>
      </c>
    </row>
    <row r="9520" spans="1:4" x14ac:dyDescent="0.25">
      <c r="B9520" t="str">
        <f>HYPERLINK("https://www.chemistwarehouse.com.au/buy/58271/Cancer-Council-Day-Face-Sun-Screen-Medium-Tint-SPF-30-75mL"," Cancer Council Day Face Sun Screen Medium Tint SPF 30+ 75mL")</f>
        <v xml:space="preserve"> Cancer Council Day Face Sun Screen Medium Tint SPF 30+ 75mL</v>
      </c>
      <c r="C9520" t="s">
        <v>211</v>
      </c>
      <c r="D9520" t="s">
        <v>336</v>
      </c>
    </row>
    <row r="9521" spans="1:4" x14ac:dyDescent="0.25">
      <c r="A9521" t="s">
        <v>2022</v>
      </c>
    </row>
    <row r="9522" spans="1:4" x14ac:dyDescent="0.25">
      <c r="B9522" t="str">
        <f>HYPERLINK("https://www.chemistwarehouse.com.au/buy/61278/Cancer-Council-30-110ml-Repel-Insect"," Cancer Council 30+ 110ml Repel Insect")</f>
        <v xml:space="preserve"> Cancer Council 30+ 110ml Repel Insect</v>
      </c>
      <c r="C9522" t="s">
        <v>244</v>
      </c>
      <c r="D9522" t="s">
        <v>518</v>
      </c>
    </row>
    <row r="9523" spans="1:4" x14ac:dyDescent="0.25">
      <c r="A9523" t="s">
        <v>2023</v>
      </c>
    </row>
    <row r="9524" spans="1:4" x14ac:dyDescent="0.25">
      <c r="B9524" t="str">
        <f>HYPERLINK("https://www.chemistwarehouse.com.au/buy/50611/Nivea-Sun-SPF-30-Spray-200mL"," Nivea Sun SPF 30+ Spray 200mL")</f>
        <v xml:space="preserve"> Nivea Sun SPF 30+ Spray 200mL</v>
      </c>
      <c r="C9524" t="s">
        <v>80</v>
      </c>
      <c r="D9524" t="s">
        <v>332</v>
      </c>
    </row>
    <row r="9525" spans="1:4" x14ac:dyDescent="0.25">
      <c r="B9525" t="str">
        <f>HYPERLINK("https://www.chemistwarehouse.com.au/buy/64765/Nivea-Sun-SPF-30-Protect-amp-Light-Feel-Lotion-200ml"," Nivea Sun SPF 30+ Protect &amp; Light Feel Lotion 200ml")</f>
        <v xml:space="preserve"> Nivea Sun SPF 30+ Protect &amp; Light Feel Lotion 200ml</v>
      </c>
      <c r="C9525" t="s">
        <v>98</v>
      </c>
      <c r="D9525" t="s">
        <v>162</v>
      </c>
    </row>
    <row r="9526" spans="1:4" x14ac:dyDescent="0.25">
      <c r="B9526" t="str">
        <f>HYPERLINK("https://www.chemistwarehouse.com.au/buy/69635/Nivea-Sun-SPF-30-Protect-amp-Light-Feel-Lotion-100ml"," Nivea Sun SPF 30+ Protect &amp; Light Feel Lotion 100ml")</f>
        <v xml:space="preserve"> Nivea Sun SPF 30+ Protect &amp; Light Feel Lotion 100ml</v>
      </c>
      <c r="C9526" t="s">
        <v>782</v>
      </c>
      <c r="D9526" t="s">
        <v>291</v>
      </c>
    </row>
    <row r="9527" spans="1:4" x14ac:dyDescent="0.25">
      <c r="B9527" t="str">
        <f>HYPERLINK("https://www.chemistwarehouse.com.au/buy/69636/Nivea-Sun-SPF50-Kids-Roll-On-65ml"," Nivea Sun SPF50+ Kids Roll On 65ml")</f>
        <v xml:space="preserve"> Nivea Sun SPF50+ Kids Roll On 65ml</v>
      </c>
      <c r="C9527" t="s">
        <v>782</v>
      </c>
      <c r="D9527" t="s">
        <v>291</v>
      </c>
    </row>
    <row r="9528" spans="1:4" x14ac:dyDescent="0.25">
      <c r="B9528" t="str">
        <f>HYPERLINK("https://www.chemistwarehouse.com.au/buy/69637/Nivea-Sun-SPF50-Kids-Spray-200ml"," Nivea Sun SPF50+ Kids Spray 200ml ")</f>
        <v xml:space="preserve"> Nivea Sun SPF50+ Kids Spray 200ml </v>
      </c>
      <c r="C9528" t="s">
        <v>551</v>
      </c>
      <c r="D9528" t="s">
        <v>270</v>
      </c>
    </row>
    <row r="9529" spans="1:4" x14ac:dyDescent="0.25">
      <c r="B9529" t="str">
        <f>HYPERLINK("https://www.chemistwarehouse.com.au/buy/69638/Nivea-Sun-SPF50-Kids-Swim-amp-Play-Lotion-150ml"," Nivea Sun SPF50+ Kids Swim &amp; Play Lotion 150ml")</f>
        <v xml:space="preserve"> Nivea Sun SPF50+ Kids Swim &amp; Play Lotion 150ml</v>
      </c>
      <c r="C9529" t="s">
        <v>211</v>
      </c>
      <c r="D9529" t="s">
        <v>119</v>
      </c>
    </row>
    <row r="9530" spans="1:4" x14ac:dyDescent="0.25">
      <c r="B9530" t="str">
        <f>HYPERLINK("https://www.chemistwarehouse.com.au/buy/73248/Nivea-Sun-SPF-50-Ultra-Beach-Protect-Aerosol-175g"," Nivea Sun SPF 50+ Ultra Beach Protect Aerosol 175g")</f>
        <v xml:space="preserve"> Nivea Sun SPF 50+ Ultra Beach Protect Aerosol 175g</v>
      </c>
      <c r="C9530" t="s">
        <v>551</v>
      </c>
      <c r="D9530" t="s">
        <v>270</v>
      </c>
    </row>
    <row r="9531" spans="1:4" x14ac:dyDescent="0.25">
      <c r="B9531" t="str">
        <f>HYPERLINK("https://www.chemistwarehouse.com.au/buy/73249/Nivea-Sun-SPF-50-Ultra-Beach-Protect-Spray-200ml"," Nivea Sun SPF 50+ Ultra Beach Protect Spray 200ml")</f>
        <v xml:space="preserve"> Nivea Sun SPF 50+ Ultra Beach Protect Spray 200ml</v>
      </c>
      <c r="C9531" t="s">
        <v>551</v>
      </c>
      <c r="D9531" t="s">
        <v>270</v>
      </c>
    </row>
    <row r="9532" spans="1:4" x14ac:dyDescent="0.25">
      <c r="B9532" t="str">
        <f>HYPERLINK("https://www.chemistwarehouse.com.au/buy/73250/Nivea-Sun-SPF-50-Ultra-Sport-Protect-Cooling-Aerosol-175g"," Nivea Sun SPF 50+ Ultra Sport Protect Cooling Aerosol 175g")</f>
        <v xml:space="preserve"> Nivea Sun SPF 50+ Ultra Sport Protect Cooling Aerosol 175g</v>
      </c>
      <c r="C9532" t="s">
        <v>551</v>
      </c>
      <c r="D9532" t="s">
        <v>270</v>
      </c>
    </row>
    <row r="9533" spans="1:4" x14ac:dyDescent="0.25">
      <c r="B9533" t="str">
        <f>HYPERLINK("https://www.chemistwarehouse.com.au/buy/73251/Nivea-Sun-SPF-50-Ultra-Sport-Protect-Cooling-Spray-200ml"," Nivea Sun SPF 50+ Ultra Sport Protect Cooling Spray 200ml")</f>
        <v xml:space="preserve"> Nivea Sun SPF 50+ Ultra Sport Protect Cooling Spray 200ml</v>
      </c>
      <c r="C9533" t="s">
        <v>551</v>
      </c>
      <c r="D9533" t="s">
        <v>270</v>
      </c>
    </row>
    <row r="9534" spans="1:4" x14ac:dyDescent="0.25">
      <c r="B9534" t="str">
        <f>HYPERLINK("https://www.chemistwarehouse.com.au/buy/48086/Nivea-Sun-SPF-30-Moisturising-Lotion-200ml"," Nivea Sun SPF 30+ Moisturising Lotion 200ml")</f>
        <v xml:space="preserve"> Nivea Sun SPF 30+ Moisturising Lotion 200ml</v>
      </c>
      <c r="C9534" t="s">
        <v>98</v>
      </c>
      <c r="D9534" t="s">
        <v>162</v>
      </c>
    </row>
    <row r="9535" spans="1:4" x14ac:dyDescent="0.25">
      <c r="B9535" t="str">
        <f>HYPERLINK("https://www.chemistwarehouse.com.au/buy/48089/Nivea-Sun-SPF-15-Spray-200ml"," Nivea Sun SPF 15+ Spray 200ml")</f>
        <v xml:space="preserve"> Nivea Sun SPF 15+ Spray 200ml</v>
      </c>
      <c r="C9535" t="s">
        <v>244</v>
      </c>
      <c r="D9535" t="s">
        <v>2024</v>
      </c>
    </row>
    <row r="9536" spans="1:4" x14ac:dyDescent="0.25">
      <c r="B9536" t="str">
        <f>HYPERLINK("https://www.chemistwarehouse.com.au/buy/80160/Nivea-Sun-SPF-50-Protect-amp-Moisture-Moisturising-Lotion-400ml"," Nivea Sun SPF 50+ Protect &amp; Moisture Moisturising Lotion 400ml")</f>
        <v xml:space="preserve"> Nivea Sun SPF 50+ Protect &amp; Moisture Moisturising Lotion 400ml</v>
      </c>
      <c r="C9536" t="s">
        <v>233</v>
      </c>
      <c r="D9536" t="s">
        <v>402</v>
      </c>
    </row>
    <row r="9537" spans="1:4" x14ac:dyDescent="0.25">
      <c r="B9537" t="str">
        <f>HYPERLINK("https://www.chemistwarehouse.com.au/buy/80159/Nivea-Sun-SPF-50-Protect-amp-Moisture-100ml"," Nivea Sun SPF 50+ Protect &amp; Moisture 100ml")</f>
        <v xml:space="preserve"> Nivea Sun SPF 50+ Protect &amp; Moisture 100ml</v>
      </c>
      <c r="C9537" t="s">
        <v>782</v>
      </c>
      <c r="D9537" t="s">
        <v>291</v>
      </c>
    </row>
    <row r="9538" spans="1:4" x14ac:dyDescent="0.25">
      <c r="A9538" t="s">
        <v>2025</v>
      </c>
    </row>
    <row r="9539" spans="1:4" x14ac:dyDescent="0.25">
      <c r="B9539" t="str">
        <f>HYPERLINK("https://www.chemistwarehouse.com.au/buy/69979/Le-Tan-SPF-50-Coconut-Sunscreen-1L"," Le Tan SPF 50+ Coconut Sunscreen 1L")</f>
        <v xml:space="preserve"> Le Tan SPF 50+ Coconut Sunscreen 1L</v>
      </c>
      <c r="C9539" t="s">
        <v>1</v>
      </c>
      <c r="D9539" t="s">
        <v>46</v>
      </c>
    </row>
    <row r="9540" spans="1:4" x14ac:dyDescent="0.25">
      <c r="B9540" t="str">
        <f>HYPERLINK("https://www.chemistwarehouse.com.au/buy/64759/Le-Tan-Coconut-SPF-15-125ml"," Le Tan Coconut SPF 15+ 125ml")</f>
        <v xml:space="preserve"> Le Tan Coconut SPF 15+ 125ml</v>
      </c>
      <c r="C9540" t="s">
        <v>32</v>
      </c>
      <c r="D9540" t="s">
        <v>312</v>
      </c>
    </row>
    <row r="9541" spans="1:4" x14ac:dyDescent="0.25">
      <c r="B9541" t="str">
        <f>HYPERLINK("https://www.chemistwarehouse.com.au/buy/64760/Le-Tan-Coconut-SPF-30-Oil-125ml"," Le Tan Coconut SPF 30+ Oil 125ml")</f>
        <v xml:space="preserve"> Le Tan Coconut SPF 30+ Oil 125ml</v>
      </c>
      <c r="C9541" t="s">
        <v>32</v>
      </c>
      <c r="D9541" t="s">
        <v>312</v>
      </c>
    </row>
    <row r="9542" spans="1:4" x14ac:dyDescent="0.25">
      <c r="B9542" t="str">
        <f>HYPERLINK("https://www.chemistwarehouse.com.au/buy/67162/Le-Tan-Coconut-30-125ml"," Le Tan Coconut 30+ 125ml")</f>
        <v xml:space="preserve"> Le Tan Coconut 30+ 125ml</v>
      </c>
      <c r="C9542" t="s">
        <v>32</v>
      </c>
      <c r="D9542" t="s">
        <v>312</v>
      </c>
    </row>
    <row r="9543" spans="1:4" x14ac:dyDescent="0.25">
      <c r="B9543" t="str">
        <f>HYPERLINK("https://www.chemistwarehouse.com.au/buy/68922/Le-Tan-Coconut-SPF-50-125ml"," Le Tan Coconut SPF 50+ 125ml")</f>
        <v xml:space="preserve"> Le Tan Coconut SPF 50+ 125ml</v>
      </c>
      <c r="C9543" t="s">
        <v>98</v>
      </c>
      <c r="D9543" t="s">
        <v>312</v>
      </c>
    </row>
    <row r="9544" spans="1:4" x14ac:dyDescent="0.25">
      <c r="B9544" t="str">
        <f>HYPERLINK("https://www.chemistwarehouse.com.au/buy/58268/Le-Tan-SPF-30-Coconut-Mist-Spray-250mL"," Le Tan SPF 30+ Coconut Mist Spray 250mL")</f>
        <v xml:space="preserve"> Le Tan SPF 30+ Coconut Mist Spray 250mL</v>
      </c>
      <c r="C9544" t="s">
        <v>292</v>
      </c>
      <c r="D9544" t="s">
        <v>121</v>
      </c>
    </row>
    <row r="9545" spans="1:4" x14ac:dyDescent="0.25">
      <c r="B9545" t="str">
        <f>HYPERLINK("https://www.chemistwarehouse.com.au/buy/61267/Le-Tan-Coconut-Oil-SPF-4-125mL"," Le Tan Coconut Oil SPF 4 125mL")</f>
        <v xml:space="preserve"> Le Tan Coconut Oil SPF 4 125mL</v>
      </c>
      <c r="C9545" t="s">
        <v>107</v>
      </c>
      <c r="D9545" t="s">
        <v>561</v>
      </c>
    </row>
    <row r="9546" spans="1:4" x14ac:dyDescent="0.25">
      <c r="B9546" t="str">
        <f>HYPERLINK("https://www.chemistwarehouse.com.au/buy/73244/Le-Tan-SPF-50-Coconut-Mist-Spray-250ml"," Le Tan SPF 50 + Coconut Mist Spray 250ml")</f>
        <v xml:space="preserve"> Le Tan SPF 50 + Coconut Mist Spray 250ml</v>
      </c>
      <c r="C9546" t="s">
        <v>58</v>
      </c>
      <c r="D9546" t="s">
        <v>115</v>
      </c>
    </row>
    <row r="9547" spans="1:4" x14ac:dyDescent="0.25">
      <c r="B9547" t="str">
        <f>HYPERLINK("https://www.chemistwarehouse.com.au/buy/73245/Le-Tan-SPF-50-Zinc-Sticks-Trio-15g"," Le Tan SPF 50 + Zinc Sticks Trio 15g")</f>
        <v xml:space="preserve"> Le Tan SPF 50 + Zinc Sticks Trio 15g</v>
      </c>
      <c r="C9547" t="s">
        <v>45</v>
      </c>
      <c r="D9547" t="s">
        <v>312</v>
      </c>
    </row>
    <row r="9548" spans="1:4" x14ac:dyDescent="0.25">
      <c r="B9548" t="str">
        <f>HYPERLINK("https://www.chemistwarehouse.com.au/buy/76963/Le-Tan-SPF-50-Coconut-Spray-175g"," Le Tan SPF 50+ Coconut Spray 175g")</f>
        <v xml:space="preserve"> Le Tan SPF 50+ Coconut Spray 175g</v>
      </c>
      <c r="C9548" t="s">
        <v>292</v>
      </c>
      <c r="D9548" t="s">
        <v>121</v>
      </c>
    </row>
    <row r="9549" spans="1:4" x14ac:dyDescent="0.25">
      <c r="B9549" t="str">
        <f>HYPERLINK("https://www.chemistwarehouse.com.au/buy/80501/Le-Tan-SPF-50-Active-Kids-Lotion-250ml"," Le Tan SPF 50+ Active Kids Lotion 250ml")</f>
        <v xml:space="preserve"> Le Tan SPF 50+ Active Kids Lotion 250ml</v>
      </c>
      <c r="C9549" t="s">
        <v>187</v>
      </c>
      <c r="D9549" t="s">
        <v>115</v>
      </c>
    </row>
    <row r="9550" spans="1:4" x14ac:dyDescent="0.25">
      <c r="B9550" t="str">
        <f>HYPERLINK("https://www.chemistwarehouse.com.au/buy/80502/Le-Tan-SPF-50-Active-Kids-Roll-on-75ml"," Le Tan SPF 50+ Active Kids Roll on 75ml")</f>
        <v xml:space="preserve"> Le Tan SPF 50+ Active Kids Roll on 75ml</v>
      </c>
      <c r="C9550" t="s">
        <v>240</v>
      </c>
      <c r="D9550" t="s">
        <v>561</v>
      </c>
    </row>
    <row r="9551" spans="1:4" x14ac:dyDescent="0.25">
      <c r="B9551" t="str">
        <f>HYPERLINK("https://www.chemistwarehouse.com.au/buy/80503/Le-Tan-SPF-50-Invisible-Sport-Spray-200ml"," Le Tan SPF 50+ Invisible Sport Spray 200ml")</f>
        <v xml:space="preserve"> Le Tan SPF 50+ Invisible Sport Spray 200ml</v>
      </c>
      <c r="C9551" t="s">
        <v>187</v>
      </c>
      <c r="D9551" t="s">
        <v>115</v>
      </c>
    </row>
    <row r="9552" spans="1:4" x14ac:dyDescent="0.25">
      <c r="B9552" t="str">
        <f>HYPERLINK("https://www.chemistwarehouse.com.au/buy/81355/Le-Tan-SPF-50-Powder-Dry-Sports-Lotion-110ml"," Le Tan SPF 50+ Powder Dry Sports Lotion 110ml")</f>
        <v xml:space="preserve"> Le Tan SPF 50+ Powder Dry Sports Lotion 110ml</v>
      </c>
      <c r="C9552" t="s">
        <v>45</v>
      </c>
      <c r="D9552" t="s">
        <v>312</v>
      </c>
    </row>
    <row r="9553" spans="1:4" x14ac:dyDescent="0.25">
      <c r="B9553" t="str">
        <f>HYPERLINK("https://www.chemistwarehouse.com.au/buy/76964/Le-Tan-SPF-50-Daily-Face-BB-Cream-75ml"," Le Tan SPF 50+ Daily Face BB Cream 75ml")</f>
        <v xml:space="preserve"> Le Tan SPF 50+ Daily Face BB Cream 75ml</v>
      </c>
      <c r="C9553" t="s">
        <v>169</v>
      </c>
      <c r="D9553" t="s">
        <v>116</v>
      </c>
    </row>
    <row r="9554" spans="1:4" x14ac:dyDescent="0.25">
      <c r="B9554" t="str">
        <f>HYPERLINK("https://www.chemistwarehouse.com.au/buy/61268/Le-Tan-Coconut-Oil-15-125ml"," Le Tan Coconut Oil 15 125ml")</f>
        <v xml:space="preserve"> Le Tan Coconut Oil 15 125ml</v>
      </c>
      <c r="C9554" t="s">
        <v>107</v>
      </c>
      <c r="D9554" t="s">
        <v>561</v>
      </c>
    </row>
    <row r="9555" spans="1:4" x14ac:dyDescent="0.25">
      <c r="B9555" t="str">
        <f>HYPERLINK("https://www.chemistwarehouse.com.au/buy/70071/Le-Tan-Coconut-50-500mL-Pump-Pack"," Le Tan Coconut 50+ 500mL Pump Pack")</f>
        <v xml:space="preserve"> Le Tan Coconut 50+ 500mL Pump Pack</v>
      </c>
      <c r="C9555" t="s">
        <v>61</v>
      </c>
      <c r="D9555" t="s">
        <v>64</v>
      </c>
    </row>
    <row r="9556" spans="1:4" x14ac:dyDescent="0.25">
      <c r="A9556" t="s">
        <v>2026</v>
      </c>
    </row>
    <row r="9557" spans="1:4" x14ac:dyDescent="0.25">
      <c r="B9557" t="str">
        <f>HYPERLINK("https://www.chemistwarehouse.com.au/buy/7382/Reef-Coconut-Oil-125ml"," Reef Coconut Oil 125ml")</f>
        <v xml:space="preserve"> Reef Coconut Oil 125ml</v>
      </c>
      <c r="C9557" t="s">
        <v>317</v>
      </c>
      <c r="D9557" t="s">
        <v>785</v>
      </c>
    </row>
    <row r="9558" spans="1:4" x14ac:dyDescent="0.25">
      <c r="B9558" t="str">
        <f>HYPERLINK("https://www.chemistwarehouse.com.au/buy/58666/Reef-Coconut-Oil-SPF-15-125ml"," Reef Coconut Oil SPF 15+ 125ml ")</f>
        <v xml:space="preserve"> Reef Coconut Oil SPF 15+ 125ml </v>
      </c>
      <c r="C9558" t="s">
        <v>317</v>
      </c>
      <c r="D9558" t="s">
        <v>785</v>
      </c>
    </row>
    <row r="9559" spans="1:4" x14ac:dyDescent="0.25">
      <c r="B9559" t="str">
        <f>HYPERLINK("https://www.chemistwarehouse.com.au/buy/58667/Reef-Coconut-Oil-SPF6-125ml"," Reef Coconut Oil SPF6+ 125ml")</f>
        <v xml:space="preserve"> Reef Coconut Oil SPF6+ 125ml</v>
      </c>
      <c r="C9559" t="s">
        <v>317</v>
      </c>
      <c r="D9559" t="s">
        <v>785</v>
      </c>
    </row>
    <row r="9560" spans="1:4" x14ac:dyDescent="0.25">
      <c r="B9560" t="str">
        <f>HYPERLINK("https://www.chemistwarehouse.com.au/buy/64767/Reef-Dry-Oil-SPF30-125ml"," Reef Dry Oil SPF30 125ml")</f>
        <v xml:space="preserve"> Reef Dry Oil SPF30 125ml</v>
      </c>
      <c r="C9560" t="s">
        <v>317</v>
      </c>
      <c r="D9560" t="s">
        <v>785</v>
      </c>
    </row>
    <row r="9561" spans="1:4" x14ac:dyDescent="0.25">
      <c r="A9561" t="s">
        <v>2027</v>
      </c>
    </row>
    <row r="9562" spans="1:4" x14ac:dyDescent="0.25">
      <c r="B9562" t="str">
        <f>HYPERLINK("https://www.chemistwarehouse.com.au/buy/76421/Neutrogena-SPF-30-Cool-Dry-Sport-Spray-155g"," Neutrogena SPF 30+ Cool Dry Sport Spray 155g")</f>
        <v xml:space="preserve"> Neutrogena SPF 30+ Cool Dry Sport Spray 155g</v>
      </c>
      <c r="C9562" t="s">
        <v>212</v>
      </c>
      <c r="D9562" t="s">
        <v>739</v>
      </c>
    </row>
    <row r="9563" spans="1:4" x14ac:dyDescent="0.25">
      <c r="B9563" t="str">
        <f>HYPERLINK("https://www.chemistwarehouse.com.au/buy/76420/Neutrogena-SPF-30-Cool-Dry-Sport-Lotion-147ml"," Neutrogena SPF 30+ Cool Dry Sport Lotion 147ml")</f>
        <v xml:space="preserve"> Neutrogena SPF 30+ Cool Dry Sport Lotion 147ml</v>
      </c>
      <c r="C9563" t="s">
        <v>212</v>
      </c>
      <c r="D9563" t="s">
        <v>739</v>
      </c>
    </row>
    <row r="9564" spans="1:4" x14ac:dyDescent="0.25">
      <c r="A9564" t="s">
        <v>2028</v>
      </c>
    </row>
    <row r="9565" spans="1:4" x14ac:dyDescent="0.25">
      <c r="B9565" t="str">
        <f>HYPERLINK("https://www.chemistwarehouse.com.au/buy/52431/Invisible-Zinc-Tinted-Daywear-Light-SPF-30-50g"," Invisible Zinc Tinted Daywear Light SPF 30+ 50g")</f>
        <v xml:space="preserve"> Invisible Zinc Tinted Daywear Light SPF 30+ 50g</v>
      </c>
      <c r="C9565" t="s">
        <v>148</v>
      </c>
      <c r="D9565" t="s">
        <v>1947</v>
      </c>
    </row>
    <row r="9566" spans="1:4" x14ac:dyDescent="0.25">
      <c r="B9566" t="str">
        <f>HYPERLINK("https://www.chemistwarehouse.com.au/buy/52433/Invisible-Zinc-Tinted-Daywear-Medium-SPF-30-50g"," Invisible Zinc Tinted Daywear Medium SPF 30+ 50g")</f>
        <v xml:space="preserve"> Invisible Zinc Tinted Daywear Medium SPF 30+ 50g</v>
      </c>
      <c r="C9566" t="s">
        <v>148</v>
      </c>
      <c r="D9566" t="s">
        <v>1947</v>
      </c>
    </row>
    <row r="9567" spans="1:4" x14ac:dyDescent="0.25">
      <c r="B9567" t="str">
        <f>HYPERLINK("https://www.chemistwarehouse.com.au/buy/58050/Invisible-Zinc-Enviromental-Skin-Protector-SPF-30-50ml"," Invisible Zinc Enviromental Skin Protector SPF 30+ 50ml")</f>
        <v xml:space="preserve"> Invisible Zinc Enviromental Skin Protector SPF 30+ 50ml</v>
      </c>
      <c r="C9567" t="s">
        <v>448</v>
      </c>
      <c r="D9567" t="s">
        <v>2029</v>
      </c>
    </row>
    <row r="9568" spans="1:4" x14ac:dyDescent="0.25">
      <c r="B9568" t="str">
        <f>HYPERLINK("https://www.chemistwarehouse.com.au/buy/69634/Invisible-Zinc-4hr-Water-Resistant-SPF50-50ml"," Invisible Zinc 4hr Water Resistant SPF50+ 50ml")</f>
        <v xml:space="preserve"> Invisible Zinc 4hr Water Resistant SPF50+ 50ml</v>
      </c>
      <c r="C9568" t="s">
        <v>202</v>
      </c>
      <c r="D9568" t="s">
        <v>154</v>
      </c>
    </row>
    <row r="9569" spans="1:4" x14ac:dyDescent="0.25">
      <c r="B9569" t="str">
        <f>HYPERLINK("https://www.chemistwarehouse.com.au/buy/76962/Invisible-Zinc-SPF-50-Junior-Clip-On-Sun-Screen-60g"," Invisible Zinc SPF 50+ Junior Clip On Sun Screen 60g")</f>
        <v xml:space="preserve"> Invisible Zinc SPF 50+ Junior Clip On Sun Screen 60g</v>
      </c>
      <c r="C9569" t="s">
        <v>290</v>
      </c>
      <c r="D9569" t="s">
        <v>402</v>
      </c>
    </row>
    <row r="9570" spans="1:4" x14ac:dyDescent="0.25">
      <c r="B9570" t="str">
        <f>HYPERLINK("https://www.chemistwarehouse.com.au/buy/80154/Invisible-Zinc-SPF-50-Face-and-Body-75g"," Invisible Zinc SPF 50+ Face and Body 75g")</f>
        <v xml:space="preserve"> Invisible Zinc SPF 50+ Face and Body 75g</v>
      </c>
      <c r="C9570" t="s">
        <v>237</v>
      </c>
      <c r="D9570" t="s">
        <v>169</v>
      </c>
    </row>
    <row r="9571" spans="1:4" x14ac:dyDescent="0.25">
      <c r="B9571" t="str">
        <f>HYPERLINK("https://www.chemistwarehouse.com.au/buy/80155/Invisible-Zinc-SPF-50-4-Hour-Water-Resistant-100ml"," Invisible Zinc SPF 50+ 4 Hour Water Resistant 100ml")</f>
        <v xml:space="preserve"> Invisible Zinc SPF 50+ 4 Hour Water Resistant 100ml</v>
      </c>
      <c r="C9571" t="s">
        <v>401</v>
      </c>
      <c r="D9571" t="s">
        <v>671</v>
      </c>
    </row>
    <row r="9572" spans="1:4" x14ac:dyDescent="0.25">
      <c r="A9572" t="s">
        <v>2030</v>
      </c>
    </row>
    <row r="9573" spans="1:4" x14ac:dyDescent="0.25">
      <c r="B9573" t="str">
        <f>HYPERLINK("https://www.chemistwarehouse.com.au/buy/72755/Cetaphil-Suntivity-Kids-SPF-50-Liposomal-Lotion-Body-amp-Face-150ml"," Cetaphil Suntivity Kids SPF 50 Liposomal Lotion Body &amp; Face 150ml")</f>
        <v xml:space="preserve"> Cetaphil Suntivity Kids SPF 50 Liposomal Lotion Body &amp; Face 150ml</v>
      </c>
      <c r="C9573" t="s">
        <v>407</v>
      </c>
      <c r="D9573" t="s">
        <v>406</v>
      </c>
    </row>
    <row r="9574" spans="1:4" x14ac:dyDescent="0.25">
      <c r="B9574" t="str">
        <f>HYPERLINK("https://www.chemistwarehouse.com.au/buy/72759/Cetaphil-Suntivity-SPF-50-Liposomal-Lotion-100ml"," Cetaphil Suntivity SPF 50 Liposomal Lotion 100ml")</f>
        <v xml:space="preserve"> Cetaphil Suntivity SPF 50 Liposomal Lotion 100ml</v>
      </c>
      <c r="C9574" t="s">
        <v>407</v>
      </c>
      <c r="D9574" t="s">
        <v>406</v>
      </c>
    </row>
    <row r="9575" spans="1:4" x14ac:dyDescent="0.25">
      <c r="B9575" t="str">
        <f>HYPERLINK("https://www.chemistwarehouse.com.au/buy/76961/Cetaphil-Suntivity-SPF-50-Tinted-Lotion-50ml"," Cetaphil Suntivity SPF 50+ Tinted Lotion 50ml")</f>
        <v xml:space="preserve"> Cetaphil Suntivity SPF 50+ Tinted Lotion 50ml</v>
      </c>
      <c r="C9575" t="s">
        <v>237</v>
      </c>
      <c r="D9575" t="s">
        <v>560</v>
      </c>
    </row>
    <row r="9576" spans="1:4" x14ac:dyDescent="0.25">
      <c r="B9576" t="str">
        <f>HYPERLINK("https://www.chemistwarehouse.com.au/buy/72760/Cetaphil-Suntivity-SPF50-Ultra-Light-Lotion-Body-amp-Face-100ml"," Cetaphil Suntivity SPF50 Ultra Light Lotion Body &amp; Face 100ml")</f>
        <v xml:space="preserve"> Cetaphil Suntivity SPF50 Ultra Light Lotion Body &amp; Face 100ml</v>
      </c>
      <c r="C9576" t="s">
        <v>407</v>
      </c>
      <c r="D9576" t="s">
        <v>406</v>
      </c>
    </row>
    <row r="9577" spans="1:4" x14ac:dyDescent="0.25">
      <c r="A9577" t="s">
        <v>2031</v>
      </c>
    </row>
    <row r="9578" spans="1:4" x14ac:dyDescent="0.25">
      <c r="B9578" t="str">
        <f>HYPERLINK("https://www.chemistwarehouse.com.au/buy/78654/Oz-Guard-SPF-50-Lotion-Batman-75ml-Roll-On"," Oz Guard SPF 50+ Lotion Batman 75ml Roll On")</f>
        <v xml:space="preserve"> Oz Guard SPF 50+ Lotion Batman 75ml Roll On</v>
      </c>
      <c r="C9578" t="s">
        <v>103</v>
      </c>
      <c r="D9578">
        <v>0</v>
      </c>
    </row>
    <row r="9579" spans="1:4" x14ac:dyDescent="0.25">
      <c r="B9579" t="str">
        <f>HYPERLINK("https://www.chemistwarehouse.com.au/buy/78658/Oz-Guard-SPF-50-Lotion-Wonder-Woman-75ml-Roll-On"," Oz Guard SPF 50+ Lotion Wonder Woman 75ml Roll On")</f>
        <v xml:space="preserve"> Oz Guard SPF 50+ Lotion Wonder Woman 75ml Roll On</v>
      </c>
      <c r="C9579" t="s">
        <v>103</v>
      </c>
      <c r="D9579">
        <v>0</v>
      </c>
    </row>
    <row r="9580" spans="1:4" x14ac:dyDescent="0.25">
      <c r="B9580" t="str">
        <f>HYPERLINK("https://www.chemistwarehouse.com.au/buy/78653/Oz-Guard-SPF-50-Lotion-Batman-100ml"," Oz Guard SPF 50+ Lotion Batman 100ml")</f>
        <v xml:space="preserve"> Oz Guard SPF 50+ Lotion Batman 100ml</v>
      </c>
      <c r="C9580" t="s">
        <v>32</v>
      </c>
      <c r="D9580">
        <v>0</v>
      </c>
    </row>
    <row r="9581" spans="1:4" x14ac:dyDescent="0.25">
      <c r="B9581" t="str">
        <f>HYPERLINK("https://www.chemistwarehouse.com.au/buy/78655/Oz-Guard-SPF-50-Lotion-Superman-100ml"," Oz Guard SPF 50+ Lotion Superman 100ml")</f>
        <v xml:space="preserve"> Oz Guard SPF 50+ Lotion Superman 100ml</v>
      </c>
      <c r="C9581" t="s">
        <v>32</v>
      </c>
      <c r="D9581">
        <v>0</v>
      </c>
    </row>
    <row r="9582" spans="1:4" x14ac:dyDescent="0.25">
      <c r="B9582" t="str">
        <f>HYPERLINK("https://www.chemistwarehouse.com.au/buy/78656/Oz-Guard-SPF-50-Lotion-Superman-75ml-Roll-On"," Oz Guard SPF 50+ Lotion Superman 75ml Roll On")</f>
        <v xml:space="preserve"> Oz Guard SPF 50+ Lotion Superman 75ml Roll On</v>
      </c>
      <c r="C9582" t="s">
        <v>103</v>
      </c>
      <c r="D9582">
        <v>0</v>
      </c>
    </row>
    <row r="9583" spans="1:4" x14ac:dyDescent="0.25">
      <c r="B9583" t="str">
        <f>HYPERLINK("https://www.chemistwarehouse.com.au/buy/78657/Oz-Guard-SPF-50-Lotion-Wonder-Woman-100ml"," Oz Guard SPF 50+ Lotion Wonder Woman 100ml")</f>
        <v xml:space="preserve"> Oz Guard SPF 50+ Lotion Wonder Woman 100ml</v>
      </c>
      <c r="C9583" t="s">
        <v>32</v>
      </c>
      <c r="D9583">
        <v>0</v>
      </c>
    </row>
    <row r="9584" spans="1:4" x14ac:dyDescent="0.25">
      <c r="A9584" t="s">
        <v>2032</v>
      </c>
    </row>
    <row r="9585" spans="1:4" x14ac:dyDescent="0.25">
      <c r="B9585" t="str">
        <f>HYPERLINK("https://www.chemistwarehouse.com.au/buy/80241/Bondi-Zinc-SPF-50-Bronze-Tint-50ml"," Bondi Zinc SPF 50+ Bronze Tint 50ml")</f>
        <v xml:space="preserve"> Bondi Zinc SPF 50+ Bronze Tint 50ml</v>
      </c>
      <c r="C9585" t="s">
        <v>63</v>
      </c>
      <c r="D9585" t="s">
        <v>145</v>
      </c>
    </row>
    <row r="9586" spans="1:4" x14ac:dyDescent="0.25">
      <c r="B9586" t="str">
        <f>HYPERLINK("https://www.chemistwarehouse.com.au/buy/80242/Bondi-Zinc-SPF-50-Ultra-Active-100ml"," Bondi Zinc SPF 50+ Ultra Active 100ml")</f>
        <v xml:space="preserve"> Bondi Zinc SPF 50+ Ultra Active 100ml</v>
      </c>
      <c r="C9586" t="s">
        <v>173</v>
      </c>
      <c r="D9586" t="s">
        <v>145</v>
      </c>
    </row>
    <row r="9587" spans="1:4" x14ac:dyDescent="0.25">
      <c r="A9587" t="s">
        <v>2033</v>
      </c>
    </row>
    <row r="9588" spans="1:4" x14ac:dyDescent="0.25">
      <c r="B9588" t="str">
        <f>HYPERLINK("https://www.chemistwarehouse.com.au/buy/80295/Surf-Life-Saving-SPF-50-Daily-500ml-Pump"," Surf Life Saving SPF 50+ Daily 500ml Pump")</f>
        <v xml:space="preserve"> Surf Life Saving SPF 50+ Daily 500ml Pump</v>
      </c>
      <c r="C9588" t="s">
        <v>401</v>
      </c>
      <c r="D9588" t="s">
        <v>291</v>
      </c>
    </row>
    <row r="9589" spans="1:4" x14ac:dyDescent="0.25">
      <c r="B9589" t="str">
        <f>HYPERLINK("https://www.chemistwarehouse.com.au/buy/80296/Surf-Life-Saving-SPF-50-Kids-Roll-On-75ml"," Surf Life Saving SPF 50+ Kids Roll On 75ml")</f>
        <v xml:space="preserve"> Surf Life Saving SPF 50+ Kids Roll On 75ml</v>
      </c>
      <c r="C9589" t="s">
        <v>45</v>
      </c>
      <c r="D9589">
        <v>0</v>
      </c>
    </row>
    <row r="9590" spans="1:4" x14ac:dyDescent="0.25">
      <c r="B9590" t="str">
        <f>HYPERLINK("https://www.chemistwarehouse.com.au/buy/80297/Surf-Life-Saving-SPF-50-Sport-200ml-Tube"," Surf Life Saving SPF 50+ Sport 200ml Tube")</f>
        <v xml:space="preserve"> Surf Life Saving SPF 50+ Sport 200ml Tube</v>
      </c>
      <c r="C9590" t="s">
        <v>202</v>
      </c>
      <c r="D9590" t="s">
        <v>281</v>
      </c>
    </row>
    <row r="9591" spans="1:4" x14ac:dyDescent="0.25">
      <c r="B9591" t="str">
        <f>HYPERLINK("https://www.chemistwarehouse.com.au/buy/80293/Surf-Life-Saving-After-Sun-Spray-175g"," Surf Life Saving After Sun Spray 175g")</f>
        <v xml:space="preserve"> Surf Life Saving After Sun Spray 175g</v>
      </c>
      <c r="C9591" t="s">
        <v>240</v>
      </c>
      <c r="D9591" t="s">
        <v>561</v>
      </c>
    </row>
    <row r="9592" spans="1:4" x14ac:dyDescent="0.25">
      <c r="B9592" t="str">
        <f>HYPERLINK("https://www.chemistwarehouse.com.au/buy/80294/Surf-Life-Saving-SPF-50-Daily-1-Litre"," Surf Life Saving SPF 50+ Daily 1 Litre")</f>
        <v xml:space="preserve"> Surf Life Saving SPF 50+ Daily 1 Litre</v>
      </c>
      <c r="C9592" t="s">
        <v>187</v>
      </c>
      <c r="D9592" t="s">
        <v>162</v>
      </c>
    </row>
    <row r="9593" spans="1:4" x14ac:dyDescent="0.25">
      <c r="A9593" t="s">
        <v>2034</v>
      </c>
    </row>
    <row r="9594" spans="1:4" x14ac:dyDescent="0.25">
      <c r="B9594" t="str">
        <f>HYPERLINK("https://www.chemistwarehouse.com.au/buy/60865/Carmex-Lip-Balm-Original-Click-Stick-SPF15-4-25g"," Carmex Lip Balm Original Click Stick SPF15 4.25g ")</f>
        <v xml:space="preserve"> Carmex Lip Balm Original Click Stick SPF15 4.25g </v>
      </c>
      <c r="C9594" t="s">
        <v>483</v>
      </c>
      <c r="D9594" t="s">
        <v>371</v>
      </c>
    </row>
    <row r="9595" spans="1:4" x14ac:dyDescent="0.25">
      <c r="B9595" t="str">
        <f>HYPERLINK("https://www.chemistwarehouse.com.au/buy/59300/Chapstick-Lip-Balm-Classic-SPF-15"," Chapstick Lip Balm Classic SPF 15+")</f>
        <v xml:space="preserve"> Chapstick Lip Balm Classic SPF 15+</v>
      </c>
      <c r="C9595" t="s">
        <v>775</v>
      </c>
      <c r="D9595" t="s">
        <v>776</v>
      </c>
    </row>
    <row r="9596" spans="1:4" x14ac:dyDescent="0.25">
      <c r="B9596" t="str">
        <f>HYPERLINK("https://www.chemistwarehouse.com.au/buy/32737/Chapstick-Lip-Balm-Strawberry-SPF15-4-2g"," Chapstick Lip Balm Strawberry SPF15+ 4.2g")</f>
        <v xml:space="preserve"> Chapstick Lip Balm Strawberry SPF15+ 4.2g</v>
      </c>
      <c r="C9596" t="s">
        <v>775</v>
      </c>
      <c r="D9596" t="s">
        <v>776</v>
      </c>
    </row>
    <row r="9597" spans="1:4" x14ac:dyDescent="0.25">
      <c r="B9597" t="str">
        <f>HYPERLINK("https://www.chemistwarehouse.com.au/buy/1353/Blistex-Lip-Conditioner-SPF-15-Pot-7g"," Blistex Lip Conditioner SPF 15 Pot 7g")</f>
        <v xml:space="preserve"> Blistex Lip Conditioner SPF 15 Pot 7g</v>
      </c>
      <c r="C9597" t="s">
        <v>483</v>
      </c>
      <c r="D9597" t="s">
        <v>147</v>
      </c>
    </row>
    <row r="9598" spans="1:4" x14ac:dyDescent="0.25">
      <c r="B9598" t="str">
        <f>HYPERLINK("https://www.chemistwarehouse.com.au/buy/52533/Zinc-Cream-White-Zincstic-50g"," Zinc Cream White Zincstic 50g")</f>
        <v xml:space="preserve"> Zinc Cream White Zincstic 50g</v>
      </c>
      <c r="C9598" t="s">
        <v>728</v>
      </c>
      <c r="D9598" t="s">
        <v>640</v>
      </c>
    </row>
    <row r="9599" spans="1:4" x14ac:dyDescent="0.25">
      <c r="B9599" t="str">
        <f>HYPERLINK("https://www.chemistwarehouse.com.au/buy/58779/Nivea-Lip-Care-Hydro-Care-4-8g"," Nivea Lip Care Hydro Care 4.8g")</f>
        <v xml:space="preserve"> Nivea Lip Care Hydro Care 4.8g</v>
      </c>
      <c r="C9599" t="s">
        <v>691</v>
      </c>
      <c r="D9599" t="s">
        <v>1926</v>
      </c>
    </row>
    <row r="9600" spans="1:4" x14ac:dyDescent="0.25">
      <c r="B9600" t="str">
        <f>HYPERLINK("https://www.chemistwarehouse.com.au/buy/68658/Burts-Bees-Lip-Balm-Honey-4-25g"," Burts Bees Lip Balm Honey 4.25g")</f>
        <v xml:space="preserve"> Burts Bees Lip Balm Honey 4.25g</v>
      </c>
      <c r="C9600" t="s">
        <v>375</v>
      </c>
      <c r="D9600" t="s">
        <v>325</v>
      </c>
    </row>
    <row r="9601" spans="2:4" x14ac:dyDescent="0.25">
      <c r="B9601" t="str">
        <f>HYPERLINK("https://www.chemistwarehouse.com.au/buy/57607/Blistex-Lip-Intensive-Repair-SPF-15-7g"," Blistex Lip Intensive Repair SPF 15 7g")</f>
        <v xml:space="preserve"> Blistex Lip Intensive Repair SPF 15 7g</v>
      </c>
      <c r="C9601" t="s">
        <v>556</v>
      </c>
      <c r="D9601" t="s">
        <v>147</v>
      </c>
    </row>
    <row r="9602" spans="2:4" x14ac:dyDescent="0.25">
      <c r="B9602" t="str">
        <f>HYPERLINK("https://www.chemistwarehouse.com.au/buy/1348/Blistex-Ultra-Lip-Balm-SPF-30-4-25g"," Blistex Ultra Lip Balm SPF 30+ 4.25g")</f>
        <v xml:space="preserve"> Blistex Ultra Lip Balm SPF 30+ 4.25g</v>
      </c>
      <c r="C9602" t="s">
        <v>728</v>
      </c>
      <c r="D9602" t="s">
        <v>755</v>
      </c>
    </row>
    <row r="9603" spans="2:4" x14ac:dyDescent="0.25">
      <c r="B9603" t="str">
        <f>HYPERLINK("https://www.chemistwarehouse.com.au/buy/38639/Vaseline-Lip-Balm-Blister-4g"," Vaseline Lip Balm Blister 4g")</f>
        <v xml:space="preserve"> Vaseline Lip Balm Blister 4g</v>
      </c>
      <c r="C9603" t="s">
        <v>146</v>
      </c>
      <c r="D9603" t="s">
        <v>1808</v>
      </c>
    </row>
    <row r="9604" spans="2:4" x14ac:dyDescent="0.25">
      <c r="B9604" t="str">
        <f>HYPERLINK("https://www.chemistwarehouse.com.au/buy/59301/Chapstick-Lip-Conditioner-SPF-15-Stick"," Chapstick Lip Conditioner SPF 15+ Stick ")</f>
        <v xml:space="preserve"> Chapstick Lip Conditioner SPF 15+ Stick </v>
      </c>
      <c r="C9604" t="s">
        <v>775</v>
      </c>
      <c r="D9604" t="s">
        <v>776</v>
      </c>
    </row>
    <row r="9605" spans="2:4" x14ac:dyDescent="0.25">
      <c r="B9605" t="str">
        <f>HYPERLINK("https://www.chemistwarehouse.com.au/buy/68656/Burts-Bees-Replenishing-Lip-Balm-With-Pomegranate-4-25g"," Burts Bees Replenishing Lip Balm With Pomegranate 4.25g")</f>
        <v xml:space="preserve"> Burts Bees Replenishing Lip Balm With Pomegranate 4.25g</v>
      </c>
      <c r="C9605" t="s">
        <v>375</v>
      </c>
      <c r="D9605" t="s">
        <v>325</v>
      </c>
    </row>
    <row r="9606" spans="2:4" x14ac:dyDescent="0.25">
      <c r="B9606" t="str">
        <f>HYPERLINK("https://www.chemistwarehouse.com.au/buy/66274/Blistex-Medicated-Relief-6g"," Blistex Medicated Relief 6g")</f>
        <v xml:space="preserve"> Blistex Medicated Relief 6g</v>
      </c>
      <c r="C9606" t="s">
        <v>483</v>
      </c>
      <c r="D9606" t="s">
        <v>147</v>
      </c>
    </row>
    <row r="9607" spans="2:4" x14ac:dyDescent="0.25">
      <c r="B9607" t="str">
        <f>HYPERLINK("https://www.chemistwarehouse.com.au/buy/34359/Nivea-Lip-Care-Essential-4-8g"," Nivea Lip Care Essential 4.8g")</f>
        <v xml:space="preserve"> Nivea Lip Care Essential 4.8g</v>
      </c>
      <c r="C9607" t="s">
        <v>691</v>
      </c>
      <c r="D9607" t="s">
        <v>371</v>
      </c>
    </row>
    <row r="9608" spans="2:4" x14ac:dyDescent="0.25">
      <c r="B9608" t="str">
        <f>HYPERLINK("https://www.chemistwarehouse.com.au/buy/31421/Nivea-Lip-Care-Sun-Protect-SPF-30-4-8g"," Nivea Lip Care Sun Protect SPF 30+ 4.8g")</f>
        <v xml:space="preserve"> Nivea Lip Care Sun Protect SPF 30+ 4.8g</v>
      </c>
      <c r="C9608" t="s">
        <v>691</v>
      </c>
      <c r="D9608" t="s">
        <v>2035</v>
      </c>
    </row>
    <row r="9609" spans="2:4" x14ac:dyDescent="0.25">
      <c r="B9609" t="str">
        <f>HYPERLINK("https://www.chemistwarehouse.com.au/buy/76568/Lipeze-Peppermint-Lip-Ointment-15g"," Lipeze Peppermint Lip Ointment 15g")</f>
        <v xml:space="preserve"> Lipeze Peppermint Lip Ointment 15g</v>
      </c>
      <c r="C9609" t="s">
        <v>556</v>
      </c>
      <c r="D9609" t="s">
        <v>371</v>
      </c>
    </row>
    <row r="9610" spans="2:4" x14ac:dyDescent="0.25">
      <c r="B9610" t="str">
        <f>HYPERLINK("https://www.chemistwarehouse.com.au/buy/77362/Goat-Moisturising-Lip-Balm-SPF-50-5g"," Goat Moisturising Lip Balm SPF 50 5g")</f>
        <v xml:space="preserve"> Goat Moisturising Lip Balm SPF 50 5g</v>
      </c>
      <c r="C9610" t="s">
        <v>556</v>
      </c>
      <c r="D9610">
        <v>0</v>
      </c>
    </row>
    <row r="9611" spans="2:4" x14ac:dyDescent="0.25">
      <c r="B9611" t="str">
        <f>HYPERLINK("https://www.chemistwarehouse.com.au/buy/34358/Nivea-Lip-Care-Repair-amp-Protection-4-8g"," Nivea Lip Care Repair &amp; Protection 4.8g")</f>
        <v xml:space="preserve"> Nivea Lip Care Repair &amp; Protection 4.8g</v>
      </c>
      <c r="C9611" t="s">
        <v>691</v>
      </c>
      <c r="D9611" t="s">
        <v>1926</v>
      </c>
    </row>
    <row r="9612" spans="2:4" x14ac:dyDescent="0.25">
      <c r="B9612" t="str">
        <f>HYPERLINK("https://www.chemistwarehouse.com.au/buy/64756/Bronzinc-Cream-50g"," Bronzinc Cream 50g")</f>
        <v xml:space="preserve"> Bronzinc Cream 50g</v>
      </c>
      <c r="C9612" t="s">
        <v>116</v>
      </c>
      <c r="D9612" t="s">
        <v>1332</v>
      </c>
    </row>
    <row r="9613" spans="2:4" x14ac:dyDescent="0.25">
      <c r="B9613" t="str">
        <f>HYPERLINK("https://www.chemistwarehouse.com.au/buy/65048/Carmex-Lip-Balm-Moisture-Plus-2g"," Carmex Lip Balm Moisture Plus 2g ")</f>
        <v xml:space="preserve"> Carmex Lip Balm Moisture Plus 2g </v>
      </c>
      <c r="C9613" t="s">
        <v>92</v>
      </c>
      <c r="D9613" t="s">
        <v>312</v>
      </c>
    </row>
    <row r="9614" spans="2:4" x14ac:dyDescent="0.25">
      <c r="B9614" t="str">
        <f>HYPERLINK("https://www.chemistwarehouse.com.au/buy/60864/Carmex-Lip-Balm-Original-Squeeze-Tube-10g"," Carmex Lip Balm Original Squeeze Tube 10g")</f>
        <v xml:space="preserve"> Carmex Lip Balm Original Squeeze Tube 10g</v>
      </c>
      <c r="C9614" t="s">
        <v>556</v>
      </c>
      <c r="D9614" t="s">
        <v>371</v>
      </c>
    </row>
    <row r="9615" spans="2:4" x14ac:dyDescent="0.25">
      <c r="B9615" t="str">
        <f>HYPERLINK("https://www.chemistwarehouse.com.au/buy/68463/Carmex-Lip-Balm-Moisture-Plus-Pink-2g"," Carmex Lip Balm Moisture Plus Pink 2g")</f>
        <v xml:space="preserve"> Carmex Lip Balm Moisture Plus Pink 2g</v>
      </c>
      <c r="C9615" t="s">
        <v>92</v>
      </c>
      <c r="D9615" t="s">
        <v>312</v>
      </c>
    </row>
    <row r="9616" spans="2:4" x14ac:dyDescent="0.25">
      <c r="B9616" t="str">
        <f>HYPERLINK("https://www.chemistwarehouse.com.au/buy/68653/Burts-Bees-Lip-Balm-Beeswax-4-25g"," Burts Bees Lip Balm Beeswax 4.25g")</f>
        <v xml:space="preserve"> Burts Bees Lip Balm Beeswax 4.25g</v>
      </c>
      <c r="C9616" t="s">
        <v>375</v>
      </c>
      <c r="D9616" t="s">
        <v>325</v>
      </c>
    </row>
    <row r="9617" spans="1:4" x14ac:dyDescent="0.25">
      <c r="B9617" t="str">
        <f>HYPERLINK("https://www.chemistwarehouse.com.au/buy/67645/Maybelline-Baby-Lips-Love-Colour-Cherry-Kiss-Lip-Balm"," Maybelline Baby Lips Love Colour Cherry Kiss Lip Balm")</f>
        <v xml:space="preserve"> Maybelline Baby Lips Love Colour Cherry Kiss Lip Balm</v>
      </c>
      <c r="C9617" t="s">
        <v>728</v>
      </c>
      <c r="D9617" t="s">
        <v>755</v>
      </c>
    </row>
    <row r="9618" spans="1:4" x14ac:dyDescent="0.25">
      <c r="A9618" t="s">
        <v>2036</v>
      </c>
    </row>
    <row r="9619" spans="1:4" x14ac:dyDescent="0.25">
      <c r="B9619" t="str">
        <f>HYPERLINK("https://www.chemistwarehouse.com.au/buy/58069/Le-Tan-in-Le-Can-Fast-Tan-Deep-Bronze-Glow-150g"," Le Tan in Le Can Fast Tan Deep Bronze Glow 150g")</f>
        <v xml:space="preserve"> Le Tan in Le Can Fast Tan Deep Bronze Glow 150g</v>
      </c>
      <c r="C9619" t="s">
        <v>324</v>
      </c>
      <c r="D9619" t="s">
        <v>213</v>
      </c>
    </row>
    <row r="9620" spans="1:4" x14ac:dyDescent="0.25">
      <c r="B9620" t="str">
        <f>HYPERLINK("https://www.chemistwarehouse.com.au/buy/76870/Le-Tan-30-Minute-Tan-Instant-Bronzing-Mousse-110ml"," Le Tan 30 Minute Tan Instant Bronzing Mousse 110ml")</f>
        <v xml:space="preserve"> Le Tan 30 Minute Tan Instant Bronzing Mousse 110ml</v>
      </c>
      <c r="C9620" t="s">
        <v>211</v>
      </c>
      <c r="D9620" t="s">
        <v>119</v>
      </c>
    </row>
    <row r="9621" spans="1:4" x14ac:dyDescent="0.25">
      <c r="B9621" t="str">
        <f>HYPERLINK("https://www.chemistwarehouse.com.au/buy/68719/Le-Tan-Exfoliating-Mitt"," Le Tan Exfoliating Mitt")</f>
        <v xml:space="preserve"> Le Tan Exfoliating Mitt</v>
      </c>
      <c r="C9621" t="s">
        <v>92</v>
      </c>
      <c r="D9621" t="s">
        <v>115</v>
      </c>
    </row>
    <row r="9622" spans="1:4" x14ac:dyDescent="0.25">
      <c r="B9622" t="str">
        <f>HYPERLINK("https://www.chemistwarehouse.com.au/buy/68908/Le-Tan-Application-Mitt"," Le Tan Application Mitt")</f>
        <v xml:space="preserve"> Le Tan Application Mitt</v>
      </c>
      <c r="C9622" t="s">
        <v>92</v>
      </c>
      <c r="D9622" t="s">
        <v>115</v>
      </c>
    </row>
    <row r="9623" spans="1:4" x14ac:dyDescent="0.25">
      <c r="B9623" t="str">
        <f>HYPERLINK("https://www.chemistwarehouse.com.au/buy/80506/Le-Tan-Self-Gradual-Tanning-Lotion-Coconut-Water-250ml"," Le Tan Self Gradual Tanning Lotion Coconut Water 250ml")</f>
        <v xml:space="preserve"> Le Tan Self Gradual Tanning Lotion Coconut Water 250ml</v>
      </c>
      <c r="C9623" t="s">
        <v>103</v>
      </c>
      <c r="D9623" t="s">
        <v>238</v>
      </c>
    </row>
    <row r="9624" spans="1:4" x14ac:dyDescent="0.25">
      <c r="B9624" t="str">
        <f>HYPERLINK("https://www.chemistwarehouse.com.au/buy/80507/Le-Tan-Self-Gradual-Tanning-Lotion-Moroccan-Argan-Oil-250ml"," Le Tan Self Gradual Tanning Lotion Moroccan Argan Oil 250ml")</f>
        <v xml:space="preserve"> Le Tan Self Gradual Tanning Lotion Moroccan Argan Oil 250ml</v>
      </c>
      <c r="C9624" t="s">
        <v>103</v>
      </c>
      <c r="D9624" t="s">
        <v>238</v>
      </c>
    </row>
    <row r="9625" spans="1:4" x14ac:dyDescent="0.25">
      <c r="B9625" t="str">
        <f>HYPERLINK("https://www.chemistwarehouse.com.au/buy/80508/Le-Tan-Self-Tanning-Foam-Coconut-Water-200ml"," Le Tan Self Tanning Foam Coconut Water 200ml")</f>
        <v xml:space="preserve"> Le Tan Self Tanning Foam Coconut Water 200ml</v>
      </c>
      <c r="C9625" t="s">
        <v>202</v>
      </c>
      <c r="D9625" t="s">
        <v>64</v>
      </c>
    </row>
    <row r="9626" spans="1:4" x14ac:dyDescent="0.25">
      <c r="B9626" t="str">
        <f>HYPERLINK("https://www.chemistwarehouse.com.au/buy/80509/Le-Tan-Self-Tanning-Foam-Moroccan-Argan-Oil-200ml"," Le Tan Self Tanning Foam Moroccan Argan Oil 200ml")</f>
        <v xml:space="preserve"> Le Tan Self Tanning Foam Moroccan Argan Oil 200ml</v>
      </c>
      <c r="C9626" t="s">
        <v>202</v>
      </c>
      <c r="D9626" t="s">
        <v>64</v>
      </c>
    </row>
    <row r="9627" spans="1:4" x14ac:dyDescent="0.25">
      <c r="B9627" t="str">
        <f>HYPERLINK("https://www.chemistwarehouse.com.au/buy/80510/Le-Tan-Self-Tanning-Foam-Ultra-Dark-200ml"," Le Tan Self Tanning Foam Ultra Dark 200ml")</f>
        <v xml:space="preserve"> Le Tan Self Tanning Foam Ultra Dark 200ml</v>
      </c>
      <c r="C9627" t="s">
        <v>202</v>
      </c>
      <c r="D9627" t="s">
        <v>64</v>
      </c>
    </row>
    <row r="9628" spans="1:4" x14ac:dyDescent="0.25">
      <c r="B9628" t="str">
        <f>HYPERLINK("https://www.chemistwarehouse.com.au/buy/80511/Le-Tan-Self-Tanning-Lotion-Coconut-Water-200ml"," Le Tan Self Tanning Lotion Coconut Water 200ml")</f>
        <v xml:space="preserve"> Le Tan Self Tanning Lotion Coconut Water 200ml</v>
      </c>
      <c r="C9628" t="s">
        <v>202</v>
      </c>
      <c r="D9628" t="s">
        <v>64</v>
      </c>
    </row>
    <row r="9629" spans="1:4" x14ac:dyDescent="0.25">
      <c r="B9629" t="str">
        <f>HYPERLINK("https://www.chemistwarehouse.com.au/buy/80513/Le-Tan-Self-Tanning-Lotion-Ultra-Dark-200ml"," Le Tan Self Tanning Lotion Ultra Dark 200ml")</f>
        <v xml:space="preserve"> Le Tan Self Tanning Lotion Ultra Dark 200ml</v>
      </c>
      <c r="C9629" t="s">
        <v>202</v>
      </c>
      <c r="D9629" t="s">
        <v>64</v>
      </c>
    </row>
    <row r="9630" spans="1:4" x14ac:dyDescent="0.25">
      <c r="B9630" t="str">
        <f>HYPERLINK("https://www.chemistwarehouse.com.au/buy/80514/Le-Tan-Self-Tanning-Spray-Coconut-Water-175g"," Le Tan Self Tanning Spray Coconut Water 175g")</f>
        <v xml:space="preserve"> Le Tan Self Tanning Spray Coconut Water 175g</v>
      </c>
      <c r="C9630" t="s">
        <v>202</v>
      </c>
      <c r="D9630" t="s">
        <v>64</v>
      </c>
    </row>
    <row r="9631" spans="1:4" x14ac:dyDescent="0.25">
      <c r="B9631" t="str">
        <f>HYPERLINK("https://www.chemistwarehouse.com.au/buy/80515/Le-Tan-Self-Tanning-Spray-Ultra-Dark-175g"," Le Tan Self Tanning Spray Ultra Dark 175g")</f>
        <v xml:space="preserve"> Le Tan Self Tanning Spray Ultra Dark 175g</v>
      </c>
      <c r="C9631" t="s">
        <v>202</v>
      </c>
      <c r="D9631" t="s">
        <v>64</v>
      </c>
    </row>
    <row r="9632" spans="1:4" x14ac:dyDescent="0.25">
      <c r="B9632" t="str">
        <f>HYPERLINK("https://www.chemistwarehouse.com.au/buy/80516/Le-Tan-Shimmering-Self-Tanning-Dry-Oil-Moroccan-Argan-Oil-Light-Medium-125ml"," Le Tan Shimmering Self Tanning Dry Oil Moroccan Argan Oil Light/Medium 125ml")</f>
        <v xml:space="preserve"> Le Tan Shimmering Self Tanning Dry Oil Moroccan Argan Oil Light/Medium 125ml</v>
      </c>
      <c r="C9632" t="s">
        <v>244</v>
      </c>
      <c r="D9632" t="s">
        <v>229</v>
      </c>
    </row>
    <row r="9633" spans="1:4" x14ac:dyDescent="0.25">
      <c r="B9633" t="str">
        <f>HYPERLINK("https://www.chemistwarehouse.com.au/buy/80517/Le-Tan-Shimmering-Self-Tanning-Dry-Oil-Moroccan-Argan-Oil-Medium-Dark-125ml"," Le Tan Shimmering Self Tanning Dry Oil Moroccan Argan Oil Medium/Dark 125ml")</f>
        <v xml:space="preserve"> Le Tan Shimmering Self Tanning Dry Oil Moroccan Argan Oil Medium/Dark 125ml</v>
      </c>
      <c r="C9633" t="s">
        <v>244</v>
      </c>
      <c r="D9633" t="s">
        <v>229</v>
      </c>
    </row>
    <row r="9634" spans="1:4" x14ac:dyDescent="0.25">
      <c r="B9634" t="str">
        <f>HYPERLINK("https://www.chemistwarehouse.com.au/buy/70009/Le-Tan-In-Le-Can-Dark-Bronze-150g"," Le Tan In Le Can Dark Bronze 150g")</f>
        <v xml:space="preserve"> Le Tan In Le Can Dark Bronze 150g</v>
      </c>
      <c r="C9634" t="s">
        <v>324</v>
      </c>
      <c r="D9634" t="s">
        <v>213</v>
      </c>
    </row>
    <row r="9635" spans="1:4" x14ac:dyDescent="0.25">
      <c r="B9635" t="str">
        <f>HYPERLINK("https://www.chemistwarehouse.com.au/buy/76869/Le-Tan-30-Minute-Tan-Instant-Bronzing-Spray-100g"," Le Tan 30 Minute Tan Instant Bronzing Spray 100g")</f>
        <v xml:space="preserve"> Le Tan 30 Minute Tan Instant Bronzing Spray 100g</v>
      </c>
      <c r="C9635" t="s">
        <v>211</v>
      </c>
      <c r="D9635" t="s">
        <v>119</v>
      </c>
    </row>
    <row r="9636" spans="1:4" x14ac:dyDescent="0.25">
      <c r="B9636" t="str">
        <f>HYPERLINK("https://www.chemistwarehouse.com.au/buy/80504/Le-Tan-Instant-Wash-Off-Spray-Coconut-Water-100g"," Le Tan Instant Wash Off Spray Coconut Water 100g")</f>
        <v xml:space="preserve"> Le Tan Instant Wash Off Spray Coconut Water 100g</v>
      </c>
      <c r="C9636" t="s">
        <v>211</v>
      </c>
      <c r="D9636" t="s">
        <v>119</v>
      </c>
    </row>
    <row r="9637" spans="1:4" x14ac:dyDescent="0.25">
      <c r="B9637" t="str">
        <f>HYPERLINK("https://www.chemistwarehouse.com.au/buy/58576/Le-Tan-Fast-Deep-Bronze-Foaming-Mousse"," Le Tan Fast Deep Bronze Foaming Mousse")</f>
        <v xml:space="preserve"> Le Tan Fast Deep Bronze Foaming Mousse</v>
      </c>
      <c r="C9637" t="s">
        <v>107</v>
      </c>
      <c r="D9637" t="s">
        <v>1524</v>
      </c>
    </row>
    <row r="9638" spans="1:4" x14ac:dyDescent="0.25">
      <c r="B9638" t="str">
        <f>HYPERLINK("https://www.chemistwarehouse.com.au/buy/58068/Le-Tan-In-Le-Can-Bronze-150g"," Le Tan In Le Can Bronze 150g")</f>
        <v xml:space="preserve"> Le Tan In Le Can Bronze 150g</v>
      </c>
      <c r="C9638" t="s">
        <v>324</v>
      </c>
      <c r="D9638" t="s">
        <v>213</v>
      </c>
    </row>
    <row r="9639" spans="1:4" x14ac:dyDescent="0.25">
      <c r="B9639" t="str">
        <f>HYPERLINK("https://www.chemistwarehouse.com.au/buy/80505/Le-Tan-Instant-Wash-Off-Spray-Ultra-Dark-100g"," Le Tan Instant Wash Off Spray Ultra Dark 100g")</f>
        <v xml:space="preserve"> Le Tan Instant Wash Off Spray Ultra Dark 100g</v>
      </c>
      <c r="C9639" t="s">
        <v>211</v>
      </c>
      <c r="D9639" t="s">
        <v>119</v>
      </c>
    </row>
    <row r="9640" spans="1:4" x14ac:dyDescent="0.25">
      <c r="B9640" t="str">
        <f>HYPERLINK("https://www.chemistwarehouse.com.au/buy/80512/Le-Tan-Self-Tanning-Lotion-Moroccan-Argan-Oil-200ml"," Le Tan Self Tanning Lotion Moroccan Argan Oil 200ml")</f>
        <v xml:space="preserve"> Le Tan Self Tanning Lotion Moroccan Argan Oil 200ml</v>
      </c>
      <c r="C9640" t="s">
        <v>202</v>
      </c>
      <c r="D9640" t="s">
        <v>64</v>
      </c>
    </row>
    <row r="9641" spans="1:4" x14ac:dyDescent="0.25">
      <c r="A9641" t="s">
        <v>2037</v>
      </c>
    </row>
    <row r="9642" spans="1:4" x14ac:dyDescent="0.25">
      <c r="B9642" t="str">
        <f>HYPERLINK("https://www.chemistwarehouse.com.au/buy/73255/The-Bronzer-Instant-Tan-with-Shimmer-Bronzing-Gel-150ml"," The Bronzer Instant Tan with Shimmer Bronzing Gel 150ml")</f>
        <v xml:space="preserve"> The Bronzer Instant Tan with Shimmer Bronzing Gel 150ml</v>
      </c>
      <c r="C9642" t="s">
        <v>280</v>
      </c>
      <c r="D9642" t="s">
        <v>394</v>
      </c>
    </row>
    <row r="9643" spans="1:4" x14ac:dyDescent="0.25">
      <c r="B9643" t="str">
        <f>HYPERLINK("https://www.chemistwarehouse.com.au/buy/73317/The-Bronzer-Gradual-Tan-Moisturising-Cream-250ml"," The Bronzer Gradual Tan Moisturising Cream 250ml")</f>
        <v xml:space="preserve"> The Bronzer Gradual Tan Moisturising Cream 250ml</v>
      </c>
      <c r="C9643" t="s">
        <v>164</v>
      </c>
      <c r="D9643" t="s">
        <v>899</v>
      </c>
    </row>
    <row r="9644" spans="1:4" x14ac:dyDescent="0.25">
      <c r="B9644" t="str">
        <f>HYPERLINK("https://www.chemistwarehouse.com.au/buy/73571/The-Bronzer-Instant-Tan-Bronzing-Gel-150ml"," The Bronzer Instant Tan Bronzing Gel 150ml")</f>
        <v xml:space="preserve"> The Bronzer Instant Tan Bronzing Gel 150ml</v>
      </c>
      <c r="C9644" t="s">
        <v>280</v>
      </c>
      <c r="D9644" t="s">
        <v>394</v>
      </c>
    </row>
    <row r="9645" spans="1:4" x14ac:dyDescent="0.25">
      <c r="B9645" t="str">
        <f>HYPERLINK("https://www.chemistwarehouse.com.au/buy/73938/The-Bronzer-Self-Tan-Luminous-Cream-150ml"," The Bronzer Self Tan Luminous Cream 150ml ")</f>
        <v xml:space="preserve"> The Bronzer Self Tan Luminous Cream 150ml </v>
      </c>
      <c r="C9645" t="s">
        <v>280</v>
      </c>
      <c r="D9645" t="s">
        <v>394</v>
      </c>
    </row>
    <row r="9646" spans="1:4" x14ac:dyDescent="0.25">
      <c r="A9646" t="s">
        <v>2038</v>
      </c>
    </row>
    <row r="9647" spans="1:4" x14ac:dyDescent="0.25">
      <c r="B9647" t="str">
        <f>HYPERLINK("https://www.chemistwarehouse.com.au/buy/69132/J-Bronze-by-Jennifer-Hawkins-Dark-Tanning-Cream-150ml"," J Bronze by Jennifer Hawkins Dark Tanning Cream 150ml")</f>
        <v xml:space="preserve"> J Bronze by Jennifer Hawkins Dark Tanning Cream 150ml</v>
      </c>
      <c r="C9647" t="s">
        <v>230</v>
      </c>
      <c r="D9647" t="s">
        <v>336</v>
      </c>
    </row>
    <row r="9648" spans="1:4" x14ac:dyDescent="0.25">
      <c r="B9648" t="str">
        <f>HYPERLINK("https://www.chemistwarehouse.com.au/buy/69134/J-Bronze-by-Jennifer-Hawkins-Tanning-Mousse-Medium-150ml"," J Bronze by Jennifer Hawkins Tanning Mousse Medium 150ml")</f>
        <v xml:space="preserve"> J Bronze by Jennifer Hawkins Tanning Mousse Medium 150ml</v>
      </c>
      <c r="C9648" t="s">
        <v>262</v>
      </c>
      <c r="D9648" t="s">
        <v>149</v>
      </c>
    </row>
    <row r="9649" spans="1:4" x14ac:dyDescent="0.25">
      <c r="B9649" t="str">
        <f>HYPERLINK("https://www.chemistwarehouse.com.au/buy/69136/J-Bronze-by-Jennifer-Hawkins-Tanning-Mousse-Dark-150ml"," J Bronze by Jennifer Hawkins Tanning Mousse Dark 150ml")</f>
        <v xml:space="preserve"> J Bronze by Jennifer Hawkins Tanning Mousse Dark 150ml</v>
      </c>
      <c r="C9649" t="s">
        <v>262</v>
      </c>
      <c r="D9649" t="s">
        <v>149</v>
      </c>
    </row>
    <row r="9650" spans="1:4" x14ac:dyDescent="0.25">
      <c r="B9650" t="str">
        <f>HYPERLINK("https://www.chemistwarehouse.com.au/buy/69137/J-Bronze-by-Jennifer-Hawkins-Tanning-Spray-Dark-150g"," J Bronze by Jennifer Hawkins Tanning Spray Dark 150g")</f>
        <v xml:space="preserve"> J Bronze by Jennifer Hawkins Tanning Spray Dark 150g</v>
      </c>
      <c r="C9650" t="s">
        <v>230</v>
      </c>
      <c r="D9650" t="s">
        <v>336</v>
      </c>
    </row>
    <row r="9651" spans="1:4" x14ac:dyDescent="0.25">
      <c r="B9651" t="str">
        <f>HYPERLINK("https://www.chemistwarehouse.com.au/buy/73152/J-Bronze-by-Jennifer-Hawkins-Application-Mitt"," J Bronze by Jennifer Hawkins Application Mitt")</f>
        <v xml:space="preserve"> J Bronze by Jennifer Hawkins Application Mitt</v>
      </c>
      <c r="C9651" t="s">
        <v>98</v>
      </c>
      <c r="D9651" t="s">
        <v>150</v>
      </c>
    </row>
    <row r="9652" spans="1:4" x14ac:dyDescent="0.25">
      <c r="B9652" t="str">
        <f>HYPERLINK("https://www.chemistwarehouse.com.au/buy/76868/J-Bronze-by-Jennifer-Hawkins-Exfoliating-Mitt"," J Bronze by Jennifer Hawkins Exfoliating Mitt")</f>
        <v xml:space="preserve"> J Bronze by Jennifer Hawkins Exfoliating Mitt</v>
      </c>
      <c r="C9652" t="s">
        <v>240</v>
      </c>
      <c r="D9652" t="s">
        <v>400</v>
      </c>
    </row>
    <row r="9653" spans="1:4" x14ac:dyDescent="0.25">
      <c r="B9653" t="str">
        <f>HYPERLINK("https://www.chemistwarehouse.com.au/buy/77349/J-Bronze-by-Jennifer-Hawkins-Gradual-Tanning-Cream-150ml"," J Bronze by Jennifer Hawkins Gradual Tanning Cream 150ml")</f>
        <v xml:space="preserve"> J Bronze by Jennifer Hawkins Gradual Tanning Cream 150ml</v>
      </c>
      <c r="C9653" t="s">
        <v>407</v>
      </c>
      <c r="D9653" t="s">
        <v>376</v>
      </c>
    </row>
    <row r="9654" spans="1:4" x14ac:dyDescent="0.25">
      <c r="B9654" t="str">
        <f>HYPERLINK("https://www.chemistwarehouse.com.au/buy/80304/J-Bronze-by-Jennifer-Hawkins-1-Hour-Rapid-Tan-Mousse-150g"," J Bronze by Jennifer Hawkins 1 Hour Rapid Tan Mousse 150g")</f>
        <v xml:space="preserve"> J Bronze by Jennifer Hawkins 1 Hour Rapid Tan Mousse 150g</v>
      </c>
      <c r="C9654" t="s">
        <v>596</v>
      </c>
      <c r="D9654" t="s">
        <v>332</v>
      </c>
    </row>
    <row r="9655" spans="1:4" x14ac:dyDescent="0.25">
      <c r="A9655" t="s">
        <v>2039</v>
      </c>
    </row>
    <row r="9656" spans="1:4" x14ac:dyDescent="0.25">
      <c r="B9656" t="str">
        <f>HYPERLINK("https://www.chemistwarehouse.com.au/buy/79083/ModelCo-Natural-Tan-Lotion-170ml"," ModelCo Natural Tan Lotion 170ml")</f>
        <v xml:space="preserve"> ModelCo Natural Tan Lotion 170ml</v>
      </c>
      <c r="C9656" t="s">
        <v>290</v>
      </c>
      <c r="D9656" t="s">
        <v>253</v>
      </c>
    </row>
    <row r="9657" spans="1:4" x14ac:dyDescent="0.25">
      <c r="B9657" t="str">
        <f>HYPERLINK("https://www.chemistwarehouse.com.au/buy/79085/ModelCo-Instant-Tan-Lotion-Medium-170ml"," ModelCo Instant Tan Lotion Medium 170ml")</f>
        <v xml:space="preserve"> ModelCo Instant Tan Lotion Medium 170ml</v>
      </c>
      <c r="C9657" t="s">
        <v>290</v>
      </c>
      <c r="D9657" t="s">
        <v>253</v>
      </c>
    </row>
    <row r="9658" spans="1:4" x14ac:dyDescent="0.25">
      <c r="B9658" t="str">
        <f>HYPERLINK("https://www.chemistwarehouse.com.au/buy/79086/ModelCo-One-Hour-Tan-200ml"," ModelCo One Hour Tan 200ml")</f>
        <v xml:space="preserve"> ModelCo One Hour Tan 200ml</v>
      </c>
      <c r="C9658" t="s">
        <v>202</v>
      </c>
      <c r="D9658" t="s">
        <v>64</v>
      </c>
    </row>
    <row r="9659" spans="1:4" x14ac:dyDescent="0.25">
      <c r="B9659" t="str">
        <f>HYPERLINK("https://www.chemistwarehouse.com.au/buy/79087/ModelCo-Self-Tan-Back-Applicator"," ModelCo Self Tan Back Applicator")</f>
        <v xml:space="preserve"> ModelCo Self Tan Back Applicator</v>
      </c>
      <c r="C9659" t="s">
        <v>32</v>
      </c>
      <c r="D9659" t="s">
        <v>104</v>
      </c>
    </row>
    <row r="9660" spans="1:4" x14ac:dyDescent="0.25">
      <c r="B9660" t="str">
        <f>HYPERLINK("https://www.chemistwarehouse.com.au/buy/79088/ModelCo-Tan-Airbrush-in-a-Can-180g"," ModelCo Tan Airbrush in a Can 180g")</f>
        <v xml:space="preserve"> ModelCo Tan Airbrush in a Can 180g</v>
      </c>
      <c r="C9660" t="s">
        <v>432</v>
      </c>
      <c r="D9660" t="s">
        <v>1350</v>
      </c>
    </row>
    <row r="9661" spans="1:4" x14ac:dyDescent="0.25">
      <c r="B9661" t="str">
        <f>HYPERLINK("https://www.chemistwarehouse.com.au/buy/79089/ModelCo-Tan-Remover-Exfoliating-Wipes"," ModelCo Tan Remover Exfoliating Wipes")</f>
        <v xml:space="preserve"> ModelCo Tan Remover Exfoliating Wipes</v>
      </c>
      <c r="C9661" t="s">
        <v>317</v>
      </c>
      <c r="D9661" t="s">
        <v>441</v>
      </c>
    </row>
    <row r="9662" spans="1:4" x14ac:dyDescent="0.25">
      <c r="B9662" t="str">
        <f>HYPERLINK("https://www.chemistwarehouse.com.au/buy/80317/ModelCo-Tan-Tox-Coffee-Body-Scrub-200g"," ModelCo Tan-Tox Coffee Body Scrub 200g")</f>
        <v xml:space="preserve"> ModelCo Tan-Tox Coffee Body Scrub 200g</v>
      </c>
      <c r="C9662" t="s">
        <v>80</v>
      </c>
      <c r="D9662" t="s">
        <v>349</v>
      </c>
    </row>
    <row r="9663" spans="1:4" x14ac:dyDescent="0.25">
      <c r="B9663" t="str">
        <f>HYPERLINK("https://www.chemistwarehouse.com.au/buy/81664/ModelCo-Tan-Airbrush-in-a-Can-90g"," ModelCo Tan Airbrush in a Can 90g")</f>
        <v xml:space="preserve"> ModelCo Tan Airbrush in a Can 90g</v>
      </c>
      <c r="C9663" t="s">
        <v>116</v>
      </c>
      <c r="D9663" t="s">
        <v>1105</v>
      </c>
    </row>
    <row r="9664" spans="1:4" x14ac:dyDescent="0.25">
      <c r="B9664" t="str">
        <f>HYPERLINK("https://www.chemistwarehouse.com.au/buy/79080/ModelCo-Blend-Buffing-Mitt"," ModelCo Blend Buffing Mitt")</f>
        <v xml:space="preserve"> ModelCo Blend Buffing Mitt</v>
      </c>
      <c r="C9664" t="s">
        <v>240</v>
      </c>
      <c r="D9664" t="s">
        <v>108</v>
      </c>
    </row>
    <row r="9665" spans="1:4" x14ac:dyDescent="0.25">
      <c r="B9665" t="str">
        <f>HYPERLINK("https://www.chemistwarehouse.com.au/buy/79081/ModelCo-Danni-Colour-Essentials"," ModelCo Danni Colour Essentials")</f>
        <v xml:space="preserve"> ModelCo Danni Colour Essentials</v>
      </c>
      <c r="C9665" t="s">
        <v>116</v>
      </c>
      <c r="D9665" t="s">
        <v>295</v>
      </c>
    </row>
    <row r="9666" spans="1:4" x14ac:dyDescent="0.25">
      <c r="A9666" t="s">
        <v>2040</v>
      </c>
    </row>
    <row r="9667" spans="1:4" x14ac:dyDescent="0.25">
      <c r="B9667" t="str">
        <f>HYPERLINK("https://www.chemistwarehouse.com.au/buy/79090/Skinny-Tan-7-Day-Tanner-150ml"," Skinny Tan 7 Day Tanner 150ml")</f>
        <v xml:space="preserve"> Skinny Tan 7 Day Tanner 150ml</v>
      </c>
      <c r="C9667" t="s">
        <v>273</v>
      </c>
      <c r="D9667" t="s">
        <v>64</v>
      </c>
    </row>
    <row r="9668" spans="1:4" x14ac:dyDescent="0.25">
      <c r="B9668" t="str">
        <f>HYPERLINK("https://www.chemistwarehouse.com.au/buy/79091/Skinny-Tan-Applicator-Mitt"," Skinny Tan Applicator Mitt")</f>
        <v xml:space="preserve"> Skinny Tan Applicator Mitt</v>
      </c>
      <c r="C9668" t="s">
        <v>240</v>
      </c>
      <c r="D9668" t="s">
        <v>561</v>
      </c>
    </row>
    <row r="9669" spans="1:4" x14ac:dyDescent="0.25">
      <c r="B9669" t="str">
        <f>HYPERLINK("https://www.chemistwarehouse.com.au/buy/79092/Skinny-Tan-Body-Mousse-150ml"," Skinny Tan Body Mousse 150ml")</f>
        <v xml:space="preserve"> Skinny Tan Body Mousse 150ml</v>
      </c>
      <c r="C9669" t="s">
        <v>273</v>
      </c>
      <c r="D9669" t="s">
        <v>64</v>
      </c>
    </row>
    <row r="9670" spans="1:4" x14ac:dyDescent="0.25">
      <c r="B9670" t="str">
        <f>HYPERLINK("https://www.chemistwarehouse.com.au/buy/79093/Skinny-Tan-Gradual-Tanner-150ml"," Skinny Tan Gradual Tanner 150ml")</f>
        <v xml:space="preserve"> Skinny Tan Gradual Tanner 150ml</v>
      </c>
      <c r="C9670" t="s">
        <v>230</v>
      </c>
      <c r="D9670" t="s">
        <v>119</v>
      </c>
    </row>
    <row r="9671" spans="1:4" x14ac:dyDescent="0.25">
      <c r="B9671" t="str">
        <f>HYPERLINK("https://www.chemistwarehouse.com.au/buy/79094/Skinny-Tan-Skinny-Legs-Medium-Dark-100g"," Skinny Tan Skinny Legs Medium/Dark 100g")</f>
        <v xml:space="preserve"> Skinny Tan Skinny Legs Medium/Dark 100g</v>
      </c>
      <c r="C9671" t="s">
        <v>217</v>
      </c>
      <c r="D9671" t="s">
        <v>202</v>
      </c>
    </row>
    <row r="9672" spans="1:4" x14ac:dyDescent="0.25">
      <c r="B9672" t="str">
        <f>HYPERLINK("https://www.chemistwarehouse.com.au/buy/79095/Skinny-Tan-Tan-amp-Glow-Kit"," Skinny Tan Tan &amp; Glow Kit")</f>
        <v xml:space="preserve"> Skinny Tan Tan &amp; Glow Kit</v>
      </c>
      <c r="C9672" t="s">
        <v>2041</v>
      </c>
      <c r="D9672" t="s">
        <v>118</v>
      </c>
    </row>
    <row r="9673" spans="1:4" x14ac:dyDescent="0.25">
      <c r="B9673" t="str">
        <f>HYPERLINK("https://www.chemistwarehouse.com.au/buy/79096/Skinny-Tan-Tan-amp-Tone-Kit"," Skinny Tan Tan &amp; Tone Kit")</f>
        <v xml:space="preserve"> Skinny Tan Tan &amp; Tone Kit</v>
      </c>
      <c r="C9673" t="s">
        <v>2041</v>
      </c>
      <c r="D9673" t="s">
        <v>118</v>
      </c>
    </row>
    <row r="9674" spans="1:4" x14ac:dyDescent="0.25">
      <c r="B9674" t="str">
        <f>HYPERLINK("https://www.chemistwarehouse.com.au/buy/82314/Skinny-Tan-Tan-amp-Tone-Oil-100ml"," Skinny Tan Tan &amp; Tone Oil 100ml")</f>
        <v xml:space="preserve"> Skinny Tan Tan &amp; Tone Oil 100ml</v>
      </c>
      <c r="C9674" t="s">
        <v>187</v>
      </c>
      <c r="D9674" t="s">
        <v>162</v>
      </c>
    </row>
    <row r="9675" spans="1:4" x14ac:dyDescent="0.25">
      <c r="A9675" t="s">
        <v>2042</v>
      </c>
    </row>
    <row r="9676" spans="1:4" x14ac:dyDescent="0.25">
      <c r="B9676" t="str">
        <f>HYPERLINK("https://www.chemistwarehouse.com.au/buy/80277/Selfie-Tan-n-Go-2-Hour-Sunless-with-Immediate-Bronzers-200ml"," Selfie Tan n Go 2 Hour Sunless with Immediate Bronzers 200ml")</f>
        <v xml:space="preserve"> Selfie Tan n Go 2 Hour Sunless with Immediate Bronzers 200ml</v>
      </c>
      <c r="C9676" t="s">
        <v>187</v>
      </c>
      <c r="D9676" t="s">
        <v>162</v>
      </c>
    </row>
    <row r="9677" spans="1:4" x14ac:dyDescent="0.25">
      <c r="B9677" t="str">
        <f>HYPERLINK("https://www.chemistwarehouse.com.au/buy/80278/Selfie-Tan-n-Go-Applicator-and-Exfoliating-Mitt-2-Pieces"," Selfie Tan n Go Applicator and Exfoliating Mitt 2 Pieces")</f>
        <v xml:space="preserve"> Selfie Tan n Go Applicator and Exfoliating Mitt 2 Pieces</v>
      </c>
      <c r="C9677" t="s">
        <v>242</v>
      </c>
      <c r="D9677" t="s">
        <v>121</v>
      </c>
    </row>
    <row r="9678" spans="1:4" x14ac:dyDescent="0.25">
      <c r="B9678" t="str">
        <f>HYPERLINK("https://www.chemistwarehouse.com.au/buy/80279/Selfie-Tan-n-Go-Continuous-Sunless-Spray-with-Immediate-Bronzers-177ml"," Selfie Tan n Go Continuous Sunless Spray with Immediate Bronzers 177ml")</f>
        <v xml:space="preserve"> Selfie Tan n Go Continuous Sunless Spray with Immediate Bronzers 177ml</v>
      </c>
      <c r="C9678" t="s">
        <v>187</v>
      </c>
      <c r="D9678" t="s">
        <v>162</v>
      </c>
    </row>
    <row r="9679" spans="1:4" x14ac:dyDescent="0.25">
      <c r="B9679" t="str">
        <f>HYPERLINK("https://www.chemistwarehouse.com.au/buy/80280/Selfie-Tan-n-Go-Gradual-Tanner-with-24-Hour-Moisturizers-266ml"," Selfie Tan n Go Gradual Tanner with 24 Hour Moisturizers 266ml")</f>
        <v xml:space="preserve"> Selfie Tan n Go Gradual Tanner with 24 Hour Moisturizers 266ml</v>
      </c>
      <c r="C9679" t="s">
        <v>187</v>
      </c>
      <c r="D9679" t="s">
        <v>162</v>
      </c>
    </row>
    <row r="9680" spans="1:4" x14ac:dyDescent="0.25">
      <c r="B9680" t="str">
        <f>HYPERLINK("https://www.chemistwarehouse.com.au/buy/80281/Selfie-Tan-n-Go-Mousse-Medium-Dark-220ml"," Selfie Tan n Go Mousse Medium Dark 220ml")</f>
        <v xml:space="preserve"> Selfie Tan n Go Mousse Medium Dark 220ml</v>
      </c>
      <c r="C9680" t="s">
        <v>187</v>
      </c>
      <c r="D9680" t="s">
        <v>162</v>
      </c>
    </row>
    <row r="9681" spans="1:4" x14ac:dyDescent="0.25">
      <c r="B9681" t="str">
        <f>HYPERLINK("https://www.chemistwarehouse.com.au/buy/80282/Selfie-Tan-n-Go-Mousse-Super-Dark-220ml"," Selfie Tan n Go Mousse Super Dark 220ml")</f>
        <v xml:space="preserve"> Selfie Tan n Go Mousse Super Dark 220ml</v>
      </c>
      <c r="C9681" t="s">
        <v>187</v>
      </c>
      <c r="D9681" t="s">
        <v>162</v>
      </c>
    </row>
    <row r="9682" spans="1:4" x14ac:dyDescent="0.25">
      <c r="A9682" t="s">
        <v>2043</v>
      </c>
    </row>
    <row r="9683" spans="1:4" x14ac:dyDescent="0.25">
      <c r="B9683" t="str">
        <f>HYPERLINK("https://www.chemistwarehouse.com.au/buy/76645/Rimmel-Sun-Shimmer-Self-Tan-Mousse-Medium-Matte-150ml"," Rimmel Sun Shimmer Self Tan Mousse Medium Matte 150ml ")</f>
        <v xml:space="preserve"> Rimmel Sun Shimmer Self Tan Mousse Medium Matte 150ml </v>
      </c>
      <c r="C9683" t="s">
        <v>292</v>
      </c>
      <c r="D9683" t="s">
        <v>329</v>
      </c>
    </row>
    <row r="9684" spans="1:4" x14ac:dyDescent="0.25">
      <c r="B9684" t="str">
        <f>HYPERLINK("https://www.chemistwarehouse.com.au/buy/76646/Rimmel-Sun-Shimmer-Self-Tan-Mousse-Dark-Matte-150ml"," Rimmel Sun Shimmer Self Tan Mousse Dark Matte 150ml")</f>
        <v xml:space="preserve"> Rimmel Sun Shimmer Self Tan Mousse Dark Matte 150ml</v>
      </c>
      <c r="C9684" t="s">
        <v>292</v>
      </c>
      <c r="D9684" t="s">
        <v>329</v>
      </c>
    </row>
    <row r="9685" spans="1:4" x14ac:dyDescent="0.25">
      <c r="B9685" t="str">
        <f>HYPERLINK("https://www.chemistwarehouse.com.au/buy/81153/Rimmel-Sun-Shimmer-Instant-Tan-Medium-Matte-125ml"," Rimmel Sun Shimmer Instant Tan Medium Matte 125ml")</f>
        <v xml:space="preserve"> Rimmel Sun Shimmer Instant Tan Medium Matte 125ml</v>
      </c>
      <c r="C9685" t="s">
        <v>290</v>
      </c>
      <c r="D9685" t="s">
        <v>799</v>
      </c>
    </row>
    <row r="9686" spans="1:4" x14ac:dyDescent="0.25">
      <c r="B9686" t="str">
        <f>HYPERLINK("https://www.chemistwarehouse.com.au/buy/81154/Rimmel-Sun-Shimmer-Instant-Tan-Dark-Matte-125ml"," Rimmel Sun Shimmer Instant Tan Dark Matte 125ml")</f>
        <v xml:space="preserve"> Rimmel Sun Shimmer Instant Tan Dark Matte 125ml</v>
      </c>
      <c r="C9686" t="s">
        <v>290</v>
      </c>
      <c r="D9686" t="s">
        <v>799</v>
      </c>
    </row>
    <row r="9687" spans="1:4" x14ac:dyDescent="0.25">
      <c r="A9687" t="s">
        <v>2044</v>
      </c>
    </row>
    <row r="9688" spans="1:4" x14ac:dyDescent="0.25">
      <c r="B9688" t="str">
        <f>HYPERLINK("https://www.chemistwarehouse.com.au/buy/44475/Energizer-A76-LR44"," Energizer A76/LR44")</f>
        <v xml:space="preserve"> Energizer A76/LR44</v>
      </c>
      <c r="C9688" t="s">
        <v>483</v>
      </c>
      <c r="D9688" t="s">
        <v>814</v>
      </c>
    </row>
    <row r="9689" spans="1:4" x14ac:dyDescent="0.25">
      <c r="B9689" t="str">
        <f>HYPERLINK("https://www.chemistwarehouse.com.au/buy/55061/Energizer-Max-AAA-8-Pack"," Energizer Max AAA 8 Pack")</f>
        <v xml:space="preserve"> Energizer Max AAA 8 Pack</v>
      </c>
      <c r="C9689" t="s">
        <v>2045</v>
      </c>
      <c r="D9689" t="s">
        <v>795</v>
      </c>
    </row>
    <row r="9690" spans="1:4" x14ac:dyDescent="0.25">
      <c r="B9690" t="str">
        <f>HYPERLINK("https://www.chemistwarehouse.com.au/buy/55545/Energizer-Lithium-2450-Battery-3V-1-Pack"," Energizer Lithium 2450 Battery 3V 1 Pack")</f>
        <v xml:space="preserve"> Energizer Lithium 2450 Battery 3V 1 Pack</v>
      </c>
      <c r="C9690" t="s">
        <v>775</v>
      </c>
      <c r="D9690" t="s">
        <v>611</v>
      </c>
    </row>
    <row r="9691" spans="1:4" x14ac:dyDescent="0.25">
      <c r="B9691" t="str">
        <f>HYPERLINK("https://www.chemistwarehouse.com.au/buy/55546/Energizer-Batteries-A23-12V-2-Pack"," Energizer Batteries A23 12V 2 Pack")</f>
        <v xml:space="preserve"> Energizer Batteries A23 12V 2 Pack</v>
      </c>
      <c r="C9691" t="s">
        <v>1746</v>
      </c>
      <c r="D9691" t="s">
        <v>814</v>
      </c>
    </row>
    <row r="9692" spans="1:4" x14ac:dyDescent="0.25">
      <c r="B9692" t="str">
        <f>HYPERLINK("https://www.chemistwarehouse.com.au/buy/55547/Energizer-e2-Advanced-AA-Batteries-2-Pack-X91"," Energizer e2 Advanced AA Batteries 2 Pack X91")</f>
        <v xml:space="preserve"> Energizer e2 Advanced AA Batteries 2 Pack X91</v>
      </c>
      <c r="C9692" t="s">
        <v>1215</v>
      </c>
      <c r="D9692" t="s">
        <v>593</v>
      </c>
    </row>
    <row r="9693" spans="1:4" x14ac:dyDescent="0.25">
      <c r="B9693" t="str">
        <f>HYPERLINK("https://www.chemistwarehouse.com.au/buy/66005/Energizer-CR2016-Battery-2-Pack"," Energizer CR2016 Battery 2 Pack")</f>
        <v xml:space="preserve"> Energizer CR2016 Battery 2 Pack</v>
      </c>
      <c r="C9693" t="s">
        <v>2046</v>
      </c>
      <c r="D9693" t="s">
        <v>1442</v>
      </c>
    </row>
    <row r="9694" spans="1:4" x14ac:dyDescent="0.25">
      <c r="B9694" t="str">
        <f>HYPERLINK("https://www.chemistwarehouse.com.au/buy/66006/Energizer-CR2032-Battery-4-Pack"," Energizer CR2032 Battery 4 Pack")</f>
        <v xml:space="preserve"> Energizer CR2032 Battery 4 Pack</v>
      </c>
      <c r="C9694" t="s">
        <v>2047</v>
      </c>
      <c r="D9694" t="s">
        <v>1698</v>
      </c>
    </row>
    <row r="9695" spans="1:4" x14ac:dyDescent="0.25">
      <c r="B9695" t="str">
        <f>HYPERLINK("https://www.chemistwarehouse.com.au/buy/66012/Energizer-Max-522-9V-2-Pack"," Energizer Max 522 9V 2 Pack")</f>
        <v xml:space="preserve"> Energizer Max 522 9V 2 Pack</v>
      </c>
      <c r="C9695" t="s">
        <v>32</v>
      </c>
      <c r="D9695" t="s">
        <v>1310</v>
      </c>
    </row>
    <row r="9696" spans="1:4" x14ac:dyDescent="0.25">
      <c r="B9696" t="str">
        <f>HYPERLINK("https://www.chemistwarehouse.com.au/buy/44490/Energizer-Watch-377"," Energizer Watch 377")</f>
        <v xml:space="preserve"> Energizer Watch 377</v>
      </c>
      <c r="C9696" t="s">
        <v>1264</v>
      </c>
      <c r="D9696" t="s">
        <v>555</v>
      </c>
    </row>
    <row r="9697" spans="1:4" x14ac:dyDescent="0.25">
      <c r="B9697" t="str">
        <f>HYPERLINK("https://www.chemistwarehouse.com.au/buy/44495/Energizer-Watch-357-303"," Energizer Watch 357/303")</f>
        <v xml:space="preserve"> Energizer Watch 357/303</v>
      </c>
      <c r="C9697" t="s">
        <v>312</v>
      </c>
      <c r="D9697" t="s">
        <v>808</v>
      </c>
    </row>
    <row r="9698" spans="1:4" x14ac:dyDescent="0.25">
      <c r="B9698" t="str">
        <f>HYPERLINK("https://www.chemistwarehouse.com.au/buy/48154/Eveready-Batteries-AA-20-Pack"," Eveready Batteries AA 20 Pack")</f>
        <v xml:space="preserve"> Eveready Batteries AA 20 Pack</v>
      </c>
      <c r="C9698" t="s">
        <v>1970</v>
      </c>
      <c r="D9698" t="s">
        <v>238</v>
      </c>
    </row>
    <row r="9699" spans="1:4" x14ac:dyDescent="0.25">
      <c r="B9699" t="str">
        <f>HYPERLINK("https://www.chemistwarehouse.com.au/buy/50434/Energizer-Lithium-ECR-2032-3-0-V-2-Pack"," Energizer Lithium ECR 2032 3.0 V 2 Pack")</f>
        <v xml:space="preserve"> Energizer Lithium ECR 2032 3.0 V 2 Pack</v>
      </c>
      <c r="C9699" t="s">
        <v>1618</v>
      </c>
      <c r="D9699" t="s">
        <v>815</v>
      </c>
    </row>
    <row r="9700" spans="1:4" x14ac:dyDescent="0.25">
      <c r="B9700" t="str">
        <f>HYPERLINK("https://www.chemistwarehouse.com.au/buy/52666/Energizer-Max-C-2-Pack"," Energizer Max C 2 Pack")</f>
        <v xml:space="preserve"> Energizer Max C 2 Pack</v>
      </c>
      <c r="C9700" t="s">
        <v>2048</v>
      </c>
      <c r="D9700" t="s">
        <v>569</v>
      </c>
    </row>
    <row r="9701" spans="1:4" x14ac:dyDescent="0.25">
      <c r="B9701" t="str">
        <f>HYPERLINK("https://www.chemistwarehouse.com.au/buy/52667/Energizer-Max-AA-4-Pack"," Energizer Max AA 4 Pack")</f>
        <v xml:space="preserve"> Energizer Max AA 4 Pack</v>
      </c>
      <c r="C9701" t="s">
        <v>116</v>
      </c>
      <c r="D9701" t="s">
        <v>158</v>
      </c>
    </row>
    <row r="9702" spans="1:4" x14ac:dyDescent="0.25">
      <c r="B9702" t="str">
        <f>HYPERLINK("https://www.chemistwarehouse.com.au/buy/52668/Energizer-Max-D-2-Pack"," Energizer Max D 2 Pack")</f>
        <v xml:space="preserve"> Energizer Max D 2 Pack</v>
      </c>
      <c r="C9702" t="s">
        <v>2048</v>
      </c>
      <c r="D9702" t="s">
        <v>569</v>
      </c>
    </row>
    <row r="9703" spans="1:4" x14ac:dyDescent="0.25">
      <c r="B9703" t="str">
        <f>HYPERLINK("https://www.chemistwarehouse.com.au/buy/52673/Energizer-1616-3V"," Energizer 1616 3V")</f>
        <v xml:space="preserve"> Energizer 1616 3V</v>
      </c>
      <c r="C9703" t="s">
        <v>775</v>
      </c>
      <c r="D9703" t="s">
        <v>611</v>
      </c>
    </row>
    <row r="9704" spans="1:4" x14ac:dyDescent="0.25">
      <c r="B9704" t="str">
        <f>HYPERLINK("https://www.chemistwarehouse.com.au/buy/52675/Energizer-2025-3V"," Energizer 2025 3V")</f>
        <v xml:space="preserve"> Energizer 2025 3V</v>
      </c>
      <c r="C9704" t="s">
        <v>775</v>
      </c>
      <c r="D9704" t="s">
        <v>611</v>
      </c>
    </row>
    <row r="9705" spans="1:4" x14ac:dyDescent="0.25">
      <c r="B9705" t="str">
        <f>HYPERLINK("https://www.chemistwarehouse.com.au/buy/44483/Energizer-2032-3V"," Energizer 2032 3V")</f>
        <v xml:space="preserve"> Energizer 2032 3V</v>
      </c>
      <c r="C9705" t="s">
        <v>775</v>
      </c>
      <c r="D9705" t="s">
        <v>611</v>
      </c>
    </row>
    <row r="9706" spans="1:4" x14ac:dyDescent="0.25">
      <c r="B9706" t="str">
        <f>HYPERLINK("https://www.chemistwarehouse.com.au/buy/42718/Energizer-Lithium-CR2-Battery-1-Pack"," Energizer Lithium CR2 Battery 1 Pack")</f>
        <v xml:space="preserve"> Energizer Lithium CR2 Battery 1 Pack</v>
      </c>
      <c r="C9706" t="s">
        <v>2047</v>
      </c>
      <c r="D9706" t="s">
        <v>2049</v>
      </c>
    </row>
    <row r="9707" spans="1:4" x14ac:dyDescent="0.25">
      <c r="B9707" t="str">
        <f>HYPERLINK("https://www.chemistwarehouse.com.au/buy/44455/Energizer-Max-AA-Batteries-10-Pack-Value"," Energizer Max AA Batteries 10 Pack Value")</f>
        <v xml:space="preserve"> Energizer Max AA Batteries 10 Pack Value</v>
      </c>
      <c r="C9707" t="s">
        <v>2047</v>
      </c>
      <c r="D9707" t="s">
        <v>291</v>
      </c>
    </row>
    <row r="9708" spans="1:4" x14ac:dyDescent="0.25">
      <c r="B9708" t="str">
        <f>HYPERLINK("https://www.chemistwarehouse.com.au/buy/44468/Energizer-Max-AAA-4-Pack"," Energizer Max AAA 4 Pack")</f>
        <v xml:space="preserve"> Energizer Max AAA 4 Pack</v>
      </c>
      <c r="C9708" t="s">
        <v>1618</v>
      </c>
      <c r="D9708" t="s">
        <v>815</v>
      </c>
    </row>
    <row r="9709" spans="1:4" x14ac:dyDescent="0.25">
      <c r="B9709" t="str">
        <f>HYPERLINK("https://www.chemistwarehouse.com.au/buy/52722/Energizer-e2-Titanium-AAA-2-Pack"," Energizer e2 Titanium AAA 2 Pack")</f>
        <v xml:space="preserve"> Energizer e2 Titanium AAA 2 Pack</v>
      </c>
      <c r="C9709" t="s">
        <v>1627</v>
      </c>
      <c r="D9709" t="s">
        <v>624</v>
      </c>
    </row>
    <row r="9710" spans="1:4" x14ac:dyDescent="0.25">
      <c r="B9710" t="str">
        <f>HYPERLINK("https://www.chemistwarehouse.com.au/buy/75629/Energizer-Eco-Advanced-AAA-4-Pack"," Energizer Eco Advanced AAA 4 Pack")</f>
        <v xml:space="preserve"> Energizer Eco Advanced AAA 4 Pack</v>
      </c>
      <c r="C9710" t="s">
        <v>1737</v>
      </c>
      <c r="D9710" t="s">
        <v>465</v>
      </c>
    </row>
    <row r="9711" spans="1:4" x14ac:dyDescent="0.25">
      <c r="B9711" t="str">
        <f>HYPERLINK("https://www.chemistwarehouse.com.au/buy/75630/Energizer-Eco-Advanced-AA-4-Pack"," Energizer Eco Advanced AA 4 Pack")</f>
        <v xml:space="preserve"> Energizer Eco Advanced AA 4 Pack</v>
      </c>
      <c r="C9711" t="s">
        <v>1737</v>
      </c>
      <c r="D9711" t="s">
        <v>465</v>
      </c>
    </row>
    <row r="9712" spans="1:4" x14ac:dyDescent="0.25">
      <c r="A9712" t="s">
        <v>2050</v>
      </c>
    </row>
    <row r="9713" spans="1:4" x14ac:dyDescent="0.25">
      <c r="B9713" t="str">
        <f>HYPERLINK("https://www.chemistwarehouse.com.au/buy/65957/Energizer-EZ13-Turn-amp-Lock-Hearing-Aid-Batteries-8-Pack"," Energizer EZ13 Turn &amp; Lock Hearing Aid Batteries 8 Pack")</f>
        <v xml:space="preserve"> Energizer EZ13 Turn &amp; Lock Hearing Aid Batteries 8 Pack</v>
      </c>
      <c r="C9713" t="s">
        <v>1737</v>
      </c>
      <c r="D9713" t="s">
        <v>281</v>
      </c>
    </row>
    <row r="9714" spans="1:4" x14ac:dyDescent="0.25">
      <c r="B9714" t="str">
        <f>HYPERLINK("https://www.chemistwarehouse.com.au/buy/65958/Energizer-EZ312-Turn-amp-Lock-Hearing-Aid-Batteries-8-Pack"," Energizer EZ312 Turn &amp; Lock Hearing Aid Batteries 8 Pack")</f>
        <v xml:space="preserve"> Energizer EZ312 Turn &amp; Lock Hearing Aid Batteries 8 Pack</v>
      </c>
      <c r="C9714" t="s">
        <v>1737</v>
      </c>
      <c r="D9714" t="s">
        <v>281</v>
      </c>
    </row>
    <row r="9715" spans="1:4" x14ac:dyDescent="0.25">
      <c r="B9715" t="str">
        <f>HYPERLINK("https://www.chemistwarehouse.com.au/buy/65959/Energizer-EZ10-Turn-amp-Lock-Hearing-Aid-Batteries-8-Pack"," Energizer EZ10 Turn &amp; Lock Hearing Aid Batteries 8 Pack")</f>
        <v xml:space="preserve"> Energizer EZ10 Turn &amp; Lock Hearing Aid Batteries 8 Pack</v>
      </c>
      <c r="C9715" t="s">
        <v>1737</v>
      </c>
      <c r="D9715" t="s">
        <v>281</v>
      </c>
    </row>
    <row r="9716" spans="1:4" x14ac:dyDescent="0.25">
      <c r="B9716" t="str">
        <f>HYPERLINK("https://www.chemistwarehouse.com.au/buy/66009/Energizer-EZ312-Turn-amp-Lock-Hearing-Aid-Batteries-4-Pack"," Energizer EZ312 Turn &amp; Lock Hearing Aid Batteries 4 Pack")</f>
        <v xml:space="preserve"> Energizer EZ312 Turn &amp; Lock Hearing Aid Batteries 4 Pack</v>
      </c>
      <c r="C9716" t="s">
        <v>104</v>
      </c>
      <c r="D9716" t="s">
        <v>146</v>
      </c>
    </row>
    <row r="9717" spans="1:4" x14ac:dyDescent="0.25">
      <c r="B9717" t="str">
        <f>HYPERLINK("https://www.chemistwarehouse.com.au/buy/66010/Energizer-EZ675-Turn-amp-Lock-Hearing-Aid-Batteries-4-Pack"," Energizer EZ675 Turn &amp; Lock Hearing Aid Batteries 4 Pack")</f>
        <v xml:space="preserve"> Energizer EZ675 Turn &amp; Lock Hearing Aid Batteries 4 Pack</v>
      </c>
      <c r="C9717" t="s">
        <v>104</v>
      </c>
      <c r="D9717" t="s">
        <v>146</v>
      </c>
    </row>
    <row r="9718" spans="1:4" x14ac:dyDescent="0.25">
      <c r="A9718" t="s">
        <v>2051</v>
      </c>
    </row>
    <row r="9719" spans="1:4" x14ac:dyDescent="0.25">
      <c r="B9719" t="str">
        <f>HYPERLINK("https://www.chemistwarehouse.com.au/buy/79983/AFL-Hand-Sanitiser-Carlton"," AFL Hand Sanitiser Carlton")</f>
        <v xml:space="preserve"> AFL Hand Sanitiser Carlton</v>
      </c>
      <c r="C9719" t="s">
        <v>146</v>
      </c>
      <c r="D9719">
        <v>0</v>
      </c>
    </row>
    <row r="9720" spans="1:4" x14ac:dyDescent="0.25">
      <c r="B9720" t="str">
        <f>HYPERLINK("https://www.chemistwarehouse.com.au/buy/79984/AFL-Hand-Sanitiser-Collingwood"," AFL Hand Sanitiser Collingwood")</f>
        <v xml:space="preserve"> AFL Hand Sanitiser Collingwood</v>
      </c>
      <c r="C9720" t="s">
        <v>146</v>
      </c>
      <c r="D9720">
        <v>0</v>
      </c>
    </row>
    <row r="9721" spans="1:4" x14ac:dyDescent="0.25">
      <c r="B9721" t="str">
        <f>HYPERLINK("https://www.chemistwarehouse.com.au/buy/79985/AFL-Hand-Sanitiser-Essendon"," AFL Hand Sanitiser Essendon")</f>
        <v xml:space="preserve"> AFL Hand Sanitiser Essendon</v>
      </c>
      <c r="C9721" t="s">
        <v>146</v>
      </c>
      <c r="D9721">
        <v>0</v>
      </c>
    </row>
    <row r="9722" spans="1:4" x14ac:dyDescent="0.25">
      <c r="B9722" t="str">
        <f>HYPERLINK("https://www.chemistwarehouse.com.au/buy/79986/AFL-Hand-Sanitiser-Geelong"," AFL Hand Sanitiser Geelong")</f>
        <v xml:space="preserve"> AFL Hand Sanitiser Geelong</v>
      </c>
      <c r="C9722" t="s">
        <v>146</v>
      </c>
      <c r="D9722">
        <v>0</v>
      </c>
    </row>
    <row r="9723" spans="1:4" x14ac:dyDescent="0.25">
      <c r="B9723" t="str">
        <f>HYPERLINK("https://www.chemistwarehouse.com.au/buy/79987/AFL-Hand-Sanitiser-Hawthorn"," AFL Hand Sanitiser Hawthorn")</f>
        <v xml:space="preserve"> AFL Hand Sanitiser Hawthorn</v>
      </c>
      <c r="C9723" t="s">
        <v>146</v>
      </c>
      <c r="D9723">
        <v>0</v>
      </c>
    </row>
    <row r="9724" spans="1:4" x14ac:dyDescent="0.25">
      <c r="B9724" t="str">
        <f>HYPERLINK("https://www.chemistwarehouse.com.au/buy/79988/AFL-Hand-Sanitiser-Melbourne"," AFL Hand Sanitiser Melbourne")</f>
        <v xml:space="preserve"> AFL Hand Sanitiser Melbourne</v>
      </c>
      <c r="C9724" t="s">
        <v>146</v>
      </c>
      <c r="D9724">
        <v>0</v>
      </c>
    </row>
    <row r="9725" spans="1:4" x14ac:dyDescent="0.25">
      <c r="B9725" t="str">
        <f>HYPERLINK("https://www.chemistwarehouse.com.au/buy/79989/AFL-Hand-Sanitiser-North-Melbourne"," AFL Hand Sanitiser North Melbourne")</f>
        <v xml:space="preserve"> AFL Hand Sanitiser North Melbourne</v>
      </c>
      <c r="C9725" t="s">
        <v>146</v>
      </c>
      <c r="D9725">
        <v>0</v>
      </c>
    </row>
    <row r="9726" spans="1:4" x14ac:dyDescent="0.25">
      <c r="B9726" t="str">
        <f>HYPERLINK("https://www.chemistwarehouse.com.au/buy/79990/AFL-Hand-Sanitiser-Richmond"," AFL Hand Sanitiser Richmond")</f>
        <v xml:space="preserve"> AFL Hand Sanitiser Richmond</v>
      </c>
      <c r="C9726" t="s">
        <v>146</v>
      </c>
      <c r="D9726">
        <v>0</v>
      </c>
    </row>
    <row r="9727" spans="1:4" x14ac:dyDescent="0.25">
      <c r="B9727" t="str">
        <f>HYPERLINK("https://www.chemistwarehouse.com.au/buy/79991/AFL-Hand-Sanitiser-St-Kilda"," AFL Hand Sanitiser St Kilda")</f>
        <v xml:space="preserve"> AFL Hand Sanitiser St Kilda</v>
      </c>
      <c r="C9727" t="s">
        <v>146</v>
      </c>
      <c r="D9727">
        <v>0</v>
      </c>
    </row>
    <row r="9728" spans="1:4" x14ac:dyDescent="0.25">
      <c r="B9728" t="str">
        <f>HYPERLINK("https://www.chemistwarehouse.com.au/buy/79992/AFL-Hand-Sanitiser-Western-Bulldogs"," AFL Hand Sanitiser Western Bulldogs")</f>
        <v xml:space="preserve"> AFL Hand Sanitiser Western Bulldogs</v>
      </c>
      <c r="C9728" t="s">
        <v>146</v>
      </c>
      <c r="D9728">
        <v>0</v>
      </c>
    </row>
    <row r="9729" spans="1:4" x14ac:dyDescent="0.25">
      <c r="A9729" t="s">
        <v>2052</v>
      </c>
    </row>
    <row r="9730" spans="1:4" x14ac:dyDescent="0.25">
      <c r="B9730" t="str">
        <f>HYPERLINK("https://www.chemistwarehouse.com.au/buy/79994/NRL-Hand-Sanitiser-Bulldogs"," NRL Hand Sanitiser Bulldogs")</f>
        <v xml:space="preserve"> NRL Hand Sanitiser Bulldogs</v>
      </c>
      <c r="C9730" t="s">
        <v>146</v>
      </c>
      <c r="D9730">
        <v>0</v>
      </c>
    </row>
    <row r="9731" spans="1:4" x14ac:dyDescent="0.25">
      <c r="B9731" t="str">
        <f>HYPERLINK("https://www.chemistwarehouse.com.au/buy/79995/NRL-Hand-Sanitiser-Cronulla-Sharks"," NRL Hand Sanitiser Cronulla Sharks")</f>
        <v xml:space="preserve"> NRL Hand Sanitiser Cronulla Sharks</v>
      </c>
      <c r="C9731" t="s">
        <v>146</v>
      </c>
      <c r="D9731">
        <v>0</v>
      </c>
    </row>
    <row r="9732" spans="1:4" x14ac:dyDescent="0.25">
      <c r="B9732" t="str">
        <f>HYPERLINK("https://www.chemistwarehouse.com.au/buy/79996/NRL-Hand-Sanitiser-Manly-Sea-Eagles"," NRL Hand Sanitiser Manly Sea Eagles")</f>
        <v xml:space="preserve"> NRL Hand Sanitiser Manly Sea Eagles</v>
      </c>
      <c r="C9732" t="s">
        <v>146</v>
      </c>
      <c r="D9732">
        <v>0</v>
      </c>
    </row>
    <row r="9733" spans="1:4" x14ac:dyDescent="0.25">
      <c r="B9733" t="str">
        <f>HYPERLINK("https://www.chemistwarehouse.com.au/buy/79998/NRL-Hand-Sanitiser-Paramatta-Eels"," NRL Hand Sanitiser Paramatta Eels")</f>
        <v xml:space="preserve"> NRL Hand Sanitiser Paramatta Eels</v>
      </c>
      <c r="C9733" t="s">
        <v>146</v>
      </c>
      <c r="D9733">
        <v>0</v>
      </c>
    </row>
    <row r="9734" spans="1:4" x14ac:dyDescent="0.25">
      <c r="B9734" t="str">
        <f>HYPERLINK("https://www.chemistwarehouse.com.au/buy/79999/NRL-Hand-Sanitiser-Penrith-Panthers"," NRL Hand Sanitiser Penrith Panthers")</f>
        <v xml:space="preserve"> NRL Hand Sanitiser Penrith Panthers</v>
      </c>
      <c r="C9734" t="s">
        <v>146</v>
      </c>
      <c r="D9734">
        <v>0</v>
      </c>
    </row>
    <row r="9735" spans="1:4" x14ac:dyDescent="0.25">
      <c r="B9735" t="str">
        <f>HYPERLINK("https://www.chemistwarehouse.com.au/buy/80000/NRL-Hand-Sanitiser-Rabbittohs"," NRL Hand Sanitiser Rabbittohs")</f>
        <v xml:space="preserve"> NRL Hand Sanitiser Rabbittohs</v>
      </c>
      <c r="C9735" t="s">
        <v>146</v>
      </c>
      <c r="D9735">
        <v>0</v>
      </c>
    </row>
    <row r="9736" spans="1:4" x14ac:dyDescent="0.25">
      <c r="B9736" t="str">
        <f>HYPERLINK("https://www.chemistwarehouse.com.au/buy/80001/NRL-Hand-Sanitiser-St-George-Illawarra-Dragons"," NRL Hand Sanitiser St George Illawarra Dragons")</f>
        <v xml:space="preserve"> NRL Hand Sanitiser St George Illawarra Dragons</v>
      </c>
      <c r="C9736" t="s">
        <v>146</v>
      </c>
      <c r="D9736">
        <v>0</v>
      </c>
    </row>
    <row r="9737" spans="1:4" x14ac:dyDescent="0.25">
      <c r="B9737" t="str">
        <f>HYPERLINK("https://www.chemistwarehouse.com.au/buy/80002/NRL-Hand-Sanitiser-Sydney-Roosters"," NRL Hand Sanitiser Sydney Roosters")</f>
        <v xml:space="preserve"> NRL Hand Sanitiser Sydney Roosters</v>
      </c>
      <c r="C9737" t="s">
        <v>146</v>
      </c>
      <c r="D9737">
        <v>0</v>
      </c>
    </row>
    <row r="9738" spans="1:4" x14ac:dyDescent="0.25">
      <c r="B9738" t="str">
        <f>HYPERLINK("https://www.chemistwarehouse.com.au/buy/80003/NRL-Hand-Sanitiser-West-Tigers"," NRL Hand Sanitiser West Tigers")</f>
        <v xml:space="preserve"> NRL Hand Sanitiser West Tigers</v>
      </c>
      <c r="C9738" t="s">
        <v>146</v>
      </c>
      <c r="D9738">
        <v>0</v>
      </c>
    </row>
    <row r="9739" spans="1:4" x14ac:dyDescent="0.25">
      <c r="B9739" t="str">
        <f>HYPERLINK("https://www.chemistwarehouse.com.au/buy/79997/NRL-Hand-Sanitiser-North-Queensland-Cowboys"," NRL Hand Sanitiser North Queensland Cowboys")</f>
        <v xml:space="preserve"> NRL Hand Sanitiser North Queensland Cowboys</v>
      </c>
      <c r="C9739" t="s">
        <v>146</v>
      </c>
      <c r="D9739">
        <v>0</v>
      </c>
    </row>
    <row r="9740" spans="1:4" x14ac:dyDescent="0.25">
      <c r="B9740" t="str">
        <f>HYPERLINK("https://www.chemistwarehouse.com.au/buy/79993/NRL-Hand-Sanitiser-Brisbane-Broncos"," NRL Hand Sanitiser Brisbane Broncos")</f>
        <v xml:space="preserve"> NRL Hand Sanitiser Brisbane Broncos</v>
      </c>
      <c r="C9740" t="s">
        <v>146</v>
      </c>
      <c r="D9740">
        <v>0</v>
      </c>
    </row>
    <row r="9741" spans="1:4" x14ac:dyDescent="0.25">
      <c r="A9741" t="s">
        <v>2053</v>
      </c>
    </row>
    <row r="9742" spans="1:4" x14ac:dyDescent="0.25">
      <c r="B9742" t="str">
        <f>HYPERLINK("https://www.chemistwarehouse.com.au/buy/79807/Palmolive-Oil-Infusions-Bar-Soap-Citrus-with-Jojoba-Oil-125g"," Palmolive Oil Infusions Bar Soap Citrus with Jojoba Oil 125g")</f>
        <v xml:space="preserve"> Palmolive Oil Infusions Bar Soap Citrus with Jojoba Oil 125g</v>
      </c>
      <c r="C9742" t="s">
        <v>827</v>
      </c>
      <c r="D9742" t="s">
        <v>327</v>
      </c>
    </row>
    <row r="9743" spans="1:4" x14ac:dyDescent="0.25">
      <c r="B9743" t="str">
        <f>HYPERLINK("https://www.chemistwarehouse.com.au/buy/79810/Palmolive-Oil-Infusions-Body-Moisturiser-Citrus-with-Jojoba-Oil-400ml"," Palmolive Oil Infusions Body Moisturiser Citrus with Jojoba Oil 400ml")</f>
        <v xml:space="preserve"> Palmolive Oil Infusions Body Moisturiser Citrus with Jojoba Oil 400ml</v>
      </c>
      <c r="C9743" t="s">
        <v>92</v>
      </c>
      <c r="D9743" t="s">
        <v>115</v>
      </c>
    </row>
    <row r="9744" spans="1:4" x14ac:dyDescent="0.25">
      <c r="B9744" t="str">
        <f>HYPERLINK("https://www.chemistwarehouse.com.au/buy/79816/Palmolive-Oil-Infusions-Body-Wash-Rose-with-Macadamia-Oil-500ml"," Palmolive Oil Infusions Body Wash Rose with Macadamia Oil 500ml")</f>
        <v xml:space="preserve"> Palmolive Oil Infusions Body Wash Rose with Macadamia Oil 500ml</v>
      </c>
      <c r="C9744" t="s">
        <v>116</v>
      </c>
      <c r="D9744" t="s">
        <v>115</v>
      </c>
    </row>
    <row r="9745" spans="1:4" x14ac:dyDescent="0.25">
      <c r="B9745" t="str">
        <f>HYPERLINK("https://www.chemistwarehouse.com.au/buy/79817/Palmolive-Oil-Infusions-Liquid-Hand-Wash-Citrus-with-Jojoba-Oil-500ml"," Palmolive Oil Infusions Liquid Hand Wash Citrus with Jojoba Oil 500ml")</f>
        <v xml:space="preserve"> Palmolive Oil Infusions Liquid Hand Wash Citrus with Jojoba Oil 500ml</v>
      </c>
      <c r="C9745" t="s">
        <v>326</v>
      </c>
      <c r="D9745" t="s">
        <v>121</v>
      </c>
    </row>
    <row r="9746" spans="1:4" x14ac:dyDescent="0.25">
      <c r="B9746" t="str">
        <f>HYPERLINK("https://www.chemistwarehouse.com.au/buy/79818/Palmolive-Oil-Infusions-Liquid-Hand-Wash-Jasmine-with-Avocado-Oil-500ml"," Palmolive Oil Infusions Liquid Hand Wash Jasmine with Avocado Oil 500ml")</f>
        <v xml:space="preserve"> Palmolive Oil Infusions Liquid Hand Wash Jasmine with Avocado Oil 500ml</v>
      </c>
      <c r="C9746" t="s">
        <v>326</v>
      </c>
      <c r="D9746" t="s">
        <v>121</v>
      </c>
    </row>
    <row r="9747" spans="1:4" x14ac:dyDescent="0.25">
      <c r="B9747" t="str">
        <f>HYPERLINK("https://www.chemistwarehouse.com.au/buy/79819/Palmolive-Oil-Infusions-Liquid-Hand-Wash-Rose-with-Macadamia-Oil-500ml"," Palmolive Oil Infusions Liquid Hand Wash Rose with Macadamia Oil 500ml")</f>
        <v xml:space="preserve"> Palmolive Oil Infusions Liquid Hand Wash Rose with Macadamia Oil 500ml</v>
      </c>
      <c r="C9747" t="s">
        <v>326</v>
      </c>
      <c r="D9747" t="s">
        <v>121</v>
      </c>
    </row>
    <row r="9748" spans="1:4" x14ac:dyDescent="0.25">
      <c r="B9748" t="str">
        <f>HYPERLINK("https://www.chemistwarehouse.com.au/buy/79808/Palmolive-Oil-Infusions-Bar-Soap-Jasmine-with-Avocado-Oil-125g"," Palmolive Oil Infusions Bar Soap Jasmine with Avocado Oil 125g")</f>
        <v xml:space="preserve"> Palmolive Oil Infusions Bar Soap Jasmine with Avocado Oil 125g</v>
      </c>
      <c r="C9748" t="s">
        <v>827</v>
      </c>
      <c r="D9748" t="s">
        <v>327</v>
      </c>
    </row>
    <row r="9749" spans="1:4" x14ac:dyDescent="0.25">
      <c r="B9749" t="str">
        <f>HYPERLINK("https://www.chemistwarehouse.com.au/buy/79812/Palmolive-Oil-Infusions-Body-Moisturiser-Jasmine-with-Avocado-Oil-400ml"," Palmolive Oil Infusions Body Moisturiser Jasmine with Avocado Oil 400ml")</f>
        <v xml:space="preserve"> Palmolive Oil Infusions Body Moisturiser Jasmine with Avocado Oil 400ml</v>
      </c>
      <c r="C9749" t="s">
        <v>92</v>
      </c>
      <c r="D9749" t="s">
        <v>115</v>
      </c>
    </row>
    <row r="9750" spans="1:4" x14ac:dyDescent="0.25">
      <c r="B9750" t="str">
        <f>HYPERLINK("https://www.chemistwarehouse.com.au/buy/79813/Palmolive-Oil-Infusions-Body-Moisturiser-Rose-with-Macadamia-Oil-400ml"," Palmolive Oil Infusions Body Moisturiser Rose with Macadamia Oil 400ml")</f>
        <v xml:space="preserve"> Palmolive Oil Infusions Body Moisturiser Rose with Macadamia Oil 400ml</v>
      </c>
      <c r="C9750" t="s">
        <v>92</v>
      </c>
      <c r="D9750" t="s">
        <v>115</v>
      </c>
    </row>
    <row r="9751" spans="1:4" x14ac:dyDescent="0.25">
      <c r="B9751" t="str">
        <f>HYPERLINK("https://www.chemistwarehouse.com.au/buy/79814/Palmolive-Oil-Infusions-Body-Wash-Citrus-with-Jojoba-Oil-500ml"," Palmolive Oil Infusions Body Wash Citrus with Jojoba Oil 500ml")</f>
        <v xml:space="preserve"> Palmolive Oil Infusions Body Wash Citrus with Jojoba Oil 500ml</v>
      </c>
      <c r="C9751" t="s">
        <v>116</v>
      </c>
      <c r="D9751" t="s">
        <v>115</v>
      </c>
    </row>
    <row r="9752" spans="1:4" x14ac:dyDescent="0.25">
      <c r="B9752" t="str">
        <f>HYPERLINK("https://www.chemistwarehouse.com.au/buy/79815/Palmolive-Oil-Infusions-Body-Wash-Jasmine-with-Avocado-Oil-500ml"," Palmolive Oil Infusions Body Wash Jasmine with Avocado Oil 500ml")</f>
        <v xml:space="preserve"> Palmolive Oil Infusions Body Wash Jasmine with Avocado Oil 500ml</v>
      </c>
      <c r="C9752" t="s">
        <v>116</v>
      </c>
      <c r="D9752" t="s">
        <v>115</v>
      </c>
    </row>
    <row r="9753" spans="1:4" x14ac:dyDescent="0.25">
      <c r="B9753" t="str">
        <f>HYPERLINK("https://www.chemistwarehouse.com.au/buy/79809/Palmolive-Oil-Infusions-Body-Moisturiser-Citrus-with-Jojoba-Oil-200ml"," Palmolive Oil Infusions Body Moisturiser Citrus with Jojoba Oil 200ml")</f>
        <v xml:space="preserve"> Palmolive Oil Infusions Body Moisturiser Citrus with Jojoba Oil 200ml</v>
      </c>
      <c r="C9753" t="s">
        <v>272</v>
      </c>
      <c r="D9753" t="s">
        <v>1721</v>
      </c>
    </row>
    <row r="9754" spans="1:4" x14ac:dyDescent="0.25">
      <c r="B9754" t="str">
        <f>HYPERLINK("https://www.chemistwarehouse.com.au/buy/79811/Palmolive-Oil-Infusions-Body-Moisturiser-Jasmine-with-Avocado-Oil-200ml"," Palmolive Oil Infusions Body Moisturiser Jasmine with Avocado Oil 200ml")</f>
        <v xml:space="preserve"> Palmolive Oil Infusions Body Moisturiser Jasmine with Avocado Oil 200ml</v>
      </c>
      <c r="C9754" t="s">
        <v>272</v>
      </c>
      <c r="D9754" t="s">
        <v>1721</v>
      </c>
    </row>
    <row r="9755" spans="1:4" x14ac:dyDescent="0.25">
      <c r="A9755" t="s">
        <v>2054</v>
      </c>
    </row>
    <row r="9756" spans="1:4" x14ac:dyDescent="0.25">
      <c r="B9756" t="str">
        <f>HYPERLINK("https://www.chemistwarehouse.com.au/buy/79391/Bioten-Hand-Cream-Anti-Ageing-100ml"," Bioten Hand Cream Anti Ageing 100ml")</f>
        <v xml:space="preserve"> Bioten Hand Cream Anti Ageing 100ml</v>
      </c>
      <c r="C9756" t="s">
        <v>483</v>
      </c>
      <c r="D9756">
        <v>0</v>
      </c>
    </row>
    <row r="9757" spans="1:4" x14ac:dyDescent="0.25">
      <c r="B9757" t="str">
        <f>HYPERLINK("https://www.chemistwarehouse.com.au/buy/79393/Bioten-Hand-Cream-Repairing-100ml"," Bioten Hand Cream Repairing 100ml")</f>
        <v xml:space="preserve"> Bioten Hand Cream Repairing 100ml</v>
      </c>
      <c r="C9757" t="s">
        <v>483</v>
      </c>
      <c r="D9757">
        <v>0</v>
      </c>
    </row>
    <row r="9758" spans="1:4" x14ac:dyDescent="0.25">
      <c r="B9758" t="str">
        <f>HYPERLINK("https://www.chemistwarehouse.com.au/buy/79361/Bioten-Cleansing-Wipes-Dull-Dehydrated-Skin-20"," Bioten Cleansing Wipes Dull/Dehydrated Skin 20")</f>
        <v xml:space="preserve"> Bioten Cleansing Wipes Dull/Dehydrated Skin 20</v>
      </c>
      <c r="C9758" t="s">
        <v>1357</v>
      </c>
      <c r="D9758" t="s">
        <v>725</v>
      </c>
    </row>
    <row r="9759" spans="1:4" x14ac:dyDescent="0.25">
      <c r="B9759" t="str">
        <f>HYPERLINK("https://www.chemistwarehouse.com.au/buy/79362/Bioten-Cleansing-Wipes-Dry-Sensitive-Skin-20"," Bioten Cleansing Wipes Dry/Sensitive Skin 20")</f>
        <v xml:space="preserve"> Bioten Cleansing Wipes Dry/Sensitive Skin 20</v>
      </c>
      <c r="C9759" t="s">
        <v>1357</v>
      </c>
      <c r="D9759" t="s">
        <v>725</v>
      </c>
    </row>
    <row r="9760" spans="1:4" x14ac:dyDescent="0.25">
      <c r="B9760" t="str">
        <f>HYPERLINK("https://www.chemistwarehouse.com.au/buy/79363/Bioten-Cleansing-Wipes-Normal-Combination-Skin-20"," Bioten Cleansing Wipes Normal/Combination Skin 20")</f>
        <v xml:space="preserve"> Bioten Cleansing Wipes Normal/Combination Skin 20</v>
      </c>
      <c r="C9760" t="s">
        <v>1357</v>
      </c>
      <c r="D9760" t="s">
        <v>725</v>
      </c>
    </row>
    <row r="9761" spans="1:4" x14ac:dyDescent="0.25">
      <c r="B9761" t="str">
        <f>HYPERLINK("https://www.chemistwarehouse.com.au/buy/79364/Bioten-Scrub-Cream-Moisture-Normal-150ml"," Bioten Scrub Cream Moisture Normal 150ml")</f>
        <v xml:space="preserve"> Bioten Scrub Cream Moisture Normal 150ml</v>
      </c>
      <c r="C9761" t="s">
        <v>483</v>
      </c>
      <c r="D9761" t="s">
        <v>371</v>
      </c>
    </row>
    <row r="9762" spans="1:4" x14ac:dyDescent="0.25">
      <c r="B9762" t="str">
        <f>HYPERLINK("https://www.chemistwarehouse.com.au/buy/79365/Bioten-Double-Action-Eye-Make-Up-Remover-125ml"," Bioten Double Action Eye Make Up Remover 125ml")</f>
        <v xml:space="preserve"> Bioten Double Action Eye Make Up Remover 125ml</v>
      </c>
      <c r="C9762" t="s">
        <v>483</v>
      </c>
      <c r="D9762" t="s">
        <v>371</v>
      </c>
    </row>
    <row r="9763" spans="1:4" x14ac:dyDescent="0.25">
      <c r="B9763" t="str">
        <f>HYPERLINK("https://www.chemistwarehouse.com.au/buy/79340/Bioten-Body-Lotion-Sensual-Touch-250ml"," Bioten Body Lotion Sensual Touch 250ml")</f>
        <v xml:space="preserve"> Bioten Body Lotion Sensual Touch 250ml</v>
      </c>
      <c r="C9763" t="s">
        <v>483</v>
      </c>
      <c r="D9763" t="s">
        <v>371</v>
      </c>
    </row>
    <row r="9764" spans="1:4" x14ac:dyDescent="0.25">
      <c r="B9764" t="str">
        <f>HYPERLINK("https://www.chemistwarehouse.com.au/buy/79341/Bioten-Body-Lotion-Intensive-Moisture-250ml"," Bioten Body Lotion Intensive Moisture 250ml")</f>
        <v xml:space="preserve"> Bioten Body Lotion Intensive Moisture 250ml</v>
      </c>
      <c r="C9764" t="s">
        <v>483</v>
      </c>
      <c r="D9764" t="s">
        <v>371</v>
      </c>
    </row>
    <row r="9765" spans="1:4" x14ac:dyDescent="0.25">
      <c r="B9765" t="str">
        <f>HYPERLINK("https://www.chemistwarehouse.com.au/buy/79342/Bioten-Body-Lotion-Repairing-Nourishing-250ml"," Bioten Body Lotion Repairing Nourishing 250ml")</f>
        <v xml:space="preserve"> Bioten Body Lotion Repairing Nourishing 250ml</v>
      </c>
      <c r="C9765" t="s">
        <v>483</v>
      </c>
      <c r="D9765" t="s">
        <v>371</v>
      </c>
    </row>
    <row r="9766" spans="1:4" x14ac:dyDescent="0.25">
      <c r="B9766" t="str">
        <f>HYPERLINK("https://www.chemistwarehouse.com.au/buy/79343/Bioten-Body-Lotion-Silky-Radiance-250ml"," Bioten Body Lotion Silky Radiance 250ml")</f>
        <v xml:space="preserve"> Bioten Body Lotion Silky Radiance 250ml</v>
      </c>
      <c r="C9766" t="s">
        <v>483</v>
      </c>
      <c r="D9766" t="s">
        <v>371</v>
      </c>
    </row>
    <row r="9767" spans="1:4" x14ac:dyDescent="0.25">
      <c r="B9767" t="str">
        <f>HYPERLINK("https://www.chemistwarehouse.com.au/buy/79344/Bioten-Bath-Foam-Cocoa-amp-Macadamia-750ml"," Bioten Bath Foam Cocoa &amp; Macadamia 750ml")</f>
        <v xml:space="preserve"> Bioten Bath Foam Cocoa &amp; Macadamia 750ml</v>
      </c>
      <c r="C9767" t="s">
        <v>556</v>
      </c>
      <c r="D9767">
        <v>0</v>
      </c>
    </row>
    <row r="9768" spans="1:4" x14ac:dyDescent="0.25">
      <c r="B9768" t="str">
        <f>HYPERLINK("https://www.chemistwarehouse.com.au/buy/79345/Bioten-Bath-Foam-Lime-amp-Quince-750ml"," Bioten Bath Foam Lime &amp; Quince 750ml")</f>
        <v xml:space="preserve"> Bioten Bath Foam Lime &amp; Quince 750ml</v>
      </c>
      <c r="C9768" t="s">
        <v>556</v>
      </c>
      <c r="D9768">
        <v>0</v>
      </c>
    </row>
    <row r="9769" spans="1:4" x14ac:dyDescent="0.25">
      <c r="B9769" t="str">
        <f>HYPERLINK("https://www.chemistwarehouse.com.au/buy/79346/Bioten-Bath-Foam-Honey-amp-Cotton-750ml"," Bioten Bath Foam Honey &amp; Cotton 750ml")</f>
        <v xml:space="preserve"> Bioten Bath Foam Honey &amp; Cotton 750ml</v>
      </c>
      <c r="C9769" t="s">
        <v>556</v>
      </c>
      <c r="D9769">
        <v>0</v>
      </c>
    </row>
    <row r="9770" spans="1:4" x14ac:dyDescent="0.25">
      <c r="B9770" t="str">
        <f>HYPERLINK("https://www.chemistwarehouse.com.au/buy/79390/Bioten-Hand-Cream-Moisturizing-100ml"," Bioten Hand Cream Moisturizing 100ml")</f>
        <v xml:space="preserve"> Bioten Hand Cream Moisturizing 100ml</v>
      </c>
      <c r="C9770" t="s">
        <v>483</v>
      </c>
      <c r="D9770">
        <v>0</v>
      </c>
    </row>
    <row r="9771" spans="1:4" x14ac:dyDescent="0.25">
      <c r="B9771" t="str">
        <f>HYPERLINK("https://www.chemistwarehouse.com.au/buy/79392/Bioten-Hand-Cream-Nourishing-100ml"," Bioten Hand Cream Nourishing 100ml")</f>
        <v xml:space="preserve"> Bioten Hand Cream Nourishing 100ml</v>
      </c>
      <c r="C9771" t="s">
        <v>483</v>
      </c>
      <c r="D9771">
        <v>0</v>
      </c>
    </row>
    <row r="9772" spans="1:4" x14ac:dyDescent="0.25">
      <c r="B9772" t="str">
        <f>HYPERLINK("https://www.chemistwarehouse.com.au/buy/79366/Bioten-Micellar-Water-200ml"," Bioten Micellar Water 200ml")</f>
        <v xml:space="preserve"> Bioten Micellar Water 200ml</v>
      </c>
      <c r="C9772" t="s">
        <v>1264</v>
      </c>
      <c r="D9772" t="s">
        <v>725</v>
      </c>
    </row>
    <row r="9773" spans="1:4" x14ac:dyDescent="0.25">
      <c r="A9773" t="s">
        <v>2055</v>
      </c>
    </row>
    <row r="9774" spans="1:4" x14ac:dyDescent="0.25">
      <c r="B9774" t="str">
        <f>HYPERLINK("https://www.chemistwarehouse.com.au/buy/62846/Cetaphil-Restoraderm-Body-Wash-295ml"," Cetaphil Restoraderm Body Wash 295ml")</f>
        <v xml:space="preserve"> Cetaphil Restoraderm Body Wash 295ml</v>
      </c>
      <c r="C9774" t="s">
        <v>61</v>
      </c>
      <c r="D9774" t="s">
        <v>115</v>
      </c>
    </row>
    <row r="9775" spans="1:4" x14ac:dyDescent="0.25">
      <c r="B9775" t="str">
        <f>HYPERLINK("https://www.chemistwarehouse.com.au/buy/52790/Redwin-Sorbolene-Body-Wash-with-Vitamin-E-1-Litre"," Redwin Sorbolene Body Wash with Vitamin E 1 Litre")</f>
        <v xml:space="preserve"> Redwin Sorbolene Body Wash with Vitamin E 1 Litre</v>
      </c>
      <c r="C9775" t="s">
        <v>45</v>
      </c>
      <c r="D9775" t="s">
        <v>593</v>
      </c>
    </row>
    <row r="9776" spans="1:4" x14ac:dyDescent="0.25">
      <c r="B9776" t="str">
        <f>HYPERLINK("https://www.chemistwarehouse.com.au/buy/57939/Enya-Body-Wash-Mango-amp-Coconut-1-Litre"," Enya Body Wash Mango &amp; Coconut 1 Litre")</f>
        <v xml:space="preserve"> Enya Body Wash Mango &amp; Coconut 1 Litre</v>
      </c>
      <c r="C9776" t="s">
        <v>483</v>
      </c>
      <c r="D9776" t="s">
        <v>371</v>
      </c>
    </row>
    <row r="9777" spans="2:4" x14ac:dyDescent="0.25">
      <c r="B9777" t="str">
        <f>HYPERLINK("https://www.chemistwarehouse.com.au/buy/57221/Enya-Body-Wash-Milk-amp-Honey-1-Litre"," Enya Body Wash Milk &amp; Honey 1 Litre")</f>
        <v xml:space="preserve"> Enya Body Wash Milk &amp; Honey 1 Litre</v>
      </c>
      <c r="C9777" t="s">
        <v>483</v>
      </c>
      <c r="D9777" t="s">
        <v>371</v>
      </c>
    </row>
    <row r="9778" spans="2:4" x14ac:dyDescent="0.25">
      <c r="B9778" t="str">
        <f>HYPERLINK("https://www.chemistwarehouse.com.au/buy/65521/Enya-Body-Wash-Vanilla-Bean-amp-Almond-1-Litre"," Enya Body Wash Vanilla Bean &amp; Almond 1 Litre")</f>
        <v xml:space="preserve"> Enya Body Wash Vanilla Bean &amp; Almond 1 Litre</v>
      </c>
      <c r="C9778" t="s">
        <v>483</v>
      </c>
      <c r="D9778" t="s">
        <v>371</v>
      </c>
    </row>
    <row r="9779" spans="2:4" x14ac:dyDescent="0.25">
      <c r="B9779" t="str">
        <f>HYPERLINK("https://www.chemistwarehouse.com.au/buy/78532/St-Ives-Sensitive-Skin-Gentle-Apricot-Scrub-150ml"," St Ives Sensitive Skin Gentle Apricot Scrub 150ml")</f>
        <v xml:space="preserve"> St Ives Sensitive Skin Gentle Apricot Scrub 150ml</v>
      </c>
      <c r="C9779" t="s">
        <v>483</v>
      </c>
      <c r="D9779" t="s">
        <v>64</v>
      </c>
    </row>
    <row r="9780" spans="2:4" x14ac:dyDescent="0.25">
      <c r="B9780" t="str">
        <f>HYPERLINK("https://www.chemistwarehouse.com.au/buy/79824/Dove-Go-Fresh-Nourishing-Body-Wash-Pomegranate-and-Lemon-Verbena-1-Litre"," Dove Go Fresh Nourishing Body Wash Pomegranate and Lemon Verbena 1 Litre")</f>
        <v xml:space="preserve"> Dove Go Fresh Nourishing Body Wash Pomegranate and Lemon Verbena 1 Litre</v>
      </c>
      <c r="C9780" t="s">
        <v>45</v>
      </c>
      <c r="D9780" t="s">
        <v>115</v>
      </c>
    </row>
    <row r="9781" spans="2:4" x14ac:dyDescent="0.25">
      <c r="B9781" t="str">
        <f>HYPERLINK("https://www.chemistwarehouse.com.au/buy/64481/Palmolive-Body-Butter-Coconut-Scrub-Body-Wash-400ml"," Palmolive Body Butter Coconut Scrub Body Wash 400ml")</f>
        <v xml:space="preserve"> Palmolive Body Butter Coconut Scrub Body Wash 400ml</v>
      </c>
      <c r="C9781" t="s">
        <v>775</v>
      </c>
      <c r="D9781" t="s">
        <v>241</v>
      </c>
    </row>
    <row r="9782" spans="2:4" x14ac:dyDescent="0.25">
      <c r="B9782" t="str">
        <f>HYPERLINK("https://www.chemistwarehouse.com.au/buy/64484/Palmolive-Naturals-Shower-Milk-Cherry-Blossom-amp-Milk-1-Litre"," Palmolive Naturals Shower Milk Cherry Blossom &amp; Milk 1 Litre")</f>
        <v xml:space="preserve"> Palmolive Naturals Shower Milk Cherry Blossom &amp; Milk 1 Litre</v>
      </c>
      <c r="C9782" t="s">
        <v>92</v>
      </c>
      <c r="D9782" t="s">
        <v>115</v>
      </c>
    </row>
    <row r="9783" spans="2:4" x14ac:dyDescent="0.25">
      <c r="B9783" t="str">
        <f>HYPERLINK("https://www.chemistwarehouse.com.au/buy/82365/Daily-Defense-Tropical-Coconut-Body-Wash-443ml"," Daily Defense Tropical Coconut Body Wash 443ml")</f>
        <v xml:space="preserve"> Daily Defense Tropical Coconut Body Wash 443ml</v>
      </c>
      <c r="C9783" t="s">
        <v>146</v>
      </c>
      <c r="D9783">
        <v>0</v>
      </c>
    </row>
    <row r="9784" spans="2:4" x14ac:dyDescent="0.25">
      <c r="B9784" t="str">
        <f>HYPERLINK("https://www.chemistwarehouse.com.au/buy/72847/St-Ives-Fresh-Skin-Apricot-Scrub-150ml"," St Ives Fresh Skin Apricot Scrub 150ml")</f>
        <v xml:space="preserve"> St Ives Fresh Skin Apricot Scrub 150ml</v>
      </c>
      <c r="C9784" t="s">
        <v>240</v>
      </c>
      <c r="D9784" t="s">
        <v>561</v>
      </c>
    </row>
    <row r="9785" spans="2:4" x14ac:dyDescent="0.25">
      <c r="B9785" t="str">
        <f>HYPERLINK("https://www.chemistwarehouse.com.au/buy/58370/St-Ives-Swiss-Vanilla-Body-Wash-400ml"," St Ives Swiss Vanilla Body Wash 400ml")</f>
        <v xml:space="preserve"> St Ives Swiss Vanilla Body Wash 400ml</v>
      </c>
      <c r="C9785" t="s">
        <v>556</v>
      </c>
      <c r="D9785" t="s">
        <v>371</v>
      </c>
    </row>
    <row r="9786" spans="2:4" x14ac:dyDescent="0.25">
      <c r="B9786" t="str">
        <f>HYPERLINK("https://www.chemistwarehouse.com.au/buy/59954/St-Ives-Blemish-Control-Apricot-Scrub-150ml"," St Ives Blemish Control Apricot Scrub 150ml")</f>
        <v xml:space="preserve"> St Ives Blemish Control Apricot Scrub 150ml</v>
      </c>
      <c r="C9786" t="s">
        <v>240</v>
      </c>
      <c r="D9786" t="s">
        <v>561</v>
      </c>
    </row>
    <row r="9787" spans="2:4" x14ac:dyDescent="0.25">
      <c r="B9787" t="str">
        <f>HYPERLINK("https://www.chemistwarehouse.com.au/buy/60620/Ego-QV-Wash-250ml"," Ego QV Wash 250ml")</f>
        <v xml:space="preserve"> Ego QV Wash 250ml</v>
      </c>
      <c r="C9787" t="s">
        <v>32</v>
      </c>
      <c r="D9787" t="s">
        <v>738</v>
      </c>
    </row>
    <row r="9788" spans="2:4" x14ac:dyDescent="0.25">
      <c r="B9788" t="str">
        <f>HYPERLINK("https://www.chemistwarehouse.com.au/buy/81573/Cussons-Imperial-Leather-Body-Wash-Forbidden-Fruit-1-Litre"," Cussons Imperial Leather Body Wash Forbidden Fruit 1 Litre")</f>
        <v xml:space="preserve"> Cussons Imperial Leather Body Wash Forbidden Fruit 1 Litre</v>
      </c>
      <c r="C9788" t="s">
        <v>375</v>
      </c>
      <c r="D9788" t="s">
        <v>291</v>
      </c>
    </row>
    <row r="9789" spans="2:4" x14ac:dyDescent="0.25">
      <c r="B9789" t="str">
        <f>HYPERLINK("https://www.chemistwarehouse.com.au/buy/66560/Palmolive-Shower-Gel-Body-Butter-Heavenly-Vanilla-400ml"," Palmolive Shower Gel Body Butter Heavenly Vanilla 400ml")</f>
        <v xml:space="preserve"> Palmolive Shower Gel Body Butter Heavenly Vanilla 400ml</v>
      </c>
      <c r="C9789" t="s">
        <v>775</v>
      </c>
      <c r="D9789" t="s">
        <v>241</v>
      </c>
    </row>
    <row r="9790" spans="2:4" x14ac:dyDescent="0.25">
      <c r="B9790" t="str">
        <f>HYPERLINK("https://www.chemistwarehouse.com.au/buy/69008/Old-Spice-Body-Wash-Swagger-473ml"," Old Spice Body Wash Swagger 473ml")</f>
        <v xml:space="preserve"> Old Spice Body Wash Swagger 473ml</v>
      </c>
      <c r="C9790" t="s">
        <v>610</v>
      </c>
      <c r="D9790" t="s">
        <v>781</v>
      </c>
    </row>
    <row r="9791" spans="2:4" x14ac:dyDescent="0.25">
      <c r="B9791" t="str">
        <f>HYPERLINK("https://www.chemistwarehouse.com.au/buy/69009/Old-Spice-Body-Wash-Champion-473ml"," Old Spice Body Wash Champion 473ml")</f>
        <v xml:space="preserve"> Old Spice Body Wash Champion 473ml</v>
      </c>
      <c r="C9791" t="s">
        <v>610</v>
      </c>
      <c r="D9791" t="s">
        <v>781</v>
      </c>
    </row>
    <row r="9792" spans="2:4" x14ac:dyDescent="0.25">
      <c r="B9792" t="str">
        <f>HYPERLINK("https://www.chemistwarehouse.com.au/buy/72153/Cussons-Imperial-Leather-Body-Wash-Japanese-Spa-1-Litre"," Cussons Imperial Leather Body Wash Japanese Spa 1 Litre")</f>
        <v xml:space="preserve"> Cussons Imperial Leather Body Wash Japanese Spa 1 Litre</v>
      </c>
      <c r="C9792" t="s">
        <v>375</v>
      </c>
      <c r="D9792" t="s">
        <v>291</v>
      </c>
    </row>
    <row r="9793" spans="1:4" x14ac:dyDescent="0.25">
      <c r="B9793" t="str">
        <f>HYPERLINK("https://www.chemistwarehouse.com.au/buy/72155/Cussons-Imperial-Leather-Body-Wash-Rockpool-1-Litre"," Cussons Imperial Leather Body Wash Rockpool 1 Litre")</f>
        <v xml:space="preserve"> Cussons Imperial Leather Body Wash Rockpool 1 Litre</v>
      </c>
      <c r="C9793" t="s">
        <v>375</v>
      </c>
      <c r="D9793" t="s">
        <v>291</v>
      </c>
    </row>
    <row r="9794" spans="1:4" x14ac:dyDescent="0.25">
      <c r="B9794" t="str">
        <f>HYPERLINK("https://www.chemistwarehouse.com.au/buy/59426/Rectogesic-Cleansing-Wipes-25"," Rectogesic Cleansing Wipes 25")</f>
        <v xml:space="preserve"> Rectogesic Cleansing Wipes 25</v>
      </c>
      <c r="C9794" t="s">
        <v>610</v>
      </c>
      <c r="D9794" t="s">
        <v>755</v>
      </c>
    </row>
    <row r="9795" spans="1:4" x14ac:dyDescent="0.25">
      <c r="B9795" t="str">
        <f>HYPERLINK("https://www.chemistwarehouse.com.au/buy/59919/St-Ives-Oat-amp-Shea-Butter-Body-Wash-400ml"," St Ives Oat &amp; Shea Butter Body Wash 400ml")</f>
        <v xml:space="preserve"> St Ives Oat &amp; Shea Butter Body Wash 400ml</v>
      </c>
      <c r="C9795" t="s">
        <v>556</v>
      </c>
      <c r="D9795" t="s">
        <v>371</v>
      </c>
    </row>
    <row r="9796" spans="1:4" x14ac:dyDescent="0.25">
      <c r="B9796" t="str">
        <f>HYPERLINK("https://www.chemistwarehouse.com.au/buy/51663/Dove-Original-Cream-Hand-Wash-250ml"," Dove Original Cream Hand Wash 250ml")</f>
        <v xml:space="preserve"> Dove Original Cream Hand Wash 250ml</v>
      </c>
      <c r="C9796" t="s">
        <v>635</v>
      </c>
      <c r="D9796">
        <v>0</v>
      </c>
    </row>
    <row r="9797" spans="1:4" x14ac:dyDescent="0.25">
      <c r="B9797" t="str">
        <f>HYPERLINK("https://www.chemistwarehouse.com.au/buy/53230/Dove-Body-Wash-Triple-Moisturising-375ml"," Dove Body Wash Triple Moisturising 375ml")</f>
        <v xml:space="preserve"> Dove Body Wash Triple Moisturising 375ml</v>
      </c>
      <c r="C9797" t="s">
        <v>116</v>
      </c>
      <c r="D9797" t="s">
        <v>1254</v>
      </c>
    </row>
    <row r="9798" spans="1:4" x14ac:dyDescent="0.25">
      <c r="A9798" t="s">
        <v>2056</v>
      </c>
    </row>
    <row r="9799" spans="1:4" x14ac:dyDescent="0.25">
      <c r="B9799" t="str">
        <f>HYPERLINK("https://www.chemistwarehouse.com.au/buy/62494/Manicare-Exfoliating-Gloves-White"," Manicare Exfoliating Gloves - White")</f>
        <v xml:space="preserve"> Manicare Exfoliating Gloves - White</v>
      </c>
      <c r="C9799" t="s">
        <v>240</v>
      </c>
      <c r="D9799" t="s">
        <v>561</v>
      </c>
    </row>
    <row r="9800" spans="1:4" x14ac:dyDescent="0.25">
      <c r="B9800" t="str">
        <f>HYPERLINK("https://www.chemistwarehouse.com.au/buy/62563/Manicare-Sleeping-Mask"," Manicare Sleeping Mask")</f>
        <v xml:space="preserve"> Manicare Sleeping Mask</v>
      </c>
      <c r="C9800" t="s">
        <v>240</v>
      </c>
      <c r="D9800" t="s">
        <v>561</v>
      </c>
    </row>
    <row r="9801" spans="1:4" x14ac:dyDescent="0.25">
      <c r="B9801" t="str">
        <f>HYPERLINK("https://www.chemistwarehouse.com.au/buy/72380/Manicare-Nail-Polish-Remover-Pads-Floral"," Manicare Nail Polish Remover Pads Floral")</f>
        <v xml:space="preserve"> Manicare Nail Polish Remover Pads Floral</v>
      </c>
      <c r="C9801" t="s">
        <v>483</v>
      </c>
      <c r="D9801" t="s">
        <v>147</v>
      </c>
    </row>
    <row r="9802" spans="1:4" x14ac:dyDescent="0.25">
      <c r="B9802" t="str">
        <f>HYPERLINK("https://www.chemistwarehouse.com.au/buy/48553/Manicare-Sapphire-Nail-File-392"," Manicare Sapphire Nail File 392")</f>
        <v xml:space="preserve"> Manicare Sapphire Nail File 392</v>
      </c>
      <c r="C9802" t="s">
        <v>375</v>
      </c>
      <c r="D9802" t="s">
        <v>611</v>
      </c>
    </row>
    <row r="9803" spans="1:4" x14ac:dyDescent="0.25">
      <c r="B9803" t="str">
        <f>HYPERLINK("https://www.chemistwarehouse.com.au/buy/62461/Manicare-Baby-Nail-Clippers-With-Nail-File"," Manicare Baby Nail Clippers - With Nail File")</f>
        <v xml:space="preserve"> Manicare Baby Nail Clippers - With Nail File</v>
      </c>
      <c r="C9803" t="s">
        <v>556</v>
      </c>
      <c r="D9803" t="s">
        <v>371</v>
      </c>
    </row>
    <row r="9804" spans="1:4" x14ac:dyDescent="0.25">
      <c r="B9804" t="str">
        <f>HYPERLINK("https://www.chemistwarehouse.com.au/buy/62522/Manicare-Luxury-Cleansing-Sponge-Brown"," Manicare Luxury Cleansing Sponge - Brown")</f>
        <v xml:space="preserve"> Manicare Luxury Cleansing Sponge - Brown</v>
      </c>
      <c r="C9804" t="s">
        <v>242</v>
      </c>
      <c r="D9804" t="s">
        <v>1230</v>
      </c>
    </row>
    <row r="9805" spans="1:4" x14ac:dyDescent="0.25">
      <c r="B9805" t="str">
        <f>HYPERLINK("https://www.chemistwarehouse.com.au/buy/62543/Manicare-Nail-Shapers-Coarse-Medium-175Mm-Pk2"," Manicare Nail Shapers - Coarse/Medium 175Mm Pk2")</f>
        <v xml:space="preserve"> Manicare Nail Shapers - Coarse/Medium 175Mm Pk2</v>
      </c>
      <c r="C9805" t="s">
        <v>116</v>
      </c>
      <c r="D9805" t="s">
        <v>1230</v>
      </c>
    </row>
    <row r="9806" spans="1:4" x14ac:dyDescent="0.25">
      <c r="B9806" t="str">
        <f>HYPERLINK("https://www.chemistwarehouse.com.au/buy/62546/Manicare-Nail-Shapers-Medium-Fine-175Mm-Pk2"," Manicare Nail Shapers - Medium/Fine 175Mm Pk2")</f>
        <v xml:space="preserve"> Manicare Nail Shapers - Medium/Fine 175Mm Pk2</v>
      </c>
      <c r="C9806" t="s">
        <v>116</v>
      </c>
      <c r="D9806" t="s">
        <v>1230</v>
      </c>
    </row>
    <row r="9807" spans="1:4" x14ac:dyDescent="0.25">
      <c r="B9807" t="str">
        <f>HYPERLINK("https://www.chemistwarehouse.com.au/buy/62469/Manicare-Ceramic-Stone-Foot-File"," Manicare Ceramic Stone Foot File")</f>
        <v xml:space="preserve"> Manicare Ceramic Stone Foot File</v>
      </c>
      <c r="C9807" t="s">
        <v>45</v>
      </c>
      <c r="D9807" t="s">
        <v>312</v>
      </c>
    </row>
    <row r="9808" spans="1:4" x14ac:dyDescent="0.25">
      <c r="B9808" t="str">
        <f>HYPERLINK("https://www.chemistwarehouse.com.au/buy/74372/Manicare-Nail-Polish-Remover-200ml-Strengthening"," Manicare Nail Polish Remover 200ml Strengthening")</f>
        <v xml:space="preserve"> Manicare Nail Polish Remover 200ml Strengthening</v>
      </c>
      <c r="C9808" t="s">
        <v>556</v>
      </c>
      <c r="D9808" t="s">
        <v>147</v>
      </c>
    </row>
    <row r="9809" spans="1:4" x14ac:dyDescent="0.25">
      <c r="B9809" t="str">
        <f>HYPERLINK("https://www.chemistwarehouse.com.au/buy/73764/Manicare-23030-Ultimate-Slant-Tweezers"," Manicare 23030 Ultimate Slant Tweezers")</f>
        <v xml:space="preserve"> Manicare 23030 Ultimate Slant Tweezers</v>
      </c>
      <c r="C9809" t="s">
        <v>290</v>
      </c>
      <c r="D9809" t="s">
        <v>318</v>
      </c>
    </row>
    <row r="9810" spans="1:4" x14ac:dyDescent="0.25">
      <c r="B9810" t="str">
        <f>HYPERLINK("https://www.chemistwarehouse.com.au/buy/62524/Manicare-Compact-Mirror-717"," Manicare Compact Mirror 717")</f>
        <v xml:space="preserve"> Manicare Compact Mirror 717</v>
      </c>
      <c r="C9810" t="s">
        <v>32</v>
      </c>
      <c r="D9810" t="s">
        <v>312</v>
      </c>
    </row>
    <row r="9811" spans="1:4" x14ac:dyDescent="0.25">
      <c r="B9811" t="str">
        <f>HYPERLINK("https://www.chemistwarehouse.com.au/buy/48565/Manicare-Pimple-and-Blackhead-Remover"," Manicare Pimple and Blackhead Remover")</f>
        <v xml:space="preserve"> Manicare Pimple and Blackhead Remover</v>
      </c>
      <c r="C9811" t="s">
        <v>554</v>
      </c>
      <c r="D9811" t="s">
        <v>611</v>
      </c>
    </row>
    <row r="9812" spans="1:4" x14ac:dyDescent="0.25">
      <c r="B9812" t="str">
        <f>HYPERLINK("https://www.chemistwarehouse.com.au/buy/62474/Manicare-Corn-Plane-With-Replacement-Blades"," Manicare Corn Plane - With Replacement Blades")</f>
        <v xml:space="preserve"> Manicare Corn Plane - With Replacement Blades</v>
      </c>
      <c r="C9812" t="s">
        <v>212</v>
      </c>
      <c r="D9812" t="s">
        <v>318</v>
      </c>
    </row>
    <row r="9813" spans="1:4" x14ac:dyDescent="0.25">
      <c r="B9813" t="str">
        <f>HYPERLINK("https://www.chemistwarehouse.com.au/buy/62477/Manicare-Cosmetic-Applicators-Pk12"," Manicare Cosmetic Applicators Pk12")</f>
        <v xml:space="preserve"> Manicare Cosmetic Applicators Pk12</v>
      </c>
      <c r="C9813" t="s">
        <v>120</v>
      </c>
      <c r="D9813" t="s">
        <v>561</v>
      </c>
    </row>
    <row r="9814" spans="1:4" x14ac:dyDescent="0.25">
      <c r="B9814" t="str">
        <f>HYPERLINK("https://www.chemistwarehouse.com.au/buy/62479/Manicare-Cuticle-Clippers-With-Side-Spring"," Manicare Cuticle Clippers - With Side Spring")</f>
        <v xml:space="preserve"> Manicare Cuticle Clippers - With Side Spring</v>
      </c>
      <c r="C9814" t="s">
        <v>230</v>
      </c>
      <c r="D9814" t="s">
        <v>336</v>
      </c>
    </row>
    <row r="9815" spans="1:4" x14ac:dyDescent="0.25">
      <c r="B9815" t="str">
        <f>HYPERLINK("https://www.chemistwarehouse.com.au/buy/62482/Manicare-Cuticle-Oil-12Ml"," Manicare Cuticle Oil 12Ml")</f>
        <v xml:space="preserve"> Manicare Cuticle Oil 12Ml</v>
      </c>
      <c r="C9815" t="s">
        <v>212</v>
      </c>
      <c r="D9815" t="s">
        <v>318</v>
      </c>
    </row>
    <row r="9816" spans="1:4" x14ac:dyDescent="0.25">
      <c r="B9816" t="str">
        <f>HYPERLINK("https://www.chemistwarehouse.com.au/buy/62483/Manicare-Cuticle-Remover-12Ml"," Manicare Cuticle Remover 12Ml")</f>
        <v xml:space="preserve"> Manicare Cuticle Remover 12Ml</v>
      </c>
      <c r="C9816" t="s">
        <v>212</v>
      </c>
      <c r="D9816" t="s">
        <v>318</v>
      </c>
    </row>
    <row r="9817" spans="1:4" x14ac:dyDescent="0.25">
      <c r="B9817" t="str">
        <f>HYPERLINK("https://www.chemistwarehouse.com.au/buy/62484/Manicare-Cuticle-Scissors-Straight"," Manicare Cuticle Scissors - Straight")</f>
        <v xml:space="preserve"> Manicare Cuticle Scissors - Straight</v>
      </c>
      <c r="C9817" t="s">
        <v>290</v>
      </c>
      <c r="D9817" t="s">
        <v>318</v>
      </c>
    </row>
    <row r="9818" spans="1:4" x14ac:dyDescent="0.25">
      <c r="B9818" t="str">
        <f>HYPERLINK("https://www.chemistwarehouse.com.au/buy/62485/Manicare-Cuticle-Sticks-Pk4"," Manicare Cuticle Sticks Pk4")</f>
        <v xml:space="preserve"> Manicare Cuticle Sticks Pk4</v>
      </c>
      <c r="C9818" t="s">
        <v>146</v>
      </c>
      <c r="D9818" t="s">
        <v>327</v>
      </c>
    </row>
    <row r="9819" spans="1:4" x14ac:dyDescent="0.25">
      <c r="B9819" t="str">
        <f>HYPERLINK("https://www.chemistwarehouse.com.au/buy/62486/Manicare-Cuticle-Trimmer-With-Bonus-Pusher"," Manicare Cuticle Trimmer - With Bonus Pusher")</f>
        <v xml:space="preserve"> Manicare Cuticle Trimmer - With Bonus Pusher</v>
      </c>
      <c r="C9819" t="s">
        <v>317</v>
      </c>
      <c r="D9819" t="s">
        <v>785</v>
      </c>
    </row>
    <row r="9820" spans="1:4" x14ac:dyDescent="0.25">
      <c r="B9820" t="str">
        <f>HYPERLINK("https://www.chemistwarehouse.com.au/buy/62487/Manicare-Cuticle-Trimmer-And-Pusher"," Manicare Cuticle Trimmer And Pusher")</f>
        <v xml:space="preserve"> Manicare Cuticle Trimmer And Pusher</v>
      </c>
      <c r="C9820" t="s">
        <v>240</v>
      </c>
      <c r="D9820" t="s">
        <v>400</v>
      </c>
    </row>
    <row r="9821" spans="1:4" x14ac:dyDescent="0.25">
      <c r="B9821" t="str">
        <f>HYPERLINK("https://www.chemistwarehouse.com.au/buy/62490/Manicare-Emery-Boards-Coarse-Fine-170Mm-Pk-8"," Manicare Emery Boards - Coarse/Fine 170Mm Pk 8")</f>
        <v xml:space="preserve"> Manicare Emery Boards - Coarse/Fine 170Mm Pk 8</v>
      </c>
      <c r="C9821" t="s">
        <v>483</v>
      </c>
      <c r="D9821" t="s">
        <v>371</v>
      </c>
    </row>
    <row r="9822" spans="1:4" x14ac:dyDescent="0.25">
      <c r="B9822" t="str">
        <f>HYPERLINK("https://www.chemistwarehouse.com.au/buy/62493/Manicare-Exfoliating-Gloves-Brown"," Manicare Exfoliating Gloves - Brown")</f>
        <v xml:space="preserve"> Manicare Exfoliating Gloves - Brown</v>
      </c>
      <c r="C9822" t="s">
        <v>240</v>
      </c>
      <c r="D9822" t="s">
        <v>561</v>
      </c>
    </row>
    <row r="9823" spans="1:4" x14ac:dyDescent="0.25">
      <c r="A9823" t="s">
        <v>2057</v>
      </c>
    </row>
    <row r="9824" spans="1:4" x14ac:dyDescent="0.25">
      <c r="B9824" t="str">
        <f>HYPERLINK("https://www.chemistwarehouse.com.au/buy/67173/Pears-Transparent-Value-Pack-3x125g"," Pears Transparent Value Pack 3x125g")</f>
        <v xml:space="preserve"> Pears Transparent Value Pack 3x125g</v>
      </c>
      <c r="C9824" t="s">
        <v>556</v>
      </c>
      <c r="D9824" t="s">
        <v>2058</v>
      </c>
    </row>
    <row r="9825" spans="2:4" x14ac:dyDescent="0.25">
      <c r="B9825" t="str">
        <f>HYPERLINK("https://www.chemistwarehouse.com.au/buy/66563/Palmolive-Soap-Bar-Green-90g-10-Pack"," Palmolive Soap Bar Green 90g 10 Pack")</f>
        <v xml:space="preserve"> Palmolive Soap Bar Green 90g 10 Pack</v>
      </c>
      <c r="C9825" t="s">
        <v>786</v>
      </c>
      <c r="D9825" t="s">
        <v>776</v>
      </c>
    </row>
    <row r="9826" spans="2:4" x14ac:dyDescent="0.25">
      <c r="B9826" t="str">
        <f>HYPERLINK("https://www.chemistwarehouse.com.au/buy/56518/Cussons-Imperial-Leather-Bar-Soap-6-Pack-100g"," Cussons Imperial Leather Bar Soap 6 Pack 100g")</f>
        <v xml:space="preserve"> Cussons Imperial Leather Bar Soap 6 Pack 100g</v>
      </c>
      <c r="C9826" t="s">
        <v>728</v>
      </c>
      <c r="D9826" t="s">
        <v>731</v>
      </c>
    </row>
    <row r="9827" spans="2:4" x14ac:dyDescent="0.25">
      <c r="B9827" t="str">
        <f>HYPERLINK("https://www.chemistwarehouse.com.au/buy/72593/Cussons-Imperial-Leather-Soap-Gentle-Care-100g-6-Pack"," Cussons Imperial Leather Soap Gentle Care 100g 6 Pack")</f>
        <v xml:space="preserve"> Cussons Imperial Leather Soap Gentle Care 100g 6 Pack</v>
      </c>
      <c r="C9827" t="s">
        <v>728</v>
      </c>
      <c r="D9827" t="s">
        <v>731</v>
      </c>
    </row>
    <row r="9828" spans="2:4" x14ac:dyDescent="0.25">
      <c r="B9828" t="str">
        <f>HYPERLINK("https://www.chemistwarehouse.com.au/buy/55029/Dove-Beauty-Bar-Fresh-Touch-100g-x-4-Pack"," Dove Beauty Bar Fresh Touch 100g x 4 Pack")</f>
        <v xml:space="preserve"> Dove Beauty Bar Fresh Touch 100g x 4 Pack</v>
      </c>
      <c r="C9828" t="s">
        <v>554</v>
      </c>
      <c r="D9828" t="s">
        <v>593</v>
      </c>
    </row>
    <row r="9829" spans="2:4" x14ac:dyDescent="0.25">
      <c r="B9829" t="str">
        <f>HYPERLINK("https://www.chemistwarehouse.com.au/buy/66345/Dove-Beauty-Bar-Shea-Butter-Vanilla-4x100g"," Dove Beauty Bar Shea Butter Vanilla 4x100g")</f>
        <v xml:space="preserve"> Dove Beauty Bar Shea Butter Vanilla 4x100g</v>
      </c>
      <c r="C9829" t="s">
        <v>554</v>
      </c>
      <c r="D9829" t="s">
        <v>593</v>
      </c>
    </row>
    <row r="9830" spans="2:4" x14ac:dyDescent="0.25">
      <c r="B9830" t="str">
        <f>HYPERLINK("https://www.chemistwarehouse.com.au/buy/66561/Palmolive-Soap-Bar-Gold-90g-10-Pack"," Palmolive Soap Bar Gold 90g 10 Pack")</f>
        <v xml:space="preserve"> Palmolive Soap Bar Gold 90g 10 Pack</v>
      </c>
      <c r="C9830" t="s">
        <v>786</v>
      </c>
      <c r="D9830" t="s">
        <v>776</v>
      </c>
    </row>
    <row r="9831" spans="2:4" x14ac:dyDescent="0.25">
      <c r="B9831" t="str">
        <f>HYPERLINK("https://www.chemistwarehouse.com.au/buy/72596/Palmolive-Soap-Bar-Milk-And-Honey-90g-10-Pack"," Palmolive Soap Bar Milk And Honey 90g 10 Pack")</f>
        <v xml:space="preserve"> Palmolive Soap Bar Milk And Honey 90g 10 Pack</v>
      </c>
      <c r="C9831" t="s">
        <v>786</v>
      </c>
      <c r="D9831" t="s">
        <v>776</v>
      </c>
    </row>
    <row r="9832" spans="2:4" x14ac:dyDescent="0.25">
      <c r="B9832" t="str">
        <f>HYPERLINK("https://www.chemistwarehouse.com.au/buy/60351/Nivea-Cr-232-me-Soft-Soap-100g-Twin-Pack"," Nivea Crème Soft Soap 100g Twin Pack")</f>
        <v xml:space="preserve"> Nivea Crème Soft Soap 100g Twin Pack</v>
      </c>
      <c r="C9832" t="s">
        <v>146</v>
      </c>
      <c r="D9832" t="s">
        <v>371</v>
      </c>
    </row>
    <row r="9833" spans="2:4" x14ac:dyDescent="0.25">
      <c r="B9833" t="str">
        <f>HYPERLINK("https://www.chemistwarehouse.com.au/buy/76436/Lux-Soap-White-Soft-Caress-6-Pack"," Lux Soap White Soft Caress 6 Pack")</f>
        <v xml:space="preserve"> Lux Soap White Soft Caress 6 Pack</v>
      </c>
      <c r="C9833" t="s">
        <v>775</v>
      </c>
      <c r="D9833" t="s">
        <v>2059</v>
      </c>
    </row>
    <row r="9834" spans="2:4" x14ac:dyDescent="0.25">
      <c r="B9834" t="str">
        <f>HYPERLINK("https://www.chemistwarehouse.com.au/buy/72597/Cussons-Imperial-Leather-Soap-Gentle-Care-100g-4-Pack"," Cussons Imperial Leather Soap Gentle Care 100g 4 Pack")</f>
        <v xml:space="preserve"> Cussons Imperial Leather Soap Gentle Care 100g 4 Pack</v>
      </c>
      <c r="C9834" t="s">
        <v>146</v>
      </c>
      <c r="D9834" t="s">
        <v>1410</v>
      </c>
    </row>
    <row r="9835" spans="2:4" x14ac:dyDescent="0.25">
      <c r="B9835" t="str">
        <f>HYPERLINK("https://www.chemistwarehouse.com.au/buy/80059/Nivea-Creme-Care-Soap-100g-Twin-Pack"," Nivea Creme Care Soap 100g Twin Pack")</f>
        <v xml:space="preserve"> Nivea Creme Care Soap 100g Twin Pack</v>
      </c>
      <c r="C9835" t="s">
        <v>635</v>
      </c>
      <c r="D9835">
        <v>0</v>
      </c>
    </row>
    <row r="9836" spans="2:4" x14ac:dyDescent="0.25">
      <c r="B9836" t="str">
        <f>HYPERLINK("https://www.chemistwarehouse.com.au/buy/53629/Cussons-Imperial-Leather-Soap-Pack-4"," Cussons Imperial Leather Soap Pack 4")</f>
        <v xml:space="preserve"> Cussons Imperial Leather Soap Pack 4</v>
      </c>
      <c r="C9836" t="s">
        <v>146</v>
      </c>
      <c r="D9836" t="s">
        <v>1410</v>
      </c>
    </row>
    <row r="9837" spans="2:4" x14ac:dyDescent="0.25">
      <c r="B9837" t="str">
        <f>HYPERLINK("https://www.chemistwarehouse.com.au/buy/78014/Despicable-Me-Soap-On-Rope"," Despicable Me Soap On Rope")</f>
        <v xml:space="preserve"> Despicable Me Soap On Rope</v>
      </c>
      <c r="C9837" t="s">
        <v>146</v>
      </c>
      <c r="D9837">
        <v>0</v>
      </c>
    </row>
    <row r="9838" spans="2:4" x14ac:dyDescent="0.25">
      <c r="B9838" t="str">
        <f>HYPERLINK("https://www.chemistwarehouse.com.au/buy/71413/Thursday-Plantation-Tea-Tree-Soap-125g"," Thursday Plantation Tea Tree Soap 125g")</f>
        <v xml:space="preserve"> Thursday Plantation Tea Tree Soap 125g</v>
      </c>
      <c r="C9838" t="s">
        <v>691</v>
      </c>
      <c r="D9838" t="s">
        <v>555</v>
      </c>
    </row>
    <row r="9839" spans="2:4" x14ac:dyDescent="0.25">
      <c r="B9839" t="str">
        <f>HYPERLINK("https://www.chemistwarehouse.com.au/buy/72197/Palmolive-Foam-Pump-Fig-And-Coconut-250ml"," Palmolive Foam Pump Fig And Coconut 250ml")</f>
        <v xml:space="preserve"> Palmolive Foam Pump Fig And Coconut 250ml</v>
      </c>
      <c r="C9839" t="s">
        <v>691</v>
      </c>
      <c r="D9839" t="s">
        <v>731</v>
      </c>
    </row>
    <row r="9840" spans="2:4" x14ac:dyDescent="0.25">
      <c r="B9840" t="str">
        <f>HYPERLINK("https://www.chemistwarehouse.com.au/buy/75728/Pears-Soap-Mint-Triple-Pack-3-x-125g"," Pears Soap Mint Triple Pack 3 x 125g")</f>
        <v xml:space="preserve"> Pears Soap Mint Triple Pack 3 x 125g</v>
      </c>
      <c r="C9840" t="s">
        <v>556</v>
      </c>
      <c r="D9840">
        <v>0</v>
      </c>
    </row>
    <row r="9841" spans="1:4" x14ac:dyDescent="0.25">
      <c r="B9841" t="str">
        <f>HYPERLINK("https://www.chemistwarehouse.com.au/buy/82201/Floral-Scented-Handsoap-Lilac-amp-Apple-Blossom-350ml"," Floral Scented Handsoap Lilac &amp; Apple Blossom 350ml")</f>
        <v xml:space="preserve"> Floral Scented Handsoap Lilac &amp; Apple Blossom 350ml</v>
      </c>
      <c r="C9841" t="s">
        <v>635</v>
      </c>
      <c r="D9841">
        <v>0</v>
      </c>
    </row>
    <row r="9842" spans="1:4" x14ac:dyDescent="0.25">
      <c r="B9842" t="str">
        <f>HYPERLINK("https://www.chemistwarehouse.com.au/buy/82202/Floral-Scented-Handsoap-Rose-amp-Summer-Flowers-350ml"," Floral Scented Handsoap Rose &amp; Summer Flowers 350ml")</f>
        <v xml:space="preserve"> Floral Scented Handsoap Rose &amp; Summer Flowers 350ml</v>
      </c>
      <c r="C9842" t="s">
        <v>635</v>
      </c>
      <c r="D9842">
        <v>0</v>
      </c>
    </row>
    <row r="9843" spans="1:4" x14ac:dyDescent="0.25">
      <c r="B9843" t="str">
        <f>HYPERLINK("https://www.chemistwarehouse.com.au/buy/82203/Floral-Scented-Handsoap-Sweet-Pear-amp-Cherry-Blossom-350ml"," Floral Scented Handsoap Sweet Pear &amp; Cherry Blossom 350ml")</f>
        <v xml:space="preserve"> Floral Scented Handsoap Sweet Pear &amp; Cherry Blossom 350ml</v>
      </c>
      <c r="C9843" t="s">
        <v>635</v>
      </c>
      <c r="D9843">
        <v>0</v>
      </c>
    </row>
    <row r="9844" spans="1:4" x14ac:dyDescent="0.25">
      <c r="B9844" t="str">
        <f>HYPERLINK("https://www.chemistwarehouse.com.au/buy/76437/Lux-Soap-Pink-Petal-Touch-6-Pack"," Lux Soap Pink Petal Touch 6 Pack")</f>
        <v xml:space="preserve"> Lux Soap Pink Petal Touch 6 Pack</v>
      </c>
      <c r="C9844" t="s">
        <v>775</v>
      </c>
      <c r="D9844" t="s">
        <v>2059</v>
      </c>
    </row>
    <row r="9845" spans="1:4" x14ac:dyDescent="0.25">
      <c r="B9845" t="str">
        <f>HYPERLINK("https://www.chemistwarehouse.com.au/buy/82232/Dove-Beauty-Bar-Go-Fresh-Restore-100g"," Dove Beauty Bar Go Fresh Restore 100g")</f>
        <v xml:space="preserve"> Dove Beauty Bar Go Fresh Restore 100g</v>
      </c>
      <c r="C9845" t="s">
        <v>635</v>
      </c>
      <c r="D9845">
        <v>0</v>
      </c>
    </row>
    <row r="9846" spans="1:4" x14ac:dyDescent="0.25">
      <c r="B9846" t="str">
        <f>HYPERLINK("https://www.chemistwarehouse.com.au/buy/82875/Pino-Silvestre-Shave-Master-Soap-150g"," Pino Silvestre Shave Master Soap 150g")</f>
        <v xml:space="preserve"> Pino Silvestre Shave Master Soap 150g</v>
      </c>
      <c r="C9846" t="s">
        <v>92</v>
      </c>
      <c r="D9846">
        <v>0</v>
      </c>
    </row>
    <row r="9847" spans="1:4" x14ac:dyDescent="0.25">
      <c r="B9847" t="str">
        <f>HYPERLINK("https://www.chemistwarehouse.com.au/buy/55028/Dove-Beauty-Bar-Exfoliating-4-Pack"," Dove Beauty Bar Exfoliating 4 Pack")</f>
        <v xml:space="preserve"> Dove Beauty Bar Exfoliating 4 Pack</v>
      </c>
      <c r="C9847" t="s">
        <v>554</v>
      </c>
      <c r="D9847" t="s">
        <v>593</v>
      </c>
    </row>
    <row r="9848" spans="1:4" x14ac:dyDescent="0.25">
      <c r="A9848" t="s">
        <v>2060</v>
      </c>
    </row>
    <row r="9849" spans="1:4" x14ac:dyDescent="0.25">
      <c r="B9849" t="str">
        <f>HYPERLINK("https://www.chemistwarehouse.com.au/buy/48652/Revitanail-Nail-Strengthener-30ml"," Revitanail Nail Strengthener 30ml")</f>
        <v xml:space="preserve"> Revitanail Nail Strengthener 30ml</v>
      </c>
      <c r="C9849" t="s">
        <v>10</v>
      </c>
      <c r="D9849" t="s">
        <v>165</v>
      </c>
    </row>
    <row r="9850" spans="1:4" x14ac:dyDescent="0.25">
      <c r="B9850" t="str">
        <f>HYPERLINK("https://www.chemistwarehouse.com.au/buy/77875/My-Beauty-Pedicure-Set"," My Beauty Pedicure Set")</f>
        <v xml:space="preserve"> My Beauty Pedicure Set</v>
      </c>
      <c r="C9850" t="s">
        <v>146</v>
      </c>
      <c r="D9850">
        <v>0</v>
      </c>
    </row>
    <row r="9851" spans="1:4" x14ac:dyDescent="0.25">
      <c r="B9851" t="str">
        <f>HYPERLINK("https://www.chemistwarehouse.com.au/buy/66035/Enya-Hand-amp-Nail-Vitamin-E-Cream-100ml"," Enya Hand &amp; Nail Vitamin E Cream 100ml")</f>
        <v xml:space="preserve"> Enya Hand &amp; Nail Vitamin E Cream 100ml</v>
      </c>
      <c r="C9851" t="s">
        <v>146</v>
      </c>
      <c r="D9851">
        <v>0</v>
      </c>
    </row>
    <row r="9852" spans="1:4" x14ac:dyDescent="0.25">
      <c r="B9852" t="str">
        <f>HYPERLINK("https://www.chemistwarehouse.com.au/buy/39981/Stop-and-Grow-Biting-Deterant-7-mL"," Stop and Grow Biting Deterant 7 mL")</f>
        <v xml:space="preserve"> Stop and Grow Biting Deterant 7 mL</v>
      </c>
      <c r="C9852" t="s">
        <v>610</v>
      </c>
      <c r="D9852" t="s">
        <v>318</v>
      </c>
    </row>
    <row r="9853" spans="1:4" x14ac:dyDescent="0.25">
      <c r="B9853" t="str">
        <f>HYPERLINK("https://www.chemistwarehouse.com.au/buy/52341/Cutex-Nail-Polish-Remover-Nourishing-100mL"," Cutex Nail Polish Remover Nourishing 100mL")</f>
        <v xml:space="preserve"> Cutex Nail Polish Remover Nourishing 100mL</v>
      </c>
      <c r="C9853" t="s">
        <v>728</v>
      </c>
      <c r="D9853" t="s">
        <v>400</v>
      </c>
    </row>
    <row r="9854" spans="1:4" x14ac:dyDescent="0.25">
      <c r="B9854" t="str">
        <f>HYPERLINK("https://www.chemistwarehouse.com.au/buy/56958/Revitanail-Hand-amp-Nail-Cream-100g"," Revitanail Hand &amp; Nail Cream 100g")</f>
        <v xml:space="preserve"> Revitanail Hand &amp; Nail Cream 100g</v>
      </c>
      <c r="C9854" t="s">
        <v>224</v>
      </c>
      <c r="D9854" t="s">
        <v>754</v>
      </c>
    </row>
    <row r="9855" spans="1:4" x14ac:dyDescent="0.25">
      <c r="B9855" t="str">
        <f>HYPERLINK("https://www.chemistwarehouse.com.au/buy/56959/Revitanail-Nourishing-Oil-14ml"," Revitanail Nourishing Oil 14ml")</f>
        <v xml:space="preserve"> Revitanail Nourishing Oil 14ml</v>
      </c>
      <c r="C9855" t="s">
        <v>237</v>
      </c>
      <c r="D9855" t="s">
        <v>454</v>
      </c>
    </row>
    <row r="9856" spans="1:4" x14ac:dyDescent="0.25">
      <c r="B9856" t="str">
        <f>HYPERLINK("https://www.chemistwarehouse.com.au/buy/63207/Cutex-Nail-Polish-Remover-Moisture-Guard-100ml"," Cutex Nail Polish Remover Moisture Guard 100ml")</f>
        <v xml:space="preserve"> Cutex Nail Polish Remover Moisture Guard 100ml</v>
      </c>
      <c r="C9856" t="s">
        <v>728</v>
      </c>
      <c r="D9856" t="s">
        <v>1434</v>
      </c>
    </row>
    <row r="9857" spans="1:4" x14ac:dyDescent="0.25">
      <c r="B9857" t="str">
        <f>HYPERLINK("https://www.chemistwarehouse.com.au/buy/38631/Vaseline-Intensive-Care-Hand-amp-Nail-Lotion-75mL"," Vaseline Intensive Care Hand &amp; Nail Lotion 75mL")</f>
        <v xml:space="preserve"> Vaseline Intensive Care Hand &amp; Nail Lotion 75mL</v>
      </c>
      <c r="C9857" t="s">
        <v>120</v>
      </c>
      <c r="D9857" t="s">
        <v>781</v>
      </c>
    </row>
    <row r="9858" spans="1:4" x14ac:dyDescent="0.25">
      <c r="B9858" t="str">
        <f>HYPERLINK("https://www.chemistwarehouse.com.au/buy/52338/Cutex-Nail-Polish-Remover-Acetone-Free-100mL"," Cutex Nail Polish Remover Acetone Free 100mL")</f>
        <v xml:space="preserve"> Cutex Nail Polish Remover Acetone Free 100mL</v>
      </c>
      <c r="C9858" t="s">
        <v>728</v>
      </c>
      <c r="D9858" t="s">
        <v>1434</v>
      </c>
    </row>
    <row r="9859" spans="1:4" x14ac:dyDescent="0.25">
      <c r="B9859" t="str">
        <f>HYPERLINK("https://www.chemistwarehouse.com.au/buy/67642/Revitanail-Cuticle-Remover-Gel-30ml"," Revitanail Cuticle Remover Gel 30ml")</f>
        <v xml:space="preserve"> Revitanail Cuticle Remover Gel 30ml</v>
      </c>
      <c r="C9859" t="s">
        <v>237</v>
      </c>
      <c r="D9859" t="s">
        <v>454</v>
      </c>
    </row>
    <row r="9860" spans="1:4" x14ac:dyDescent="0.25">
      <c r="B9860" t="str">
        <f>HYPERLINK("https://www.chemistwarehouse.com.au/buy/68774/Revitanail-Nail-Polish-Remover-120mL"," Revitanail Nail Polish Remover 120mL ")</f>
        <v xml:space="preserve"> Revitanail Nail Polish Remover 120mL </v>
      </c>
      <c r="C9860" t="s">
        <v>32</v>
      </c>
      <c r="D9860" t="s">
        <v>150</v>
      </c>
    </row>
    <row r="9861" spans="1:4" x14ac:dyDescent="0.25">
      <c r="B9861" t="str">
        <f>HYPERLINK("https://www.chemistwarehouse.com.au/buy/68776/Revitanail-Sensitive-Pink-14mL"," Revitanail Sensitive Pink 14mL ")</f>
        <v xml:space="preserve"> Revitanail Sensitive Pink 14mL </v>
      </c>
      <c r="C9861" t="s">
        <v>407</v>
      </c>
      <c r="D9861" t="s">
        <v>376</v>
      </c>
    </row>
    <row r="9862" spans="1:4" x14ac:dyDescent="0.25">
      <c r="B9862" t="str">
        <f>HYPERLINK("https://www.chemistwarehouse.com.au/buy/68851/Revitanail-Conditioning-Remover-Wipes-30-Wipes"," Revitanail Conditioning Remover Wipes 30 Wipes")</f>
        <v xml:space="preserve"> Revitanail Conditioning Remover Wipes 30 Wipes</v>
      </c>
      <c r="C9862" t="s">
        <v>556</v>
      </c>
      <c r="D9862" t="s">
        <v>147</v>
      </c>
    </row>
    <row r="9863" spans="1:4" x14ac:dyDescent="0.25">
      <c r="B9863" t="str">
        <f>HYPERLINK("https://www.chemistwarehouse.com.au/buy/68852/Revitanail-Keratin-Strengthening-Serum-30ml"," Revitanail Keratin Strengthening Serum 30ml")</f>
        <v xml:space="preserve"> Revitanail Keratin Strengthening Serum 30ml</v>
      </c>
      <c r="C9863" t="s">
        <v>407</v>
      </c>
      <c r="D9863" t="s">
        <v>376</v>
      </c>
    </row>
    <row r="9864" spans="1:4" x14ac:dyDescent="0.25">
      <c r="B9864" t="str">
        <f>HYPERLINK("https://www.chemistwarehouse.com.au/buy/68854/Revitanail-Stop-Bite-And-Protect-14ml"," Revitanail Stop Bite And Protect 14ml")</f>
        <v xml:space="preserve"> Revitanail Stop Bite And Protect 14ml</v>
      </c>
      <c r="C9864" t="s">
        <v>237</v>
      </c>
      <c r="D9864" t="s">
        <v>454</v>
      </c>
    </row>
    <row r="9865" spans="1:4" x14ac:dyDescent="0.25">
      <c r="B9865" t="str">
        <f>HYPERLINK("https://www.chemistwarehouse.com.au/buy/63628/Vaseline-Hand-and-Nail-Cream-75ml"," Vaseline Hand and Nail Cream 75ml")</f>
        <v xml:space="preserve"> Vaseline Hand and Nail Cream 75ml</v>
      </c>
      <c r="C9865" t="s">
        <v>146</v>
      </c>
      <c r="D9865">
        <v>0</v>
      </c>
    </row>
    <row r="9866" spans="1:4" x14ac:dyDescent="0.25">
      <c r="B9866" t="str">
        <f>HYPERLINK("https://www.chemistwarehouse.com.au/buy/65767/Swan-Nail-Polish-Remover-236ml"," Swan Nail Polish Remover 236ml")</f>
        <v xml:space="preserve"> Swan Nail Polish Remover 236ml</v>
      </c>
      <c r="C9866" t="s">
        <v>635</v>
      </c>
      <c r="D9866">
        <v>0</v>
      </c>
    </row>
    <row r="9867" spans="1:4" x14ac:dyDescent="0.25">
      <c r="B9867" t="str">
        <f>HYPERLINK("https://www.chemistwarehouse.com.au/buy/52340/Cutex-Nail-Polish-Remover-Strengthening-100mL"," Cutex Nail Polish Remover Strengthening 100mL")</f>
        <v xml:space="preserve"> Cutex Nail Polish Remover Strengthening 100mL</v>
      </c>
      <c r="C9867" t="s">
        <v>728</v>
      </c>
      <c r="D9867" t="s">
        <v>1434</v>
      </c>
    </row>
    <row r="9868" spans="1:4" x14ac:dyDescent="0.25">
      <c r="B9868" t="str">
        <f>HYPERLINK("https://www.chemistwarehouse.com.au/buy/81242/Cutex-Quick-N-Go-Peach-P"," Cutex Quick N Go Peach P")</f>
        <v xml:space="preserve"> Cutex Quick N Go Peach P</v>
      </c>
      <c r="C9868" t="s">
        <v>146</v>
      </c>
      <c r="D9868">
        <v>0</v>
      </c>
    </row>
    <row r="9869" spans="1:4" x14ac:dyDescent="0.25">
      <c r="B9869" t="str">
        <f>HYPERLINK("https://www.chemistwarehouse.com.au/buy/81243/Cutex-Quick-N-Go-Night-Run"," Cutex Quick N Go Night Run")</f>
        <v xml:space="preserve"> Cutex Quick N Go Night Run</v>
      </c>
      <c r="C9869" t="s">
        <v>146</v>
      </c>
      <c r="D9869">
        <v>0</v>
      </c>
    </row>
    <row r="9870" spans="1:4" x14ac:dyDescent="0.25">
      <c r="A9870" t="s">
        <v>2061</v>
      </c>
    </row>
    <row r="9871" spans="1:4" x14ac:dyDescent="0.25">
      <c r="B9871" t="str">
        <f>HYPERLINK("https://www.chemistwarehouse.com.au/buy/64486/Palmolive-Shower-Gel-Hydrating-1Litre"," Palmolive Shower Gel Hydrating 1Litre ")</f>
        <v xml:space="preserve"> Palmolive Shower Gel Hydrating 1Litre </v>
      </c>
      <c r="C9871" t="s">
        <v>92</v>
      </c>
      <c r="D9871" t="s">
        <v>115</v>
      </c>
    </row>
    <row r="9872" spans="1:4" x14ac:dyDescent="0.25">
      <c r="B9872" t="str">
        <f>HYPERLINK("https://www.chemistwarehouse.com.au/buy/75810/Radox-Feel-Energised-With-Keylime-and-Peppermint-Shower-Gel-250ml"," Radox Feel Energised With Keylime and Peppermint Shower Gel 250ml")</f>
        <v xml:space="preserve"> Radox Feel Energised With Keylime and Peppermint Shower Gel 250ml</v>
      </c>
      <c r="C9872" t="s">
        <v>728</v>
      </c>
      <c r="D9872" t="s">
        <v>327</v>
      </c>
    </row>
    <row r="9873" spans="2:4" x14ac:dyDescent="0.25">
      <c r="B9873" t="str">
        <f>HYPERLINK("https://www.chemistwarehouse.com.au/buy/56514/Lynx-Black-Shower-Gel-Africa-400ml"," Lynx Black Shower Gel Africa 400ml")</f>
        <v xml:space="preserve"> Lynx Black Shower Gel Africa 400ml</v>
      </c>
      <c r="C9873" t="s">
        <v>146</v>
      </c>
      <c r="D9873" t="s">
        <v>115</v>
      </c>
    </row>
    <row r="9874" spans="2:4" x14ac:dyDescent="0.25">
      <c r="B9874" t="str">
        <f>HYPERLINK("https://www.chemistwarehouse.com.au/buy/63422/Lynx-Shower-Gel-Excite-400ml"," Lynx Shower Gel Excite 400ml")</f>
        <v xml:space="preserve"> Lynx Shower Gel Excite 400ml</v>
      </c>
      <c r="C9874" t="s">
        <v>146</v>
      </c>
      <c r="D9874" t="s">
        <v>115</v>
      </c>
    </row>
    <row r="9875" spans="2:4" x14ac:dyDescent="0.25">
      <c r="B9875" t="str">
        <f>HYPERLINK("https://www.chemistwarehouse.com.au/buy/75950/Palmolive-Shower-Gel-Body-Polish-Passionfruit-400ml"," Palmolive Shower Gel Body Polish Passionfruit 400ml")</f>
        <v xml:space="preserve"> Palmolive Shower Gel Body Polish Passionfruit 400ml</v>
      </c>
      <c r="C9875" t="s">
        <v>775</v>
      </c>
      <c r="D9875" t="s">
        <v>241</v>
      </c>
    </row>
    <row r="9876" spans="2:4" x14ac:dyDescent="0.25">
      <c r="B9876" t="str">
        <f>HYPERLINK("https://www.chemistwarehouse.com.au/buy/75075/Lynx-Shower-Gel-Black-400ml"," Lynx Shower Gel Black 400ml")</f>
        <v xml:space="preserve"> Lynx Shower Gel Black 400ml</v>
      </c>
      <c r="C9876" t="s">
        <v>146</v>
      </c>
      <c r="D9876" t="s">
        <v>115</v>
      </c>
    </row>
    <row r="9877" spans="2:4" x14ac:dyDescent="0.25">
      <c r="B9877" t="str">
        <f>HYPERLINK("https://www.chemistwarehouse.com.au/buy/79617/Palmolive-Naturals-Shower-Gel-Milk-and-Honey-100ml"," Palmolive Naturals Shower Gel Milk and Honey 100ml")</f>
        <v xml:space="preserve"> Palmolive Naturals Shower Gel Milk and Honey 100ml</v>
      </c>
      <c r="C9877" t="s">
        <v>635</v>
      </c>
      <c r="D9877" t="s">
        <v>1328</v>
      </c>
    </row>
    <row r="9878" spans="2:4" x14ac:dyDescent="0.25">
      <c r="B9878" t="str">
        <f>HYPERLINK("https://www.chemistwarehouse.com.au/buy/59218/Bathox-Shower-Gel-500ml-Milk-amp-Honey"," Bathox Shower Gel 500ml Milk &amp; Honey")</f>
        <v xml:space="preserve"> Bathox Shower Gel 500ml Milk &amp; Honey</v>
      </c>
      <c r="C9878" t="s">
        <v>775</v>
      </c>
      <c r="D9878" t="s">
        <v>776</v>
      </c>
    </row>
    <row r="9879" spans="2:4" x14ac:dyDescent="0.25">
      <c r="B9879" t="str">
        <f>HYPERLINK("https://www.chemistwarehouse.com.au/buy/72364/Dettol-ProFresh-Shower-Gel-Fig-Bliss-500ml"," Dettol ProFresh Shower Gel Fig Bliss 500ml")</f>
        <v xml:space="preserve"> Dettol ProFresh Shower Gel Fig Bliss 500ml</v>
      </c>
      <c r="C9879" t="s">
        <v>326</v>
      </c>
      <c r="D9879" t="s">
        <v>781</v>
      </c>
    </row>
    <row r="9880" spans="2:4" x14ac:dyDescent="0.25">
      <c r="B9880" t="str">
        <f>HYPERLINK("https://www.chemistwarehouse.com.au/buy/75813/Radox-Feel-Uplifted-With-Pink-Grapefruit-and-Basil-Shower-Gel-250ml"," Radox Feel Uplifted With Pink Grapefruit and Basil Shower Gel 250ml")</f>
        <v xml:space="preserve"> Radox Feel Uplifted With Pink Grapefruit and Basil Shower Gel 250ml</v>
      </c>
      <c r="C9880" t="s">
        <v>728</v>
      </c>
      <c r="D9880" t="s">
        <v>327</v>
      </c>
    </row>
    <row r="9881" spans="2:4" x14ac:dyDescent="0.25">
      <c r="B9881" t="str">
        <f>HYPERLINK("https://www.chemistwarehouse.com.au/buy/75814/Radox-Feel-Calm-With-Chamomile-and-Jojoba-Oil-Moisturising-Shower-Cream-250ml"," Radox Feel Calm With Chamomile and Jojoba Oil Moisturising Shower Cream 250ml")</f>
        <v xml:space="preserve"> Radox Feel Calm With Chamomile and Jojoba Oil Moisturising Shower Cream 250ml</v>
      </c>
      <c r="C9881" t="s">
        <v>728</v>
      </c>
      <c r="D9881" t="s">
        <v>327</v>
      </c>
    </row>
    <row r="9882" spans="2:4" x14ac:dyDescent="0.25">
      <c r="B9882" t="str">
        <f>HYPERLINK("https://www.chemistwarehouse.com.au/buy/75815/Original-Source-Mint-and-Tea-Tree-Shower-Gel-250ml"," Original Source Mint and Tea Tree Shower Gel 250ml")</f>
        <v xml:space="preserve"> Original Source Mint and Tea Tree Shower Gel 250ml</v>
      </c>
      <c r="C9882" t="s">
        <v>635</v>
      </c>
      <c r="D9882" t="s">
        <v>312</v>
      </c>
    </row>
    <row r="9883" spans="2:4" x14ac:dyDescent="0.25">
      <c r="B9883" t="str">
        <f>HYPERLINK("https://www.chemistwarehouse.com.au/buy/75816/Radox-Feel-Active-With-Lemongrass-and-Sea-Salt-Shower-Gel-250ml"," Radox Feel Active With Lemongrass and Sea Salt Shower Gel 250ml")</f>
        <v xml:space="preserve"> Radox Feel Active With Lemongrass and Sea Salt Shower Gel 250ml</v>
      </c>
      <c r="C9883" t="s">
        <v>728</v>
      </c>
      <c r="D9883" t="s">
        <v>327</v>
      </c>
    </row>
    <row r="9884" spans="2:4" x14ac:dyDescent="0.25">
      <c r="B9884" t="str">
        <f>HYPERLINK("https://www.chemistwarehouse.com.au/buy/75852/Palmolive-Mens-Shower-Gel-Active-1-Litre"," Palmolive Mens Shower Gel Active 1 Litre")</f>
        <v xml:space="preserve"> Palmolive Mens Shower Gel Active 1 Litre</v>
      </c>
      <c r="C9884" t="s">
        <v>92</v>
      </c>
      <c r="D9884" t="s">
        <v>115</v>
      </c>
    </row>
    <row r="9885" spans="2:4" x14ac:dyDescent="0.25">
      <c r="B9885" t="str">
        <f>HYPERLINK("https://www.chemistwarehouse.com.au/buy/75853/Palmolive-Mens-Shower-Gel-Active-500ml"," Palmolive Mens Shower Gel Active 500ml")</f>
        <v xml:space="preserve"> Palmolive Mens Shower Gel Active 500ml</v>
      </c>
      <c r="C9885" t="s">
        <v>146</v>
      </c>
      <c r="D9885" t="s">
        <v>115</v>
      </c>
    </row>
    <row r="9886" spans="2:4" x14ac:dyDescent="0.25">
      <c r="B9886" t="str">
        <f>HYPERLINK("https://www.chemistwarehouse.com.au/buy/75924/Cussons-Pure-Shower-Gel-Super-Zesty-Lemon-Burst-500ml"," Cussons Pure Shower Gel Super Zesty Lemon Burst 500ml")</f>
        <v xml:space="preserve"> Cussons Pure Shower Gel Super Zesty Lemon Burst 500ml</v>
      </c>
      <c r="C9886" t="s">
        <v>146</v>
      </c>
      <c r="D9886">
        <v>0</v>
      </c>
    </row>
    <row r="9887" spans="2:4" x14ac:dyDescent="0.25">
      <c r="B9887" t="str">
        <f>HYPERLINK("https://www.chemistwarehouse.com.au/buy/75943/Original-Source-Coconut-Shower-Gel-250ml"," Original Source Coconut Shower Gel 250ml")</f>
        <v xml:space="preserve"> Original Source Coconut Shower Gel 250ml</v>
      </c>
      <c r="C9887" t="s">
        <v>635</v>
      </c>
      <c r="D9887" t="s">
        <v>312</v>
      </c>
    </row>
    <row r="9888" spans="2:4" x14ac:dyDescent="0.25">
      <c r="B9888" t="str">
        <f>HYPERLINK("https://www.chemistwarehouse.com.au/buy/72365/Dettol-ProFresh-Shower-Gel-Honey-Glow-500ml"," Dettol ProFresh Shower Gel Honey Glow 500ml")</f>
        <v xml:space="preserve"> Dettol ProFresh Shower Gel Honey Glow 500ml</v>
      </c>
      <c r="C9888" t="s">
        <v>326</v>
      </c>
      <c r="D9888" t="s">
        <v>781</v>
      </c>
    </row>
    <row r="9889" spans="1:4" x14ac:dyDescent="0.25">
      <c r="B9889" t="str">
        <f>HYPERLINK("https://www.chemistwarehouse.com.au/buy/72366/Dettol-ProFresh-Shower-Gel-Peach-Burst-500ml"," Dettol ProFresh Shower Gel Peach Burst 500ml")</f>
        <v xml:space="preserve"> Dettol ProFresh Shower Gel Peach Burst 500ml</v>
      </c>
      <c r="C9889" t="s">
        <v>326</v>
      </c>
      <c r="D9889" t="s">
        <v>781</v>
      </c>
    </row>
    <row r="9890" spans="1:4" x14ac:dyDescent="0.25">
      <c r="B9890" t="str">
        <f>HYPERLINK("https://www.chemistwarehouse.com.au/buy/72367/Original-Source-Lime-Shower-Gel-500ml"," Original Source Lime Shower Gel 500ml")</f>
        <v xml:space="preserve"> Original Source Lime Shower Gel 500ml</v>
      </c>
      <c r="C9890" t="s">
        <v>116</v>
      </c>
      <c r="D9890" t="s">
        <v>312</v>
      </c>
    </row>
    <row r="9891" spans="1:4" x14ac:dyDescent="0.25">
      <c r="B9891" t="str">
        <f>HYPERLINK("https://www.chemistwarehouse.com.au/buy/72368/Original-Source-Mint-amp-Tea-Tree-Shower-Gel-500ml"," Original Source Mint &amp; Tea Tree Shower Gel 500ml")</f>
        <v xml:space="preserve"> Original Source Mint &amp; Tea Tree Shower Gel 500ml</v>
      </c>
      <c r="C9891" t="s">
        <v>116</v>
      </c>
      <c r="D9891" t="s">
        <v>312</v>
      </c>
    </row>
    <row r="9892" spans="1:4" x14ac:dyDescent="0.25">
      <c r="B9892" t="str">
        <f>HYPERLINK("https://www.chemistwarehouse.com.au/buy/72369/Original-Source-Vanilla-And-Raspberry-Shower-Gel-500ml"," Original Source Vanilla And Raspberry Shower Gel 500ml")</f>
        <v xml:space="preserve"> Original Source Vanilla And Raspberry Shower Gel 500ml</v>
      </c>
      <c r="C9892" t="s">
        <v>116</v>
      </c>
      <c r="D9892" t="s">
        <v>312</v>
      </c>
    </row>
    <row r="9893" spans="1:4" x14ac:dyDescent="0.25">
      <c r="B9893" t="str">
        <f>HYPERLINK("https://www.chemistwarehouse.com.au/buy/75811/Palmolive-Shower-Gel-Body-Butter-Heavenly-Vanilla-750ml"," Palmolive Shower Gel Body Butter Heavenly Vanilla 750ml")</f>
        <v xml:space="preserve"> Palmolive Shower Gel Body Butter Heavenly Vanilla 750ml</v>
      </c>
      <c r="C9893" t="s">
        <v>32</v>
      </c>
      <c r="D9893" t="s">
        <v>312</v>
      </c>
    </row>
    <row r="9894" spans="1:4" x14ac:dyDescent="0.25">
      <c r="B9894" t="str">
        <f>HYPERLINK("https://www.chemistwarehouse.com.au/buy/75812/Palmolive-Shower-Gel-Body-Butter-Coconut-Scrub-750ml"," Palmolive Shower Gel Body Butter Coconut Scrub 750ml")</f>
        <v xml:space="preserve"> Palmolive Shower Gel Body Butter Coconut Scrub 750ml</v>
      </c>
      <c r="C9894" t="s">
        <v>32</v>
      </c>
      <c r="D9894" t="s">
        <v>312</v>
      </c>
    </row>
    <row r="9895" spans="1:4" x14ac:dyDescent="0.25">
      <c r="A9895" t="s">
        <v>2062</v>
      </c>
    </row>
    <row r="9896" spans="1:4" x14ac:dyDescent="0.25">
      <c r="B9896" t="str">
        <f>HYPERLINK("https://www.chemistwarehouse.com.au/buy/73994/Blue-Stratos-Talc-100g"," Blue Stratos Talc 100g")</f>
        <v xml:space="preserve"> Blue Stratos Talc 100g</v>
      </c>
      <c r="C9896" t="s">
        <v>45</v>
      </c>
      <c r="D9896">
        <v>0</v>
      </c>
    </row>
    <row r="9897" spans="1:4" x14ac:dyDescent="0.25">
      <c r="B9897" t="str">
        <f>HYPERLINK("https://www.chemistwarehouse.com.au/buy/60302/Cussons-Imperial-Leather-Talc-300G-Original"," Cussons Imperial Leather Talc 300G Original")</f>
        <v xml:space="preserve"> Cussons Imperial Leather Talc 300G Original</v>
      </c>
      <c r="C9897" t="s">
        <v>146</v>
      </c>
      <c r="D9897">
        <v>0</v>
      </c>
    </row>
    <row r="9898" spans="1:4" x14ac:dyDescent="0.25">
      <c r="B9898" t="str">
        <f>HYPERLINK("https://www.chemistwarehouse.com.au/buy/44302/Cashmere-Bouquet-Talc-Lavender-250g"," Cashmere Bouquet Talc - Lavender 250g")</f>
        <v xml:space="preserve"> Cashmere Bouquet Talc - Lavender 250g</v>
      </c>
      <c r="C9898" t="s">
        <v>691</v>
      </c>
      <c r="D9898" t="s">
        <v>776</v>
      </c>
    </row>
    <row r="9899" spans="1:4" x14ac:dyDescent="0.25">
      <c r="B9899" t="str">
        <f>HYPERLINK("https://www.chemistwarehouse.com.au/buy/61628/White-Diamonds-Body-Powder-75g"," White Diamonds Body Powder 75g ")</f>
        <v xml:space="preserve"> White Diamonds Body Powder 75g </v>
      </c>
      <c r="C9899" t="s">
        <v>187</v>
      </c>
      <c r="D9899" t="s">
        <v>835</v>
      </c>
    </row>
    <row r="9900" spans="1:4" x14ac:dyDescent="0.25">
      <c r="A9900" t="s">
        <v>2063</v>
      </c>
    </row>
    <row r="9901" spans="1:4" x14ac:dyDescent="0.25">
      <c r="B9901" t="str">
        <f>HYPERLINK("https://www.chemistwarehouse.com.au/buy/78156/My-Beauty-Travel-Kit-with-5-Bottles"," My Beauty Travel Kit with 5 Bottles")</f>
        <v xml:space="preserve"> My Beauty Travel Kit with 5 Bottles</v>
      </c>
      <c r="C9901" t="s">
        <v>103</v>
      </c>
      <c r="D9901">
        <v>0</v>
      </c>
    </row>
    <row r="9902" spans="1:4" x14ac:dyDescent="0.25">
      <c r="B9902" t="str">
        <f>HYPERLINK("https://www.chemistwarehouse.com.au/buy/78281/My-Beauty-Hair-Detangle-Brush"," My Beauty Hair Detangle Brush")</f>
        <v xml:space="preserve"> My Beauty Hair Detangle Brush</v>
      </c>
      <c r="C9902" t="s">
        <v>556</v>
      </c>
      <c r="D9902">
        <v>0</v>
      </c>
    </row>
    <row r="9903" spans="1:4" x14ac:dyDescent="0.25">
      <c r="B9903" t="str">
        <f>HYPERLINK("https://www.chemistwarehouse.com.au/buy/81437/My-Beauty-Tools-Blending-Sponge"," My Beauty Tools Blending Sponge")</f>
        <v xml:space="preserve"> My Beauty Tools Blending Sponge</v>
      </c>
      <c r="C9903" t="s">
        <v>92</v>
      </c>
      <c r="D9903">
        <v>0</v>
      </c>
    </row>
    <row r="9904" spans="1:4" x14ac:dyDescent="0.25">
      <c r="B9904" t="str">
        <f>HYPERLINK("https://www.chemistwarehouse.com.au/buy/81438/My-Beauty-Tools-Blending-Sponge-Shaped-With-Handle"," My Beauty Tools Blending Sponge Shaped With Handle")</f>
        <v xml:space="preserve"> My Beauty Tools Blending Sponge Shaped With Handle</v>
      </c>
      <c r="C9904" t="s">
        <v>103</v>
      </c>
      <c r="D9904">
        <v>0</v>
      </c>
    </row>
    <row r="9905" spans="1:4" x14ac:dyDescent="0.25">
      <c r="B9905" t="str">
        <f>HYPERLINK("https://www.chemistwarehouse.com.au/buy/81439/My-Beauty-Tools-Cosmetic-Applicators-x12"," My Beauty Tools Cosmetic Applicators x12")</f>
        <v xml:space="preserve"> My Beauty Tools Cosmetic Applicators x12</v>
      </c>
      <c r="C9905" t="s">
        <v>103</v>
      </c>
      <c r="D9905">
        <v>0</v>
      </c>
    </row>
    <row r="9906" spans="1:4" x14ac:dyDescent="0.25">
      <c r="B9906" t="str">
        <f>HYPERLINK("https://www.chemistwarehouse.com.au/buy/81440/My-Beauty-Tools-Foundation-Brush-Large"," My Beauty Tools Foundation Brush Large")</f>
        <v xml:space="preserve"> My Beauty Tools Foundation Brush Large</v>
      </c>
      <c r="C9906" t="s">
        <v>92</v>
      </c>
      <c r="D9906">
        <v>0</v>
      </c>
    </row>
    <row r="9907" spans="1:4" x14ac:dyDescent="0.25">
      <c r="B9907" t="str">
        <f>HYPERLINK("https://www.chemistwarehouse.com.au/buy/81520/My-Beauty-Tools-Powder-Brush-Large-Pro"," My Beauty Tools Powder Brush Large Pro")</f>
        <v xml:space="preserve"> My Beauty Tools Powder Brush Large Pro</v>
      </c>
      <c r="C9907" t="s">
        <v>32</v>
      </c>
      <c r="D9907">
        <v>0</v>
      </c>
    </row>
    <row r="9908" spans="1:4" x14ac:dyDescent="0.25">
      <c r="B9908" t="str">
        <f>HYPERLINK("https://www.chemistwarehouse.com.au/buy/81521/My-Beauty-Tools-Blusher-Brush-Small"," My Beauty Tools Blusher Brush Small")</f>
        <v xml:space="preserve"> My Beauty Tools Blusher Brush Small</v>
      </c>
      <c r="C9908" t="s">
        <v>92</v>
      </c>
      <c r="D9908">
        <v>0</v>
      </c>
    </row>
    <row r="9909" spans="1:4" x14ac:dyDescent="0.25">
      <c r="B9909" t="str">
        <f>HYPERLINK("https://www.chemistwarehouse.com.au/buy/81522/My-Beauty-Tools-Double-Ended-Eyebrow-Brush"," My Beauty Tools Double Ended Eyebrow Brush")</f>
        <v xml:space="preserve"> My Beauty Tools Double Ended Eyebrow Brush</v>
      </c>
      <c r="C9909" t="s">
        <v>116</v>
      </c>
      <c r="D9909">
        <v>0</v>
      </c>
    </row>
    <row r="9910" spans="1:4" x14ac:dyDescent="0.25">
      <c r="B9910" t="str">
        <f>HYPERLINK("https://www.chemistwarehouse.com.au/buy/81523/My-Beauty-Tools-Eyeshadow-Brush"," My Beauty Tools Eyeshadow Brush")</f>
        <v xml:space="preserve"> My Beauty Tools Eyeshadow Brush</v>
      </c>
      <c r="C9910" t="s">
        <v>556</v>
      </c>
      <c r="D9910">
        <v>0</v>
      </c>
    </row>
    <row r="9911" spans="1:4" x14ac:dyDescent="0.25">
      <c r="B9911" t="str">
        <f>HYPERLINK("https://www.chemistwarehouse.com.au/buy/82091/My-Beauty-Tools-Cosmetic-Brush-Kit-8-Piece-with-Bag"," My Beauty Tools Cosmetic Brush Kit 8 Piece with Bag")</f>
        <v xml:space="preserve"> My Beauty Tools Cosmetic Brush Kit 8 Piece with Bag</v>
      </c>
      <c r="C9911" t="s">
        <v>1</v>
      </c>
      <c r="D9911">
        <v>0</v>
      </c>
    </row>
    <row r="9912" spans="1:4" x14ac:dyDescent="0.25">
      <c r="B9912" t="str">
        <f>HYPERLINK("https://www.chemistwarehouse.com.au/buy/82363/My-Beauty-Tools-Nit-Comb"," My Beauty Tools Nit Comb")</f>
        <v xml:space="preserve"> My Beauty Tools Nit Comb</v>
      </c>
      <c r="C9912" t="s">
        <v>635</v>
      </c>
      <c r="D9912">
        <v>0</v>
      </c>
    </row>
    <row r="9913" spans="1:4" x14ac:dyDescent="0.25">
      <c r="B9913" t="str">
        <f>HYPERLINK("https://www.chemistwarehouse.com.au/buy/78157/My-Beauty-Travel-Kit-with-Face-Mask"," My Beauty Travel Kit with Face Mask")</f>
        <v xml:space="preserve"> My Beauty Travel Kit with Face Mask</v>
      </c>
      <c r="C9913" t="s">
        <v>103</v>
      </c>
      <c r="D9913">
        <v>0</v>
      </c>
    </row>
    <row r="9914" spans="1:4" x14ac:dyDescent="0.25">
      <c r="B9914" t="str">
        <f>HYPERLINK("https://www.chemistwarehouse.com.au/buy/77874/My-Beauty-Manicure-Set"," My Beauty Manicure Set")</f>
        <v xml:space="preserve"> My Beauty Manicure Set</v>
      </c>
      <c r="C9914" t="s">
        <v>146</v>
      </c>
      <c r="D9914">
        <v>0</v>
      </c>
    </row>
    <row r="9915" spans="1:4" x14ac:dyDescent="0.25">
      <c r="B9915" t="str">
        <f>HYPERLINK("https://www.chemistwarehouse.com.au/buy/77876/My-Beauty-Travel-Kit-Pill-Box"," My Beauty Travel Kit / Pill Box")</f>
        <v xml:space="preserve"> My Beauty Travel Kit / Pill Box</v>
      </c>
      <c r="C9915" t="s">
        <v>103</v>
      </c>
      <c r="D9915">
        <v>0</v>
      </c>
    </row>
    <row r="9916" spans="1:4" x14ac:dyDescent="0.25">
      <c r="A9916" t="s">
        <v>2064</v>
      </c>
    </row>
    <row r="9917" spans="1:4" x14ac:dyDescent="0.25">
      <c r="B9917" t="str">
        <f>HYPERLINK("https://www.chemistwarehouse.com.au/buy/64689/Thursday-Plantation-Walkabout-Insect-Repellent-Roll-On-50mL"," Thursday Plantation Walkabout Insect Repellent Roll-On 50mL")</f>
        <v xml:space="preserve"> Thursday Plantation Walkabout Insect Repellent Roll-On 50mL</v>
      </c>
      <c r="C9917" t="s">
        <v>786</v>
      </c>
      <c r="D9917" t="s">
        <v>1309</v>
      </c>
    </row>
    <row r="9918" spans="1:4" x14ac:dyDescent="0.25">
      <c r="B9918" t="str">
        <f>HYPERLINK("https://www.chemistwarehouse.com.au/buy/31070/Gold-Cross-Calamine-Lotion-200mL"," Gold Cross Calamine Lotion 200mL")</f>
        <v xml:space="preserve"> Gold Cross Calamine Lotion 200mL</v>
      </c>
      <c r="C9918" t="s">
        <v>556</v>
      </c>
      <c r="D9918" t="s">
        <v>371</v>
      </c>
    </row>
    <row r="9919" spans="1:4" x14ac:dyDescent="0.25">
      <c r="A9919" t="s">
        <v>2065</v>
      </c>
    </row>
    <row r="9920" spans="1:4" x14ac:dyDescent="0.25">
      <c r="B9920" t="str">
        <f>HYPERLINK("https://www.chemistwarehouse.com.au/buy/31906/Aerogard-Odourless-Insect-Repellant-135ml-Pump"," Aerogard Odourless Insect Repellant 135ml Pump")</f>
        <v xml:space="preserve"> Aerogard Odourless Insect Repellant 135ml Pump</v>
      </c>
      <c r="C9920" t="s">
        <v>116</v>
      </c>
      <c r="D9920" t="s">
        <v>1451</v>
      </c>
    </row>
    <row r="9921" spans="1:4" x14ac:dyDescent="0.25">
      <c r="B9921" t="str">
        <f>HYPERLINK("https://www.chemistwarehouse.com.au/buy/76924/Aerogard-Heavy-Duty-40-Deet-300g-Aerosol"," Aerogard Heavy Duty 40% Deet 300g Aerosol")</f>
        <v xml:space="preserve"> Aerogard Heavy Duty 40% Deet 300g Aerosol</v>
      </c>
      <c r="C9921" t="s">
        <v>228</v>
      </c>
      <c r="D9921" t="s">
        <v>121</v>
      </c>
    </row>
    <row r="9922" spans="1:4" x14ac:dyDescent="0.25">
      <c r="B9922" t="str">
        <f>HYPERLINK("https://www.chemistwarehouse.com.au/buy/76923/Aerogard-Heavy-Duty-40-Deet-150g-Aerosol"," Aerogard Heavy Duty 40% Deet 150g Aerosol")</f>
        <v xml:space="preserve"> Aerogard Heavy Duty 40% Deet 150g Aerosol</v>
      </c>
      <c r="C9922" t="s">
        <v>32</v>
      </c>
      <c r="D9922" t="s">
        <v>312</v>
      </c>
    </row>
    <row r="9923" spans="1:4" x14ac:dyDescent="0.25">
      <c r="B9923" t="str">
        <f>HYPERLINK("https://www.chemistwarehouse.com.au/buy/31910/Aerogard-Tropical-Strength-Insect-Repellant-150g-Aerosol"," Aerogard Tropical Strength Insect Repellant 150g Aerosol")</f>
        <v xml:space="preserve"> Aerogard Tropical Strength Insect Repellant 150g Aerosol</v>
      </c>
      <c r="C9923" t="s">
        <v>242</v>
      </c>
      <c r="D9923" t="s">
        <v>561</v>
      </c>
    </row>
    <row r="9924" spans="1:4" x14ac:dyDescent="0.25">
      <c r="B9924" t="str">
        <f>HYPERLINK("https://www.chemistwarehouse.com.au/buy/31721/Aerogard-Roll-On-Tropical-Strength-50mL"," Aerogard Roll On Tropical Strength 50mL")</f>
        <v xml:space="preserve"> Aerogard Roll On Tropical Strength 50mL</v>
      </c>
      <c r="C9924" t="s">
        <v>786</v>
      </c>
      <c r="D9924" t="s">
        <v>731</v>
      </c>
    </row>
    <row r="9925" spans="1:4" x14ac:dyDescent="0.25">
      <c r="B9925" t="str">
        <f>HYPERLINK("https://www.chemistwarehouse.com.au/buy/58596/Aerogard-Tropical-Strength-Insect-Repellant-135ml-Pump"," Aerogard Tropical Strength Insect Repellant 135ml Pump ")</f>
        <v xml:space="preserve"> Aerogard Tropical Strength Insect Repellant 135ml Pump </v>
      </c>
      <c r="C9925" t="s">
        <v>116</v>
      </c>
      <c r="D9925" t="s">
        <v>1451</v>
      </c>
    </row>
    <row r="9926" spans="1:4" x14ac:dyDescent="0.25">
      <c r="B9926" t="str">
        <f>HYPERLINK("https://www.chemistwarehouse.com.au/buy/55537/Aerogard-Odourless-Insect-Repellant-175ml-Pump"," Aerogard Odourless Insect Repellant 175ml Pump")</f>
        <v xml:space="preserve"> Aerogard Odourless Insect Repellant 175ml Pump</v>
      </c>
      <c r="C9926" t="s">
        <v>554</v>
      </c>
      <c r="D9926" t="s">
        <v>611</v>
      </c>
    </row>
    <row r="9927" spans="1:4" x14ac:dyDescent="0.25">
      <c r="B9927" t="str">
        <f>HYPERLINK("https://www.chemistwarehouse.com.au/buy/82335/Aerogard-Odourless-Insect-Repellent-250ml-Pump"," Aerogard Odourless Insect Repellent 250ml Pump")</f>
        <v xml:space="preserve"> Aerogard Odourless Insect Repellent 250ml Pump</v>
      </c>
      <c r="C9927" t="s">
        <v>430</v>
      </c>
      <c r="D9927" t="s">
        <v>318</v>
      </c>
    </row>
    <row r="9928" spans="1:4" x14ac:dyDescent="0.25">
      <c r="A9928" t="s">
        <v>2066</v>
      </c>
    </row>
    <row r="9929" spans="1:4" x14ac:dyDescent="0.25">
      <c r="B9929" t="str">
        <f>HYPERLINK("https://www.chemistwarehouse.com.au/buy/32538/Bushman-Heavy-Duty-80-Deet-Insect-Repellent-75g"," Bushman Heavy Duty 80% Deet Insect Repellent 75g")</f>
        <v xml:space="preserve"> Bushman Heavy Duty 80% Deet Insect Repellent 75g</v>
      </c>
      <c r="C9929" t="s">
        <v>32</v>
      </c>
      <c r="D9929" t="s">
        <v>813</v>
      </c>
    </row>
    <row r="9930" spans="1:4" x14ac:dyDescent="0.25">
      <c r="B9930" t="str">
        <f>HYPERLINK("https://www.chemistwarehouse.com.au/buy/64693/Bushman-Heavy-Duty-Insect-Repellent-Aerosol-130g"," Bushman Heavy Duty Insect Repellent Aerosol 130g ")</f>
        <v xml:space="preserve"> Bushman Heavy Duty Insect Repellent Aerosol 130g </v>
      </c>
      <c r="C9930" t="s">
        <v>32</v>
      </c>
      <c r="D9930" t="s">
        <v>150</v>
      </c>
    </row>
    <row r="9931" spans="1:4" x14ac:dyDescent="0.25">
      <c r="B9931" t="str">
        <f>HYPERLINK("https://www.chemistwarehouse.com.au/buy/65109/Bushman-Heavy-Duty-Aerosol-225g"," Bushman Heavy Duty Aerosol 225g")</f>
        <v xml:space="preserve"> Bushman Heavy Duty Aerosol 225g</v>
      </c>
      <c r="C9931" t="s">
        <v>443</v>
      </c>
      <c r="D9931" t="s">
        <v>152</v>
      </c>
    </row>
    <row r="9932" spans="1:4" x14ac:dyDescent="0.25">
      <c r="B9932" t="str">
        <f>HYPERLINK("https://www.chemistwarehouse.com.au/buy/73202/Bushman-Plus-UV-Insect-Repellent-100ml-Pump-Spray"," Bushman Plus UV Insect Repellent 100ml Pump Spray ")</f>
        <v xml:space="preserve"> Bushman Plus UV Insect Repellent 100ml Pump Spray </v>
      </c>
      <c r="C9932" t="s">
        <v>32</v>
      </c>
      <c r="D9932" t="s">
        <v>150</v>
      </c>
    </row>
    <row r="9933" spans="1:4" x14ac:dyDescent="0.25">
      <c r="B9933" t="str">
        <f>HYPERLINK("https://www.chemistwarehouse.com.au/buy/76922/Bushman-Roll-On-65g"," Bushman Roll On 65g")</f>
        <v xml:space="preserve"> Bushman Roll On 65g</v>
      </c>
      <c r="C9933" t="s">
        <v>116</v>
      </c>
      <c r="D9933" t="s">
        <v>593</v>
      </c>
    </row>
    <row r="9934" spans="1:4" x14ac:dyDescent="0.25">
      <c r="B9934" t="str">
        <f>HYPERLINK("https://www.chemistwarehouse.com.au/buy/32537/Bushman-Plus-UV-Insect-Repellent-Gel-75ml"," Bushman Plus UV Insect Repellent Gel 75ml ")</f>
        <v xml:space="preserve"> Bushman Plus UV Insect Repellent Gel 75ml </v>
      </c>
      <c r="C9934" t="s">
        <v>317</v>
      </c>
      <c r="D9934" t="s">
        <v>682</v>
      </c>
    </row>
    <row r="9935" spans="1:4" x14ac:dyDescent="0.25">
      <c r="B9935" t="str">
        <f>HYPERLINK("https://www.chemistwarehouse.com.au/buy/64694/Bushman-Heavy-Duty-Insect-Repellent-Aerosol-60g"," Bushman Heavy Duty Insect Repellent Aerosol 60g")</f>
        <v xml:space="preserve"> Bushman Heavy Duty Insect Repellent Aerosol 60g</v>
      </c>
      <c r="C9935" t="s">
        <v>554</v>
      </c>
      <c r="D9935" t="s">
        <v>1870</v>
      </c>
    </row>
    <row r="9936" spans="1:4" x14ac:dyDescent="0.25">
      <c r="B9936" t="str">
        <f>HYPERLINK("https://www.chemistwarehouse.com.au/buy/32539/Bushman-Plus-20-Deet-Insect-Repellent-Aerosol-150g"," Bushman Plus 20% Deet Insect Repellent Aerosol 150g")</f>
        <v xml:space="preserve"> Bushman Plus 20% Deet Insect Repellent Aerosol 150g</v>
      </c>
      <c r="C9936" t="s">
        <v>324</v>
      </c>
      <c r="D9936" t="s">
        <v>1309</v>
      </c>
    </row>
    <row r="9937" spans="1:4" x14ac:dyDescent="0.25">
      <c r="B9937" t="str">
        <f>HYPERLINK("https://www.chemistwarehouse.com.au/buy/64678/Bushman-Plus-UV-Insect-Repellent-Aerosol-50g"," Bushman Plus UV Insect Repellent Aerosol 50g")</f>
        <v xml:space="preserve"> Bushman Plus UV Insect Repellent Aerosol 50g</v>
      </c>
      <c r="C9937" t="s">
        <v>610</v>
      </c>
      <c r="D9937" t="s">
        <v>1870</v>
      </c>
    </row>
    <row r="9938" spans="1:4" x14ac:dyDescent="0.25">
      <c r="A9938" t="s">
        <v>2067</v>
      </c>
    </row>
    <row r="9939" spans="1:4" x14ac:dyDescent="0.25">
      <c r="B9939" t="str">
        <f>HYPERLINK("https://www.chemistwarehouse.com.au/buy/76859/RID-Medicated-Repellent-500ml-Lotion"," RID Medicated Repellent 500ml Lotion ")</f>
        <v xml:space="preserve"> RID Medicated Repellent 500ml Lotion </v>
      </c>
      <c r="C9939" t="s">
        <v>61</v>
      </c>
      <c r="D9939" t="s">
        <v>115</v>
      </c>
    </row>
    <row r="9940" spans="1:4" x14ac:dyDescent="0.25">
      <c r="B9940" t="str">
        <f>HYPERLINK("https://www.chemistwarehouse.com.au/buy/76860/RID-Medicated-Repellent-Aerosol-100g"," RID Medicated Repellent Aerosol 100g")</f>
        <v xml:space="preserve"> RID Medicated Repellent Aerosol 100g</v>
      </c>
      <c r="C9940" t="s">
        <v>375</v>
      </c>
      <c r="D9940" t="s">
        <v>611</v>
      </c>
    </row>
    <row r="9941" spans="1:4" x14ac:dyDescent="0.25">
      <c r="B9941" t="str">
        <f>HYPERLINK("https://www.chemistwarehouse.com.au/buy/37136/RID-Medicated-Insect-Repellant-Tropical-Strength-Roll-On-100mL"," RID Medicated Insect Repellant Tropical Strength Roll On 100mL")</f>
        <v xml:space="preserve"> RID Medicated Insect Repellant Tropical Strength Roll On 100mL</v>
      </c>
      <c r="C9941" t="s">
        <v>782</v>
      </c>
      <c r="D9941" t="s">
        <v>776</v>
      </c>
    </row>
    <row r="9942" spans="1:4" x14ac:dyDescent="0.25">
      <c r="B9942" t="str">
        <f>HYPERLINK("https://www.chemistwarehouse.com.au/buy/64670/RID-Medicated-Insect-Repellant-Tropical-100ml-Pump-Spray"," RID Medicated Insect Repellant Tropical 100ml Pump Spray")</f>
        <v xml:space="preserve"> RID Medicated Insect Repellant Tropical 100ml Pump Spray</v>
      </c>
      <c r="C9942" t="s">
        <v>782</v>
      </c>
      <c r="D9942" t="s">
        <v>776</v>
      </c>
    </row>
    <row r="9943" spans="1:4" x14ac:dyDescent="0.25">
      <c r="B9943" t="str">
        <f>HYPERLINK("https://www.chemistwarehouse.com.au/buy/37127/RID-Medicated-Insect-Repellant-Tropical-Strength-150g"," RID Medicated Insect Repellant Tropical Strength 150g")</f>
        <v xml:space="preserve"> RID Medicated Insect Repellant Tropical Strength 150g</v>
      </c>
      <c r="C9943" t="s">
        <v>782</v>
      </c>
      <c r="D9943" t="s">
        <v>776</v>
      </c>
    </row>
    <row r="9944" spans="1:4" x14ac:dyDescent="0.25">
      <c r="B9944" t="str">
        <f>HYPERLINK("https://www.chemistwarehouse.com.au/buy/76861/RID-Medicated-Repellent-50ml-Roll-On"," RID Medicated Repellent 50ml Roll On")</f>
        <v xml:space="preserve"> RID Medicated Repellent 50ml Roll On</v>
      </c>
      <c r="C9944" t="s">
        <v>556</v>
      </c>
      <c r="D9944" t="s">
        <v>371</v>
      </c>
    </row>
    <row r="9945" spans="1:4" x14ac:dyDescent="0.25">
      <c r="B9945" t="str">
        <f>HYPERLINK("https://www.chemistwarehouse.com.au/buy/80262/Rid-Insect-Repellent-SPF50-Sunscreen-Combo-100ml-Lotion"," Rid Insect Repellent SPF50+ Sunscreen Combo 100ml Lotion")</f>
        <v xml:space="preserve"> Rid Insect Repellent SPF50+ Sunscreen Combo 100ml Lotion</v>
      </c>
      <c r="C9945" t="s">
        <v>45</v>
      </c>
      <c r="D9945" t="s">
        <v>312</v>
      </c>
    </row>
    <row r="9946" spans="1:4" x14ac:dyDescent="0.25">
      <c r="B9946" t="str">
        <f>HYPERLINK("https://www.chemistwarehouse.com.au/buy/81328/Rid-Medicated-Insect-Repellent-Kids-Antiseptic-50ml-Roll-On"," Rid Medicated Insect Repellent Kids Antiseptic 50ml Roll On")</f>
        <v xml:space="preserve"> Rid Medicated Insect Repellent Kids Antiseptic 50ml Roll On</v>
      </c>
      <c r="C9946" t="s">
        <v>120</v>
      </c>
      <c r="D9946" t="s">
        <v>1763</v>
      </c>
    </row>
    <row r="9947" spans="1:4" x14ac:dyDescent="0.25">
      <c r="A9947" t="s">
        <v>2068</v>
      </c>
    </row>
    <row r="9948" spans="1:4" x14ac:dyDescent="0.25">
      <c r="B9948" t="str">
        <f>HYPERLINK("https://www.chemistwarehouse.com.au/buy/53488/Ego-Moov-Insect-Repellant-Spray-120ml"," Ego Moov Insect Repellant Spray 120ml")</f>
        <v xml:space="preserve"> Ego Moov Insect Repellant Spray 120ml</v>
      </c>
      <c r="C9948" t="s">
        <v>554</v>
      </c>
      <c r="D9948" t="s">
        <v>2069</v>
      </c>
    </row>
    <row r="9949" spans="1:4" x14ac:dyDescent="0.25">
      <c r="B9949" t="str">
        <f>HYPERLINK("https://www.chemistwarehouse.com.au/buy/58971/Ego-Moov-Insect-Repellant-Roll-On-50ml"," Ego Moov Insect Repellant Roll-On 50ml")</f>
        <v xml:space="preserve"> Ego Moov Insect Repellant Roll-On 50ml</v>
      </c>
      <c r="C9949" t="s">
        <v>610</v>
      </c>
      <c r="D9949" t="s">
        <v>327</v>
      </c>
    </row>
    <row r="9950" spans="1:4" x14ac:dyDescent="0.25">
      <c r="B9950" t="str">
        <f>HYPERLINK("https://www.chemistwarehouse.com.au/buy/60615/Ego-Moov-Insect-Repellant-Gel-100g"," Ego Moov Insect Repellant Gel 100g")</f>
        <v xml:space="preserve"> Ego Moov Insect Repellant Gel 100g</v>
      </c>
      <c r="C9950" t="s">
        <v>554</v>
      </c>
      <c r="D9950" t="s">
        <v>2069</v>
      </c>
    </row>
    <row r="9951" spans="1:4" x14ac:dyDescent="0.25">
      <c r="A9951" t="s">
        <v>2070</v>
      </c>
    </row>
    <row r="9952" spans="1:4" x14ac:dyDescent="0.25">
      <c r="B9952" t="str">
        <f>HYPERLINK("https://www.chemistwarehouse.com.au/buy/51483/Mosquito-Band-2-Pack"," Mosquito Band 2 Pack")</f>
        <v xml:space="preserve"> Mosquito Band 2 Pack</v>
      </c>
      <c r="C9952" t="s">
        <v>92</v>
      </c>
      <c r="D9952" t="s">
        <v>147</v>
      </c>
    </row>
    <row r="9953" spans="1:4" x14ac:dyDescent="0.25">
      <c r="B9953" t="str">
        <f>HYPERLINK("https://www.chemistwarehouse.com.au/buy/64690/Mosquito-Patch-10"," Mosquito Patch 10")</f>
        <v xml:space="preserve"> Mosquito Patch 10</v>
      </c>
      <c r="C9953" t="s">
        <v>240</v>
      </c>
      <c r="D9953" t="s">
        <v>400</v>
      </c>
    </row>
    <row r="9954" spans="1:4" x14ac:dyDescent="0.25">
      <c r="B9954" t="str">
        <f>HYPERLINK("https://www.chemistwarehouse.com.au/buy/80165/Mosquito-Band-Kids-6-Pack"," Mosquito Band Kids 6 Pack")</f>
        <v xml:space="preserve"> Mosquito Band Kids 6 Pack</v>
      </c>
      <c r="C9954" t="s">
        <v>407</v>
      </c>
      <c r="D9954" t="s">
        <v>376</v>
      </c>
    </row>
    <row r="9955" spans="1:4" x14ac:dyDescent="0.25">
      <c r="B9955" t="str">
        <f>HYPERLINK("https://www.chemistwarehouse.com.au/buy/58502/Mosquito-Band-6-Pack"," Mosquito Band 6 Pack")</f>
        <v xml:space="preserve"> Mosquito Band 6 Pack</v>
      </c>
      <c r="C9955" t="s">
        <v>407</v>
      </c>
      <c r="D9955" t="s">
        <v>376</v>
      </c>
    </row>
    <row r="9956" spans="1:4" x14ac:dyDescent="0.25">
      <c r="B9956" t="str">
        <f>HYPERLINK("https://www.chemistwarehouse.com.au/buy/50180/Mosquito-Click-Key-Ring"," Mosquito-Click Key Ring")</f>
        <v xml:space="preserve"> Mosquito-Click Key Ring</v>
      </c>
      <c r="C9956" t="s">
        <v>407</v>
      </c>
      <c r="D9956" t="s">
        <v>376</v>
      </c>
    </row>
    <row r="9957" spans="1:4" x14ac:dyDescent="0.25">
      <c r="B9957" t="str">
        <f>HYPERLINK("https://www.chemistwarehouse.com.au/buy/58133/Mosquito-Repeller"," Mosquito Repeller")</f>
        <v xml:space="preserve"> Mosquito Repeller</v>
      </c>
      <c r="C9957" t="s">
        <v>407</v>
      </c>
      <c r="D9957" t="s">
        <v>376</v>
      </c>
    </row>
    <row r="9958" spans="1:4" x14ac:dyDescent="0.25">
      <c r="B9958" t="str">
        <f>HYPERLINK("https://www.chemistwarehouse.com.au/buy/64692/Mosquito-Band-Night-Glo-2-Pack"," Mosquito Band Night Glo 2 Pack ")</f>
        <v xml:space="preserve"> Mosquito Band Night Glo 2 Pack </v>
      </c>
      <c r="C9958" t="s">
        <v>242</v>
      </c>
      <c r="D9958" t="s">
        <v>400</v>
      </c>
    </row>
    <row r="9959" spans="1:4" x14ac:dyDescent="0.25">
      <c r="B9959" t="str">
        <f>HYPERLINK("https://www.chemistwarehouse.com.au/buy/65424/Mosquito-Band-Kids-Size-2-Pack"," Mosquito Band Kids Size 2 Pack")</f>
        <v xml:space="preserve"> Mosquito Band Kids Size 2 Pack</v>
      </c>
      <c r="C9959" t="s">
        <v>554</v>
      </c>
      <c r="D9959" t="s">
        <v>325</v>
      </c>
    </row>
    <row r="9960" spans="1:4" x14ac:dyDescent="0.25">
      <c r="A9960" t="s">
        <v>2071</v>
      </c>
    </row>
    <row r="9961" spans="1:4" x14ac:dyDescent="0.25">
      <c r="B9961" t="str">
        <f>HYPERLINK("https://www.chemistwarehouse.com.au/buy/80256/Off-Clip-On-Mosquito-Repellent"," Off! Clip On Mosquito Repellent")</f>
        <v xml:space="preserve"> Off! Clip On Mosquito Repellent</v>
      </c>
      <c r="C9961" t="s">
        <v>80</v>
      </c>
      <c r="D9961" t="s">
        <v>115</v>
      </c>
    </row>
    <row r="9962" spans="1:4" x14ac:dyDescent="0.25">
      <c r="B9962" t="str">
        <f>HYPERLINK("https://www.chemistwarehouse.com.au/buy/80257/Off-Clip-On-Mosquito-Repellent-2-Refills"," Off! Clip On Mosquito Repellent 2 Refills")</f>
        <v xml:space="preserve"> Off! Clip On Mosquito Repellent 2 Refills</v>
      </c>
      <c r="C9962" t="s">
        <v>92</v>
      </c>
      <c r="D9962" t="s">
        <v>312</v>
      </c>
    </row>
    <row r="9963" spans="1:4" x14ac:dyDescent="0.25">
      <c r="B9963" t="str">
        <f>HYPERLINK("https://www.chemistwarehouse.com.au/buy/77344/Off-Family-Care-Insect-Repellent-Pump-175g"," Off! Family Care Insect Repellent Pump 175g")</f>
        <v xml:space="preserve"> Off! Family Care Insect Repellent Pump 175g</v>
      </c>
      <c r="C9963" t="s">
        <v>326</v>
      </c>
      <c r="D9963" t="s">
        <v>2072</v>
      </c>
    </row>
    <row r="9964" spans="1:4" x14ac:dyDescent="0.25">
      <c r="B9964" t="str">
        <f>HYPERLINK("https://www.chemistwarehouse.com.au/buy/77345/Off-Family-Care-Insect-Repellent-Spray-150g"," Off! Family Care Insect Repellent Spray 150g")</f>
        <v xml:space="preserve"> Off! Family Care Insect Repellent Spray 150g</v>
      </c>
      <c r="C9964" t="s">
        <v>375</v>
      </c>
      <c r="D9964" t="s">
        <v>1749</v>
      </c>
    </row>
    <row r="9965" spans="1:4" x14ac:dyDescent="0.25">
      <c r="B9965" t="str">
        <f>HYPERLINK("https://www.chemistwarehouse.com.au/buy/77347/Off-Tropical-Strength-Insect-Repellent-Spray-150g"," Off! Tropical Strength Insect Repellent Spray 150g")</f>
        <v xml:space="preserve"> Off! Tropical Strength Insect Repellent Spray 150g</v>
      </c>
      <c r="C9965" t="s">
        <v>326</v>
      </c>
      <c r="D9965" t="s">
        <v>611</v>
      </c>
    </row>
    <row r="9966" spans="1:4" x14ac:dyDescent="0.25">
      <c r="B9966" t="str">
        <f>HYPERLINK("https://www.chemistwarehouse.com.au/buy/77346/Off-Tropical-Strength-Insect-Repellent-Pump-175g"," Off! Tropical Strength Insect Repellent Pump 175g")</f>
        <v xml:space="preserve"> Off! Tropical Strength Insect Repellent Pump 175g</v>
      </c>
      <c r="C9966" t="s">
        <v>375</v>
      </c>
      <c r="D9966" t="s">
        <v>1749</v>
      </c>
    </row>
    <row r="9967" spans="1:4" x14ac:dyDescent="0.25">
      <c r="A9967" t="s">
        <v>2073</v>
      </c>
    </row>
    <row r="9968" spans="1:4" x14ac:dyDescent="0.25">
      <c r="B9968" t="str">
        <f>HYPERLINK("https://www.chemistwarehouse.com.au/buy/44407/Gillette-for-Women-Satin-Care-Gel-Sensitive-Skin-195g"," Gillette for Women Satin Care Gel - Sensitive Skin 195g")</f>
        <v xml:space="preserve"> Gillette for Women Satin Care Gel - Sensitive Skin 195g</v>
      </c>
      <c r="C9968" t="s">
        <v>116</v>
      </c>
      <c r="D9968" t="s">
        <v>1870</v>
      </c>
    </row>
    <row r="9969" spans="1:4" x14ac:dyDescent="0.25">
      <c r="B9969" t="str">
        <f>HYPERLINK("https://www.chemistwarehouse.com.au/buy/63433/Gillette-Satin-Care-Shave-Gel-Wild-Berry-195g"," Gillette Satin Care Shave Gel Wild Berry 195g")</f>
        <v xml:space="preserve"> Gillette Satin Care Shave Gel Wild Berry 195g</v>
      </c>
      <c r="C9969" t="s">
        <v>116</v>
      </c>
      <c r="D9969" t="s">
        <v>1870</v>
      </c>
    </row>
    <row r="9970" spans="1:4" x14ac:dyDescent="0.25">
      <c r="B9970" t="str">
        <f>HYPERLINK("https://www.chemistwarehouse.com.au/buy/76308/Gillette-Satin-Care-Swirl-Shave-Gel-195g"," Gillette Satin Care Swirl Shave Gel 195g")</f>
        <v xml:space="preserve"> Gillette Satin Care Swirl Shave Gel 195g</v>
      </c>
      <c r="C9970" t="s">
        <v>554</v>
      </c>
      <c r="D9970" t="s">
        <v>611</v>
      </c>
    </row>
    <row r="9971" spans="1:4" x14ac:dyDescent="0.25">
      <c r="A9971" t="s">
        <v>2074</v>
      </c>
    </row>
    <row r="9972" spans="1:4" x14ac:dyDescent="0.25">
      <c r="B9972" t="str">
        <f>HYPERLINK("https://www.chemistwarehouse.com.au/buy/63444/Gillette-Venus-Spa-Shaving-Blades-Refill-4-Pack"," Gillette Venus Spa Shaving Blades Refill 4 Pack")</f>
        <v xml:space="preserve"> Gillette Venus Spa Shaving Blades Refill 4 Pack</v>
      </c>
      <c r="C9972" t="s">
        <v>61</v>
      </c>
      <c r="D9972" t="s">
        <v>115</v>
      </c>
    </row>
    <row r="9973" spans="1:4" x14ac:dyDescent="0.25">
      <c r="B9973" t="str">
        <f>HYPERLINK("https://www.chemistwarehouse.com.au/buy/73611/Gillette-Venus-Embrace-Sensitive-Cartridge-4-Pack"," Gillette Venus Embrace Sensitive Cartridge 4 Pack")</f>
        <v xml:space="preserve"> Gillette Venus Embrace Sensitive Cartridge 4 Pack</v>
      </c>
      <c r="C9973" t="s">
        <v>495</v>
      </c>
      <c r="D9973" t="s">
        <v>152</v>
      </c>
    </row>
    <row r="9974" spans="1:4" x14ac:dyDescent="0.25">
      <c r="B9974" t="str">
        <f>HYPERLINK("https://www.chemistwarehouse.com.au/buy/66696/Gillette-Venus-amp-Olay-Cartridge-3-Pack"," Gillette Venus &amp; Olay Cartridge 3 Pack")</f>
        <v xml:space="preserve"> Gillette Venus &amp; Olay Cartridge 3 Pack</v>
      </c>
      <c r="C9974" t="s">
        <v>61</v>
      </c>
      <c r="D9974" t="s">
        <v>115</v>
      </c>
    </row>
    <row r="9975" spans="1:4" x14ac:dyDescent="0.25">
      <c r="B9975" t="str">
        <f>HYPERLINK("https://www.chemistwarehouse.com.au/buy/51963/Gillette-Venus-Breeze-Cart-4-Pack"," Gillette Venus Breeze Cart 4 Pack")</f>
        <v xml:space="preserve"> Gillette Venus Breeze Cart 4 Pack</v>
      </c>
      <c r="C9975" t="s">
        <v>61</v>
      </c>
      <c r="D9975" t="s">
        <v>115</v>
      </c>
    </row>
    <row r="9976" spans="1:4" x14ac:dyDescent="0.25">
      <c r="B9976" t="str">
        <f>HYPERLINK("https://www.chemistwarehouse.com.au/buy/58040/Gillette-Venus-Spa-Breeze-Razor"," Gillette Venus Spa Breeze Razor")</f>
        <v xml:space="preserve"> Gillette Venus Spa Breeze Razor</v>
      </c>
      <c r="C9976" t="s">
        <v>212</v>
      </c>
      <c r="D9976" t="s">
        <v>318</v>
      </c>
    </row>
    <row r="9977" spans="1:4" x14ac:dyDescent="0.25">
      <c r="B9977" t="str">
        <f>HYPERLINK("https://www.chemistwarehouse.com.au/buy/61188/Gillette-Venus-Tropical-Disposable-3-Pack"," Gillette Venus Tropical Disposable 3 Pack")</f>
        <v xml:space="preserve"> Gillette Venus Tropical Disposable 3 Pack</v>
      </c>
      <c r="C9977" t="s">
        <v>92</v>
      </c>
      <c r="D9977" t="s">
        <v>291</v>
      </c>
    </row>
    <row r="9978" spans="1:4" x14ac:dyDescent="0.25">
      <c r="B9978" t="str">
        <f>HYPERLINK("https://www.chemistwarehouse.com.au/buy/61189/Gillette-Venus-Sensitive-Disposable-3-Pack"," Gillette Venus Sensitive Disposable 3 Pack")</f>
        <v xml:space="preserve"> Gillette Venus Sensitive Disposable 3 Pack</v>
      </c>
      <c r="C9978" t="s">
        <v>92</v>
      </c>
      <c r="D9978" t="s">
        <v>1595</v>
      </c>
    </row>
    <row r="9979" spans="1:4" x14ac:dyDescent="0.25">
      <c r="B9979" t="str">
        <f>HYPERLINK("https://www.chemistwarehouse.com.au/buy/61190/Gillette-Venus-Embrace-Pink-Razor"," Gillette Venus Embrace Pink Razor")</f>
        <v xml:space="preserve"> Gillette Venus Embrace Pink Razor</v>
      </c>
      <c r="C9979" t="s">
        <v>228</v>
      </c>
      <c r="D9979" t="s">
        <v>121</v>
      </c>
    </row>
    <row r="9980" spans="1:4" x14ac:dyDescent="0.25">
      <c r="B9980" t="str">
        <f>HYPERLINK("https://www.chemistwarehouse.com.au/buy/63438/Gillette-Venus-Spa-Breeze-Disposable-Razor-2-Pack"," Gillette Venus Spa Breeze Disposable Razor 2 Pack")</f>
        <v xml:space="preserve"> Gillette Venus Spa Breeze Disposable Razor 2 Pack</v>
      </c>
      <c r="C9980" t="s">
        <v>610</v>
      </c>
      <c r="D9980" t="s">
        <v>604</v>
      </c>
    </row>
    <row r="9981" spans="1:4" x14ac:dyDescent="0.25">
      <c r="B9981" t="str">
        <f>HYPERLINK("https://www.chemistwarehouse.com.au/buy/63443/Gillette-Venus-Embrace-Cartridge-4-Pack","  Gillette Venus Embrace Cartridge 4 Pack")</f>
        <v xml:space="preserve">  Gillette Venus Embrace Cartridge 4 Pack</v>
      </c>
      <c r="C9981" t="s">
        <v>495</v>
      </c>
      <c r="D9981" t="s">
        <v>152</v>
      </c>
    </row>
    <row r="9982" spans="1:4" x14ac:dyDescent="0.25">
      <c r="B9982" t="str">
        <f>HYPERLINK("https://www.chemistwarehouse.com.au/buy/66697/Gillette-Venus-amp-Olay-Razor"," Gillette Venus &amp; Olay Razor")</f>
        <v xml:space="preserve"> Gillette Venus &amp; Olay Razor</v>
      </c>
      <c r="C9982" t="s">
        <v>32</v>
      </c>
      <c r="D9982" t="s">
        <v>104</v>
      </c>
    </row>
    <row r="9983" spans="1:4" x14ac:dyDescent="0.25">
      <c r="B9983" t="str">
        <f>HYPERLINK("https://www.chemistwarehouse.com.au/buy/73612/Gillette-Venus-Embrace-Sensitive-Razor"," Gillette Venus Embrace Sensitive Razor")</f>
        <v xml:space="preserve"> Gillette Venus Embrace Sensitive Razor</v>
      </c>
      <c r="C9983" t="s">
        <v>228</v>
      </c>
      <c r="D9983" t="s">
        <v>121</v>
      </c>
    </row>
    <row r="9984" spans="1:4" x14ac:dyDescent="0.25">
      <c r="B9984" t="str">
        <f>HYPERLINK("https://www.chemistwarehouse.com.au/buy/73743/Gillette-Venus-Embrace-Snap-Razor"," Gillette Venus Embrace Snap Razor")</f>
        <v xml:space="preserve"> Gillette Venus Embrace Snap Razor</v>
      </c>
      <c r="C9984" t="s">
        <v>228</v>
      </c>
      <c r="D9984" t="s">
        <v>121</v>
      </c>
    </row>
    <row r="9985" spans="1:4" x14ac:dyDescent="0.25">
      <c r="B9985" t="str">
        <f>HYPERLINK("https://www.chemistwarehouse.com.au/buy/73744/Gillette-Daisy-3-4-Pack"," Gillette Daisy 3 4 Pack")</f>
        <v xml:space="preserve"> Gillette Daisy 3 4 Pack</v>
      </c>
      <c r="C9985" t="s">
        <v>483</v>
      </c>
      <c r="D9985" t="s">
        <v>312</v>
      </c>
    </row>
    <row r="9986" spans="1:4" x14ac:dyDescent="0.25">
      <c r="B9986" t="str">
        <f>HYPERLINK("https://www.chemistwarehouse.com.au/buy/73745/Gillette-Daisy-Classic-Disposable-5-Pack"," Gillette Daisy Classic Disposable 5 Pack")</f>
        <v xml:space="preserve"> Gillette Daisy Classic Disposable 5 Pack</v>
      </c>
      <c r="C9986" t="s">
        <v>146</v>
      </c>
      <c r="D9986" t="s">
        <v>624</v>
      </c>
    </row>
    <row r="9987" spans="1:4" x14ac:dyDescent="0.25">
      <c r="B9987" t="str">
        <f>HYPERLINK("https://www.chemistwarehouse.com.au/buy/73746/Gillette-Venus-Embrace-Disposable-2-Pack"," Gillette Venus Embrace Disposable 2 Pack")</f>
        <v xml:space="preserve"> Gillette Venus Embrace Disposable 2 Pack</v>
      </c>
      <c r="C9987" t="s">
        <v>240</v>
      </c>
      <c r="D9987" t="s">
        <v>593</v>
      </c>
    </row>
    <row r="9988" spans="1:4" x14ac:dyDescent="0.25">
      <c r="B9988" t="str">
        <f>HYPERLINK("https://www.chemistwarehouse.com.au/buy/76309/Gillette-Simply-Venus-Hybrid-Razor-4Up"," Gillette Simply Venus Hybrid Razor 4Up")</f>
        <v xml:space="preserve"> Gillette Simply Venus Hybrid Razor 4Up</v>
      </c>
      <c r="C9988" t="s">
        <v>786</v>
      </c>
      <c r="D9988" t="s">
        <v>318</v>
      </c>
    </row>
    <row r="9989" spans="1:4" x14ac:dyDescent="0.25">
      <c r="B9989" t="str">
        <f>HYPERLINK("https://www.chemistwarehouse.com.au/buy/76310/Gillette-Venus-Swirl-Cartridge-4-Pack"," Gillette Venus Swirl Cartridge 4 Pack")</f>
        <v xml:space="preserve"> Gillette Venus Swirl Cartridge 4 Pack</v>
      </c>
      <c r="C9989" t="s">
        <v>153</v>
      </c>
      <c r="D9989" t="s">
        <v>104</v>
      </c>
    </row>
    <row r="9990" spans="1:4" x14ac:dyDescent="0.25">
      <c r="B9990" t="str">
        <f>HYPERLINK("https://www.chemistwarehouse.com.au/buy/76311/Gillette-Venus-Swirl-Razor-2-Up"," Gillette Venus Swirl Razor 2 Up")</f>
        <v xml:space="preserve"> Gillette Venus Swirl Razor 2 Up</v>
      </c>
      <c r="C9990" t="s">
        <v>202</v>
      </c>
      <c r="D9990" t="s">
        <v>64</v>
      </c>
    </row>
    <row r="9991" spans="1:4" x14ac:dyDescent="0.25">
      <c r="B9991" t="str">
        <f>HYPERLINK("https://www.chemistwarehouse.com.au/buy/69025/Gillette-Venus-amp-Olay-Sugarberry-Cartridge-3-Pack"," Gillette Venus &amp; Olay Sugarberry Cartridge 3 Pack")</f>
        <v xml:space="preserve"> Gillette Venus &amp; Olay Sugarberry Cartridge 3 Pack</v>
      </c>
      <c r="C9991" t="s">
        <v>61</v>
      </c>
      <c r="D9991" t="s">
        <v>115</v>
      </c>
    </row>
    <row r="9992" spans="1:4" x14ac:dyDescent="0.25">
      <c r="B9992" t="str">
        <f>HYPERLINK("https://www.chemistwarehouse.com.au/buy/69026/Gillette-Venus-amp-Olay-Sugarberry-Razor"," Gillette Venus &amp; Olay Sugarberry Razor")</f>
        <v xml:space="preserve"> Gillette Venus &amp; Olay Sugarberry Razor</v>
      </c>
      <c r="C9992" t="s">
        <v>32</v>
      </c>
      <c r="D9992" t="s">
        <v>104</v>
      </c>
    </row>
    <row r="9993" spans="1:4" x14ac:dyDescent="0.25">
      <c r="B9993" t="str">
        <f>HYPERLINK("https://www.chemistwarehouse.com.au/buy/42696/Gillette-Venus-Shaving-Blades-Refill-4-Pack"," Gillette Venus Shaving Blades Refill 4 Pack")</f>
        <v xml:space="preserve"> Gillette Venus Shaving Blades Refill 4 Pack</v>
      </c>
      <c r="C9993" t="s">
        <v>237</v>
      </c>
      <c r="D9993" t="s">
        <v>281</v>
      </c>
    </row>
    <row r="9994" spans="1:4" x14ac:dyDescent="0.25">
      <c r="B9994" t="str">
        <f>HYPERLINK("https://www.chemistwarehouse.com.au/buy/67187/Gillette-Venus-Razor-1-Cartridge"," Gillette Venus Razor 1 Cartridge")</f>
        <v xml:space="preserve"> Gillette Venus Razor 1 Cartridge</v>
      </c>
      <c r="C9994" t="s">
        <v>326</v>
      </c>
      <c r="D9994" t="s">
        <v>121</v>
      </c>
    </row>
    <row r="9995" spans="1:4" x14ac:dyDescent="0.25">
      <c r="B9995" t="str">
        <f>HYPERLINK("https://www.chemistwarehouse.com.au/buy/81913/Gillette-Simply-Venus-Disposable-Razor-4-Pack"," Gillette Simply Venus Disposable Razor 4 Pack")</f>
        <v xml:space="preserve"> Gillette Simply Venus Disposable Razor 4 Pack</v>
      </c>
      <c r="C9995" t="s">
        <v>146</v>
      </c>
      <c r="D9995">
        <v>0</v>
      </c>
    </row>
    <row r="9996" spans="1:4" x14ac:dyDescent="0.25">
      <c r="A9996" t="s">
        <v>2075</v>
      </c>
    </row>
    <row r="9997" spans="1:4" x14ac:dyDescent="0.25">
      <c r="B9997" t="str">
        <f>HYPERLINK("https://www.chemistwarehouse.com.au/buy/80167/Schick-Xtreme-3-Women-Sensitive-4-Disposable-Razors"," Schick Xtreme 3 Women Sensitive 4 Disposable Razors ")</f>
        <v xml:space="preserve"> Schick Xtreme 3 Women Sensitive 4 Disposable Razors </v>
      </c>
      <c r="C9997" t="s">
        <v>483</v>
      </c>
      <c r="D9997" t="s">
        <v>371</v>
      </c>
    </row>
    <row r="9998" spans="1:4" x14ac:dyDescent="0.25">
      <c r="B9998" t="str">
        <f>HYPERLINK("https://www.chemistwarehouse.com.au/buy/66437/Schick-Hydro-Silk-Blades-4-pack"," Schick Hydro Silk Blades 4 pack")</f>
        <v xml:space="preserve"> Schick Hydro Silk Blades 4 pack</v>
      </c>
      <c r="C9998" t="s">
        <v>269</v>
      </c>
      <c r="D9998" t="s">
        <v>796</v>
      </c>
    </row>
    <row r="9999" spans="1:4" x14ac:dyDescent="0.25">
      <c r="B9999" t="str">
        <f>HYPERLINK("https://www.chemistwarehouse.com.au/buy/76312/Schick-Hydro-Silk-Trimstyle-Kit"," Schick Hydro Silk Trimstyle Kit")</f>
        <v xml:space="preserve"> Schick Hydro Silk Trimstyle Kit</v>
      </c>
      <c r="C9999" t="s">
        <v>61</v>
      </c>
      <c r="D9999" t="s">
        <v>162</v>
      </c>
    </row>
    <row r="10000" spans="1:4" x14ac:dyDescent="0.25">
      <c r="A10000" t="s">
        <v>2076</v>
      </c>
    </row>
    <row r="10001" spans="1:4" x14ac:dyDescent="0.25">
      <c r="B10001" t="str">
        <f>HYPERLINK("https://www.chemistwarehouse.com.au/buy/67865/Depend-Real-Fit-Underwear-Female-X-Large-8"," Depend Real Fit Underwear Female X Large 8")</f>
        <v xml:space="preserve"> Depend Real Fit Underwear Female X Large 8</v>
      </c>
      <c r="C10001" t="s">
        <v>80</v>
      </c>
      <c r="D10001" t="s">
        <v>371</v>
      </c>
    </row>
    <row r="10002" spans="1:4" x14ac:dyDescent="0.25">
      <c r="B10002" t="str">
        <f>HYPERLINK("https://www.chemistwarehouse.com.au/buy/52601/Depend-Undergarments-with-Buttons-16-Pack"," Depend Undergarments with Buttons 16 Pack")</f>
        <v xml:space="preserve"> Depend Undergarments with Buttons 16 Pack</v>
      </c>
      <c r="C10002" t="s">
        <v>98</v>
      </c>
      <c r="D10002" t="s">
        <v>454</v>
      </c>
    </row>
    <row r="10003" spans="1:4" x14ac:dyDescent="0.25">
      <c r="B10003" t="str">
        <f>HYPERLINK("https://www.chemistwarehouse.com.au/buy/73932/Depend-Women-Real-Fit-Underwear-8-Medium"," Depend Women Real Fit Underwear 8 Medium ")</f>
        <v xml:space="preserve"> Depend Women Real Fit Underwear 8 Medium </v>
      </c>
      <c r="C10003" t="s">
        <v>80</v>
      </c>
      <c r="D10003" t="s">
        <v>371</v>
      </c>
    </row>
    <row r="10004" spans="1:4" x14ac:dyDescent="0.25">
      <c r="B10004" t="str">
        <f>HYPERLINK("https://www.chemistwarehouse.com.au/buy/67862/Depend-Real-Fit-Underwear-Male-Large-8"," Depend Real Fit Underwear Male Large 8")</f>
        <v xml:space="preserve"> Depend Real Fit Underwear Male Large 8</v>
      </c>
      <c r="C10004" t="s">
        <v>237</v>
      </c>
      <c r="D10004" t="s">
        <v>371</v>
      </c>
    </row>
    <row r="10005" spans="1:4" x14ac:dyDescent="0.25">
      <c r="B10005" t="str">
        <f>HYPERLINK("https://www.chemistwarehouse.com.au/buy/78437/Depend-Women-Real-Fit-Underwear-Super-Medium-8-Pack"," Depend Women Real Fit Underwear Super Medium 8 Pack")</f>
        <v xml:space="preserve"> Depend Women Real Fit Underwear Super Medium 8 Pack</v>
      </c>
      <c r="C10005" t="s">
        <v>58</v>
      </c>
      <c r="D10005" t="s">
        <v>371</v>
      </c>
    </row>
    <row r="10006" spans="1:4" x14ac:dyDescent="0.25">
      <c r="B10006" t="str">
        <f>HYPERLINK("https://www.chemistwarehouse.com.au/buy/73931/Depend-Women-Real-Fit-Underwear-8-Large"," Depend Women Real Fit Underwear 8 Large")</f>
        <v xml:space="preserve"> Depend Women Real Fit Underwear 8 Large</v>
      </c>
      <c r="C10006" t="s">
        <v>80</v>
      </c>
      <c r="D10006" t="s">
        <v>371</v>
      </c>
    </row>
    <row r="10007" spans="1:4" x14ac:dyDescent="0.25">
      <c r="B10007" t="str">
        <f>HYPERLINK("https://www.chemistwarehouse.com.au/buy/61532/Depend-Guards-for-Men-One-Size-Fits-All-12-Pack"," Depend Guards for Men One Size Fits All 12 Pack")</f>
        <v xml:space="preserve"> Depend Guards for Men One Size Fits All 12 Pack</v>
      </c>
      <c r="C10007" t="s">
        <v>103</v>
      </c>
      <c r="D10007" t="s">
        <v>727</v>
      </c>
    </row>
    <row r="10008" spans="1:4" x14ac:dyDescent="0.25">
      <c r="B10008" t="str">
        <f>HYPERLINK("https://www.chemistwarehouse.com.au/buy/78438/Depend-Women-Real-Fit-Underwear-Super-Large-8-Pack"," Depend Women Real Fit Underwear Super Large 8 Pack")</f>
        <v xml:space="preserve"> Depend Women Real Fit Underwear Super Large 8 Pack</v>
      </c>
      <c r="C10008" t="s">
        <v>58</v>
      </c>
      <c r="D10008" t="s">
        <v>371</v>
      </c>
    </row>
    <row r="10009" spans="1:4" x14ac:dyDescent="0.25">
      <c r="B10009" t="str">
        <f>HYPERLINK("https://www.chemistwarehouse.com.au/buy/78439/Depend-Women-Real-Fit-Underwear-Super-Extra-Large-8-Pack"," Depend Women Real Fit Underwear Super Extra Large 8 Pack")</f>
        <v xml:space="preserve"> Depend Women Real Fit Underwear Super Extra Large 8 Pack</v>
      </c>
      <c r="C10009" t="s">
        <v>58</v>
      </c>
      <c r="D10009" t="s">
        <v>371</v>
      </c>
    </row>
    <row r="10010" spans="1:4" x14ac:dyDescent="0.25">
      <c r="B10010" t="str">
        <f>HYPERLINK("https://www.chemistwarehouse.com.au/buy/64686/Depend-Fitted-Briefs-Medium-10-Pack"," Depend Fitted Briefs Medium 10 Pack")</f>
        <v xml:space="preserve"> Depend Fitted Briefs Medium 10 Pack</v>
      </c>
      <c r="C10010" t="s">
        <v>237</v>
      </c>
      <c r="D10010" t="s">
        <v>371</v>
      </c>
    </row>
    <row r="10011" spans="1:4" x14ac:dyDescent="0.25">
      <c r="B10011" t="str">
        <f>HYPERLINK("https://www.chemistwarehouse.com.au/buy/64687/Depend-Fitted-Briefs-Large-8-Pack"," Depend Fitted Briefs Large 8 Pack")</f>
        <v xml:space="preserve"> Depend Fitted Briefs Large 8 Pack</v>
      </c>
      <c r="C10011" t="s">
        <v>237</v>
      </c>
      <c r="D10011" t="s">
        <v>371</v>
      </c>
    </row>
    <row r="10012" spans="1:4" x14ac:dyDescent="0.25">
      <c r="B10012" t="str">
        <f>HYPERLINK("https://www.chemistwarehouse.com.au/buy/67861/Depend-Real-Fit-Underwear-Male-Medium-8"," Depend Real Fit Underwear Male Medium 8")</f>
        <v xml:space="preserve"> Depend Real Fit Underwear Male Medium 8</v>
      </c>
      <c r="C10012" t="s">
        <v>237</v>
      </c>
      <c r="D10012" t="s">
        <v>371</v>
      </c>
    </row>
    <row r="10013" spans="1:4" x14ac:dyDescent="0.25">
      <c r="B10013" t="str">
        <f>HYPERLINK("https://www.chemistwarehouse.com.au/buy/53071/Depend-Underpads-10-Pack"," Depend Underpads 10 Pack")</f>
        <v xml:space="preserve"> Depend Underpads 10 Pack</v>
      </c>
      <c r="C10013" t="s">
        <v>326</v>
      </c>
      <c r="D10013" t="s">
        <v>611</v>
      </c>
    </row>
    <row r="10014" spans="1:4" x14ac:dyDescent="0.25">
      <c r="B10014" t="str">
        <f>HYPERLINK("https://www.chemistwarehouse.com.au/buy/69657/Depend-Shields-14-Pack"," Depend Shields 14 Pack")</f>
        <v xml:space="preserve"> Depend Shields 14 Pack</v>
      </c>
      <c r="C10014" t="s">
        <v>169</v>
      </c>
      <c r="D10014" t="s">
        <v>635</v>
      </c>
    </row>
    <row r="10015" spans="1:4" x14ac:dyDescent="0.25">
      <c r="A10015" t="s">
        <v>2077</v>
      </c>
    </row>
    <row r="10016" spans="1:4" x14ac:dyDescent="0.25">
      <c r="B10016" t="str">
        <f>HYPERLINK("https://www.chemistwarehouse.com.au/buy/46422/Tena-For-Men-Level-2-10"," Tena For Men Level 2 10")</f>
        <v xml:space="preserve"> Tena For Men Level 2 10</v>
      </c>
      <c r="C10016" t="s">
        <v>2078</v>
      </c>
      <c r="D10016" t="s">
        <v>1637</v>
      </c>
    </row>
    <row r="10017" spans="1:4" x14ac:dyDescent="0.25">
      <c r="B10017" t="str">
        <f>HYPERLINK("https://www.chemistwarehouse.com.au/buy/61533/Tena-12-Men-Level-1"," Tena 12 Men Level 1")</f>
        <v xml:space="preserve"> Tena 12 Men Level 1</v>
      </c>
      <c r="C10017" t="s">
        <v>2078</v>
      </c>
      <c r="D10017" t="s">
        <v>1637</v>
      </c>
    </row>
    <row r="10018" spans="1:4" x14ac:dyDescent="0.25">
      <c r="B10018" t="str">
        <f>HYPERLINK("https://www.chemistwarehouse.com.au/buy/78397/Tena-Men-Level-0-Protective-Shield-14-Pack"," Tena Men Level 0 Protective Shield 14 Pack")</f>
        <v xml:space="preserve"> Tena Men Level 0 Protective Shield 14 Pack</v>
      </c>
      <c r="C10018" t="s">
        <v>2079</v>
      </c>
      <c r="D10018" t="s">
        <v>1230</v>
      </c>
    </row>
    <row r="10019" spans="1:4" x14ac:dyDescent="0.25">
      <c r="B10019" t="str">
        <f>HYPERLINK("https://www.chemistwarehouse.com.au/buy/67103/Tena-Men-Level-4-Large-8"," Tena Men Level 4 Large 8")</f>
        <v xml:space="preserve"> Tena Men Level 4 Large 8</v>
      </c>
      <c r="C10019" t="s">
        <v>98</v>
      </c>
      <c r="D10019" t="s">
        <v>739</v>
      </c>
    </row>
    <row r="10020" spans="1:4" x14ac:dyDescent="0.25">
      <c r="B10020" t="str">
        <f>HYPERLINK("https://www.chemistwarehouse.com.au/buy/81822/Tena-Men-Pads-Level-3-8-Pack"," Tena Men Pads Level 3 8 Pack")</f>
        <v xml:space="preserve"> Tena Men Pads Level 3 8 Pack</v>
      </c>
      <c r="C10020" t="s">
        <v>2078</v>
      </c>
      <c r="D10020" t="s">
        <v>1637</v>
      </c>
    </row>
    <row r="10021" spans="1:4" x14ac:dyDescent="0.25">
      <c r="A10021" t="s">
        <v>2080</v>
      </c>
    </row>
    <row r="10022" spans="1:4" x14ac:dyDescent="0.25">
      <c r="B10022" t="str">
        <f>HYPERLINK("https://www.chemistwarehouse.com.au/buy/66102/Tena-Pads-Maxi-Night-14-Pack"," Tena Pads Maxi Night 14 Pack")</f>
        <v xml:space="preserve"> Tena Pads Maxi Night 14 Pack</v>
      </c>
      <c r="C10022" t="s">
        <v>240</v>
      </c>
      <c r="D10022" t="s">
        <v>815</v>
      </c>
    </row>
    <row r="10023" spans="1:4" x14ac:dyDescent="0.25">
      <c r="B10023" t="str">
        <f>HYPERLINK("https://www.chemistwarehouse.com.au/buy/68455/Tena-Pants-Women-Discreet-Large-7-Pack"," Tena Pants Women Discreet Large 7 Pack")</f>
        <v xml:space="preserve"> Tena Pants Women Discreet Large 7 Pack</v>
      </c>
      <c r="C10023" t="s">
        <v>98</v>
      </c>
      <c r="D10023" t="s">
        <v>739</v>
      </c>
    </row>
    <row r="10024" spans="1:4" x14ac:dyDescent="0.25">
      <c r="B10024" t="str">
        <f>HYPERLINK("https://www.chemistwarehouse.com.au/buy/72962/Tena-Extra-Plus-Pads-with-Instadry-8-Pack"," Tena Extra Plus Pads with Instadry 8 Pack")</f>
        <v xml:space="preserve"> Tena Extra Plus Pads with Instadry 8 Pack</v>
      </c>
      <c r="C10024" t="s">
        <v>556</v>
      </c>
      <c r="D10024" t="s">
        <v>1434</v>
      </c>
    </row>
    <row r="10025" spans="1:4" x14ac:dyDescent="0.25">
      <c r="B10025" t="str">
        <f>HYPERLINK("https://www.chemistwarehouse.com.au/buy/38267/Tena-Pads-Super-30-Pack"," Tena Pads Super 30 Pack")</f>
        <v xml:space="preserve"> Tena Pads Super 30 Pack</v>
      </c>
      <c r="C10025" t="s">
        <v>1624</v>
      </c>
      <c r="D10025" t="s">
        <v>1741</v>
      </c>
    </row>
    <row r="10026" spans="1:4" x14ac:dyDescent="0.25">
      <c r="B10026" t="str">
        <f>HYPERLINK("https://www.chemistwarehouse.com.au/buy/54725/Tena-Pads-Extra-20-Pack"," Tena Pads Extra 20 Pack")</f>
        <v xml:space="preserve"> Tena Pads Extra 20 Pack</v>
      </c>
      <c r="C10026" t="s">
        <v>103</v>
      </c>
      <c r="D10026" t="s">
        <v>152</v>
      </c>
    </row>
    <row r="10027" spans="1:4" x14ac:dyDescent="0.25">
      <c r="B10027" t="str">
        <f>HYPERLINK("https://www.chemistwarehouse.com.au/buy/38263/Tena-Pads-Mini-Plus-16-Pack"," Tena Pads Mini Plus 16 Pack")</f>
        <v xml:space="preserve"> Tena Pads Mini Plus 16 Pack</v>
      </c>
      <c r="C10027" t="s">
        <v>174</v>
      </c>
      <c r="D10027" t="s">
        <v>2081</v>
      </c>
    </row>
    <row r="10028" spans="1:4" x14ac:dyDescent="0.25">
      <c r="B10028" t="str">
        <f>HYPERLINK("https://www.chemistwarehouse.com.au/buy/68456/Tena-Pants-Women-Discreet-Medium-8-Pack"," Tena Pants Women Discreet Medium 8 Pack")</f>
        <v xml:space="preserve"> Tena Pants Women Discreet Medium 8 Pack</v>
      </c>
      <c r="C10028" t="s">
        <v>98</v>
      </c>
      <c r="D10028" t="s">
        <v>739</v>
      </c>
    </row>
    <row r="10029" spans="1:4" x14ac:dyDescent="0.25">
      <c r="B10029" t="str">
        <f>HYPERLINK("https://www.chemistwarehouse.com.au/buy/76198/Tena-Light-Slim-Pads-12-Pack"," Tena Light Slim Pads 12 Pack")</f>
        <v xml:space="preserve"> Tena Light Slim Pads 12 Pack</v>
      </c>
      <c r="C10029" t="s">
        <v>1488</v>
      </c>
      <c r="D10029" t="s">
        <v>561</v>
      </c>
    </row>
    <row r="10030" spans="1:4" x14ac:dyDescent="0.25">
      <c r="B10030" t="str">
        <f>HYPERLINK("https://www.chemistwarehouse.com.au/buy/72963/Tena-Maxi-Pads-with-Instadry-6-Pack"," Tena Maxi Pads with Instadry 6 Pack")</f>
        <v xml:space="preserve"> Tena Maxi Pads with Instadry 6 Pack</v>
      </c>
      <c r="C10030" t="s">
        <v>556</v>
      </c>
      <c r="D10030" t="s">
        <v>1434</v>
      </c>
    </row>
    <row r="10031" spans="1:4" x14ac:dyDescent="0.25">
      <c r="B10031" t="str">
        <f>HYPERLINK("https://www.chemistwarehouse.com.au/buy/75437/Tena-Long-Liner-39"," Tena Long Liner 39")</f>
        <v xml:space="preserve"> Tena Long Liner 39</v>
      </c>
      <c r="C10031" t="s">
        <v>548</v>
      </c>
      <c r="D10031" t="s">
        <v>2082</v>
      </c>
    </row>
    <row r="10032" spans="1:4" x14ac:dyDescent="0.25">
      <c r="B10032" t="str">
        <f>HYPERLINK("https://www.chemistwarehouse.com.au/buy/46725/Tena-Pads-Ultrathin-Mini-20-Pack"," Tena Pads Ultrathin Mini 20 Pack")</f>
        <v xml:space="preserve"> Tena Pads Ultrathin Mini 20 Pack</v>
      </c>
      <c r="C10032" t="s">
        <v>174</v>
      </c>
      <c r="D10032" t="s">
        <v>2081</v>
      </c>
    </row>
    <row r="10033" spans="1:4" x14ac:dyDescent="0.25">
      <c r="B10033" t="str">
        <f>HYPERLINK("https://www.chemistwarehouse.com.au/buy/81823/Tena-Daily-Liner-30-Pack"," Tena Daily Liner 30 Pack")</f>
        <v xml:space="preserve"> Tena Daily Liner 30 Pack</v>
      </c>
      <c r="C10033" t="s">
        <v>120</v>
      </c>
      <c r="D10033" t="s">
        <v>781</v>
      </c>
    </row>
    <row r="10034" spans="1:4" x14ac:dyDescent="0.25">
      <c r="A10034" t="s">
        <v>2083</v>
      </c>
    </row>
    <row r="10035" spans="1:4" x14ac:dyDescent="0.25">
      <c r="B10035" t="str">
        <f>HYPERLINK("https://www.chemistwarehouse.com.au/buy/67005/Tena-Pants-Super-Large-12"," Tena Pants Super Large 12")</f>
        <v xml:space="preserve"> Tena Pants Super Large 12</v>
      </c>
      <c r="C10035" t="s">
        <v>2084</v>
      </c>
      <c r="D10035" t="s">
        <v>250</v>
      </c>
    </row>
    <row r="10036" spans="1:4" x14ac:dyDescent="0.25">
      <c r="B10036" t="str">
        <f>HYPERLINK("https://www.chemistwarehouse.com.au/buy/54332/Tena-Pants-Plus-Large-8"," Tena Pants Plus Large 8")</f>
        <v xml:space="preserve"> Tena Pants Plus Large 8</v>
      </c>
      <c r="C10036" t="s">
        <v>2085</v>
      </c>
      <c r="D10036" t="s">
        <v>272</v>
      </c>
    </row>
    <row r="10037" spans="1:4" x14ac:dyDescent="0.25">
      <c r="B10037" t="str">
        <f>HYPERLINK("https://www.chemistwarehouse.com.au/buy/67003/Tena-Pants-Super-Med-12"," Tena Pants Super Med 12")</f>
        <v xml:space="preserve"> Tena Pants Super Med 12</v>
      </c>
      <c r="C10037" t="s">
        <v>2084</v>
      </c>
      <c r="D10037" t="s">
        <v>250</v>
      </c>
    </row>
    <row r="10038" spans="1:4" x14ac:dyDescent="0.25">
      <c r="B10038" t="str">
        <f>HYPERLINK("https://www.chemistwarehouse.com.au/buy/75662/Tena-Pants-Plus-Medium-9-Pack"," Tena Pants Plus Medium 9 Pack")</f>
        <v xml:space="preserve"> Tena Pants Plus Medium 9 Pack</v>
      </c>
      <c r="C10038" t="s">
        <v>2085</v>
      </c>
      <c r="D10038" t="s">
        <v>272</v>
      </c>
    </row>
    <row r="10039" spans="1:4" x14ac:dyDescent="0.25">
      <c r="B10039" t="str">
        <f>HYPERLINK("https://www.chemistwarehouse.com.au/buy/76199/Tena-Pants-Maxi-Large-10-Pack"," Tena Pants Maxi Large 10 Pack")</f>
        <v xml:space="preserve"> Tena Pants Maxi Large 10 Pack</v>
      </c>
      <c r="C10039" t="s">
        <v>2086</v>
      </c>
      <c r="D10039" t="s">
        <v>206</v>
      </c>
    </row>
    <row r="10040" spans="1:4" x14ac:dyDescent="0.25">
      <c r="B10040" t="str">
        <f>HYPERLINK("https://www.chemistwarehouse.com.au/buy/76200/Tena-Pants-Maxi-Medium-10-Pack"," Tena Pants Maxi Medium 10 Pack")</f>
        <v xml:space="preserve"> Tena Pants Maxi Medium 10 Pack</v>
      </c>
      <c r="C10040" t="s">
        <v>2086</v>
      </c>
      <c r="D10040" t="s">
        <v>206</v>
      </c>
    </row>
    <row r="10041" spans="1:4" x14ac:dyDescent="0.25">
      <c r="B10041" t="str">
        <f>HYPERLINK("https://www.chemistwarehouse.com.au/buy/76197/Tena-Light-Slim-Pads-With-Wings-12-Pack"," Tena Light Slim Pads With Wings 12 Pack")</f>
        <v xml:space="preserve"> Tena Light Slim Pads With Wings 12 Pack</v>
      </c>
      <c r="C10041" t="s">
        <v>1488</v>
      </c>
      <c r="D10041" t="s">
        <v>561</v>
      </c>
    </row>
    <row r="10042" spans="1:4" x14ac:dyDescent="0.25">
      <c r="A10042" t="s">
        <v>2087</v>
      </c>
    </row>
    <row r="10043" spans="1:4" x14ac:dyDescent="0.25">
      <c r="B10043" t="str">
        <f>HYPERLINK("https://www.chemistwarehouse.com.au/buy/71451/Molicare-Mobile-Super-Large-14"," Molicare Mobile Super Large 14")</f>
        <v xml:space="preserve"> Molicare Mobile Super Large 14</v>
      </c>
      <c r="C10043" t="s">
        <v>109</v>
      </c>
      <c r="D10043" t="s">
        <v>2088</v>
      </c>
    </row>
    <row r="10044" spans="1:4" x14ac:dyDescent="0.25">
      <c r="B10044" t="str">
        <f>HYPERLINK("https://www.chemistwarehouse.com.au/buy/71452/Molicare-Mobile-Super-Medium-14"," Molicare Mobile Super Medium 14")</f>
        <v xml:space="preserve"> Molicare Mobile Super Medium 14</v>
      </c>
      <c r="C10044" t="s">
        <v>109</v>
      </c>
      <c r="D10044" t="s">
        <v>2088</v>
      </c>
    </row>
    <row r="10045" spans="1:4" x14ac:dyDescent="0.25">
      <c r="B10045" t="str">
        <f>HYPERLINK("https://www.chemistwarehouse.com.au/buy/64676/Molicare-Mobile-Large-14"," Molicare Mobile Large 14 ")</f>
        <v xml:space="preserve"> Molicare Mobile Large 14 </v>
      </c>
      <c r="C10045" t="s">
        <v>161</v>
      </c>
      <c r="D10045" t="s">
        <v>2089</v>
      </c>
    </row>
    <row r="10046" spans="1:4" x14ac:dyDescent="0.25">
      <c r="B10046" t="str">
        <f>HYPERLINK("https://www.chemistwarehouse.com.au/buy/64688/Molicare-Mobile-Medium-14"," Molicare Mobile Medium 14")</f>
        <v xml:space="preserve"> Molicare Mobile Medium 14</v>
      </c>
      <c r="C10046" t="s">
        <v>161</v>
      </c>
      <c r="D10046" t="s">
        <v>2089</v>
      </c>
    </row>
    <row r="10047" spans="1:4" x14ac:dyDescent="0.25">
      <c r="B10047" t="str">
        <f>HYPERLINK("https://www.chemistwarehouse.com.au/buy/81627/Molicare-Mobile-Extra-Large-14"," Molicare Mobile Extra Large 14")</f>
        <v xml:space="preserve"> Molicare Mobile Extra Large 14</v>
      </c>
      <c r="C10047" t="s">
        <v>161</v>
      </c>
      <c r="D10047" t="s">
        <v>2089</v>
      </c>
    </row>
    <row r="10048" spans="1:4" x14ac:dyDescent="0.25">
      <c r="A10048" t="s">
        <v>1729</v>
      </c>
    </row>
    <row r="10049" spans="1:4" x14ac:dyDescent="0.25">
      <c r="B10049" t="str">
        <f>HYPERLINK("https://www.chemistwarehouse.com.au/buy/72147/Carefree-Plus-Light-20-Liners"," Carefree Plus Light 20 Liners")</f>
        <v xml:space="preserve"> Carefree Plus Light 20 Liners</v>
      </c>
      <c r="C10049" t="s">
        <v>146</v>
      </c>
      <c r="D10049" t="s">
        <v>725</v>
      </c>
    </row>
    <row r="10050" spans="1:4" x14ac:dyDescent="0.25">
      <c r="B10050" t="str">
        <f>HYPERLINK("https://www.chemistwarehouse.com.au/buy/72148/Carefree-Plus-Long-24-Long"," Carefree Plus Long 24 Long")</f>
        <v xml:space="preserve"> Carefree Plus Long 24 Long</v>
      </c>
      <c r="C10050" t="s">
        <v>786</v>
      </c>
      <c r="D10050" t="s">
        <v>731</v>
      </c>
    </row>
    <row r="10051" spans="1:4" x14ac:dyDescent="0.25">
      <c r="B10051" t="str">
        <f>HYPERLINK("https://www.chemistwarehouse.com.au/buy/72149/Carefree-Plus-Regular-28-Liners"," Carefree Plus Regular 28 Liners")</f>
        <v xml:space="preserve"> Carefree Plus Regular 28 Liners</v>
      </c>
      <c r="C10051" t="s">
        <v>786</v>
      </c>
      <c r="D10051" t="s">
        <v>731</v>
      </c>
    </row>
    <row r="10052" spans="1:4" x14ac:dyDescent="0.25">
      <c r="A10052" t="s">
        <v>2090</v>
      </c>
    </row>
    <row r="10053" spans="1:4" x14ac:dyDescent="0.25">
      <c r="B10053" t="str">
        <f>HYPERLINK("https://www.chemistwarehouse.com.au/buy/68931/Poise-Pads-Extra-Plus-20-Bulk-Pack"," Poise Pads Extra Plus 20 Bulk Pack")</f>
        <v xml:space="preserve"> Poise Pads Extra Plus 20 Bulk Pack</v>
      </c>
      <c r="C10053" t="s">
        <v>32</v>
      </c>
      <c r="D10053" t="s">
        <v>371</v>
      </c>
    </row>
    <row r="10054" spans="1:4" x14ac:dyDescent="0.25">
      <c r="B10054" t="str">
        <f>HYPERLINK("https://www.chemistwarehouse.com.au/buy/57051/Poise-Pads-Overnight-8"," Poise Pads Overnight 8")</f>
        <v xml:space="preserve"> Poise Pads Overnight 8</v>
      </c>
      <c r="C10054" t="s">
        <v>326</v>
      </c>
      <c r="D10054" t="s">
        <v>327</v>
      </c>
    </row>
    <row r="10055" spans="1:4" x14ac:dyDescent="0.25">
      <c r="B10055" t="str">
        <f>HYPERLINK("https://www.chemistwarehouse.com.au/buy/55500/Poise-Panty-Liner-Regular-26"," Poise Panty Liner Regular 26")</f>
        <v xml:space="preserve"> Poise Panty Liner Regular 26</v>
      </c>
      <c r="C10055" t="s">
        <v>786</v>
      </c>
      <c r="D10055" t="s">
        <v>776</v>
      </c>
    </row>
    <row r="10056" spans="1:4" x14ac:dyDescent="0.25">
      <c r="B10056" t="str">
        <f>HYPERLINK("https://www.chemistwarehouse.com.au/buy/78440/Poise-Liners-Extra-Long-22"," Poise Liners Extra Long 22")</f>
        <v xml:space="preserve"> Poise Liners Extra Long 22</v>
      </c>
      <c r="C10056" t="s">
        <v>556</v>
      </c>
      <c r="D10056" t="s">
        <v>1257</v>
      </c>
    </row>
    <row r="10057" spans="1:4" x14ac:dyDescent="0.25">
      <c r="B10057" t="str">
        <f>HYPERLINK("https://www.chemistwarehouse.com.au/buy/42326/Poise-Panty-Liners-Light-18"," Poise Panty Liners Light 18")</f>
        <v xml:space="preserve"> Poise Panty Liners Light 18</v>
      </c>
      <c r="C10057" t="s">
        <v>146</v>
      </c>
      <c r="D10057" t="s">
        <v>2091</v>
      </c>
    </row>
    <row r="10058" spans="1:4" x14ac:dyDescent="0.25">
      <c r="B10058" t="str">
        <f>HYPERLINK("https://www.chemistwarehouse.com.au/buy/78442/Poise-Active-Ultrathins-Super-12"," Poise Active Ultrathins Super 12")</f>
        <v xml:space="preserve"> Poise Active Ultrathins Super 12</v>
      </c>
      <c r="C10058" t="s">
        <v>786</v>
      </c>
      <c r="D10058" t="s">
        <v>776</v>
      </c>
    </row>
    <row r="10059" spans="1:4" x14ac:dyDescent="0.25">
      <c r="B10059" t="str">
        <f>HYPERLINK("https://www.chemistwarehouse.com.au/buy/53079/Poise-Pad-Regular-16"," Poise Pad Regular 16")</f>
        <v xml:space="preserve"> Poise Pad Regular 16</v>
      </c>
      <c r="C10059" t="s">
        <v>326</v>
      </c>
      <c r="D10059" t="s">
        <v>557</v>
      </c>
    </row>
    <row r="10060" spans="1:4" x14ac:dyDescent="0.25">
      <c r="B10060" t="str">
        <f>HYPERLINK("https://www.chemistwarehouse.com.au/buy/53719/Poise-Pad-Extra-Plus-10"," Poise Pad Extra Plus 10")</f>
        <v xml:space="preserve"> Poise Pad Extra Plus 10</v>
      </c>
      <c r="C10060" t="s">
        <v>326</v>
      </c>
      <c r="D10060" t="s">
        <v>557</v>
      </c>
    </row>
    <row r="10061" spans="1:4" x14ac:dyDescent="0.25">
      <c r="B10061" t="str">
        <f>HYPERLINK("https://www.chemistwarehouse.com.au/buy/53720/Poise-Pads-Extra-12"," Poise Pads Extra 12")</f>
        <v xml:space="preserve"> Poise Pads Extra 12</v>
      </c>
      <c r="C10061" t="s">
        <v>326</v>
      </c>
      <c r="D10061" t="s">
        <v>557</v>
      </c>
    </row>
    <row r="10062" spans="1:4" x14ac:dyDescent="0.25">
      <c r="B10062" t="str">
        <f>HYPERLINK("https://www.chemistwarehouse.com.au/buy/78441/Poise-Active-Ultrathins-Regular-14"," Poise Active Ultrathins Regular 14")</f>
        <v xml:space="preserve"> Poise Active Ultrathins Regular 14</v>
      </c>
      <c r="C10062" t="s">
        <v>786</v>
      </c>
      <c r="D10062" t="s">
        <v>776</v>
      </c>
    </row>
    <row r="10063" spans="1:4" x14ac:dyDescent="0.25">
      <c r="B10063" t="str">
        <f>HYPERLINK("https://www.chemistwarehouse.com.au/buy/59263/Poise-Super-Pads-Bulk-28"," Poise Super Pads Bulk 28")</f>
        <v xml:space="preserve"> Poise Super Pads Bulk 28</v>
      </c>
      <c r="C10063" t="s">
        <v>32</v>
      </c>
      <c r="D10063" t="s">
        <v>371</v>
      </c>
    </row>
    <row r="10064" spans="1:4" x14ac:dyDescent="0.25">
      <c r="B10064" t="str">
        <f>HYPERLINK("https://www.chemistwarehouse.com.au/buy/67004/Poise-Pads-Super-14"," Poise Pads Super 14")</f>
        <v xml:space="preserve"> Poise Pads Super 14</v>
      </c>
      <c r="C10064" t="s">
        <v>326</v>
      </c>
      <c r="D10064" t="s">
        <v>557</v>
      </c>
    </row>
    <row r="10065" spans="1:4" x14ac:dyDescent="0.25">
      <c r="A10065" t="s">
        <v>2092</v>
      </c>
    </row>
    <row r="10066" spans="1:4" x14ac:dyDescent="0.25">
      <c r="B10066" t="str">
        <f>HYPERLINK("https://www.chemistwarehouse.com.au/buy/79697/D-Brief-Mens-Y-Front-Medium-Black"," D-Brief Mens Y Front Medium Black")</f>
        <v xml:space="preserve"> D-Brief Mens Y Front Medium Black</v>
      </c>
      <c r="C10066" t="s">
        <v>1</v>
      </c>
      <c r="D10066" t="s">
        <v>46</v>
      </c>
    </row>
    <row r="10067" spans="1:4" x14ac:dyDescent="0.25">
      <c r="B10067" t="str">
        <f>HYPERLINK("https://www.chemistwarehouse.com.au/buy/79698/D-Brief-Mens-Y-Front-Medium-White"," D-Brief Mens Y Front Medium White")</f>
        <v xml:space="preserve"> D-Brief Mens Y Front Medium White</v>
      </c>
      <c r="C10067" t="s">
        <v>1</v>
      </c>
      <c r="D10067" t="s">
        <v>46</v>
      </c>
    </row>
    <row r="10068" spans="1:4" x14ac:dyDescent="0.25">
      <c r="B10068" t="str">
        <f>HYPERLINK("https://www.chemistwarehouse.com.au/buy/79691/D-Brief-Mens-Short-Leg-Boxer-Medium-Black"," D-Brief Mens Short Leg Boxer Medium Black")</f>
        <v xml:space="preserve"> D-Brief Mens Short Leg Boxer Medium Black</v>
      </c>
      <c r="C10068" t="s">
        <v>1</v>
      </c>
      <c r="D10068" t="s">
        <v>46</v>
      </c>
    </row>
    <row r="10069" spans="1:4" x14ac:dyDescent="0.25">
      <c r="B10069" t="str">
        <f>HYPERLINK("https://www.chemistwarehouse.com.au/buy/79693/D-Brief-Mens-Short-Leg-Boxer-Small-Black"," D-Brief Mens Short Leg Boxer Small Black")</f>
        <v xml:space="preserve"> D-Brief Mens Short Leg Boxer Small Black</v>
      </c>
      <c r="C10069" t="s">
        <v>1</v>
      </c>
      <c r="D10069" t="s">
        <v>46</v>
      </c>
    </row>
    <row r="10070" spans="1:4" x14ac:dyDescent="0.25">
      <c r="B10070" t="str">
        <f>HYPERLINK("https://www.chemistwarehouse.com.au/buy/79694/D-Brief-Mens-Short-Leg-Boxer-Small-White"," D-Brief Mens Short Leg Boxer Small White")</f>
        <v xml:space="preserve"> D-Brief Mens Short Leg Boxer Small White</v>
      </c>
      <c r="C10070" t="s">
        <v>1</v>
      </c>
      <c r="D10070" t="s">
        <v>46</v>
      </c>
    </row>
    <row r="10071" spans="1:4" x14ac:dyDescent="0.25">
      <c r="B10071" t="str">
        <f>HYPERLINK("https://www.chemistwarehouse.com.au/buy/79695/D-Brief-Mens-Y-Front-Large-Black"," D-Brief Mens Y Front Large Black")</f>
        <v xml:space="preserve"> D-Brief Mens Y Front Large Black</v>
      </c>
      <c r="C10071" t="s">
        <v>1</v>
      </c>
      <c r="D10071" t="s">
        <v>46</v>
      </c>
    </row>
    <row r="10072" spans="1:4" x14ac:dyDescent="0.25">
      <c r="B10072" t="str">
        <f>HYPERLINK("https://www.chemistwarehouse.com.au/buy/79696/D-Brief-Mens-Y-Front-Large-White"," D-Brief Mens Y Front Large White")</f>
        <v xml:space="preserve"> D-Brief Mens Y Front Large White</v>
      </c>
      <c r="C10072" t="s">
        <v>1</v>
      </c>
      <c r="D10072" t="s">
        <v>46</v>
      </c>
    </row>
    <row r="10073" spans="1:4" x14ac:dyDescent="0.25">
      <c r="B10073" t="str">
        <f>HYPERLINK("https://www.chemistwarehouse.com.au/buy/79692/D-Brief-Mens-Short-Leg-Boxer-Medium-White"," D-Brief Mens Short Leg Boxer Medium White")</f>
        <v xml:space="preserve"> D-Brief Mens Short Leg Boxer Medium White</v>
      </c>
      <c r="C10073" t="s">
        <v>1</v>
      </c>
      <c r="D10073" t="s">
        <v>46</v>
      </c>
    </row>
    <row r="10074" spans="1:4" x14ac:dyDescent="0.25">
      <c r="B10074" t="str">
        <f>HYPERLINK("https://www.chemistwarehouse.com.au/buy/79689/D-Brief-Mens-Short-Leg-Boxer-Large-Black"," D-Brief Mens Short Leg Boxer Large Black")</f>
        <v xml:space="preserve"> D-Brief Mens Short Leg Boxer Large Black</v>
      </c>
      <c r="C10074" t="s">
        <v>1</v>
      </c>
      <c r="D10074" t="s">
        <v>46</v>
      </c>
    </row>
    <row r="10075" spans="1:4" x14ac:dyDescent="0.25">
      <c r="B10075" t="str">
        <f>HYPERLINK("https://www.chemistwarehouse.com.au/buy/79690/D-Brief-Mens-Short-Leg-Boxer-Large-White"," D-Brief Mens Short Leg Boxer Large White")</f>
        <v xml:space="preserve"> D-Brief Mens Short Leg Boxer Large White</v>
      </c>
      <c r="C10075" t="s">
        <v>1</v>
      </c>
      <c r="D10075" t="s">
        <v>46</v>
      </c>
    </row>
    <row r="10076" spans="1:4" x14ac:dyDescent="0.25">
      <c r="B10076" t="str">
        <f>HYPERLINK("https://www.chemistwarehouse.com.au/buy/79699/D-Brief-Mens-Y-Front-Small-Black"," D-Brief Mens Y Front Small Black")</f>
        <v xml:space="preserve"> D-Brief Mens Y Front Small Black</v>
      </c>
      <c r="C10076" t="s">
        <v>1</v>
      </c>
      <c r="D10076" t="s">
        <v>46</v>
      </c>
    </row>
    <row r="10077" spans="1:4" x14ac:dyDescent="0.25">
      <c r="B10077" t="str">
        <f>HYPERLINK("https://www.chemistwarehouse.com.au/buy/79700/D-Brief-Mens-Y-Front-Small-White"," D-Brief Mens Y Front Small White")</f>
        <v xml:space="preserve"> D-Brief Mens Y Front Small White</v>
      </c>
      <c r="C10077" t="s">
        <v>1</v>
      </c>
      <c r="D10077" t="s">
        <v>46</v>
      </c>
    </row>
    <row r="10078" spans="1:4" x14ac:dyDescent="0.25">
      <c r="B10078" t="str">
        <f>HYPERLINK("https://www.chemistwarehouse.com.au/buy/79701/D-Brief-Mens-Y-Front-X-Large-Black"," D-Brief Mens Y Front X Large Black")</f>
        <v xml:space="preserve"> D-Brief Mens Y Front X Large Black</v>
      </c>
      <c r="C10078" t="s">
        <v>1</v>
      </c>
      <c r="D10078" t="s">
        <v>46</v>
      </c>
    </row>
    <row r="10079" spans="1:4" x14ac:dyDescent="0.25">
      <c r="B10079" t="str">
        <f>HYPERLINK("https://www.chemistwarehouse.com.au/buy/79702/D-Brief-Mens-Y-Front-X-Large-White"," D-Brief Mens Y Front X Large White")</f>
        <v xml:space="preserve"> D-Brief Mens Y Front X Large White</v>
      </c>
      <c r="C10079" t="s">
        <v>1</v>
      </c>
      <c r="D10079" t="s">
        <v>46</v>
      </c>
    </row>
    <row r="10080" spans="1:4" x14ac:dyDescent="0.25">
      <c r="B10080" t="str">
        <f>HYPERLINK("https://www.chemistwarehouse.com.au/buy/79703/D-Brief-Womens-Active-Brief-Extra-Small-Black"," D-Brief Womens Active Brief Extra Small Black")</f>
        <v xml:space="preserve"> D-Brief Womens Active Brief Extra Small Black</v>
      </c>
      <c r="C10080" t="s">
        <v>1</v>
      </c>
      <c r="D10080" t="s">
        <v>46</v>
      </c>
    </row>
    <row r="10081" spans="1:4" x14ac:dyDescent="0.25">
      <c r="B10081" t="str">
        <f>HYPERLINK("https://www.chemistwarehouse.com.au/buy/79704/D-Brief-Womens-Active-Brief-Extra-Small-White"," D-Brief Womens Active Brief Extra Small White")</f>
        <v xml:space="preserve"> D-Brief Womens Active Brief Extra Small White</v>
      </c>
      <c r="C10081" t="s">
        <v>1</v>
      </c>
      <c r="D10081" t="s">
        <v>46</v>
      </c>
    </row>
    <row r="10082" spans="1:4" x14ac:dyDescent="0.25">
      <c r="B10082" t="str">
        <f>HYPERLINK("https://www.chemistwarehouse.com.au/buy/79705/D-Brief-Womens-Active-Brief-Large-Black"," D-Brief Womens Active Brief Large Black")</f>
        <v xml:space="preserve"> D-Brief Womens Active Brief Large Black</v>
      </c>
      <c r="C10082" t="s">
        <v>1</v>
      </c>
      <c r="D10082" t="s">
        <v>46</v>
      </c>
    </row>
    <row r="10083" spans="1:4" x14ac:dyDescent="0.25">
      <c r="B10083" t="str">
        <f>HYPERLINK("https://www.chemistwarehouse.com.au/buy/79706/D-Brief-Womens-Active-Brief-Large-White"," D-Brief Womens Active Brief Large White")</f>
        <v xml:space="preserve"> D-Brief Womens Active Brief Large White</v>
      </c>
      <c r="C10083" t="s">
        <v>1</v>
      </c>
      <c r="D10083" t="s">
        <v>46</v>
      </c>
    </row>
    <row r="10084" spans="1:4" x14ac:dyDescent="0.25">
      <c r="B10084" t="str">
        <f>HYPERLINK("https://www.chemistwarehouse.com.au/buy/79707/D-Brief-Womens-Active-Brief-Medium-Black"," D-Brief Womens Active Brief Medium Black")</f>
        <v xml:space="preserve"> D-Brief Womens Active Brief Medium Black</v>
      </c>
      <c r="C10084" t="s">
        <v>1</v>
      </c>
      <c r="D10084" t="s">
        <v>46</v>
      </c>
    </row>
    <row r="10085" spans="1:4" x14ac:dyDescent="0.25">
      <c r="B10085" t="str">
        <f>HYPERLINK("https://www.chemistwarehouse.com.au/buy/79708/D-Brief-Womens-Active-Brief-Medium-White"," D-Brief Womens Active Brief Medium White")</f>
        <v xml:space="preserve"> D-Brief Womens Active Brief Medium White</v>
      </c>
      <c r="C10085" t="s">
        <v>1</v>
      </c>
      <c r="D10085" t="s">
        <v>46</v>
      </c>
    </row>
    <row r="10086" spans="1:4" x14ac:dyDescent="0.25">
      <c r="B10086" t="str">
        <f>HYPERLINK("https://www.chemistwarehouse.com.au/buy/79709/D-Brief-Womens-Active-Brief-Small-Black"," D-Brief Womens Active Brief Small Black")</f>
        <v xml:space="preserve"> D-Brief Womens Active Brief Small Black</v>
      </c>
      <c r="C10086" t="s">
        <v>1</v>
      </c>
      <c r="D10086" t="s">
        <v>46</v>
      </c>
    </row>
    <row r="10087" spans="1:4" x14ac:dyDescent="0.25">
      <c r="B10087" t="str">
        <f>HYPERLINK("https://www.chemistwarehouse.com.au/buy/79710/D-Brief-Womens-Active-Brief-Small-White"," D-Brief Womens Active Brief Small White")</f>
        <v xml:space="preserve"> D-Brief Womens Active Brief Small White</v>
      </c>
      <c r="C10087" t="s">
        <v>1</v>
      </c>
      <c r="D10087" t="s">
        <v>46</v>
      </c>
    </row>
    <row r="10088" spans="1:4" x14ac:dyDescent="0.25">
      <c r="B10088" t="str">
        <f>HYPERLINK("https://www.chemistwarehouse.com.au/buy/79711/D-Brief-Womens-High-Banded-Brief-Large-Black"," D-Brief Womens High Banded Brief Large Black")</f>
        <v xml:space="preserve"> D-Brief Womens High Banded Brief Large Black</v>
      </c>
      <c r="C10088" t="s">
        <v>1</v>
      </c>
      <c r="D10088" t="s">
        <v>46</v>
      </c>
    </row>
    <row r="10089" spans="1:4" x14ac:dyDescent="0.25">
      <c r="B10089" t="str">
        <f>HYPERLINK("https://www.chemistwarehouse.com.au/buy/79712/D-Brief-Womens-High-Banded-Brief-Large-White"," D-Brief Womens High Banded Brief Large White")</f>
        <v xml:space="preserve"> D-Brief Womens High Banded Brief Large White</v>
      </c>
      <c r="C10089" t="s">
        <v>1</v>
      </c>
      <c r="D10089" t="s">
        <v>46</v>
      </c>
    </row>
    <row r="10090" spans="1:4" x14ac:dyDescent="0.25">
      <c r="A10090" t="s">
        <v>2093</v>
      </c>
    </row>
    <row r="10091" spans="1:4" x14ac:dyDescent="0.25">
      <c r="B10091" t="str">
        <f>HYPERLINK("https://www.chemistwarehouse.com.au/buy/67535/Air-Wick-2-In-1-Magnolia-amp-Cherry-Blossom-226g"," Air Wick 2-In-1 Magnolia &amp; Cherry Blossom 226g")</f>
        <v xml:space="preserve"> Air Wick 2-In-1 Magnolia &amp; Cherry Blossom 226g</v>
      </c>
      <c r="C10091" t="s">
        <v>635</v>
      </c>
      <c r="D10091" t="s">
        <v>371</v>
      </c>
    </row>
    <row r="10092" spans="1:4" x14ac:dyDescent="0.25">
      <c r="B10092" t="str">
        <f>HYPERLINK("https://www.chemistwarehouse.com.au/buy/66037/Air-Wick-Aerosol-Vanilla-237g"," Air Wick Aerosol Vanilla 237g")</f>
        <v xml:space="preserve"> Air Wick Aerosol Vanilla 237g</v>
      </c>
      <c r="C10092" t="s">
        <v>399</v>
      </c>
      <c r="D10092" t="s">
        <v>1257</v>
      </c>
    </row>
    <row r="10093" spans="1:4" x14ac:dyDescent="0.25">
      <c r="B10093" t="str">
        <f>HYPERLINK("https://www.chemistwarehouse.com.au/buy/67533/Air-Wick-2-in-1-Cool-Linen-226g"," Air Wick 2-in-1 Cool Linen 226g")</f>
        <v xml:space="preserve"> Air Wick 2-in-1 Cool Linen 226g</v>
      </c>
      <c r="C10093" t="s">
        <v>635</v>
      </c>
      <c r="D10093" t="s">
        <v>371</v>
      </c>
    </row>
    <row r="10094" spans="1:4" x14ac:dyDescent="0.25">
      <c r="B10094" t="str">
        <f>HYPERLINK("https://www.chemistwarehouse.com.au/buy/66036/Air-Wick-Aerosol-Lavender-237g"," Air Wick Aerosol Lavender 237g")</f>
        <v xml:space="preserve"> Air Wick Aerosol Lavender 237g</v>
      </c>
      <c r="C10094" t="s">
        <v>399</v>
      </c>
      <c r="D10094" t="s">
        <v>1257</v>
      </c>
    </row>
    <row r="10095" spans="1:4" x14ac:dyDescent="0.25">
      <c r="B10095" t="str">
        <f>HYPERLINK("https://www.chemistwarehouse.com.au/buy/76075/Air-Wick-Stick-Ups-Air-Freshener-Crisp-Breeze-2-Pack"," Air Wick Stick Ups Air Freshener Crisp Breeze 2 Pack")</f>
        <v xml:space="preserve"> Air Wick Stick Ups Air Freshener Crisp Breeze 2 Pack</v>
      </c>
      <c r="C10095" t="s">
        <v>146</v>
      </c>
      <c r="D10095">
        <v>0</v>
      </c>
    </row>
    <row r="10096" spans="1:4" x14ac:dyDescent="0.25">
      <c r="B10096" t="str">
        <f>HYPERLINK("https://www.chemistwarehouse.com.au/buy/76076/Air-Wick-Stick-Ups-Air-Freshener-Lavender-and-Chamomile-2-Pack"," Air Wick Stick Ups Air Freshener Lavender and Chamomile 2 Pack")</f>
        <v xml:space="preserve"> Air Wick Stick Ups Air Freshener Lavender and Chamomile 2 Pack</v>
      </c>
      <c r="C10096" t="s">
        <v>146</v>
      </c>
      <c r="D10096">
        <v>0</v>
      </c>
    </row>
    <row r="10097" spans="1:4" x14ac:dyDescent="0.25">
      <c r="B10097" t="str">
        <f>HYPERLINK("https://www.chemistwarehouse.com.au/buy/76077/Air-Wick-Stick-Ups-Air-Freshener-Sparkling-Citrus-2-Pack"," Air Wick Stick Ups Air Freshener Sparkling Citrus 2 Pack")</f>
        <v xml:space="preserve"> Air Wick Stick Ups Air Freshener Sparkling Citrus 2 Pack</v>
      </c>
      <c r="C10097" t="s">
        <v>146</v>
      </c>
      <c r="D10097">
        <v>0</v>
      </c>
    </row>
    <row r="10098" spans="1:4" x14ac:dyDescent="0.25">
      <c r="B10098" t="str">
        <f>HYPERLINK("https://www.chemistwarehouse.com.au/buy/81362/Air-Wick-4-in-1-Fresh-Waters-226g"," Air Wick 4 in 1 Fresh Waters 226g")</f>
        <v xml:space="preserve"> Air Wick 4 in 1 Fresh Waters 226g</v>
      </c>
      <c r="C10098" t="s">
        <v>635</v>
      </c>
      <c r="D10098" t="s">
        <v>371</v>
      </c>
    </row>
    <row r="10099" spans="1:4" x14ac:dyDescent="0.25">
      <c r="B10099" t="str">
        <f>HYPERLINK("https://www.chemistwarehouse.com.au/buy/81363/Air-Wick-4-in-1-Vanilla-Indulgence-226g"," Air Wick 4 in 1 Vanilla Indulgence 226g")</f>
        <v xml:space="preserve"> Air Wick 4 in 1 Vanilla Indulgence 226g</v>
      </c>
      <c r="C10099" t="s">
        <v>635</v>
      </c>
      <c r="D10099">
        <v>0</v>
      </c>
    </row>
    <row r="10100" spans="1:4" x14ac:dyDescent="0.25">
      <c r="B10100" t="str">
        <f>HYPERLINK("https://www.chemistwarehouse.com.au/buy/67534/Air-Wick-2-in-1-Lavender-amp-Chamomile-226g"," Air Wick 2-in-1 Lavender &amp; Chamomile 226g")</f>
        <v xml:space="preserve"> Air Wick 2-in-1 Lavender &amp; Chamomile 226g</v>
      </c>
      <c r="C10100" t="s">
        <v>635</v>
      </c>
      <c r="D10100" t="s">
        <v>371</v>
      </c>
    </row>
    <row r="10101" spans="1:4" x14ac:dyDescent="0.25">
      <c r="A10101" t="s">
        <v>2094</v>
      </c>
    </row>
    <row r="10102" spans="1:4" x14ac:dyDescent="0.25">
      <c r="B10102" t="str">
        <f>HYPERLINK("https://www.chemistwarehouse.com.au/buy/74417/Ansell-Super-Glove-Medium-1-Pack"," Ansell Super Glove Medium 1 Pack")</f>
        <v xml:space="preserve"> Ansell Super Glove Medium 1 Pack</v>
      </c>
      <c r="C10102" t="s">
        <v>146</v>
      </c>
      <c r="D10102" t="s">
        <v>776</v>
      </c>
    </row>
    <row r="10103" spans="1:4" x14ac:dyDescent="0.25">
      <c r="B10103" t="str">
        <f>HYPERLINK("https://www.chemistwarehouse.com.au/buy/31782/Ansell-Glove-Handy-Disposable-24"," Ansell Glove Handy Disposable 24")</f>
        <v xml:space="preserve"> Ansell Glove Handy Disposable 24</v>
      </c>
      <c r="C10103" t="s">
        <v>556</v>
      </c>
      <c r="D10103" t="s">
        <v>371</v>
      </c>
    </row>
    <row r="10104" spans="1:4" x14ac:dyDescent="0.25">
      <c r="B10104" t="str">
        <f>HYPERLINK("https://www.chemistwarehouse.com.au/buy/31783/Ansell-Glove-Handy-Disposable-50"," Ansell Glove Handy Disposable 50")</f>
        <v xml:space="preserve"> Ansell Glove Handy Disposable 50</v>
      </c>
      <c r="C10104" t="s">
        <v>103</v>
      </c>
      <c r="D10104" t="s">
        <v>371</v>
      </c>
    </row>
    <row r="10105" spans="1:4" x14ac:dyDescent="0.25">
      <c r="B10105" t="str">
        <f>HYPERLINK("https://www.chemistwarehouse.com.au/buy/74416/Ansell-Super-Glove-Large-1-Pack"," Ansell Super Glove Large 1 Pack")</f>
        <v xml:space="preserve"> Ansell Super Glove Large 1 Pack</v>
      </c>
      <c r="C10105" t="s">
        <v>146</v>
      </c>
      <c r="D10105" t="s">
        <v>776</v>
      </c>
    </row>
    <row r="10106" spans="1:4" x14ac:dyDescent="0.25">
      <c r="B10106" t="str">
        <f>HYPERLINK("https://www.chemistwarehouse.com.au/buy/74418/Ansell-Super-Glove-Small-1-Pack"," Ansell Super Glove Small 1 Pack")</f>
        <v xml:space="preserve"> Ansell Super Glove Small 1 Pack</v>
      </c>
      <c r="C10106" t="s">
        <v>146</v>
      </c>
      <c r="D10106" t="s">
        <v>776</v>
      </c>
    </row>
    <row r="10107" spans="1:4" x14ac:dyDescent="0.25">
      <c r="A10107" t="s">
        <v>2095</v>
      </c>
    </row>
    <row r="10108" spans="1:4" x14ac:dyDescent="0.25">
      <c r="B10108" t="str">
        <f>HYPERLINK("https://www.chemistwarehouse.com.au/buy/67545/Clearwipe-Smartphone-Cleaner-Wipes-20"," Clearwipe Smartphone Cleaner Wipes 20")</f>
        <v xml:space="preserve"> Clearwipe Smartphone Cleaner Wipes 20</v>
      </c>
      <c r="C10108" t="s">
        <v>483</v>
      </c>
      <c r="D10108" t="s">
        <v>147</v>
      </c>
    </row>
    <row r="10109" spans="1:4" x14ac:dyDescent="0.25">
      <c r="B10109" t="str">
        <f>HYPERLINK("https://www.chemistwarehouse.com.au/buy/81152/Clearwipe-Lens-Cleaner-50-Wipes-Exclusive-Size"," Clearwipe Lens Cleaner 50 Wipes Exclusive Size")</f>
        <v xml:space="preserve"> Clearwipe Lens Cleaner 50 Wipes Exclusive Size</v>
      </c>
      <c r="C10109" t="s">
        <v>556</v>
      </c>
      <c r="D10109" t="s">
        <v>115</v>
      </c>
    </row>
    <row r="10110" spans="1:4" x14ac:dyDescent="0.25">
      <c r="A10110" t="s">
        <v>2096</v>
      </c>
    </row>
    <row r="10111" spans="1:4" x14ac:dyDescent="0.25">
      <c r="B10111" t="str">
        <f>HYPERLINK("https://www.chemistwarehouse.com.au/buy/67517/Dettol-Surface-Cleanser-Wipes-40"," Dettol Surface Cleanser Wipes 40")</f>
        <v xml:space="preserve"> Dettol Surface Cleanser Wipes 40</v>
      </c>
      <c r="C10111" t="s">
        <v>483</v>
      </c>
      <c r="D10111" t="s">
        <v>371</v>
      </c>
    </row>
    <row r="10112" spans="1:4" x14ac:dyDescent="0.25">
      <c r="B10112" t="str">
        <f>HYPERLINK("https://www.chemistwarehouse.com.au/buy/76110/Dettol-Soft-on-Skin-Foaming-Hand-Wash-Lime-and-Mint-250ml"," Dettol Soft on Skin Foaming Hand Wash Lime and Mint 250ml")</f>
        <v xml:space="preserve"> Dettol Soft on Skin Foaming Hand Wash Lime and Mint 250ml</v>
      </c>
      <c r="C10112" t="s">
        <v>146</v>
      </c>
      <c r="D10112" t="s">
        <v>725</v>
      </c>
    </row>
    <row r="10113" spans="1:4" x14ac:dyDescent="0.25">
      <c r="B10113" t="str">
        <f>HYPERLINK("https://www.chemistwarehouse.com.au/buy/76111/Dettol-No-Touch-Vanilla-and-Coconut-Refill-250ml"," Dettol No Touch Vanilla and Coconut Refill 250ml")</f>
        <v xml:space="preserve"> Dettol No Touch Vanilla and Coconut Refill 250ml</v>
      </c>
      <c r="C10113" t="s">
        <v>556</v>
      </c>
      <c r="D10113" t="s">
        <v>371</v>
      </c>
    </row>
    <row r="10114" spans="1:4" x14ac:dyDescent="0.25">
      <c r="B10114" t="str">
        <f>HYPERLINK("https://www.chemistwarehouse.com.au/buy/67516/Dettol-Surface-Cleanser-Spray-500ml"," Dettol Surface Cleanser Spray 500ml ")</f>
        <v xml:space="preserve"> Dettol Surface Cleanser Spray 500ml </v>
      </c>
      <c r="C10114" t="s">
        <v>775</v>
      </c>
      <c r="D10114" t="s">
        <v>2097</v>
      </c>
    </row>
    <row r="10115" spans="1:4" x14ac:dyDescent="0.25">
      <c r="B10115" t="str">
        <f>HYPERLINK("https://www.chemistwarehouse.com.au/buy/76109/Dettol-Soft-on-Skin-Foaming-Hand-Wash-Aloe-250ml"," Dettol Soft on Skin Foaming Hand Wash Aloe 250ml")</f>
        <v xml:space="preserve"> Dettol Soft on Skin Foaming Hand Wash Aloe 250ml</v>
      </c>
      <c r="C10115" t="s">
        <v>146</v>
      </c>
      <c r="D10115" t="s">
        <v>725</v>
      </c>
    </row>
    <row r="10116" spans="1:4" x14ac:dyDescent="0.25">
      <c r="A10116" t="s">
        <v>2098</v>
      </c>
    </row>
    <row r="10117" spans="1:4" x14ac:dyDescent="0.25">
      <c r="B10117" t="str">
        <f>HYPERLINK("https://www.chemistwarehouse.com.au/buy/74423/Duck-Liquid-Under-The-Rim-Aqua-Burst-Primary-50ml"," Duck Liquid Under The Rim Aqua Burst Primary 50ml")</f>
        <v xml:space="preserve"> Duck Liquid Under The Rim Aqua Burst Primary 50ml</v>
      </c>
      <c r="C10117" t="s">
        <v>146</v>
      </c>
      <c r="D10117" t="s">
        <v>2099</v>
      </c>
    </row>
    <row r="10118" spans="1:4" x14ac:dyDescent="0.25">
      <c r="B10118" t="str">
        <f>HYPERLINK("https://www.chemistwarehouse.com.au/buy/74419/Duck-Extended-Clean-Aqua-Blast-Manual-500ml"," Duck Extended Clean Aqua Blast Manual 500ml")</f>
        <v xml:space="preserve"> Duck Extended Clean Aqua Blast Manual 500ml</v>
      </c>
      <c r="C10118" t="s">
        <v>146</v>
      </c>
      <c r="D10118" t="s">
        <v>2100</v>
      </c>
    </row>
    <row r="10119" spans="1:4" x14ac:dyDescent="0.25">
      <c r="B10119" t="str">
        <f>HYPERLINK("https://www.chemistwarehouse.com.au/buy/74424/Duck-Liquid-Under-The-Rim-Citrus-Primary-50ml"," Duck Liquid Under The Rim Citrus Primary 50ml")</f>
        <v xml:space="preserve"> Duck Liquid Under The Rim Citrus Primary 50ml</v>
      </c>
      <c r="C10119" t="s">
        <v>146</v>
      </c>
      <c r="D10119" t="s">
        <v>2099</v>
      </c>
    </row>
    <row r="10120" spans="1:4" x14ac:dyDescent="0.25">
      <c r="B10120" t="str">
        <f>HYPERLINK("https://www.chemistwarehouse.com.au/buy/74420/Duck-Extended-Clean-Citrus-Manual-500ml"," Duck Extended Clean Citrus Manual 500ml")</f>
        <v xml:space="preserve"> Duck Extended Clean Citrus Manual 500ml</v>
      </c>
      <c r="C10120" t="s">
        <v>146</v>
      </c>
      <c r="D10120" t="s">
        <v>2100</v>
      </c>
    </row>
    <row r="10121" spans="1:4" x14ac:dyDescent="0.25">
      <c r="B10121" t="str">
        <f>HYPERLINK("https://www.chemistwarehouse.com.au/buy/74425/Duck-Liquid-Under-The-Rim-Lavender-Primary-50ml"," Duck Liquid Under The Rim Lavender Primary 50ml")</f>
        <v xml:space="preserve"> Duck Liquid Under The Rim Lavender Primary 50ml</v>
      </c>
      <c r="C10121" t="s">
        <v>146</v>
      </c>
      <c r="D10121" t="s">
        <v>2099</v>
      </c>
    </row>
    <row r="10122" spans="1:4" x14ac:dyDescent="0.25">
      <c r="B10122" t="str">
        <f>HYPERLINK("https://www.chemistwarehouse.com.au/buy/76131/Duck-In-Bowl-Cool-Mist-55ml"," Duck In Bowl Cool Mist 55ml")</f>
        <v xml:space="preserve"> Duck In Bowl Cool Mist 55ml</v>
      </c>
      <c r="C10122" t="s">
        <v>146</v>
      </c>
      <c r="D10122">
        <v>0</v>
      </c>
    </row>
    <row r="10123" spans="1:4" x14ac:dyDescent="0.25">
      <c r="B10123" t="str">
        <f>HYPERLINK("https://www.chemistwarehouse.com.au/buy/76132/Duck-In-Bowl-Purple-Wave-55ml"," Duck In Bowl Purple Wave 55ml")</f>
        <v xml:space="preserve"> Duck In Bowl Purple Wave 55ml</v>
      </c>
      <c r="C10123" t="s">
        <v>146</v>
      </c>
      <c r="D10123">
        <v>0</v>
      </c>
    </row>
    <row r="10124" spans="1:4" x14ac:dyDescent="0.25">
      <c r="A10124" t="s">
        <v>2101</v>
      </c>
    </row>
    <row r="10125" spans="1:4" x14ac:dyDescent="0.25">
      <c r="B10125" t="str">
        <f>HYPERLINK("https://www.chemistwarehouse.com.au/buy/80186/Duo-Laundry-Powder-Cleans-amp-Softens-2kg"," Duo Laundry Powder Cleans &amp; Softens 2kg")</f>
        <v xml:space="preserve"> Duo Laundry Powder Cleans &amp; Softens 2kg</v>
      </c>
      <c r="C10125" t="s">
        <v>116</v>
      </c>
      <c r="D10125" t="s">
        <v>115</v>
      </c>
    </row>
    <row r="10126" spans="1:4" x14ac:dyDescent="0.25">
      <c r="B10126" t="str">
        <f>HYPERLINK("https://www.chemistwarehouse.com.au/buy/80187/Duo-Laundry-Powder-Cleans-amp-Whites-2kg"," Duo Laundry Powder Cleans &amp; Whites 2kg")</f>
        <v xml:space="preserve"> Duo Laundry Powder Cleans &amp; Whites 2kg</v>
      </c>
      <c r="C10126" t="s">
        <v>116</v>
      </c>
      <c r="D10126" t="s">
        <v>115</v>
      </c>
    </row>
    <row r="10127" spans="1:4" x14ac:dyDescent="0.25">
      <c r="B10127" t="str">
        <f>HYPERLINK("https://www.chemistwarehouse.com.au/buy/80185/Duo-Laundry-Powder-Cleans-amp-Cares-2kg"," Duo Laundry Powder Cleans &amp; Cares 2kg")</f>
        <v xml:space="preserve"> Duo Laundry Powder Cleans &amp; Cares 2kg</v>
      </c>
      <c r="C10127" t="s">
        <v>116</v>
      </c>
      <c r="D10127" t="s">
        <v>115</v>
      </c>
    </row>
    <row r="10128" spans="1:4" x14ac:dyDescent="0.25">
      <c r="A10128" t="s">
        <v>2102</v>
      </c>
    </row>
    <row r="10129" spans="1:4" x14ac:dyDescent="0.25">
      <c r="B10129" t="str">
        <f>HYPERLINK("https://www.chemistwarehouse.com.au/buy/81860/Earth-Choice-Laundry-Liquid-1-Litre"," Earth Choice Laundry Liquid 1 Litre")</f>
        <v xml:space="preserve"> Earth Choice Laundry Liquid 1 Litre</v>
      </c>
      <c r="C10129" t="s">
        <v>635</v>
      </c>
      <c r="D10129" t="s">
        <v>1433</v>
      </c>
    </row>
    <row r="10130" spans="1:4" x14ac:dyDescent="0.25">
      <c r="B10130" t="str">
        <f>HYPERLINK("https://www.chemistwarehouse.com.au/buy/74432/Earth-Choice-Dishwash-Liquid-1-Litre"," Earth Choice Dishwash Liquid 1 Litre")</f>
        <v xml:space="preserve"> Earth Choice Dishwash Liquid 1 Litre</v>
      </c>
      <c r="C10130" t="s">
        <v>1489</v>
      </c>
      <c r="D10130" t="s">
        <v>1257</v>
      </c>
    </row>
    <row r="10131" spans="1:4" x14ac:dyDescent="0.25">
      <c r="B10131" t="str">
        <f>HYPERLINK("https://www.chemistwarehouse.com.au/buy/74434/Earth-Choice-Fabric-Softener-1-litre"," Earth Choice Fabric Softener 1 litre")</f>
        <v xml:space="preserve"> Earth Choice Fabric Softener 1 litre</v>
      </c>
      <c r="C10131" t="s">
        <v>1489</v>
      </c>
      <c r="D10131" t="s">
        <v>1257</v>
      </c>
    </row>
    <row r="10132" spans="1:4" x14ac:dyDescent="0.25">
      <c r="B10132" t="str">
        <f>HYPERLINK("https://www.chemistwarehouse.com.au/buy/74440/Earth-Choice-Wool-and-Delicates-1-litre"," Earth Choice Wool and Delicates 1 litre")</f>
        <v xml:space="preserve"> Earth Choice Wool and Delicates 1 litre</v>
      </c>
      <c r="C10132" t="s">
        <v>1489</v>
      </c>
      <c r="D10132" t="s">
        <v>1257</v>
      </c>
    </row>
    <row r="10133" spans="1:4" x14ac:dyDescent="0.25">
      <c r="B10133" t="str">
        <f>HYPERLINK("https://www.chemistwarehouse.com.au/buy/79561/Earth-Choice-Dishwashing-Tablets-42-Pack"," Earth Choice Dishwashing Tablets 42 Pack")</f>
        <v xml:space="preserve"> Earth Choice Dishwashing Tablets 42 Pack</v>
      </c>
      <c r="C10133" t="s">
        <v>98</v>
      </c>
      <c r="D10133" t="s">
        <v>239</v>
      </c>
    </row>
    <row r="10134" spans="1:4" x14ac:dyDescent="0.25">
      <c r="B10134" t="str">
        <f>HYPERLINK("https://www.chemistwarehouse.com.au/buy/74436/Earth-Choice-Laundry-Powder-Dual-Format-1-kg"," Earth Choice Laundry Powder Dual Format 1 kg")</f>
        <v xml:space="preserve"> Earth Choice Laundry Powder Dual Format 1 kg</v>
      </c>
      <c r="C10134" t="s">
        <v>556</v>
      </c>
      <c r="D10134" t="s">
        <v>371</v>
      </c>
    </row>
    <row r="10135" spans="1:4" x14ac:dyDescent="0.25">
      <c r="B10135" t="str">
        <f>HYPERLINK("https://www.chemistwarehouse.com.au/buy/74437/Earth-Choice-Multi-Purpose-Trigger-600ml"," Earth Choice Multi Purpose Trigger 600ml")</f>
        <v xml:space="preserve"> Earth Choice Multi Purpose Trigger 600ml</v>
      </c>
      <c r="C10135" t="s">
        <v>691</v>
      </c>
      <c r="D10135" t="s">
        <v>776</v>
      </c>
    </row>
    <row r="10136" spans="1:4" x14ac:dyDescent="0.25">
      <c r="B10136" t="str">
        <f>HYPERLINK("https://www.chemistwarehouse.com.au/buy/74438/Earth-Choice-Toilet-Cleaner-Aqua-Fresh-750ml"," Earth Choice Toilet Cleaner Aqua Fresh 750ml")</f>
        <v xml:space="preserve"> Earth Choice Toilet Cleaner Aqua Fresh 750ml</v>
      </c>
      <c r="C10136" t="s">
        <v>691</v>
      </c>
      <c r="D10136" t="s">
        <v>776</v>
      </c>
    </row>
    <row r="10137" spans="1:4" x14ac:dyDescent="0.25">
      <c r="B10137" t="str">
        <f>HYPERLINK("https://www.chemistwarehouse.com.au/buy/81861/Earth-Choice-Floor-Cleaner-1-Litre"," Earth Choice Floor Cleaner 1 Litre")</f>
        <v xml:space="preserve"> Earth Choice Floor Cleaner 1 Litre</v>
      </c>
      <c r="C10137" t="s">
        <v>691</v>
      </c>
      <c r="D10137" t="s">
        <v>776</v>
      </c>
    </row>
    <row r="10138" spans="1:4" x14ac:dyDescent="0.25">
      <c r="B10138" t="str">
        <f>HYPERLINK("https://www.chemistwarehouse.com.au/buy/82504/Earth-Choice-Dishwash-Concentrate-Naturally-Naked-500ml"," Earth Choice Dishwash Concentrate Naturally Naked 500ml")</f>
        <v xml:space="preserve"> Earth Choice Dishwash Concentrate Naturally Naked 500ml</v>
      </c>
      <c r="C10138" t="s">
        <v>691</v>
      </c>
      <c r="D10138" t="s">
        <v>776</v>
      </c>
    </row>
    <row r="10139" spans="1:4" x14ac:dyDescent="0.25">
      <c r="B10139" t="str">
        <f>HYPERLINK("https://www.chemistwarehouse.com.au/buy/82505/Earth-Choice-Dishwash-Concentrate-Green-Tea-900ml"," Earth Choice Dishwash Concentrate Green Tea 900ml")</f>
        <v xml:space="preserve"> Earth Choice Dishwash Concentrate Green Tea 900ml</v>
      </c>
      <c r="C10139" t="s">
        <v>786</v>
      </c>
      <c r="D10139" t="s">
        <v>776</v>
      </c>
    </row>
    <row r="10140" spans="1:4" x14ac:dyDescent="0.25">
      <c r="B10140" t="str">
        <f>HYPERLINK("https://www.chemistwarehouse.com.au/buy/82506/Earth-Choice-Ultra-Laundry-Liquid-2-Litre"," Earth Choice Ultra Laundry Liquid 2 Litre")</f>
        <v xml:space="preserve"> Earth Choice Ultra Laundry Liquid 2 Litre</v>
      </c>
      <c r="C10140" t="s">
        <v>80</v>
      </c>
      <c r="D10140" t="s">
        <v>640</v>
      </c>
    </row>
    <row r="10141" spans="1:4" x14ac:dyDescent="0.25">
      <c r="B10141" t="str">
        <f>HYPERLINK("https://www.chemistwarehouse.com.au/buy/82507/Earth-Choice-Ultra-Laundry-Liquid-Sensitive-2-Litre"," Earth Choice Ultra Laundry Liquid Sensitive 2 Litre")</f>
        <v xml:space="preserve"> Earth Choice Ultra Laundry Liquid Sensitive 2 Litre</v>
      </c>
      <c r="C10141" t="s">
        <v>80</v>
      </c>
      <c r="D10141" t="s">
        <v>640</v>
      </c>
    </row>
    <row r="10142" spans="1:4" x14ac:dyDescent="0.25">
      <c r="B10142" t="str">
        <f>HYPERLINK("https://www.chemistwarehouse.com.au/buy/76354/Earth-Choice-Cream-Cleanser-375ml"," Earth Choice Cream Cleanser 375ml")</f>
        <v xml:space="preserve"> Earth Choice Cream Cleanser 375ml</v>
      </c>
      <c r="C10142" t="s">
        <v>691</v>
      </c>
      <c r="D10142" t="s">
        <v>776</v>
      </c>
    </row>
    <row r="10143" spans="1:4" x14ac:dyDescent="0.25">
      <c r="B10143" t="str">
        <f>HYPERLINK("https://www.chemistwarehouse.com.au/buy/76355/Earth-Choice-Prewash-Stain-Remover-400ml"," Earth Choice Prewash Stain Remover 400ml")</f>
        <v xml:space="preserve"> Earth Choice Prewash Stain Remover 400ml</v>
      </c>
      <c r="C10143" t="s">
        <v>775</v>
      </c>
      <c r="D10143" t="s">
        <v>776</v>
      </c>
    </row>
    <row r="10144" spans="1:4" x14ac:dyDescent="0.25">
      <c r="A10144" t="s">
        <v>2103</v>
      </c>
    </row>
    <row r="10145" spans="1:4" x14ac:dyDescent="0.25">
      <c r="B10145" t="str">
        <f>HYPERLINK("https://www.chemistwarehouse.com.au/buy/79441/Finish-Quantum-Powerball-38-Pack"," Finish Quantum Powerball 38 Pack")</f>
        <v xml:space="preserve"> Finish Quantum Powerball 38 Pack</v>
      </c>
      <c r="C10145" t="s">
        <v>187</v>
      </c>
      <c r="D10145">
        <v>0</v>
      </c>
    </row>
    <row r="10146" spans="1:4" x14ac:dyDescent="0.25">
      <c r="B10146" t="str">
        <f>HYPERLINK("https://www.chemistwarehouse.com.au/buy/74441/Finish-Classic-60-Tablets"," Finish Classic 60 Tablets")</f>
        <v xml:space="preserve"> Finish Classic 60 Tablets</v>
      </c>
      <c r="C10146" t="s">
        <v>237</v>
      </c>
      <c r="D10146" t="s">
        <v>1105</v>
      </c>
    </row>
    <row r="10147" spans="1:4" x14ac:dyDescent="0.25">
      <c r="B10147" t="str">
        <f>HYPERLINK("https://www.chemistwarehouse.com.au/buy/80085/Finish-Rinse-Aid-400ml"," Finish Rinse Aid 400ml")</f>
        <v xml:space="preserve"> Finish Rinse Aid 400ml</v>
      </c>
      <c r="C10147" t="s">
        <v>556</v>
      </c>
      <c r="D10147">
        <v>0</v>
      </c>
    </row>
    <row r="10148" spans="1:4" x14ac:dyDescent="0.25">
      <c r="B10148" t="str">
        <f>HYPERLINK("https://www.chemistwarehouse.com.au/buy/80086/Finish-Rinse-Aid-Lemon-400ml"," Finish Rinse Aid Lemon 400ml")</f>
        <v xml:space="preserve"> Finish Rinse Aid Lemon 400ml</v>
      </c>
      <c r="C10148" t="s">
        <v>556</v>
      </c>
      <c r="D10148">
        <v>0</v>
      </c>
    </row>
    <row r="10149" spans="1:4" x14ac:dyDescent="0.25">
      <c r="B10149" t="str">
        <f>HYPERLINK("https://www.chemistwarehouse.com.au/buy/78363/Finish-Quantum-Powerball-10-Pack"," Finish Quantum Powerball 10 Pack")</f>
        <v xml:space="preserve"> Finish Quantum Powerball 10 Pack</v>
      </c>
      <c r="C10149" t="s">
        <v>483</v>
      </c>
      <c r="D10149">
        <v>0</v>
      </c>
    </row>
    <row r="10150" spans="1:4" x14ac:dyDescent="0.25">
      <c r="B10150" t="str">
        <f>HYPERLINK("https://www.chemistwarehouse.com.au/buy/82687/Finish-Machine-Cleaner-250ml"," Finish Machine Cleaner 250ml")</f>
        <v xml:space="preserve"> Finish Machine Cleaner 250ml</v>
      </c>
      <c r="C10150" t="s">
        <v>556</v>
      </c>
      <c r="D10150">
        <v>0</v>
      </c>
    </row>
    <row r="10151" spans="1:4" x14ac:dyDescent="0.25">
      <c r="B10151" t="str">
        <f>HYPERLINK("https://www.chemistwarehouse.com.au/buy/79075/Finish-Classic-Tablet-110-Pack"," Finish Classic Tablet 110 Pack")</f>
        <v xml:space="preserve"> Finish Classic Tablet 110 Pack</v>
      </c>
      <c r="C10151" t="s">
        <v>1</v>
      </c>
      <c r="D10151">
        <v>0</v>
      </c>
    </row>
    <row r="10152" spans="1:4" x14ac:dyDescent="0.25">
      <c r="B10152" t="str">
        <f>HYPERLINK("https://www.chemistwarehouse.com.au/buy/78443/Finish-Quantum-Powerball-60-Mega-Pack"," Finish Quantum Powerball 60 Mega Pack")</f>
        <v xml:space="preserve"> Finish Quantum Powerball 60 Mega Pack</v>
      </c>
      <c r="C10152" t="s">
        <v>1</v>
      </c>
      <c r="D10152">
        <v>0</v>
      </c>
    </row>
    <row r="10153" spans="1:4" x14ac:dyDescent="0.25">
      <c r="B10153" t="str">
        <f>HYPERLINK("https://www.chemistwarehouse.com.au/buy/76496/Finish-Quantum-Powerball-Lemon-38-Pack"," Finish Quantum Powerball Lemon 38 Pack")</f>
        <v xml:space="preserve"> Finish Quantum Powerball Lemon 38 Pack</v>
      </c>
      <c r="C10153" t="s">
        <v>46</v>
      </c>
      <c r="D10153" t="s">
        <v>556</v>
      </c>
    </row>
    <row r="10154" spans="1:4" x14ac:dyDescent="0.25">
      <c r="B10154" t="str">
        <f>HYPERLINK("https://www.chemistwarehouse.com.au/buy/76497/Finish-Quantum-Powerball-Tablets-Baking-Soda-45-Pack"," Finish Quantum Powerball Tablets Baking Soda 45 Pack")</f>
        <v xml:space="preserve"> Finish Quantum Powerball Tablets Baking Soda 45 Pack</v>
      </c>
      <c r="C10154" t="s">
        <v>46</v>
      </c>
      <c r="D10154" t="s">
        <v>556</v>
      </c>
    </row>
    <row r="10155" spans="1:4" x14ac:dyDescent="0.25">
      <c r="B10155" t="str">
        <f>HYPERLINK("https://www.chemistwarehouse.com.au/buy/80325/Finish-Quantum-Powerball-Dishwashing-Tablets-Lemon-40-Pack"," Finish Quantum Powerball Dishwashing Tablets Lemon 40 Pack")</f>
        <v xml:space="preserve"> Finish Quantum Powerball Dishwashing Tablets Lemon 40 Pack</v>
      </c>
      <c r="C10155" t="s">
        <v>46</v>
      </c>
      <c r="D10155" t="s">
        <v>556</v>
      </c>
    </row>
    <row r="10156" spans="1:4" x14ac:dyDescent="0.25">
      <c r="B10156" t="str">
        <f>HYPERLINK("https://www.chemistwarehouse.com.au/buy/79583/Finish-Machine-Freshener-Lemon-amp-Lime-60-Washes"," Finish Machine Freshener Lemon &amp; Lime 60 Washes")</f>
        <v xml:space="preserve"> Finish Machine Freshener Lemon &amp; Lime 60 Washes</v>
      </c>
      <c r="C10156" t="s">
        <v>312</v>
      </c>
      <c r="D10156" t="s">
        <v>748</v>
      </c>
    </row>
    <row r="10157" spans="1:4" x14ac:dyDescent="0.25">
      <c r="B10157" t="str">
        <f>HYPERLINK("https://www.chemistwarehouse.com.au/buy/79584/Finish-Machine-Freshener-Odor-Stop-60-Washes"," Finish Machine Freshener Odor Stop 60 Washes")</f>
        <v xml:space="preserve"> Finish Machine Freshener Odor Stop 60 Washes</v>
      </c>
      <c r="C10157" t="s">
        <v>312</v>
      </c>
      <c r="D10157" t="s">
        <v>748</v>
      </c>
    </row>
    <row r="10158" spans="1:4" x14ac:dyDescent="0.25">
      <c r="A10158" t="s">
        <v>2104</v>
      </c>
    </row>
    <row r="10159" spans="1:4" x14ac:dyDescent="0.25">
      <c r="B10159" t="str">
        <f>HYPERLINK("https://www.chemistwarehouse.com.au/buy/67518/Glen-20-Spray-Disinfectant-Country-Scent-175g"," Glen 20 Spray Disinfectant Country Scent 175g")</f>
        <v xml:space="preserve"> Glen 20 Spray Disinfectant Country Scent 175g</v>
      </c>
      <c r="C10159" t="s">
        <v>483</v>
      </c>
      <c r="D10159" t="s">
        <v>1332</v>
      </c>
    </row>
    <row r="10160" spans="1:4" x14ac:dyDescent="0.25">
      <c r="B10160" t="str">
        <f>HYPERLINK("https://www.chemistwarehouse.com.au/buy/34213/Glen-20-Surface-Spray-Disinfectant-175g"," Glen 20 Surface Spray Disinfectant 175g")</f>
        <v xml:space="preserve"> Glen 20 Surface Spray Disinfectant 175g</v>
      </c>
      <c r="C10160" t="s">
        <v>483</v>
      </c>
      <c r="D10160" t="s">
        <v>1332</v>
      </c>
    </row>
    <row r="10161" spans="1:4" x14ac:dyDescent="0.25">
      <c r="A10161" t="s">
        <v>2105</v>
      </c>
    </row>
    <row r="10162" spans="1:4" x14ac:dyDescent="0.25">
      <c r="B10162" t="str">
        <f>HYPERLINK("https://www.chemistwarehouse.com.au/buy/79599/Harpic-White-and-Shine-Thick-Bleach-Gel-Original-Fresh-750ml"," Harpic White and Shine Thick Bleach Gel Original Fresh 750ml")</f>
        <v xml:space="preserve"> Harpic White and Shine Thick Bleach Gel Original Fresh 750ml</v>
      </c>
      <c r="C10162" t="s">
        <v>556</v>
      </c>
      <c r="D10162" t="s">
        <v>725</v>
      </c>
    </row>
    <row r="10163" spans="1:4" x14ac:dyDescent="0.25">
      <c r="B10163" t="str">
        <f>HYPERLINK("https://www.chemistwarehouse.com.au/buy/81252/Harpic-In-Bowl-Super-Active-Citrus-38g"," Harpic In Bowl Super Active Citrus 38g")</f>
        <v xml:space="preserve"> Harpic In Bowl Super Active Citrus 38g</v>
      </c>
      <c r="C10163" t="s">
        <v>635</v>
      </c>
      <c r="D10163">
        <v>0</v>
      </c>
    </row>
    <row r="10164" spans="1:4" x14ac:dyDescent="0.25">
      <c r="B10164" t="str">
        <f>HYPERLINK("https://www.chemistwarehouse.com.au/buy/79598/Harpic-White-and-Shine-Thick-Bleach-Gel-Citrus-750ml"," Harpic White and Shine Thick Bleach Gel Citrus 750ml")</f>
        <v xml:space="preserve"> Harpic White and Shine Thick Bleach Gel Citrus 750ml</v>
      </c>
      <c r="C10164" t="s">
        <v>556</v>
      </c>
      <c r="D10164" t="s">
        <v>725</v>
      </c>
    </row>
    <row r="10165" spans="1:4" x14ac:dyDescent="0.25">
      <c r="A10165" t="s">
        <v>2106</v>
      </c>
    </row>
    <row r="10166" spans="1:4" x14ac:dyDescent="0.25">
      <c r="B10166" t="str">
        <f>HYPERLINK("https://www.chemistwarehouse.com.au/buy/74443/Huggie-Lavender-Fabric-Softener-2-Litre"," Huggie Lavender Fabric Softener 2 Litre")</f>
        <v xml:space="preserve"> Huggie Lavender Fabric Softener 2 Litre</v>
      </c>
      <c r="C10166" t="s">
        <v>556</v>
      </c>
      <c r="D10166" t="s">
        <v>312</v>
      </c>
    </row>
    <row r="10167" spans="1:4" x14ac:dyDescent="0.25">
      <c r="B10167" t="str">
        <f>HYPERLINK("https://www.chemistwarehouse.com.au/buy/74442/Huggie-Classic-Blue-Fabric-Softener-2-Litre"," Huggie Classic Blue Fabric Softener 2 Litre")</f>
        <v xml:space="preserve"> Huggie Classic Blue Fabric Softener 2 Litre</v>
      </c>
      <c r="C10167" t="s">
        <v>556</v>
      </c>
      <c r="D10167" t="s">
        <v>312</v>
      </c>
    </row>
    <row r="10168" spans="1:4" x14ac:dyDescent="0.25">
      <c r="A10168" t="s">
        <v>2107</v>
      </c>
    </row>
    <row r="10169" spans="1:4" x14ac:dyDescent="0.25">
      <c r="B10169" t="str">
        <f>HYPERLINK("https://www.chemistwarehouse.com.au/buy/75516/Morning-Fresh-Dishwashing-Liquid-Antibacterial-Orange-amp-Tea-Tree-400ml"," Morning Fresh Dishwashing Liquid Antibacterial Orange &amp; Tea Tree 400ml")</f>
        <v xml:space="preserve"> Morning Fresh Dishwashing Liquid Antibacterial Orange &amp; Tea Tree 400ml</v>
      </c>
      <c r="C10169" t="s">
        <v>146</v>
      </c>
      <c r="D10169" t="s">
        <v>371</v>
      </c>
    </row>
    <row r="10170" spans="1:4" x14ac:dyDescent="0.25">
      <c r="B10170" t="str">
        <f>HYPERLINK("https://www.chemistwarehouse.com.au/buy/56270/Morning-Fresh-Dishwashing-Liquid-1-25lt-Lemon"," Morning Fresh Dishwashing Liquid 1.25lt Lemon")</f>
        <v xml:space="preserve"> Morning Fresh Dishwashing Liquid 1.25lt Lemon</v>
      </c>
      <c r="C10170" t="s">
        <v>92</v>
      </c>
      <c r="D10170" t="s">
        <v>312</v>
      </c>
    </row>
    <row r="10171" spans="1:4" x14ac:dyDescent="0.25">
      <c r="B10171" t="str">
        <f>HYPERLINK("https://www.chemistwarehouse.com.au/buy/75517/Morning-Fresh-Dishwashing-Liquid-Lemon-400ml"," Morning Fresh Dishwashing Liquid Lemon 400ml")</f>
        <v xml:space="preserve"> Morning Fresh Dishwashing Liquid Lemon 400ml</v>
      </c>
      <c r="C10171" t="s">
        <v>146</v>
      </c>
      <c r="D10171" t="s">
        <v>371</v>
      </c>
    </row>
    <row r="10172" spans="1:4" x14ac:dyDescent="0.25">
      <c r="B10172" t="str">
        <f>HYPERLINK("https://www.chemistwarehouse.com.au/buy/75518/Morning-Fresh-Dishwashing-Liquid-Original-400ml"," Morning Fresh Dishwashing Liquid Original 400ml")</f>
        <v xml:space="preserve"> Morning Fresh Dishwashing Liquid Original 400ml</v>
      </c>
      <c r="C10172" t="s">
        <v>146</v>
      </c>
      <c r="D10172" t="s">
        <v>371</v>
      </c>
    </row>
    <row r="10173" spans="1:4" x14ac:dyDescent="0.25">
      <c r="B10173" t="str">
        <f>HYPERLINK("https://www.chemistwarehouse.com.au/buy/56272/Morning-Fresh-Dishwashing-Liquid-1-25lt-Original"," Morning Fresh Dishwashing Liquid 1.25lt Original")</f>
        <v xml:space="preserve"> Morning Fresh Dishwashing Liquid 1.25lt Original</v>
      </c>
      <c r="C10173" t="s">
        <v>92</v>
      </c>
      <c r="D10173" t="s">
        <v>312</v>
      </c>
    </row>
    <row r="10174" spans="1:4" x14ac:dyDescent="0.25">
      <c r="B10174" t="str">
        <f>HYPERLINK("https://www.chemistwarehouse.com.au/buy/75515/Morning-Fresh-Dishwashing-Liquid-Antibacterial-Lemon-400ml"," Morning Fresh Dishwashing Liquid Antibacterial Lemon 400ml")</f>
        <v xml:space="preserve"> Morning Fresh Dishwashing Liquid Antibacterial Lemon 400ml</v>
      </c>
      <c r="C10174" t="s">
        <v>146</v>
      </c>
      <c r="D10174" t="s">
        <v>371</v>
      </c>
    </row>
    <row r="10175" spans="1:4" x14ac:dyDescent="0.25">
      <c r="B10175" t="str">
        <f>HYPERLINK("https://www.chemistwarehouse.com.au/buy/79394/Morning-Fresh-900ml-Lemon-Bonus-Pack"," Morning Fresh 900ml Lemon Bonus Pack")</f>
        <v xml:space="preserve"> Morning Fresh 900ml Lemon Bonus Pack</v>
      </c>
      <c r="C10175" t="s">
        <v>146</v>
      </c>
      <c r="D10175" t="s">
        <v>371</v>
      </c>
    </row>
    <row r="10176" spans="1:4" x14ac:dyDescent="0.25">
      <c r="B10176" t="str">
        <f>HYPERLINK("https://www.chemistwarehouse.com.au/buy/76564/Morning-Fresh-Eco-Dishwashing-Liquid-Fragrance-Free-400ml"," Morning Fresh Eco Dishwashing Liquid Fragrance Free 400ml")</f>
        <v xml:space="preserve"> Morning Fresh Eco Dishwashing Liquid Fragrance Free 400ml</v>
      </c>
      <c r="C10176" t="s">
        <v>635</v>
      </c>
      <c r="D10176" t="s">
        <v>281</v>
      </c>
    </row>
    <row r="10177" spans="1:4" x14ac:dyDescent="0.25">
      <c r="B10177" t="str">
        <f>HYPERLINK("https://www.chemistwarehouse.com.au/buy/76563/Morning-Fresh-Eco-Dishwashing-Liquid-Eucalyptus-400ml"," Morning Fresh Eco Dishwashing Liquid Eucalyptus 400ml")</f>
        <v xml:space="preserve"> Morning Fresh Eco Dishwashing Liquid Eucalyptus 400ml</v>
      </c>
      <c r="C10177" t="s">
        <v>635</v>
      </c>
      <c r="D10177" t="s">
        <v>281</v>
      </c>
    </row>
    <row r="10178" spans="1:4" x14ac:dyDescent="0.25">
      <c r="A10178" t="s">
        <v>2108</v>
      </c>
    </row>
    <row r="10179" spans="1:4" x14ac:dyDescent="0.25">
      <c r="B10179" t="str">
        <f>HYPERLINK("https://www.chemistwarehouse.com.au/buy/67526/Mortein-Energy-Ball-Fly-Killer-Odourless-250g"," Mortein Energy Ball Fly Killer Odourless 250g")</f>
        <v xml:space="preserve"> Mortein Energy Ball Fly Killer Odourless 250g</v>
      </c>
      <c r="C10179" t="s">
        <v>786</v>
      </c>
      <c r="D10179" t="s">
        <v>725</v>
      </c>
    </row>
    <row r="10180" spans="1:4" x14ac:dyDescent="0.25">
      <c r="B10180" t="str">
        <f>HYPERLINK("https://www.chemistwarehouse.com.au/buy/67527/Mortein-Fast-Knock-Down-200g"," Mortein Fast Knock Down 200g")</f>
        <v xml:space="preserve"> Mortein Fast Knock Down 200g</v>
      </c>
      <c r="C10180" t="s">
        <v>786</v>
      </c>
      <c r="D10180" t="s">
        <v>725</v>
      </c>
    </row>
    <row r="10181" spans="1:4" x14ac:dyDescent="0.25">
      <c r="A10181" t="s">
        <v>2109</v>
      </c>
    </row>
    <row r="10182" spans="1:4" x14ac:dyDescent="0.25">
      <c r="B10182" t="str">
        <f>HYPERLINK("https://www.chemistwarehouse.com.au/buy/74449/Mr-Muscle-5-in-1-Bathroom-Trigger-500ml"," Mr Muscle 5 in 1 Bathroom Trigger 500ml")</f>
        <v xml:space="preserve"> Mr Muscle 5 in 1 Bathroom Trigger 500ml</v>
      </c>
      <c r="C10182" t="s">
        <v>483</v>
      </c>
      <c r="D10182" t="s">
        <v>1863</v>
      </c>
    </row>
    <row r="10183" spans="1:4" x14ac:dyDescent="0.25">
      <c r="A10183" t="s">
        <v>2110</v>
      </c>
    </row>
    <row r="10184" spans="1:4" x14ac:dyDescent="0.25">
      <c r="B10184" t="str">
        <f>HYPERLINK("https://www.chemistwarehouse.com.au/buy/74451/Napisan-Vanish-Oxi-Action-2kg-Bonus-1kg"," Napisan Vanish Oxi Action 2kg + Bonus 1kg")</f>
        <v xml:space="preserve"> Napisan Vanish Oxi Action 2kg + Bonus 1kg</v>
      </c>
      <c r="C10184" t="s">
        <v>237</v>
      </c>
      <c r="D10184" t="s">
        <v>64</v>
      </c>
    </row>
    <row r="10185" spans="1:4" x14ac:dyDescent="0.25">
      <c r="A10185" t="s">
        <v>2111</v>
      </c>
    </row>
    <row r="10186" spans="1:4" x14ac:dyDescent="0.25">
      <c r="B10186" t="str">
        <f>HYPERLINK("https://www.chemistwarehouse.com.au/buy/75520/Pine-O-Cleen-Eucalyptus-1-25lt"," Pine O Cleen Eucalyptus 1.25lt")</f>
        <v xml:space="preserve"> Pine O Cleen Eucalyptus 1.25lt</v>
      </c>
      <c r="C10186" t="s">
        <v>786</v>
      </c>
      <c r="D10186" t="s">
        <v>776</v>
      </c>
    </row>
    <row r="10187" spans="1:4" x14ac:dyDescent="0.25">
      <c r="B10187" t="str">
        <f>HYPERLINK("https://www.chemistwarehouse.com.au/buy/67532/Pine-O-Cleen-Surface-Cleanser-Wipes-Green-Apple-40"," Pine O Cleen Surface Cleanser Wipes Green Apple 40")</f>
        <v xml:space="preserve"> Pine O Cleen Surface Cleanser Wipes Green Apple 40</v>
      </c>
      <c r="C10187" t="s">
        <v>786</v>
      </c>
      <c r="D10187" t="s">
        <v>755</v>
      </c>
    </row>
    <row r="10188" spans="1:4" x14ac:dyDescent="0.25">
      <c r="B10188" t="str">
        <f>HYPERLINK("https://www.chemistwarehouse.com.au/buy/75519/Pine-O-Cleen-Disinfectant-Pine-1-25lt"," Pine O Cleen Disinfectant Pine 1.25lt")</f>
        <v xml:space="preserve"> Pine O Cleen Disinfectant Pine 1.25lt</v>
      </c>
      <c r="C10188" t="s">
        <v>786</v>
      </c>
      <c r="D10188" t="s">
        <v>776</v>
      </c>
    </row>
    <row r="10189" spans="1:4" x14ac:dyDescent="0.25">
      <c r="B10189" t="str">
        <f>HYPERLINK("https://www.chemistwarehouse.com.au/buy/67529/Pine-O-Cleen-All-in-1-Disinfecting-Wipes-Lemon-Lime-40"," Pine O Cleen All in 1 Disinfecting Wipes Lemon Lime 40")</f>
        <v xml:space="preserve"> Pine O Cleen All in 1 Disinfecting Wipes Lemon Lime 40</v>
      </c>
      <c r="C10189" t="s">
        <v>786</v>
      </c>
      <c r="D10189" t="s">
        <v>755</v>
      </c>
    </row>
    <row r="10190" spans="1:4" x14ac:dyDescent="0.25">
      <c r="A10190" t="s">
        <v>2112</v>
      </c>
    </row>
    <row r="10191" spans="1:4" x14ac:dyDescent="0.25">
      <c r="B10191" t="str">
        <f>HYPERLINK("https://www.chemistwarehouse.com.au/buy/74456/Radiant-Laundry-Powder-Brilliant-Whites-Sharper-Colours-500g"," Radiant Laundry Powder Brilliant Whites Sharper Colours 500g")</f>
        <v xml:space="preserve"> Radiant Laundry Powder Brilliant Whites Sharper Colours 500g</v>
      </c>
      <c r="C10191" t="s">
        <v>146</v>
      </c>
      <c r="D10191" t="s">
        <v>115</v>
      </c>
    </row>
    <row r="10192" spans="1:4" x14ac:dyDescent="0.25">
      <c r="B10192" t="str">
        <f>HYPERLINK("https://www.chemistwarehouse.com.au/buy/74454/Radiant-Laundry-Detergent-Liquid-No-Sort-1-25-Litres"," Radiant Laundry Detergent Liquid No Sort 1.25 Litres")</f>
        <v xml:space="preserve"> Radiant Laundry Detergent Liquid No Sort 1.25 Litres</v>
      </c>
      <c r="C10192" t="s">
        <v>92</v>
      </c>
      <c r="D10192" t="s">
        <v>162</v>
      </c>
    </row>
    <row r="10193" spans="1:4" x14ac:dyDescent="0.25">
      <c r="B10193" t="str">
        <f>HYPERLINK("https://www.chemistwarehouse.com.au/buy/74453/Radiant-Laundry-Det-Liq-Brilliant-Whites-Sharper-Colours-1-25L"," Radiant Laundry Det Liq Brilliant Whites Sharper Colours 1.25L")</f>
        <v xml:space="preserve"> Radiant Laundry Det Liq Brilliant Whites Sharper Colours 1.25L</v>
      </c>
      <c r="C10193" t="s">
        <v>92</v>
      </c>
      <c r="D10193" t="s">
        <v>162</v>
      </c>
    </row>
    <row r="10194" spans="1:4" x14ac:dyDescent="0.25">
      <c r="B10194" t="str">
        <f>HYPERLINK("https://www.chemistwarehouse.com.au/buy/74457/Radiant-No-Sort-500g"," Radiant No Sort 500g")</f>
        <v xml:space="preserve"> Radiant No Sort 500g</v>
      </c>
      <c r="C10194" t="s">
        <v>146</v>
      </c>
      <c r="D10194" t="s">
        <v>115</v>
      </c>
    </row>
    <row r="10195" spans="1:4" x14ac:dyDescent="0.25">
      <c r="B10195" t="str">
        <f>HYPERLINK("https://www.chemistwarehouse.com.au/buy/74458/Radiant-Sensitive-500g"," Radiant Sensitive 500g")</f>
        <v xml:space="preserve"> Radiant Sensitive 500g</v>
      </c>
      <c r="C10195" t="s">
        <v>312</v>
      </c>
      <c r="D10195" t="s">
        <v>483</v>
      </c>
    </row>
    <row r="10196" spans="1:4" x14ac:dyDescent="0.25">
      <c r="A10196" t="s">
        <v>2113</v>
      </c>
    </row>
    <row r="10197" spans="1:4" x14ac:dyDescent="0.25">
      <c r="B10197" t="str">
        <f>HYPERLINK("https://www.chemistwarehouse.com.au/buy/74464/Vileda-Handi-Dish-Heavy-Duty-Refill-4-Pack"," Vileda Handi Dish Heavy Duty Refill 4 Pack")</f>
        <v xml:space="preserve"> Vileda Handi Dish Heavy Duty Refill 4 Pack</v>
      </c>
      <c r="C10197" t="s">
        <v>556</v>
      </c>
      <c r="D10197" t="s">
        <v>1230</v>
      </c>
    </row>
    <row r="10198" spans="1:4" x14ac:dyDescent="0.25">
      <c r="B10198" t="str">
        <f>HYPERLINK("https://www.chemistwarehouse.com.au/buy/74466/Vileda-Naturals-Wipes-Multi-Purpose10-Pack"," Vileda Naturals Wipes Multi Purpose10 Pack")</f>
        <v xml:space="preserve"> Vileda Naturals Wipes Multi Purpose10 Pack</v>
      </c>
      <c r="C10198" t="s">
        <v>146</v>
      </c>
      <c r="D10198" t="s">
        <v>1451</v>
      </c>
    </row>
    <row r="10199" spans="1:4" x14ac:dyDescent="0.25">
      <c r="B10199" t="str">
        <f>HYPERLINK("https://www.chemistwarehouse.com.au/buy/79336/Vileda-Dual-Action-Sponge-Scourer-3-Pack"," Vileda Dual Action Sponge Scourer 3 Pack")</f>
        <v xml:space="preserve"> Vileda Dual Action Sponge Scourer 3 Pack</v>
      </c>
      <c r="C10199" t="s">
        <v>483</v>
      </c>
      <c r="D10199" t="s">
        <v>1340</v>
      </c>
    </row>
    <row r="10200" spans="1:4" x14ac:dyDescent="0.25">
      <c r="B10200" t="str">
        <f>HYPERLINK("https://www.chemistwarehouse.com.au/buy/81854/Vileda-Easy-Wring-amp-Clean-Set"," Vileda Easy Wring &amp; Clean Set")</f>
        <v xml:space="preserve"> Vileda Easy Wring &amp; Clean Set</v>
      </c>
      <c r="C10200" t="s">
        <v>168</v>
      </c>
      <c r="D10200" t="s">
        <v>169</v>
      </c>
    </row>
    <row r="10201" spans="1:4" x14ac:dyDescent="0.25">
      <c r="B10201" t="str">
        <f>HYPERLINK("https://www.chemistwarehouse.com.au/buy/74463/Vileda-Handi-Dish-Handle-1-Pack"," Vileda Handi Dish Handle 1 Pack")</f>
        <v xml:space="preserve"> Vileda Handi Dish Handle 1 Pack</v>
      </c>
      <c r="C10201" t="s">
        <v>146</v>
      </c>
      <c r="D10201" t="s">
        <v>1451</v>
      </c>
    </row>
    <row r="10202" spans="1:4" x14ac:dyDescent="0.25">
      <c r="B10202" t="str">
        <f>HYPERLINK("https://www.chemistwarehouse.com.au/buy/74460/Vileda-All-Purpose-Cloth-6-Pack"," Vileda All Purpose Cloth 6 Pack")</f>
        <v xml:space="preserve"> Vileda All Purpose Cloth 6 Pack</v>
      </c>
      <c r="C10202" t="s">
        <v>483</v>
      </c>
      <c r="D10202" t="s">
        <v>781</v>
      </c>
    </row>
    <row r="10203" spans="1:4" x14ac:dyDescent="0.25">
      <c r="B10203" t="str">
        <f>HYPERLINK("https://www.chemistwarehouse.com.au/buy/74462/Vileda-Dish-Brush-Round-Anti-Bacterial-1-Pack"," Vileda Dish Brush Round Anti Bacterial 1 Pack")</f>
        <v xml:space="preserve"> Vileda Dish Brush Round Anti Bacterial 1 Pack</v>
      </c>
      <c r="C10203" t="s">
        <v>483</v>
      </c>
      <c r="D10203" t="s">
        <v>371</v>
      </c>
    </row>
    <row r="10204" spans="1:4" x14ac:dyDescent="0.25">
      <c r="B10204" t="str">
        <f>HYPERLINK("https://www.chemistwarehouse.com.au/buy/74467/Vileda-Power-Scrub-Scourer-2-Pack"," Vileda Power Scrub Scourer 2 Pack")</f>
        <v xml:space="preserve"> Vileda Power Scrub Scourer 2 Pack</v>
      </c>
      <c r="C10204" t="s">
        <v>635</v>
      </c>
      <c r="D10204" t="s">
        <v>1332</v>
      </c>
    </row>
    <row r="10205" spans="1:4" x14ac:dyDescent="0.25">
      <c r="B10205" t="str">
        <f>HYPERLINK("https://www.chemistwarehouse.com.au/buy/74468/Vileda-Powerfibres-Duster-1-Pack"," Vileda Powerfibres Duster 1 Pack")</f>
        <v xml:space="preserve"> Vileda Powerfibres Duster 1 Pack</v>
      </c>
      <c r="C10205" t="s">
        <v>116</v>
      </c>
      <c r="D10205" t="s">
        <v>291</v>
      </c>
    </row>
    <row r="10206" spans="1:4" x14ac:dyDescent="0.25">
      <c r="B10206" t="str">
        <f>HYPERLINK("https://www.chemistwarehouse.com.au/buy/74469/Vileda-Quick-n-Dry-Cloth-3-Pack"," Vileda Quick n Dry Cloth 3 Pack")</f>
        <v xml:space="preserve"> Vileda Quick n Dry Cloth 3 Pack</v>
      </c>
      <c r="C10206" t="s">
        <v>146</v>
      </c>
      <c r="D10206" t="s">
        <v>553</v>
      </c>
    </row>
    <row r="10207" spans="1:4" x14ac:dyDescent="0.25">
      <c r="B10207" t="str">
        <f>HYPERLINK("https://www.chemistwarehouse.com.au/buy/79334/Vileda-Actifibre-Cloth-1-Pack"," Vileda Actifibre Cloth 1 Pack")</f>
        <v xml:space="preserve"> Vileda Actifibre Cloth 1 Pack</v>
      </c>
      <c r="C10207" t="s">
        <v>691</v>
      </c>
      <c r="D10207" t="s">
        <v>776</v>
      </c>
    </row>
    <row r="10208" spans="1:4" x14ac:dyDescent="0.25">
      <c r="B10208" t="str">
        <f>HYPERLINK("https://www.chemistwarehouse.com.au/buy/79335/Vileda-Dual-Action-Refills-3-Pack"," Vileda Dual Action Refills 3 Pack")</f>
        <v xml:space="preserve"> Vileda Dual Action Refills 3 Pack</v>
      </c>
      <c r="C10208" t="s">
        <v>556</v>
      </c>
      <c r="D10208" t="s">
        <v>597</v>
      </c>
    </row>
    <row r="10209" spans="1:4" x14ac:dyDescent="0.25">
      <c r="A10209" t="s">
        <v>2114</v>
      </c>
    </row>
    <row r="10210" spans="1:4" x14ac:dyDescent="0.25">
      <c r="B10210" t="str">
        <f>HYPERLINK("https://www.chemistwarehouse.com.au/buy/74471/Wettex-Sponge-Cloth-3-Pack"," Wettex Sponge Cloth 3 Pack")</f>
        <v xml:space="preserve"> Wettex Sponge Cloth 3 Pack</v>
      </c>
      <c r="C10210" t="s">
        <v>146</v>
      </c>
      <c r="D10210" t="s">
        <v>781</v>
      </c>
    </row>
    <row r="10211" spans="1:4" x14ac:dyDescent="0.25">
      <c r="B10211" t="str">
        <f>HYPERLINK("https://www.chemistwarehouse.com.au/buy/74472/Wettex-Wet-Sponge-Cloth-3-Pack"," Wettex Wet Sponge Cloth 3 Pack")</f>
        <v xml:space="preserve"> Wettex Wet Sponge Cloth 3 Pack</v>
      </c>
      <c r="C10211" t="s">
        <v>146</v>
      </c>
      <c r="D10211" t="s">
        <v>371</v>
      </c>
    </row>
    <row r="10212" spans="1:4" x14ac:dyDescent="0.25">
      <c r="B10212" t="str">
        <f>HYPERLINK("https://www.chemistwarehouse.com.au/buy/74470/Wettex-Mini-Sponge-3-Pack"," Wettex Mini Sponge 3 Pack")</f>
        <v xml:space="preserve"> Wettex Mini Sponge 3 Pack</v>
      </c>
      <c r="C10212" t="s">
        <v>691</v>
      </c>
      <c r="D10212" t="s">
        <v>776</v>
      </c>
    </row>
    <row r="10213" spans="1:4" x14ac:dyDescent="0.25">
      <c r="A10213" t="s">
        <v>2115</v>
      </c>
    </row>
    <row r="10214" spans="1:4" x14ac:dyDescent="0.25">
      <c r="B10214" t="str">
        <f>HYPERLINK("https://www.chemistwarehouse.com.au/buy/81842/White-King-Stain-Remover-500ml"," White King Stain Remover 500ml")</f>
        <v xml:space="preserve"> White King Stain Remover 500ml</v>
      </c>
      <c r="C10214" t="s">
        <v>483</v>
      </c>
      <c r="D10214" t="s">
        <v>776</v>
      </c>
    </row>
    <row r="10215" spans="1:4" x14ac:dyDescent="0.25">
      <c r="B10215" t="str">
        <f>HYPERLINK("https://www.chemistwarehouse.com.au/buy/74475/White-King-Mould-Soap-Scum-Remover"," White King Mould + Soap Scum Remover")</f>
        <v xml:space="preserve"> White King Mould + Soap Scum Remover</v>
      </c>
      <c r="C10215" t="s">
        <v>786</v>
      </c>
      <c r="D10215" t="s">
        <v>643</v>
      </c>
    </row>
    <row r="10216" spans="1:4" x14ac:dyDescent="0.25">
      <c r="B10216" t="str">
        <f>HYPERLINK("https://www.chemistwarehouse.com.au/buy/80316/White-King-Turbo-Flush-Block-50g"," White King Turbo Flush Block 50g")</f>
        <v xml:space="preserve"> White King Turbo Flush Block 50g</v>
      </c>
      <c r="C10216" t="s">
        <v>146</v>
      </c>
      <c r="D10216">
        <v>0</v>
      </c>
    </row>
    <row r="10217" spans="1:4" x14ac:dyDescent="0.25">
      <c r="B10217" t="str">
        <f>HYPERLINK("https://www.chemistwarehouse.com.au/buy/81841/White-King-Bathroom-Power-Gel-Lemon-750ml"," White King Bathroom Power Gel Lemon 750ml")</f>
        <v xml:space="preserve"> White King Bathroom Power Gel Lemon 750ml</v>
      </c>
      <c r="C10217" t="s">
        <v>146</v>
      </c>
      <c r="D10217" t="s">
        <v>371</v>
      </c>
    </row>
    <row r="10218" spans="1:4" x14ac:dyDescent="0.25">
      <c r="B10218" t="str">
        <f>HYPERLINK("https://www.chemistwarehouse.com.au/buy/74476/White-King-Surface-Spray-500ml"," White King Surface Spray 500ml")</f>
        <v xml:space="preserve"> White King Surface Spray 500ml</v>
      </c>
      <c r="C10218" t="s">
        <v>146</v>
      </c>
      <c r="D10218" t="s">
        <v>593</v>
      </c>
    </row>
    <row r="10219" spans="1:4" x14ac:dyDescent="0.25">
      <c r="A10219" t="s">
        <v>2116</v>
      </c>
    </row>
    <row r="10220" spans="1:4" x14ac:dyDescent="0.25">
      <c r="B10220" t="str">
        <f>HYPERLINK("https://www.chemistwarehouse.com.au/buy/74479/Windex-Glass-Cleaner-Trigger-750ml"," Windex Glass Cleaner Trigger 750ml")</f>
        <v xml:space="preserve"> Windex Glass Cleaner Trigger 750ml</v>
      </c>
      <c r="C10220" t="s">
        <v>483</v>
      </c>
      <c r="D10220" t="s">
        <v>781</v>
      </c>
    </row>
    <row r="10221" spans="1:4" x14ac:dyDescent="0.25">
      <c r="B10221" t="str">
        <f>HYPERLINK("https://www.chemistwarehouse.com.au/buy/67544/Windex-Glass-Cleaner-946ml"," Windex Glass Cleaner 946ml")</f>
        <v xml:space="preserve"> Windex Glass Cleaner 946ml</v>
      </c>
      <c r="C10221" t="s">
        <v>312</v>
      </c>
      <c r="D10221" t="s">
        <v>635</v>
      </c>
    </row>
    <row r="10222" spans="1:4" x14ac:dyDescent="0.25">
      <c r="A10222" t="s">
        <v>2117</v>
      </c>
    </row>
    <row r="10223" spans="1:4" x14ac:dyDescent="0.25">
      <c r="B10223" t="str">
        <f>HYPERLINK("https://www.chemistwarehouse.com.au/buy/81364/Ajax-Cleansing-Powder-595g"," Ajax Cleansing Powder 595g")</f>
        <v xml:space="preserve"> Ajax Cleansing Powder 595g</v>
      </c>
      <c r="C10223" t="s">
        <v>146</v>
      </c>
      <c r="D10223">
        <v>0</v>
      </c>
    </row>
    <row r="10224" spans="1:4" x14ac:dyDescent="0.25">
      <c r="A10224" t="s">
        <v>2118</v>
      </c>
    </row>
    <row r="10225" spans="1:4" x14ac:dyDescent="0.25">
      <c r="B10225" t="str">
        <f>HYPERLINK("https://www.chemistwarehouse.com.au/buy/76477/Astonish-Antibacterial-Cleanser-Spray-750ml"," Astonish Antibacterial Cleanser Spray 750ml")</f>
        <v xml:space="preserve"> Astonish Antibacterial Cleanser Spray 750ml</v>
      </c>
      <c r="C10225" t="s">
        <v>146</v>
      </c>
      <c r="D10225">
        <v>0</v>
      </c>
    </row>
    <row r="10226" spans="1:4" x14ac:dyDescent="0.25">
      <c r="B10226" t="str">
        <f>HYPERLINK("https://www.chemistwarehouse.com.au/buy/82664/Astonish-4-In-1-Disinfect-Spray-750ml"," Astonish 4 In 1 Disinfect Spray 750ml")</f>
        <v xml:space="preserve"> Astonish 4 In 1 Disinfect Spray 750ml</v>
      </c>
      <c r="C10226" t="s">
        <v>146</v>
      </c>
      <c r="D10226">
        <v>0</v>
      </c>
    </row>
    <row r="10227" spans="1:4" x14ac:dyDescent="0.25">
      <c r="B10227" t="str">
        <f>HYPERLINK("https://www.chemistwarehouse.com.au/buy/73980/Astonish-Spray-Starch-750ml"," Astonish Spray Starch 750ml")</f>
        <v xml:space="preserve"> Astonish Spray Starch 750ml</v>
      </c>
      <c r="C10227" t="s">
        <v>146</v>
      </c>
      <c r="D10227">
        <v>0</v>
      </c>
    </row>
    <row r="10228" spans="1:4" x14ac:dyDescent="0.25">
      <c r="B10228" t="str">
        <f>HYPERLINK("https://www.chemistwarehouse.com.au/buy/76078/Astonish-Wash-Up-Antibacterial-Dishwashing-Liquid-Aloe-and-Water-Lily-600ml"," Astonish Wash Up Antibacterial Dishwashing Liquid Aloe and Water Lily 600ml")</f>
        <v xml:space="preserve"> Astonish Wash Up Antibacterial Dishwashing Liquid Aloe and Water Lily 600ml</v>
      </c>
      <c r="C10228" t="s">
        <v>146</v>
      </c>
      <c r="D10228">
        <v>0</v>
      </c>
    </row>
    <row r="10229" spans="1:4" x14ac:dyDescent="0.25">
      <c r="B10229" t="str">
        <f>HYPERLINK("https://www.chemistwarehouse.com.au/buy/76079/Astonish-Wash-Up-Antibacterial-Dishwashing-Liquid-Mango-and-Freesia-600ml"," Astonish Wash Up Antibacterial Dishwashing Liquid Mango and Freesia 600ml")</f>
        <v xml:space="preserve"> Astonish Wash Up Antibacterial Dishwashing Liquid Mango and Freesia 600ml</v>
      </c>
      <c r="C10229" t="s">
        <v>146</v>
      </c>
      <c r="D10229">
        <v>0</v>
      </c>
    </row>
    <row r="10230" spans="1:4" x14ac:dyDescent="0.25">
      <c r="A10230" t="s">
        <v>2119</v>
      </c>
    </row>
    <row r="10231" spans="1:4" x14ac:dyDescent="0.25">
      <c r="B10231" t="str">
        <f>HYPERLINK("https://www.chemistwarehouse.com.au/buy/73720/Dylon-Travel-Wash-75ml"," Dylon Travel Wash 75ml")</f>
        <v xml:space="preserve"> Dylon Travel Wash 75ml</v>
      </c>
      <c r="C10231" t="s">
        <v>635</v>
      </c>
      <c r="D10231">
        <v>0</v>
      </c>
    </row>
    <row r="10232" spans="1:4" x14ac:dyDescent="0.25">
      <c r="A10232" t="s">
        <v>2120</v>
      </c>
    </row>
    <row r="10233" spans="1:4" x14ac:dyDescent="0.25">
      <c r="B10233" t="str">
        <f>HYPERLINK("https://www.chemistwarehouse.com.au/buy/68673/Soft-As-Soap-Milk-amp-Honey-221ml"," Soft As Soap Milk &amp; Honey 221ml")</f>
        <v xml:space="preserve"> Soft As Soap Milk &amp; Honey 221ml</v>
      </c>
      <c r="C10233" t="s">
        <v>635</v>
      </c>
      <c r="D10233">
        <v>0</v>
      </c>
    </row>
    <row r="10234" spans="1:4" x14ac:dyDescent="0.25">
      <c r="B10234" t="str">
        <f>HYPERLINK("https://www.chemistwarehouse.com.au/buy/68675/Soft-as-Soap-Hand-Wash-Cherry-Blossom-221ml"," Soft as Soap Hand Wash Cherry Blossom 221ml ")</f>
        <v xml:space="preserve"> Soft as Soap Hand Wash Cherry Blossom 221ml </v>
      </c>
      <c r="C10234" t="s">
        <v>635</v>
      </c>
      <c r="D10234">
        <v>0</v>
      </c>
    </row>
    <row r="10235" spans="1:4" x14ac:dyDescent="0.25">
      <c r="B10235" t="str">
        <f>HYPERLINK("https://www.chemistwarehouse.com.au/buy/75750/Soft-As-Soap-Anti-Bacterial-Fresh-Citrus-Hand-Wash-221ml"," Soft As Soap Anti Bacterial Fresh Citrus Hand Wash 221ml")</f>
        <v xml:space="preserve"> Soft As Soap Anti Bacterial Fresh Citrus Hand Wash 221ml</v>
      </c>
      <c r="C10235" t="s">
        <v>635</v>
      </c>
      <c r="D10235">
        <v>0</v>
      </c>
    </row>
    <row r="10236" spans="1:4" x14ac:dyDescent="0.25">
      <c r="B10236" t="str">
        <f>HYPERLINK("https://www.chemistwarehouse.com.au/buy/75751/Soft-As-Soap-Anti-Bacterial-Crisp-Clean-Hand-Wash-221ml"," Soft As Soap Anti Bacterial Crisp Clean Hand Wash 221ml")</f>
        <v xml:space="preserve"> Soft As Soap Anti Bacterial Crisp Clean Hand Wash 221ml</v>
      </c>
      <c r="C10236" t="s">
        <v>635</v>
      </c>
      <c r="D10236">
        <v>0</v>
      </c>
    </row>
    <row r="10237" spans="1:4" x14ac:dyDescent="0.25">
      <c r="A10237" t="s">
        <v>2121</v>
      </c>
    </row>
    <row r="10238" spans="1:4" x14ac:dyDescent="0.25">
      <c r="B10238" t="str">
        <f>HYPERLINK("https://www.chemistwarehouse.com.au/buy/80321/Kleenex-Unscented-Refill-Wipes-42-Pack"," Kleenex Unscented Refill Wipes 42 Pack")</f>
        <v xml:space="preserve"> Kleenex Unscented Refill Wipes 42 Pack</v>
      </c>
      <c r="C10238" t="s">
        <v>146</v>
      </c>
      <c r="D10238" t="s">
        <v>1451</v>
      </c>
    </row>
    <row r="10239" spans="1:4" x14ac:dyDescent="0.25">
      <c r="B10239" t="str">
        <f>HYPERLINK("https://www.chemistwarehouse.com.au/buy/75507/Kleenex-Anti-Bacterial-Wipes"," Kleenex Anti-Bacterial Wipes")</f>
        <v xml:space="preserve"> Kleenex Anti-Bacterial Wipes</v>
      </c>
      <c r="C10239" t="s">
        <v>635</v>
      </c>
      <c r="D10239" t="s">
        <v>1423</v>
      </c>
    </row>
    <row r="10240" spans="1:4" x14ac:dyDescent="0.25">
      <c r="B10240" t="str">
        <f>HYPERLINK("https://www.chemistwarehouse.com.au/buy/79601/Kleenex-Ultra-Soft-Pocket-10-Pack"," Kleenex Ultra Soft Pocket 10 Pack")</f>
        <v xml:space="preserve"> Kleenex Ultra Soft Pocket 10 Pack</v>
      </c>
      <c r="C10240" t="s">
        <v>146</v>
      </c>
      <c r="D10240">
        <v>0</v>
      </c>
    </row>
    <row r="10241" spans="1:4" x14ac:dyDescent="0.25">
      <c r="B10241" t="str">
        <f>HYPERLINK("https://www.chemistwarehouse.com.au/buy/80320/Kleenex-Scented-Refill-Wipes-42-Pack"," Kleenex Scented Refill Wipes 42 Pack")</f>
        <v xml:space="preserve"> Kleenex Scented Refill Wipes 42 Pack</v>
      </c>
      <c r="C10241" t="s">
        <v>146</v>
      </c>
      <c r="D10241" t="s">
        <v>1451</v>
      </c>
    </row>
    <row r="10242" spans="1:4" x14ac:dyDescent="0.25">
      <c r="A10242" t="s">
        <v>2122</v>
      </c>
    </row>
    <row r="10243" spans="1:4" x14ac:dyDescent="0.25">
      <c r="B10243" t="str">
        <f>HYPERLINK("https://www.chemistwarehouse.com.au/buy/76133/Easy-Fabric-Conditioner-Buttercup-Breeze-750ml"," Easy Fabric Conditioner Buttercup Breeze 750ml")</f>
        <v xml:space="preserve"> Easy Fabric Conditioner Buttercup Breeze 750ml</v>
      </c>
      <c r="C10243" t="s">
        <v>312</v>
      </c>
      <c r="D10243" t="s">
        <v>748</v>
      </c>
    </row>
    <row r="10244" spans="1:4" x14ac:dyDescent="0.25">
      <c r="B10244" t="str">
        <f>HYPERLINK("https://www.chemistwarehouse.com.au/buy/76135/Easy-Laundry-Liquid-Lemon-750ml"," Easy Laundry Liquid Lemon 750ml")</f>
        <v xml:space="preserve"> Easy Laundry Liquid Lemon 750ml</v>
      </c>
      <c r="C10244" t="s">
        <v>312</v>
      </c>
      <c r="D10244" t="s">
        <v>748</v>
      </c>
    </row>
    <row r="10245" spans="1:4" x14ac:dyDescent="0.25">
      <c r="B10245" t="str">
        <f>HYPERLINK("https://www.chemistwarehouse.com.au/buy/76136/Easy-Laundry-Liquid-Pure-And-Gentle-750ml"," Easy Laundry Liquid Pure And Gentle 750ml")</f>
        <v xml:space="preserve"> Easy Laundry Liquid Pure And Gentle 750ml</v>
      </c>
      <c r="C10245" t="s">
        <v>312</v>
      </c>
      <c r="D10245" t="s">
        <v>748</v>
      </c>
    </row>
    <row r="10246" spans="1:4" x14ac:dyDescent="0.25">
      <c r="B10246" t="str">
        <f>HYPERLINK("https://www.chemistwarehouse.com.au/buy/79497/Easy-Dishwashing-Liquid-Lemon-550ml"," Easy Dishwashing Liquid Lemon 550ml")</f>
        <v xml:space="preserve"> Easy Dishwashing Liquid Lemon 550ml</v>
      </c>
      <c r="C10246" t="s">
        <v>146</v>
      </c>
      <c r="D10246">
        <v>0</v>
      </c>
    </row>
    <row r="10247" spans="1:4" x14ac:dyDescent="0.25">
      <c r="B10247" t="str">
        <f>HYPERLINK("https://www.chemistwarehouse.com.au/buy/79498/Easy-Dishwashing-Liquid-Original-550ml"," Easy Dishwashing Liquid Original 550ml")</f>
        <v xml:space="preserve"> Easy Dishwashing Liquid Original 550ml</v>
      </c>
      <c r="C10247" t="s">
        <v>146</v>
      </c>
      <c r="D10247">
        <v>0</v>
      </c>
    </row>
    <row r="10248" spans="1:4" x14ac:dyDescent="0.25">
      <c r="A10248" t="s">
        <v>2123</v>
      </c>
    </row>
    <row r="10249" spans="1:4" x14ac:dyDescent="0.25">
      <c r="B10249" t="str">
        <f>HYPERLINK("https://www.chemistwarehouse.com.au/buy/76149/Glade-Solids-Crisp-Waters-170g"," Glade Solids Crisp Waters 170g")</f>
        <v xml:space="preserve"> Glade Solids Crisp Waters 170g</v>
      </c>
      <c r="C10249" t="s">
        <v>146</v>
      </c>
      <c r="D10249">
        <v>0</v>
      </c>
    </row>
    <row r="10250" spans="1:4" x14ac:dyDescent="0.25">
      <c r="B10250" t="str">
        <f>HYPERLINK("https://www.chemistwarehouse.com.au/buy/76139/Glade-Mist-Pineapple-And-Mangosteen-198g"," Glade Mist Pineapple And Mangosteen 198g")</f>
        <v xml:space="preserve"> Glade Mist Pineapple And Mangosteen 198g</v>
      </c>
      <c r="C10250" t="s">
        <v>635</v>
      </c>
      <c r="D10250">
        <v>0</v>
      </c>
    </row>
    <row r="10251" spans="1:4" x14ac:dyDescent="0.25">
      <c r="B10251" t="str">
        <f>HYPERLINK("https://www.chemistwarehouse.com.au/buy/76145/Glade-Shake-And-Vac-Lily-500g"," Glade Shake And Vac Lily 500g")</f>
        <v xml:space="preserve"> Glade Shake And Vac Lily 500g</v>
      </c>
      <c r="C10251" t="s">
        <v>146</v>
      </c>
      <c r="D10251">
        <v>0</v>
      </c>
    </row>
    <row r="10252" spans="1:4" x14ac:dyDescent="0.25">
      <c r="B10252" t="str">
        <f>HYPERLINK("https://www.chemistwarehouse.com.au/buy/79076/Glade-Solids-Angel-Whispers-170g"," Glade Solids Angel Whispers 170g")</f>
        <v xml:space="preserve"> Glade Solids Angel Whispers 170g</v>
      </c>
      <c r="C10252" t="s">
        <v>146</v>
      </c>
      <c r="D10252">
        <v>0</v>
      </c>
    </row>
    <row r="10253" spans="1:4" x14ac:dyDescent="0.25">
      <c r="B10253" t="str">
        <f>HYPERLINK("https://www.chemistwarehouse.com.au/buy/79077/Glade-Solids-Pure-Vanilla-Joy-170g"," Glade Solids Pure Vanilla Joy 170g")</f>
        <v xml:space="preserve"> Glade Solids Pure Vanilla Joy 170g</v>
      </c>
      <c r="C10253" t="s">
        <v>146</v>
      </c>
      <c r="D10253">
        <v>0</v>
      </c>
    </row>
    <row r="10254" spans="1:4" x14ac:dyDescent="0.25">
      <c r="B10254" t="str">
        <f>HYPERLINK("https://www.chemistwarehouse.com.au/buy/81529/Glade-Candle-Angel-Whispers-108g"," Glade Candle Angel Whispers 108g")</f>
        <v xml:space="preserve"> Glade Candle Angel Whispers 108g</v>
      </c>
      <c r="C10254" t="s">
        <v>483</v>
      </c>
      <c r="D10254">
        <v>0</v>
      </c>
    </row>
    <row r="10255" spans="1:4" x14ac:dyDescent="0.25">
      <c r="B10255" t="str">
        <f>HYPERLINK("https://www.chemistwarehouse.com.au/buy/81530/Glade-Candle-French-Vanilla-108g"," Glade Candle French Vanilla 108g")</f>
        <v xml:space="preserve"> Glade Candle French Vanilla 108g</v>
      </c>
      <c r="C10255" t="s">
        <v>483</v>
      </c>
      <c r="D10255">
        <v>0</v>
      </c>
    </row>
    <row r="10256" spans="1:4" x14ac:dyDescent="0.25">
      <c r="B10256" t="str">
        <f>HYPERLINK("https://www.chemistwarehouse.com.au/buy/81701/Glade-Solids-Lavender-150g"," Glade Solids Lavender 150g")</f>
        <v xml:space="preserve"> Glade Solids Lavender 150g</v>
      </c>
      <c r="C10256" t="s">
        <v>146</v>
      </c>
      <c r="D10256">
        <v>0</v>
      </c>
    </row>
    <row r="10257" spans="1:4" x14ac:dyDescent="0.25">
      <c r="B10257" t="str">
        <f>HYPERLINK("https://www.chemistwarehouse.com.au/buy/81702/Glade-Solids-Magnolia-And-Vanilla-150g"," Glade Solids Magnolia And Vanilla 150g")</f>
        <v xml:space="preserve"> Glade Solids Magnolia And Vanilla 150g</v>
      </c>
      <c r="C10257" t="s">
        <v>146</v>
      </c>
      <c r="D10257">
        <v>0</v>
      </c>
    </row>
    <row r="10258" spans="1:4" x14ac:dyDescent="0.25">
      <c r="B10258" t="str">
        <f>HYPERLINK("https://www.chemistwarehouse.com.au/buy/81703/Glade-Solids-Relaxing-Zen-150g"," Glade Solids Relaxing Zen 150g")</f>
        <v xml:space="preserve"> Glade Solids Relaxing Zen 150g</v>
      </c>
      <c r="C10258" t="s">
        <v>146</v>
      </c>
      <c r="D10258">
        <v>0</v>
      </c>
    </row>
    <row r="10259" spans="1:4" x14ac:dyDescent="0.25">
      <c r="B10259" t="str">
        <f>HYPERLINK("https://www.chemistwarehouse.com.au/buy/82209/Glade-Carpet-and-Room-Deodorant-Clean-Linen-907g"," Glade Carpet and Room Deodorant Clean Linen 907g")</f>
        <v xml:space="preserve"> Glade Carpet and Room Deodorant Clean Linen 907g</v>
      </c>
      <c r="C10259" t="s">
        <v>483</v>
      </c>
      <c r="D10259">
        <v>0</v>
      </c>
    </row>
    <row r="10260" spans="1:4" x14ac:dyDescent="0.25">
      <c r="B10260" t="str">
        <f>HYPERLINK("https://www.chemistwarehouse.com.au/buy/82211/Glade-Carpet-and-Room-Deodorant-Fresh-Berries-907g"," Glade Carpet and Room Deodorant Fresh Berries 907g")</f>
        <v xml:space="preserve"> Glade Carpet and Room Deodorant Fresh Berries 907g</v>
      </c>
      <c r="C10260" t="s">
        <v>483</v>
      </c>
      <c r="D10260">
        <v>0</v>
      </c>
    </row>
    <row r="10261" spans="1:4" x14ac:dyDescent="0.25">
      <c r="B10261" t="str">
        <f>HYPERLINK("https://www.chemistwarehouse.com.au/buy/82212/Glade-Carpet-and-Room-Deodorant-Fresh-Scent-907g"," Glade Carpet and Room Deodorant Fresh Scent 907g")</f>
        <v xml:space="preserve"> Glade Carpet and Room Deodorant Fresh Scent 907g</v>
      </c>
      <c r="C10261" t="s">
        <v>483</v>
      </c>
      <c r="D10261">
        <v>0</v>
      </c>
    </row>
    <row r="10262" spans="1:4" x14ac:dyDescent="0.25">
      <c r="B10262" t="str">
        <f>HYPERLINK("https://www.chemistwarehouse.com.au/buy/82213/Glade-Carpet-and-Room-Deodorant-Lavender-and-Peach-Blossom-907g"," Glade Carpet and Room Deodorant Lavender and Peach Blossom 907g")</f>
        <v xml:space="preserve"> Glade Carpet and Room Deodorant Lavender and Peach Blossom 907g</v>
      </c>
      <c r="C10262" t="s">
        <v>483</v>
      </c>
      <c r="D10262">
        <v>0</v>
      </c>
    </row>
    <row r="10263" spans="1:4" x14ac:dyDescent="0.25">
      <c r="B10263" t="str">
        <f>HYPERLINK("https://www.chemistwarehouse.com.au/buy/82844/Glade-Solids-Hawaiian-Breeze-170g"," Glade Solids Hawaiian Breeze 170g")</f>
        <v xml:space="preserve"> Glade Solids Hawaiian Breeze 170g</v>
      </c>
      <c r="C10263" t="s">
        <v>146</v>
      </c>
      <c r="D10263">
        <v>0</v>
      </c>
    </row>
    <row r="10264" spans="1:4" x14ac:dyDescent="0.25">
      <c r="B10264" t="str">
        <f>HYPERLINK("https://www.chemistwarehouse.com.au/buy/81250/Glade-Air-Freshener-Fresh-Laundry-300ml"," Glade Air Freshener Fresh Laundry 300ml")</f>
        <v xml:space="preserve"> Glade Air Freshener Fresh Laundry 300ml</v>
      </c>
      <c r="C10264" t="s">
        <v>635</v>
      </c>
      <c r="D10264">
        <v>0</v>
      </c>
    </row>
    <row r="10265" spans="1:4" x14ac:dyDescent="0.25">
      <c r="B10265" t="str">
        <f>HYPERLINK("https://www.chemistwarehouse.com.au/buy/81247/Glade-Air-Freshener-Warm-Vanilla-300ml"," Glade Air Freshener Warm Vanilla 300ml")</f>
        <v xml:space="preserve"> Glade Air Freshener Warm Vanilla 300ml</v>
      </c>
      <c r="C10265" t="s">
        <v>635</v>
      </c>
      <c r="D10265">
        <v>0</v>
      </c>
    </row>
    <row r="10266" spans="1:4" x14ac:dyDescent="0.25">
      <c r="B10266" t="str">
        <f>HYPERLINK("https://www.chemistwarehouse.com.au/buy/76148/Glade-Solids-Clean-Linen-170g"," Glade Solids Clean Linen 170g")</f>
        <v xml:space="preserve"> Glade Solids Clean Linen 170g</v>
      </c>
      <c r="C10266" t="s">
        <v>146</v>
      </c>
      <c r="D10266">
        <v>0</v>
      </c>
    </row>
    <row r="10267" spans="1:4" x14ac:dyDescent="0.25">
      <c r="A10267" t="s">
        <v>2124</v>
      </c>
    </row>
    <row r="10268" spans="1:4" x14ac:dyDescent="0.25">
      <c r="B10268" t="str">
        <f>HYPERLINK("https://www.chemistwarehouse.com.au/buy/76161/Mr-Sheen-Original-Spray-400ml"," Mr Sheen Original Spray 400ml")</f>
        <v xml:space="preserve"> Mr Sheen Original Spray 400ml</v>
      </c>
      <c r="C10268" t="s">
        <v>146</v>
      </c>
      <c r="D10268">
        <v>0</v>
      </c>
    </row>
    <row r="10269" spans="1:4" x14ac:dyDescent="0.25">
      <c r="A10269" t="s">
        <v>2125</v>
      </c>
    </row>
    <row r="10270" spans="1:4" x14ac:dyDescent="0.25">
      <c r="B10270" t="str">
        <f>HYPERLINK("https://www.chemistwarehouse.com.au/buy/82413/At-Home-Multipurpose-Clean-Wipes"," At Home Multipurpose Clean Wipes")</f>
        <v xml:space="preserve"> At Home Multipurpose Clean Wipes</v>
      </c>
      <c r="C10270" t="s">
        <v>635</v>
      </c>
      <c r="D10270">
        <v>0</v>
      </c>
    </row>
    <row r="10271" spans="1:4" x14ac:dyDescent="0.25">
      <c r="B10271" t="str">
        <f>HYPERLINK("https://www.chemistwarehouse.com.au/buy/80077/At-Home-Clean-Ultra-Dishwashing-Liquid-Lemon-500ml"," At Home Clean Ultra Dishwashing Liquid Lemon 500ml")</f>
        <v xml:space="preserve"> At Home Clean Ultra Dishwashing Liquid Lemon 500ml</v>
      </c>
      <c r="C10271" t="s">
        <v>635</v>
      </c>
      <c r="D10271">
        <v>0</v>
      </c>
    </row>
    <row r="10272" spans="1:4" x14ac:dyDescent="0.25">
      <c r="B10272" t="str">
        <f>HYPERLINK("https://www.chemistwarehouse.com.au/buy/80078/At-Home-Clean-Ultra-Dishwashing-Liquid-Original-500ml"," At Home Clean Ultra Dishwashing Liquid Original 500ml")</f>
        <v xml:space="preserve"> At Home Clean Ultra Dishwashing Liquid Original 500ml</v>
      </c>
      <c r="C10272" t="s">
        <v>635</v>
      </c>
      <c r="D10272">
        <v>0</v>
      </c>
    </row>
    <row r="10273" spans="1:4" x14ac:dyDescent="0.25">
      <c r="B10273" t="str">
        <f>HYPERLINK("https://www.chemistwarehouse.com.au/buy/80082/At-Home-Laundry-Liquid-Colour-1L"," At Home Laundry Liquid Colour 1L")</f>
        <v xml:space="preserve"> At Home Laundry Liquid Colour 1L</v>
      </c>
      <c r="C10273" t="s">
        <v>146</v>
      </c>
      <c r="D10273">
        <v>0</v>
      </c>
    </row>
    <row r="10274" spans="1:4" x14ac:dyDescent="0.25">
      <c r="B10274" t="str">
        <f>HYPERLINK("https://www.chemistwarehouse.com.au/buy/80083/At-Home-Laundry-Liquid-Sensitive-1L"," At Home Laundry Liquid Sensitive 1L")</f>
        <v xml:space="preserve"> At Home Laundry Liquid Sensitive 1L</v>
      </c>
      <c r="C10274" t="s">
        <v>146</v>
      </c>
      <c r="D10274">
        <v>0</v>
      </c>
    </row>
    <row r="10275" spans="1:4" x14ac:dyDescent="0.25">
      <c r="B10275" t="str">
        <f>HYPERLINK("https://www.chemistwarehouse.com.au/buy/80444/At-Home-Clean-Degreaser-750ml"," At Home Clean Degreaser 750ml")</f>
        <v xml:space="preserve"> At Home Clean Degreaser 750ml</v>
      </c>
      <c r="C10275" t="s">
        <v>312</v>
      </c>
      <c r="D10275" t="s">
        <v>748</v>
      </c>
    </row>
    <row r="10276" spans="1:4" x14ac:dyDescent="0.25">
      <c r="A10276" t="s">
        <v>2126</v>
      </c>
    </row>
    <row r="10277" spans="1:4" x14ac:dyDescent="0.25">
      <c r="B10277" t="str">
        <f>HYPERLINK("https://www.chemistwarehouse.com.au/buy/76115/Clean-N-Fresh-Washing-Up-Liquid-Lemon-Burst-500ml"," Clean N Fresh Washing Up Liquid Lemon Burst 500ml")</f>
        <v xml:space="preserve"> Clean N Fresh Washing Up Liquid Lemon Burst 500ml</v>
      </c>
      <c r="C10277" t="s">
        <v>371</v>
      </c>
      <c r="D10277" t="s">
        <v>748</v>
      </c>
    </row>
    <row r="10278" spans="1:4" x14ac:dyDescent="0.25">
      <c r="B10278" t="str">
        <f>HYPERLINK("https://www.chemistwarehouse.com.au/buy/76116/Clean-N-Fresh-Washing-Up-Liquid-Original-500ml"," Clean N Fresh Washing Up Liquid Original 500ml")</f>
        <v xml:space="preserve"> Clean N Fresh Washing Up Liquid Original 500ml</v>
      </c>
      <c r="C10278" t="s">
        <v>371</v>
      </c>
      <c r="D10278" t="s">
        <v>748</v>
      </c>
    </row>
    <row r="10279" spans="1:4" x14ac:dyDescent="0.25">
      <c r="B10279" t="str">
        <f>HYPERLINK("https://www.chemistwarehouse.com.au/buy/76487/Clean-N-Fresh-Fabric-Softener-Jasmine-and-Sandalwood-997-5ml"," Clean N Fresh Fabric Softener Jasmine and Sandalwood 997.5ml")</f>
        <v xml:space="preserve"> Clean N Fresh Fabric Softener Jasmine and Sandalwood 997.5ml</v>
      </c>
      <c r="C10279" t="s">
        <v>593</v>
      </c>
      <c r="D10279" t="s">
        <v>1397</v>
      </c>
    </row>
    <row r="10280" spans="1:4" x14ac:dyDescent="0.25">
      <c r="B10280" t="str">
        <f>HYPERLINK("https://www.chemistwarehouse.com.au/buy/76488/Clean-N-Fresh-Fabric-Softener-Lavender-and-Camomile-997-5ml"," Clean N Fresh Fabric Softener Lavender and Camomile 997.5ml")</f>
        <v xml:space="preserve"> Clean N Fresh Fabric Softener Lavender and Camomile 997.5ml</v>
      </c>
      <c r="C10280" t="s">
        <v>593</v>
      </c>
      <c r="D10280" t="s">
        <v>1397</v>
      </c>
    </row>
    <row r="10281" spans="1:4" x14ac:dyDescent="0.25">
      <c r="A10281" t="s">
        <v>2127</v>
      </c>
    </row>
    <row r="10282" spans="1:4" x14ac:dyDescent="0.25">
      <c r="B10282" t="str">
        <f>HYPERLINK("https://www.chemistwarehouse.com.au/buy/76166/Round-1-Scouring-Pads-10"," Round 1 Scouring Pads 10")</f>
        <v xml:space="preserve"> Round 1 Scouring Pads 10</v>
      </c>
      <c r="C10282" t="s">
        <v>635</v>
      </c>
      <c r="D10282">
        <v>0</v>
      </c>
    </row>
    <row r="10283" spans="1:4" x14ac:dyDescent="0.25">
      <c r="B10283" t="str">
        <f>HYPERLINK("https://www.chemistwarehouse.com.au/buy/79646/Round-1-Multipack-Sponge-and-Scourer-6-piece-Set"," Round 1 Multipack Sponge and Scourer 6 piece Set")</f>
        <v xml:space="preserve"> Round 1 Multipack Sponge and Scourer 6 piece Set</v>
      </c>
      <c r="C10283" t="s">
        <v>635</v>
      </c>
      <c r="D10283">
        <v>0</v>
      </c>
    </row>
    <row r="10284" spans="1:4" x14ac:dyDescent="0.25">
      <c r="A10284" t="s">
        <v>2128</v>
      </c>
    </row>
    <row r="10285" spans="1:4" x14ac:dyDescent="0.25">
      <c r="B10285" t="str">
        <f>HYPERLINK("https://www.chemistwarehouse.com.au/buy/76130/Domestos-Pink-750ml"," Domestos Pink 750ml")</f>
        <v xml:space="preserve"> Domestos Pink 750ml</v>
      </c>
      <c r="C10285" t="s">
        <v>146</v>
      </c>
      <c r="D10285">
        <v>0</v>
      </c>
    </row>
    <row r="10286" spans="1:4" x14ac:dyDescent="0.25">
      <c r="B10286" t="str">
        <f>HYPERLINK("https://www.chemistwarehouse.com.au/buy/82207/Domestos-Toilet-Block-Citrus-40g"," Domestos Toilet Block Citrus 40g")</f>
        <v xml:space="preserve"> Domestos Toilet Block Citrus 40g</v>
      </c>
      <c r="C10286" t="s">
        <v>146</v>
      </c>
      <c r="D10286">
        <v>0</v>
      </c>
    </row>
    <row r="10287" spans="1:4" x14ac:dyDescent="0.25">
      <c r="B10287" t="str">
        <f>HYPERLINK("https://www.chemistwarehouse.com.au/buy/76490/Domestos-Toilet-40-Wipes"," Domestos Toilet 40 Wipes")</f>
        <v xml:space="preserve"> Domestos Toilet 40 Wipes</v>
      </c>
      <c r="C10287" t="s">
        <v>146</v>
      </c>
      <c r="D10287">
        <v>0</v>
      </c>
    </row>
    <row r="10288" spans="1:4" x14ac:dyDescent="0.25">
      <c r="B10288" t="str">
        <f>HYPERLINK("https://www.chemistwarehouse.com.au/buy/82206/Domestos-Toilet-Block-Atlantic-40g"," Domestos Toilet Block Atlantic 40g")</f>
        <v xml:space="preserve"> Domestos Toilet Block Atlantic 40g</v>
      </c>
      <c r="C10288" t="s">
        <v>146</v>
      </c>
      <c r="D10288">
        <v>0</v>
      </c>
    </row>
    <row r="10289" spans="1:4" x14ac:dyDescent="0.25">
      <c r="B10289" t="str">
        <f>HYPERLINK("https://www.chemistwarehouse.com.au/buy/82208/Domestos-Toilet-Block-Pine-40g"," Domestos Toilet Block Pine 40g")</f>
        <v xml:space="preserve"> Domestos Toilet Block Pine 40g</v>
      </c>
      <c r="C10289" t="s">
        <v>146</v>
      </c>
      <c r="D10289">
        <v>0</v>
      </c>
    </row>
    <row r="10290" spans="1:4" x14ac:dyDescent="0.25">
      <c r="A10290" t="s">
        <v>2129</v>
      </c>
    </row>
    <row r="10291" spans="1:4" x14ac:dyDescent="0.25">
      <c r="B10291" t="str">
        <f>HYPERLINK("https://www.chemistwarehouse.com.au/buy/78332/Purity-Fabric-Softener-1-25-Litre"," Purity Fabric Softener 1.25 Litre")</f>
        <v xml:space="preserve"> Purity Fabric Softener 1.25 Litre</v>
      </c>
      <c r="C10291" t="s">
        <v>775</v>
      </c>
      <c r="D10291" t="s">
        <v>776</v>
      </c>
    </row>
    <row r="10292" spans="1:4" x14ac:dyDescent="0.25">
      <c r="B10292" t="str">
        <f>HYPERLINK("https://www.chemistwarehouse.com.au/buy/78333/Purity-Laundry-Liquid-1-25-Litre"," Purity Laundry Liquid 1.25 Litre")</f>
        <v xml:space="preserve"> Purity Laundry Liquid 1.25 Litre</v>
      </c>
      <c r="C10292" t="s">
        <v>775</v>
      </c>
      <c r="D10292" t="s">
        <v>776</v>
      </c>
    </row>
    <row r="10293" spans="1:4" x14ac:dyDescent="0.25">
      <c r="A10293" t="s">
        <v>2130</v>
      </c>
    </row>
    <row r="10294" spans="1:4" x14ac:dyDescent="0.25">
      <c r="B10294" t="str">
        <f>HYPERLINK("https://www.chemistwarehouse.com.au/buy/79079/Spic-amp-Span-Kitchen-Wipes-Tub-40-pack"," Spic &amp; Span Kitchen Wipes Tub 40 pack")</f>
        <v xml:space="preserve"> Spic &amp; Span Kitchen Wipes Tub 40 pack</v>
      </c>
      <c r="C10294" t="s">
        <v>593</v>
      </c>
      <c r="D10294" t="s">
        <v>1397</v>
      </c>
    </row>
    <row r="10295" spans="1:4" x14ac:dyDescent="0.25">
      <c r="B10295" t="str">
        <f>HYPERLINK("https://www.chemistwarehouse.com.au/buy/79078/Spic-amp-Span-Bathroom-Wipes-Tub-40-pack"," Spic &amp; Span Bathroom Wipes Tub 40 pack")</f>
        <v xml:space="preserve"> Spic &amp; Span Bathroom Wipes Tub 40 pack</v>
      </c>
      <c r="C10295" t="s">
        <v>593</v>
      </c>
      <c r="D10295" t="s">
        <v>1397</v>
      </c>
    </row>
    <row r="10296" spans="1:4" x14ac:dyDescent="0.25">
      <c r="A10296" t="s">
        <v>2131</v>
      </c>
    </row>
    <row r="10297" spans="1:4" x14ac:dyDescent="0.25">
      <c r="B10297" t="str">
        <f>HYPERLINK("https://www.chemistwarehouse.com.au/buy/80094/Ecostore-Dishwash-Liquid-Ultra-Sensitive-1L"," Ecostore Dishwash Liquid Ultra Sensitive 1L")</f>
        <v xml:space="preserve"> Ecostore Dishwash Liquid Ultra Sensitive 1L</v>
      </c>
      <c r="C10297" t="s">
        <v>92</v>
      </c>
      <c r="D10297" t="s">
        <v>640</v>
      </c>
    </row>
    <row r="10298" spans="1:4" x14ac:dyDescent="0.25">
      <c r="B10298" t="str">
        <f>HYPERLINK("https://www.chemistwarehouse.com.au/buy/80096/Ecostore-Laundry-Powder-Ultra-Sensitive-1kg"," Ecostore Laundry Powder Ultra Sensitive 1kg")</f>
        <v xml:space="preserve"> Ecostore Laundry Powder Ultra Sensitive 1kg</v>
      </c>
      <c r="C10298" t="s">
        <v>103</v>
      </c>
      <c r="D10298" t="s">
        <v>371</v>
      </c>
    </row>
    <row r="10299" spans="1:4" x14ac:dyDescent="0.25">
      <c r="B10299" t="str">
        <f>HYPERLINK("https://www.chemistwarehouse.com.au/buy/80097/Ecostore-Multipurpose-Spray-Cleaner-Orange-amp-Thyme-500ml"," Ecostore Multipurpose Spray Cleaner Orange &amp; Thyme 500ml")</f>
        <v xml:space="preserve"> Ecostore Multipurpose Spray Cleaner Orange &amp; Thyme 500ml</v>
      </c>
      <c r="C10299" t="s">
        <v>116</v>
      </c>
      <c r="D10299" t="s">
        <v>371</v>
      </c>
    </row>
    <row r="10300" spans="1:4" x14ac:dyDescent="0.25">
      <c r="B10300" t="str">
        <f>HYPERLINK("https://www.chemistwarehouse.com.au/buy/80098/Ecostore-Toilet-Cleaner-Citrus-500ml"," Ecostore Toilet Cleaner Citrus 500ml")</f>
        <v xml:space="preserve"> Ecostore Toilet Cleaner Citrus 500ml</v>
      </c>
      <c r="C10300" t="s">
        <v>483</v>
      </c>
      <c r="D10300" t="s">
        <v>115</v>
      </c>
    </row>
    <row r="10301" spans="1:4" x14ac:dyDescent="0.25">
      <c r="B10301" t="str">
        <f>HYPERLINK("https://www.chemistwarehouse.com.au/buy/80095/Ecostore-Laundry-Liquid-Ultra-Sensitive-1L"," Ecostore Laundry Liquid Ultra Sensitive 1L")</f>
        <v xml:space="preserve"> Ecostore Laundry Liquid Ultra Sensitive 1L</v>
      </c>
      <c r="C10301" t="s">
        <v>32</v>
      </c>
      <c r="D10301" t="s">
        <v>371</v>
      </c>
    </row>
    <row r="10302" spans="1:4" x14ac:dyDescent="0.25">
      <c r="B10302" t="str">
        <f>HYPERLINK("https://www.chemistwarehouse.com.au/buy/80093/Ecostore-Dishwash-Liquid-Grapefruit-1L"," Ecostore Dishwash Liquid Grapefruit 1L")</f>
        <v xml:space="preserve"> Ecostore Dishwash Liquid Grapefruit 1L</v>
      </c>
      <c r="C10302" t="s">
        <v>92</v>
      </c>
      <c r="D10302" t="s">
        <v>640</v>
      </c>
    </row>
    <row r="10303" spans="1:4" x14ac:dyDescent="0.25">
      <c r="A10303" t="s">
        <v>2132</v>
      </c>
    </row>
    <row r="10304" spans="1:4" x14ac:dyDescent="0.25">
      <c r="B10304" t="str">
        <f>HYPERLINK("https://www.chemistwarehouse.com.au/buy/82688/Airpure-Naturally-Gone-Odour-Eliminator-Citrus-Zing-500ml"," Airpure Naturally Gone Odour Eliminator Citrus Zing 500ml")</f>
        <v xml:space="preserve"> Airpure Naturally Gone Odour Eliminator Citrus Zing 500ml</v>
      </c>
      <c r="C10304" t="s">
        <v>556</v>
      </c>
      <c r="D10304">
        <v>0</v>
      </c>
    </row>
    <row r="10305" spans="1:4" x14ac:dyDescent="0.25">
      <c r="B10305" t="str">
        <f>HYPERLINK("https://www.chemistwarehouse.com.au/buy/82689/Airpure-Naturally-Gone-Odour-Eliminator-Cherry-Delight-500ml"," Airpure Naturally Gone Odour Eliminator Cherry Delight 500ml")</f>
        <v xml:space="preserve"> Airpure Naturally Gone Odour Eliminator Cherry Delight 500ml</v>
      </c>
      <c r="C10305" t="s">
        <v>556</v>
      </c>
      <c r="D10305">
        <v>0</v>
      </c>
    </row>
    <row r="10306" spans="1:4" x14ac:dyDescent="0.25">
      <c r="B10306" t="str">
        <f>HYPERLINK("https://www.chemistwarehouse.com.au/buy/82829/Airpure-Cherry-Berry-Scented-Candle-105g"," Airpure Cherry Berry Scented Candle 105g")</f>
        <v xml:space="preserve"> Airpure Cherry Berry Scented Candle 105g</v>
      </c>
      <c r="C10306" t="s">
        <v>146</v>
      </c>
      <c r="D10306">
        <v>0</v>
      </c>
    </row>
    <row r="10307" spans="1:4" x14ac:dyDescent="0.25">
      <c r="B10307" t="str">
        <f>HYPERLINK("https://www.chemistwarehouse.com.au/buy/82830/Airpure-French-Vanilla-Scented-Candle-105g"," Airpure French Vanilla Scented Candle 105g")</f>
        <v xml:space="preserve"> Airpure French Vanilla Scented Candle 105g</v>
      </c>
      <c r="C10307" t="s">
        <v>146</v>
      </c>
      <c r="D10307">
        <v>0</v>
      </c>
    </row>
    <row r="10308" spans="1:4" x14ac:dyDescent="0.25">
      <c r="B10308" t="str">
        <f>HYPERLINK("https://www.chemistwarehouse.com.au/buy/82831/Airpure-Mini-Gels-60g-4-Pack"," Airpure Mini Gels 60g 4 Pack")</f>
        <v xml:space="preserve"> Airpure Mini Gels 60g 4 Pack</v>
      </c>
      <c r="C10308" t="s">
        <v>146</v>
      </c>
      <c r="D10308">
        <v>0</v>
      </c>
    </row>
    <row r="10309" spans="1:4" x14ac:dyDescent="0.25">
      <c r="B10309" t="str">
        <f>HYPERLINK("https://www.chemistwarehouse.com.au/buy/82684/Airpure-Naturally-Gone-Odour-Eliminator-Green-Apple-500ml"," Airpure Naturally Gone Odour Eliminator Green Apple 500ml")</f>
        <v xml:space="preserve"> Airpure Naturally Gone Odour Eliminator Green Apple 500ml</v>
      </c>
      <c r="C10309" t="s">
        <v>556</v>
      </c>
      <c r="D10309">
        <v>0</v>
      </c>
    </row>
    <row r="10310" spans="1:4" x14ac:dyDescent="0.25">
      <c r="A10310" t="s">
        <v>2133</v>
      </c>
    </row>
    <row r="10311" spans="1:4" x14ac:dyDescent="0.25">
      <c r="B10311" t="str">
        <f>HYPERLINK("https://www.chemistwarehouse.com.au/buy/80088/Microfibre-Cleaning-Cloths-3-Pack"," Microfibre Cleaning Cloths 3 Pack")</f>
        <v xml:space="preserve"> Microfibre Cleaning Cloths 3 Pack</v>
      </c>
      <c r="C10311" t="s">
        <v>146</v>
      </c>
      <c r="D10311">
        <v>0</v>
      </c>
    </row>
    <row r="10312" spans="1:4" x14ac:dyDescent="0.25">
      <c r="B10312" t="str">
        <f>HYPERLINK("https://www.chemistwarehouse.com.au/buy/80445/Scotch-Brite-Non-Scratch-Sponge-Twin-Pack"," Scotch Brite Non-Scratch Sponge Twin Pack")</f>
        <v xml:space="preserve"> Scotch Brite Non-Scratch Sponge Twin Pack</v>
      </c>
      <c r="C10312" t="s">
        <v>146</v>
      </c>
      <c r="D10312">
        <v>0</v>
      </c>
    </row>
    <row r="10313" spans="1:4" x14ac:dyDescent="0.25">
      <c r="B10313" t="str">
        <f>HYPERLINK("https://www.chemistwarehouse.com.au/buy/81712/Stardrops-Anti-Bacterial-Cleaner-spray-750ml"," Stardrops Anti-Bacterial Cleaner spray 750ml")</f>
        <v xml:space="preserve"> Stardrops Anti-Bacterial Cleaner spray 750ml</v>
      </c>
      <c r="C10313" t="s">
        <v>635</v>
      </c>
      <c r="D10313">
        <v>0</v>
      </c>
    </row>
    <row r="10314" spans="1:4" x14ac:dyDescent="0.25">
      <c r="B10314" t="str">
        <f>HYPERLINK("https://www.chemistwarehouse.com.au/buy/82665/Super-Bright-Stainless-Steel-Scourers-6-Pack"," Super Bright Stainless Steel Scourers 6 Pack")</f>
        <v xml:space="preserve"> Super Bright Stainless Steel Scourers 6 Pack</v>
      </c>
      <c r="C10314" t="s">
        <v>635</v>
      </c>
      <c r="D10314">
        <v>0</v>
      </c>
    </row>
    <row r="10315" spans="1:4" x14ac:dyDescent="0.25">
      <c r="B10315" t="str">
        <f>HYPERLINK("https://www.chemistwarehouse.com.au/buy/82685/Wizz-Concentrated-Fabric-Softener-Fresh-Daisy-1L"," Wizz Concentrated Fabric Softener Fresh Daisy 1L")</f>
        <v xml:space="preserve"> Wizz Concentrated Fabric Softener Fresh Daisy 1L</v>
      </c>
      <c r="C10315" t="s">
        <v>146</v>
      </c>
      <c r="D10315">
        <v>0</v>
      </c>
    </row>
    <row r="10316" spans="1:4" x14ac:dyDescent="0.25">
      <c r="B10316" t="str">
        <f>HYPERLINK("https://www.chemistwarehouse.com.au/buy/82686/Wizz-Oxi-Fabric-Stain-Remover-500ml"," Wizz Oxi Fabric Stain Remover 500ml")</f>
        <v xml:space="preserve"> Wizz Oxi Fabric Stain Remover 500ml</v>
      </c>
      <c r="C10316" t="s">
        <v>146</v>
      </c>
      <c r="D10316">
        <v>0</v>
      </c>
    </row>
    <row r="10317" spans="1:4" x14ac:dyDescent="0.25">
      <c r="B10317" t="str">
        <f>HYPERLINK("https://www.chemistwarehouse.com.au/buy/82690/Wizz-Concentrated-Fabric-Softener-Exotic-Orchid-1L"," Wizz Concentrated Fabric Softener Exotic Orchid 1L")</f>
        <v xml:space="preserve"> Wizz Concentrated Fabric Softener Exotic Orchid 1L</v>
      </c>
      <c r="C10317" t="s">
        <v>146</v>
      </c>
      <c r="D10317">
        <v>0</v>
      </c>
    </row>
    <row r="10318" spans="1:4" x14ac:dyDescent="0.25">
      <c r="B10318" t="str">
        <f>HYPERLINK("https://www.chemistwarehouse.com.au/buy/81365/Non-Scratch-Sponges-3-Pack"," Non-Scratch Sponges 3 Pack")</f>
        <v xml:space="preserve"> Non-Scratch Sponges 3 Pack</v>
      </c>
      <c r="C10318" t="s">
        <v>635</v>
      </c>
      <c r="D10318">
        <v>0</v>
      </c>
    </row>
    <row r="10319" spans="1:4" x14ac:dyDescent="0.25">
      <c r="B10319" t="str">
        <f>HYPERLINK("https://www.chemistwarehouse.com.au/buy/81707/Redi-Shine-Handy-Sponge-4-Pack"," Redi Shine Handy Sponge 4 Pack")</f>
        <v xml:space="preserve"> Redi Shine Handy Sponge 4 Pack</v>
      </c>
      <c r="C10319" t="s">
        <v>748</v>
      </c>
      <c r="D10319">
        <v>0</v>
      </c>
    </row>
    <row r="10320" spans="1:4" x14ac:dyDescent="0.25">
      <c r="B10320" t="str">
        <f>HYPERLINK("https://www.chemistwarehouse.com.au/buy/81711/Spic-amp-Span-All-Purpose-Wipes-Tub-40-Pack"," Spic &amp; Span All Purpose Wipes Tub 40 Pack")</f>
        <v xml:space="preserve"> Spic &amp; Span All Purpose Wipes Tub 40 Pack</v>
      </c>
      <c r="C10320" t="s">
        <v>593</v>
      </c>
      <c r="D10320" t="s">
        <v>1397</v>
      </c>
    </row>
    <row r="10321" spans="1:4" x14ac:dyDescent="0.25">
      <c r="B10321" t="str">
        <f>HYPERLINK("https://www.chemistwarehouse.com.au/buy/80090/Sence-Scented-Candle-Natures-Touch-85g"," Sence Scented Candle Natures Touch 85g")</f>
        <v xml:space="preserve"> Sence Scented Candle Natures Touch 85g</v>
      </c>
      <c r="C10321" t="s">
        <v>146</v>
      </c>
      <c r="D10321">
        <v>0</v>
      </c>
    </row>
    <row r="10322" spans="1:4" x14ac:dyDescent="0.25">
      <c r="B10322" t="str">
        <f>HYPERLINK("https://www.chemistwarehouse.com.au/buy/80091/Sence-Scented-Candle-Sweet-Hope-85g"," Sence Scented Candle Sweet Hope 85g")</f>
        <v xml:space="preserve"> Sence Scented Candle Sweet Hope 85g</v>
      </c>
      <c r="C10322" t="s">
        <v>146</v>
      </c>
      <c r="D10322">
        <v>0</v>
      </c>
    </row>
    <row r="10323" spans="1:4" x14ac:dyDescent="0.25">
      <c r="A10323" t="s">
        <v>2134</v>
      </c>
    </row>
    <row r="10324" spans="1:4" x14ac:dyDescent="0.25">
      <c r="B10324" t="str">
        <f>HYPERLINK("https://www.chemistwarehouse.com.au/buy/81706/Pledge-Wood-Lavender-5in1-250ml"," Pledge Wood Lavender 5in1 250ml")</f>
        <v xml:space="preserve"> Pledge Wood Lavender 5in1 250ml</v>
      </c>
      <c r="C10324" t="s">
        <v>146</v>
      </c>
      <c r="D10324">
        <v>0</v>
      </c>
    </row>
    <row r="10325" spans="1:4" x14ac:dyDescent="0.25">
      <c r="B10325" t="str">
        <f>HYPERLINK("https://www.chemistwarehouse.com.au/buy/80169/Pledge-Grab-It-CItrus-Dusting-Cloth-20-Pack"," Pledge Grab It CItrus Dusting Cloth 20 Pack")</f>
        <v xml:space="preserve"> Pledge Grab It CItrus Dusting Cloth 20 Pack</v>
      </c>
      <c r="C10325" t="s">
        <v>556</v>
      </c>
      <c r="D10325" t="s">
        <v>1638</v>
      </c>
    </row>
    <row r="10326" spans="1:4" x14ac:dyDescent="0.25">
      <c r="B10326" t="str">
        <f>HYPERLINK("https://www.chemistwarehouse.com.au/buy/80170/Pledge-Grab-It-Duster"," Pledge Grab It Duster")</f>
        <v xml:space="preserve"> Pledge Grab It Duster</v>
      </c>
      <c r="C10326" t="s">
        <v>116</v>
      </c>
      <c r="D10326" t="s">
        <v>115</v>
      </c>
    </row>
    <row r="10327" spans="1:4" x14ac:dyDescent="0.25">
      <c r="B10327" t="str">
        <f>HYPERLINK("https://www.chemistwarehouse.com.au/buy/80171/Pledge-Grab-It-Duster-Refill-5-Pack"," Pledge Grab It Duster Refill 5 Pack")</f>
        <v xml:space="preserve"> Pledge Grab It Duster Refill 5 Pack</v>
      </c>
      <c r="C10327" t="s">
        <v>556</v>
      </c>
      <c r="D10327" t="s">
        <v>809</v>
      </c>
    </row>
    <row r="10328" spans="1:4" x14ac:dyDescent="0.25">
      <c r="B10328" t="str">
        <f>HYPERLINK("https://www.chemistwarehouse.com.au/buy/81705/Pledge-Wood-Classic-5-In-1-250ml"," Pledge Wood Classic 5 In 1 250ml")</f>
        <v xml:space="preserve"> Pledge Wood Classic 5 In 1 250ml</v>
      </c>
      <c r="C10328" t="s">
        <v>146</v>
      </c>
      <c r="D10328">
        <v>0</v>
      </c>
    </row>
    <row r="10329" spans="1:4" x14ac:dyDescent="0.25">
      <c r="B10329" t="str">
        <f>HYPERLINK("https://www.chemistwarehouse.com.au/buy/81244/Pledge-Multi-Surface-Classic-5in1-250ml"," Pledge Multi Surface Classic 5in1 250ml")</f>
        <v xml:space="preserve"> Pledge Multi Surface Classic 5in1 250ml</v>
      </c>
      <c r="C10329" t="s">
        <v>312</v>
      </c>
      <c r="D10329" t="s">
        <v>748</v>
      </c>
    </row>
    <row r="10330" spans="1:4" x14ac:dyDescent="0.25">
      <c r="B10330" t="str">
        <f>HYPERLINK("https://www.chemistwarehouse.com.au/buy/81704/Pledge-Multi-Surface-Jasmine-5in1-250ml"," Pledge Multi Surface Jasmine 5in1 250ml")</f>
        <v xml:space="preserve"> Pledge Multi Surface Jasmine 5in1 250ml</v>
      </c>
      <c r="C10330" t="s">
        <v>312</v>
      </c>
      <c r="D10330" t="s">
        <v>748</v>
      </c>
    </row>
    <row r="10331" spans="1:4" x14ac:dyDescent="0.25">
      <c r="A10331" t="s">
        <v>2135</v>
      </c>
    </row>
    <row r="10332" spans="1:4" x14ac:dyDescent="0.25">
      <c r="B10332" t="str">
        <f>HYPERLINK("https://www.chemistwarehouse.com.au/buy/80537/Green-Shield-Food-and-Surface-Wipes-50"," Green Shield Food and Surface Wipes 50")</f>
        <v xml:space="preserve"> Green Shield Food and Surface Wipes 50</v>
      </c>
      <c r="C10332" t="s">
        <v>635</v>
      </c>
      <c r="D10332">
        <v>0</v>
      </c>
    </row>
    <row r="10333" spans="1:4" x14ac:dyDescent="0.25">
      <c r="B10333" t="str">
        <f>HYPERLINK("https://www.chemistwarehouse.com.au/buy/80543/Green-Shield-Toilet-Cleaning-Wipes-50"," Green Shield Toilet Cleaning Wipes 50")</f>
        <v xml:space="preserve"> Green Shield Toilet Cleaning Wipes 50</v>
      </c>
      <c r="C10333" t="s">
        <v>635</v>
      </c>
      <c r="D10333">
        <v>0</v>
      </c>
    </row>
    <row r="10334" spans="1:4" x14ac:dyDescent="0.25">
      <c r="B10334" t="str">
        <f>HYPERLINK("https://www.chemistwarehouse.com.au/buy/80542/Green-Shield-Stainless-Steel-Wipes-50"," Green Shield Stainless Steel Wipes 50")</f>
        <v xml:space="preserve"> Green Shield Stainless Steel Wipes 50</v>
      </c>
      <c r="C10334" t="s">
        <v>635</v>
      </c>
      <c r="D10334">
        <v>0</v>
      </c>
    </row>
    <row r="10335" spans="1:4" x14ac:dyDescent="0.25">
      <c r="B10335" t="str">
        <f>HYPERLINK("https://www.chemistwarehouse.com.au/buy/80536/Green-Shield-Bathroom-Wipes-50"," Green Shield Bathroom Wipes 50")</f>
        <v xml:space="preserve"> Green Shield Bathroom Wipes 50</v>
      </c>
      <c r="C10335" t="s">
        <v>635</v>
      </c>
      <c r="D10335">
        <v>0</v>
      </c>
    </row>
    <row r="10336" spans="1:4" x14ac:dyDescent="0.25">
      <c r="B10336" t="str">
        <f>HYPERLINK("https://www.chemistwarehouse.com.au/buy/80539/Green-Shield-Household-Wipes-50"," Green Shield Household Wipes 50")</f>
        <v xml:space="preserve"> Green Shield Household Wipes 50</v>
      </c>
      <c r="C10336" t="s">
        <v>635</v>
      </c>
      <c r="D10336">
        <v>0</v>
      </c>
    </row>
    <row r="10337" spans="1:4" x14ac:dyDescent="0.25">
      <c r="B10337" t="str">
        <f>HYPERLINK("https://www.chemistwarehouse.com.au/buy/80541/Green-Shield-Microwave-and-Fridge-Wipes-50"," Green Shield Microwave and Fridge Wipes 50")</f>
        <v xml:space="preserve"> Green Shield Microwave and Fridge Wipes 50</v>
      </c>
      <c r="C10337" t="s">
        <v>635</v>
      </c>
      <c r="D10337">
        <v>0</v>
      </c>
    </row>
    <row r="10338" spans="1:4" x14ac:dyDescent="0.25">
      <c r="B10338" t="str">
        <f>HYPERLINK("https://www.chemistwarehouse.com.au/buy/80538/Green-Shield-Glass-and-Window-Wipes-50"," Green Shield Glass and Window Wipes 50")</f>
        <v xml:space="preserve"> Green Shield Glass and Window Wipes 50</v>
      </c>
      <c r="C10338" t="s">
        <v>635</v>
      </c>
      <c r="D10338">
        <v>0</v>
      </c>
    </row>
    <row r="10339" spans="1:4" x14ac:dyDescent="0.25">
      <c r="B10339" t="str">
        <f>HYPERLINK("https://www.chemistwarehouse.com.au/buy/80540/Green-Shield-Leather-Wipes-50"," Green Shield Leather Wipes 50")</f>
        <v xml:space="preserve"> Green Shield Leather Wipes 50</v>
      </c>
      <c r="C10339" t="s">
        <v>635</v>
      </c>
      <c r="D10339">
        <v>0</v>
      </c>
    </row>
    <row r="10340" spans="1:4" x14ac:dyDescent="0.25">
      <c r="B10340" t="str">
        <f>HYPERLINK("https://www.chemistwarehouse.com.au/buy/80544/Green-Shield-Wood-and-Laminate-Wipes-50"," Green Shield Wood and Laminate Wipes 50")</f>
        <v xml:space="preserve"> Green Shield Wood and Laminate Wipes 50</v>
      </c>
      <c r="C10340" t="s">
        <v>635</v>
      </c>
      <c r="D10340">
        <v>0</v>
      </c>
    </row>
    <row r="10341" spans="1:4" x14ac:dyDescent="0.25">
      <c r="A10341" t="s">
        <v>2136</v>
      </c>
    </row>
    <row r="10342" spans="1:4" x14ac:dyDescent="0.25">
      <c r="B10342" t="str">
        <f>HYPERLINK("https://www.chemistwarehouse.com.au/buy/82147/BX-Earth-Candle-Kakadu-Plum-amp-Cassis"," BX Earth Candle Kakadu Plum &amp; Cassis")</f>
        <v xml:space="preserve"> BX Earth Candle Kakadu Plum &amp; Cassis</v>
      </c>
      <c r="C10342" t="s">
        <v>237</v>
      </c>
      <c r="D10342" t="s">
        <v>312</v>
      </c>
    </row>
    <row r="10343" spans="1:4" x14ac:dyDescent="0.25">
      <c r="B10343" t="str">
        <f>HYPERLINK("https://www.chemistwarehouse.com.au/buy/82148/BX-Earth-Candle-Native-Pear-amp-Verbena"," BX Earth Candle Native Pear &amp; Verbena")</f>
        <v xml:space="preserve"> BX Earth Candle Native Pear &amp; Verbena</v>
      </c>
      <c r="C10343" t="s">
        <v>237</v>
      </c>
      <c r="D10343" t="s">
        <v>312</v>
      </c>
    </row>
    <row r="10344" spans="1:4" x14ac:dyDescent="0.25">
      <c r="B10344" t="str">
        <f>HYPERLINK("https://www.chemistwarehouse.com.au/buy/82149/BX-Earth-Candle-Vanilla-Bean-amp-Caramel"," BX Earth Candle Vanilla Bean &amp; Caramel")</f>
        <v xml:space="preserve"> BX Earth Candle Vanilla Bean &amp; Caramel</v>
      </c>
      <c r="C10344" t="s">
        <v>237</v>
      </c>
      <c r="D10344" t="s">
        <v>312</v>
      </c>
    </row>
    <row r="10345" spans="1:4" x14ac:dyDescent="0.25">
      <c r="A10345" t="s">
        <v>2137</v>
      </c>
    </row>
    <row r="10346" spans="1:4" x14ac:dyDescent="0.25">
      <c r="B10346" t="str">
        <f>HYPERLINK("https://www.chemistwarehouse.com.au/buy/74452/One-Drop-Toilet-Deodoriser-20ml"," One Drop Toilet Deodoriser 20ml")</f>
        <v xml:space="preserve"> One Drop Toilet Deodoriser 20ml</v>
      </c>
      <c r="C10346" t="s">
        <v>146</v>
      </c>
      <c r="D10346" t="s">
        <v>371</v>
      </c>
    </row>
    <row r="10347" spans="1:4" x14ac:dyDescent="0.25">
      <c r="A10347" t="s">
        <v>2138</v>
      </c>
    </row>
    <row r="10348" spans="1:4" x14ac:dyDescent="0.25">
      <c r="B10348" t="str">
        <f>HYPERLINK("https://www.chemistwarehouse.com.au/buy/76227/AFL-Pocket-Tissues-West-Coast-Eagles-6-Pack"," AFL Pocket Tissues West Coast Eagles 6 Pack")</f>
        <v xml:space="preserve"> AFL Pocket Tissues West Coast Eagles 6 Pack</v>
      </c>
      <c r="C10348" t="s">
        <v>146</v>
      </c>
      <c r="D10348">
        <v>0</v>
      </c>
    </row>
    <row r="10349" spans="1:4" x14ac:dyDescent="0.25">
      <c r="B10349" t="str">
        <f>HYPERLINK("https://www.chemistwarehouse.com.au/buy/76228/AFL-Pocket-Tissues-Western-Bulldogs-6-Pack"," AFL Pocket Tissues Western Bulldogs 6 Pack")</f>
        <v xml:space="preserve"> AFL Pocket Tissues Western Bulldogs 6 Pack</v>
      </c>
      <c r="C10349" t="s">
        <v>146</v>
      </c>
      <c r="D10349">
        <v>0</v>
      </c>
    </row>
    <row r="10350" spans="1:4" x14ac:dyDescent="0.25">
      <c r="B10350" t="str">
        <f>HYPERLINK("https://www.chemistwarehouse.com.au/buy/79787/AFL-Tissue-Box-Sydney-Swans"," AFL Tissue Box Sydney Swans")</f>
        <v xml:space="preserve"> AFL Tissue Box Sydney Swans</v>
      </c>
      <c r="C10350" t="s">
        <v>146</v>
      </c>
      <c r="D10350">
        <v>0</v>
      </c>
    </row>
    <row r="10351" spans="1:4" x14ac:dyDescent="0.25">
      <c r="B10351" t="str">
        <f>HYPERLINK("https://www.chemistwarehouse.com.au/buy/79788/AFL-Pocket-Tissues-Sydney-Swans-6-Pack"," AFL Pocket Tissues Sydney Swans 6 Pack")</f>
        <v xml:space="preserve"> AFL Pocket Tissues Sydney Swans 6 Pack</v>
      </c>
      <c r="C10351" t="s">
        <v>146</v>
      </c>
      <c r="D10351">
        <v>0</v>
      </c>
    </row>
    <row r="10352" spans="1:4" x14ac:dyDescent="0.25">
      <c r="B10352" t="str">
        <f>HYPERLINK("https://www.chemistwarehouse.com.au/buy/75471/AFL-Tissue-Box-2Ply-Adelaide-Crows-200"," AFL Tissue Box 2Ply Adelaide Crows 200")</f>
        <v xml:space="preserve"> AFL Tissue Box 2Ply Adelaide Crows 200</v>
      </c>
      <c r="C10352" t="s">
        <v>146</v>
      </c>
      <c r="D10352">
        <v>0</v>
      </c>
    </row>
    <row r="10353" spans="2:4" x14ac:dyDescent="0.25">
      <c r="B10353" t="str">
        <f>HYPERLINK("https://www.chemistwarehouse.com.au/buy/75472/AFL-Tissue-Box-2Ply-Carlton-Blues-200"," AFL Tissue Box 2Ply Carlton Blues 200")</f>
        <v xml:space="preserve"> AFL Tissue Box 2Ply Carlton Blues 200</v>
      </c>
      <c r="C10353" t="s">
        <v>146</v>
      </c>
      <c r="D10353">
        <v>0</v>
      </c>
    </row>
    <row r="10354" spans="2:4" x14ac:dyDescent="0.25">
      <c r="B10354" t="str">
        <f>HYPERLINK("https://www.chemistwarehouse.com.au/buy/75473/AFL-Tissue-Box-2Ply-Collingwood-Magpies-200"," AFL Tissue Box 2Ply Collingwood Magpies 200")</f>
        <v xml:space="preserve"> AFL Tissue Box 2Ply Collingwood Magpies 200</v>
      </c>
      <c r="C10354" t="s">
        <v>146</v>
      </c>
      <c r="D10354">
        <v>0</v>
      </c>
    </row>
    <row r="10355" spans="2:4" x14ac:dyDescent="0.25">
      <c r="B10355" t="str">
        <f>HYPERLINK("https://www.chemistwarehouse.com.au/buy/75474/AFL-Tissue-Box-2Ply-Essendon-Bombers-200"," AFL Tissue Box 2Ply Essendon Bombers 200")</f>
        <v xml:space="preserve"> AFL Tissue Box 2Ply Essendon Bombers 200</v>
      </c>
      <c r="C10355" t="s">
        <v>146</v>
      </c>
      <c r="D10355">
        <v>0</v>
      </c>
    </row>
    <row r="10356" spans="2:4" x14ac:dyDescent="0.25">
      <c r="B10356" t="str">
        <f>HYPERLINK("https://www.chemistwarehouse.com.au/buy/75475/AFL-Tissue-Box-2Ply-Fremantle-Dockers-200"," AFL Tissue Box 2Ply Fremantle Dockers 200")</f>
        <v xml:space="preserve"> AFL Tissue Box 2Ply Fremantle Dockers 200</v>
      </c>
      <c r="C10356" t="s">
        <v>146</v>
      </c>
      <c r="D10356">
        <v>0</v>
      </c>
    </row>
    <row r="10357" spans="2:4" x14ac:dyDescent="0.25">
      <c r="B10357" t="str">
        <f>HYPERLINK("https://www.chemistwarehouse.com.au/buy/75476/AFL-Tissue-Box-2Ply-Geelong-Cats-200"," AFL Tissue Box 2Ply Geelong Cats 200")</f>
        <v xml:space="preserve"> AFL Tissue Box 2Ply Geelong Cats 200</v>
      </c>
      <c r="C10357" t="s">
        <v>146</v>
      </c>
      <c r="D10357">
        <v>0</v>
      </c>
    </row>
    <row r="10358" spans="2:4" x14ac:dyDescent="0.25">
      <c r="B10358" t="str">
        <f>HYPERLINK("https://www.chemistwarehouse.com.au/buy/75477/AFL-Tissue-Box-2Ply-Hawthorn-Hawks-200"," AFL Tissue Box 2Ply Hawthorn Hawks 200")</f>
        <v xml:space="preserve"> AFL Tissue Box 2Ply Hawthorn Hawks 200</v>
      </c>
      <c r="C10358" t="s">
        <v>146</v>
      </c>
      <c r="D10358">
        <v>0</v>
      </c>
    </row>
    <row r="10359" spans="2:4" x14ac:dyDescent="0.25">
      <c r="B10359" t="str">
        <f>HYPERLINK("https://www.chemistwarehouse.com.au/buy/75478/AFL-Tissue-Box-2Ply-Melbourne-Demons-200"," AFL Tissue Box 2Ply Melbourne Demons 200")</f>
        <v xml:space="preserve"> AFL Tissue Box 2Ply Melbourne Demons 200</v>
      </c>
      <c r="C10359" t="s">
        <v>146</v>
      </c>
      <c r="D10359">
        <v>0</v>
      </c>
    </row>
    <row r="10360" spans="2:4" x14ac:dyDescent="0.25">
      <c r="B10360" t="str">
        <f>HYPERLINK("https://www.chemistwarehouse.com.au/buy/75479/AFL-Tissue-Box-2Ply-North-Melbourne-Kangaroos-200"," AFL Tissue Box 2Ply North Melbourne Kangaroos 200")</f>
        <v xml:space="preserve"> AFL Tissue Box 2Ply North Melbourne Kangaroos 200</v>
      </c>
      <c r="C10360" t="s">
        <v>146</v>
      </c>
      <c r="D10360">
        <v>0</v>
      </c>
    </row>
    <row r="10361" spans="2:4" x14ac:dyDescent="0.25">
      <c r="B10361" t="str">
        <f>HYPERLINK("https://www.chemistwarehouse.com.au/buy/75480/AFL-Tissue-Box-2Ply-Port-Adelaide-Power-200"," AFL Tissue Box 2Ply Port Adelaide Power 200")</f>
        <v xml:space="preserve"> AFL Tissue Box 2Ply Port Adelaide Power 200</v>
      </c>
      <c r="C10361" t="s">
        <v>146</v>
      </c>
      <c r="D10361">
        <v>0</v>
      </c>
    </row>
    <row r="10362" spans="2:4" x14ac:dyDescent="0.25">
      <c r="B10362" t="str">
        <f>HYPERLINK("https://www.chemistwarehouse.com.au/buy/75481/AFL-Tissue-Box-2Ply-Richmond-Tigers-200"," AFL Tissue Box 2Ply Richmond Tigers 200")</f>
        <v xml:space="preserve"> AFL Tissue Box 2Ply Richmond Tigers 200</v>
      </c>
      <c r="C10362" t="s">
        <v>146</v>
      </c>
      <c r="D10362">
        <v>0</v>
      </c>
    </row>
    <row r="10363" spans="2:4" x14ac:dyDescent="0.25">
      <c r="B10363" t="str">
        <f>HYPERLINK("https://www.chemistwarehouse.com.au/buy/75482/AFL-Tissue-Box-2Ply-St-Kilda-Saints-200"," AFL Tissue Box 2Ply St. Kilda Saints 200")</f>
        <v xml:space="preserve"> AFL Tissue Box 2Ply St. Kilda Saints 200</v>
      </c>
      <c r="C10363" t="s">
        <v>146</v>
      </c>
      <c r="D10363">
        <v>0</v>
      </c>
    </row>
    <row r="10364" spans="2:4" x14ac:dyDescent="0.25">
      <c r="B10364" t="str">
        <f>HYPERLINK("https://www.chemistwarehouse.com.au/buy/75483/AFL-Tissue-Box-2Ply-West-Coast-Eagles-200"," AFL Tissue Box 2Ply West Coast Eagles 200")</f>
        <v xml:space="preserve"> AFL Tissue Box 2Ply West Coast Eagles 200</v>
      </c>
      <c r="C10364" t="s">
        <v>146</v>
      </c>
      <c r="D10364">
        <v>0</v>
      </c>
    </row>
    <row r="10365" spans="2:4" x14ac:dyDescent="0.25">
      <c r="B10365" t="str">
        <f>HYPERLINK("https://www.chemistwarehouse.com.au/buy/75484/AFL-Tissue-Box-2Ply-Western-Bulldogs-200"," AFL Tissue Box 2Ply Western Bulldogs 200")</f>
        <v xml:space="preserve"> AFL Tissue Box 2Ply Western Bulldogs 200</v>
      </c>
      <c r="C10365" t="s">
        <v>146</v>
      </c>
      <c r="D10365">
        <v>0</v>
      </c>
    </row>
    <row r="10366" spans="2:4" x14ac:dyDescent="0.25">
      <c r="B10366" t="str">
        <f>HYPERLINK("https://www.chemistwarehouse.com.au/buy/76216/AFL-Pocket-Tissues-Carlton-6-Pack"," AFL Pocket Tissues Carlton 6 Pack")</f>
        <v xml:space="preserve"> AFL Pocket Tissues Carlton 6 Pack</v>
      </c>
      <c r="C10366" t="s">
        <v>146</v>
      </c>
      <c r="D10366">
        <v>0</v>
      </c>
    </row>
    <row r="10367" spans="2:4" x14ac:dyDescent="0.25">
      <c r="B10367" t="str">
        <f>HYPERLINK("https://www.chemistwarehouse.com.au/buy/76217/AFL-Pocket-Tissues-Collingwood-6-Pack"," AFL Pocket Tissues Collingwood 6 Pack")</f>
        <v xml:space="preserve"> AFL Pocket Tissues Collingwood 6 Pack</v>
      </c>
      <c r="C10367" t="s">
        <v>146</v>
      </c>
      <c r="D10367">
        <v>0</v>
      </c>
    </row>
    <row r="10368" spans="2:4" x14ac:dyDescent="0.25">
      <c r="B10368" t="str">
        <f>HYPERLINK("https://www.chemistwarehouse.com.au/buy/76218/AFL-Pocket-Tissues-Essendon-6-Pack"," AFL Pocket Tissues Essendon 6 Pack")</f>
        <v xml:space="preserve"> AFL Pocket Tissues Essendon 6 Pack</v>
      </c>
      <c r="C10368" t="s">
        <v>146</v>
      </c>
      <c r="D10368">
        <v>0</v>
      </c>
    </row>
    <row r="10369" spans="1:4" x14ac:dyDescent="0.25">
      <c r="B10369" t="str">
        <f>HYPERLINK("https://www.chemistwarehouse.com.au/buy/76219/AFL-Pocket-Tissues-Fremantle-Dockers-6-Pack"," AFL Pocket Tissues Fremantle Dockers 6 Pack")</f>
        <v xml:space="preserve"> AFL Pocket Tissues Fremantle Dockers 6 Pack</v>
      </c>
      <c r="C10369" t="s">
        <v>146</v>
      </c>
      <c r="D10369">
        <v>0</v>
      </c>
    </row>
    <row r="10370" spans="1:4" x14ac:dyDescent="0.25">
      <c r="B10370" t="str">
        <f>HYPERLINK("https://www.chemistwarehouse.com.au/buy/76220/AFL-Pocket-Tissues-Geelong-6-Pack"," AFL Pocket Tissues Geelong 6 Pack")</f>
        <v xml:space="preserve"> AFL Pocket Tissues Geelong 6 Pack</v>
      </c>
      <c r="C10370" t="s">
        <v>146</v>
      </c>
      <c r="D10370">
        <v>0</v>
      </c>
    </row>
    <row r="10371" spans="1:4" x14ac:dyDescent="0.25">
      <c r="B10371" t="str">
        <f>HYPERLINK("https://www.chemistwarehouse.com.au/buy/76221/AFL-Pocket-Tissues-Hawthorn-6-Pack"," AFL Pocket Tissues Hawthorn 6 Pack")</f>
        <v xml:space="preserve"> AFL Pocket Tissues Hawthorn 6 Pack</v>
      </c>
      <c r="C10371" t="s">
        <v>146</v>
      </c>
      <c r="D10371">
        <v>0</v>
      </c>
    </row>
    <row r="10372" spans="1:4" x14ac:dyDescent="0.25">
      <c r="A10372" t="s">
        <v>2139</v>
      </c>
    </row>
    <row r="10373" spans="1:4" x14ac:dyDescent="0.25">
      <c r="B10373" t="str">
        <f>HYPERLINK("https://www.chemistwarehouse.com.au/buy/76616/NRL-Pocket-Tissues-Melbourne-Storm-6-Pack"," NRL Pocket Tissues Melbourne Storm 6 Pack")</f>
        <v xml:space="preserve"> NRL Pocket Tissues Melbourne Storm 6 Pack</v>
      </c>
      <c r="C10373" t="s">
        <v>146</v>
      </c>
      <c r="D10373">
        <v>0</v>
      </c>
    </row>
    <row r="10374" spans="1:4" x14ac:dyDescent="0.25">
      <c r="B10374" t="str">
        <f>HYPERLINK("https://www.chemistwarehouse.com.au/buy/76622/NRL-Pocket-Tissues-South-Sydney-Rabbitohs-6-Pack"," NRL Pocket Tissues South Sydney Rabbitohs 6 Pack")</f>
        <v xml:space="preserve"> NRL Pocket Tissues South Sydney Rabbitohs 6 Pack</v>
      </c>
      <c r="C10374" t="s">
        <v>146</v>
      </c>
      <c r="D10374">
        <v>0</v>
      </c>
    </row>
    <row r="10375" spans="1:4" x14ac:dyDescent="0.25">
      <c r="B10375" t="str">
        <f>HYPERLINK("https://www.chemistwarehouse.com.au/buy/75976/NRL-Tissue-Box-2Ply-Melbourne-Storm-200"," NRL Tissue Box 2Ply Melbourne Storm 200")</f>
        <v xml:space="preserve"> NRL Tissue Box 2Ply Melbourne Storm 200</v>
      </c>
      <c r="C10375" t="s">
        <v>146</v>
      </c>
      <c r="D10375">
        <v>0</v>
      </c>
    </row>
    <row r="10376" spans="1:4" x14ac:dyDescent="0.25">
      <c r="B10376" t="str">
        <f>HYPERLINK("https://www.chemistwarehouse.com.au/buy/75977/NRL-Tissue-Box-2Ply-New-Zealand-Warriors-200"," NRL Tissue Box 2Ply New Zealand Warriors 200")</f>
        <v xml:space="preserve"> NRL Tissue Box 2Ply New Zealand Warriors 200</v>
      </c>
      <c r="C10376" t="s">
        <v>146</v>
      </c>
      <c r="D10376">
        <v>0</v>
      </c>
    </row>
    <row r="10377" spans="1:4" x14ac:dyDescent="0.25">
      <c r="B10377" t="str">
        <f>HYPERLINK("https://www.chemistwarehouse.com.au/buy/75978/NRL-Tissue-Box-2Ply-Newcastle-Knights-200"," NRL Tissue Box 2Ply Newcastle Knights 200")</f>
        <v xml:space="preserve"> NRL Tissue Box 2Ply Newcastle Knights 200</v>
      </c>
      <c r="C10377" t="s">
        <v>146</v>
      </c>
      <c r="D10377">
        <v>0</v>
      </c>
    </row>
    <row r="10378" spans="1:4" x14ac:dyDescent="0.25">
      <c r="B10378" t="str">
        <f>HYPERLINK("https://www.chemistwarehouse.com.au/buy/75979/NRL-Tissue-Box-2Ply-North-Queensland-Cowboys-200"," NRL Tissue Box 2Ply North Queensland Cowboys 200")</f>
        <v xml:space="preserve"> NRL Tissue Box 2Ply North Queensland Cowboys 200</v>
      </c>
      <c r="C10378" t="s">
        <v>146</v>
      </c>
      <c r="D10378">
        <v>0</v>
      </c>
    </row>
    <row r="10379" spans="1:4" x14ac:dyDescent="0.25">
      <c r="B10379" t="str">
        <f>HYPERLINK("https://www.chemistwarehouse.com.au/buy/75980/NRL-Tissue-Box-2Ply-Parramatta-Eels-200"," NRL Tissue Box 2Ply Parramatta Eels 200")</f>
        <v xml:space="preserve"> NRL Tissue Box 2Ply Parramatta Eels 200</v>
      </c>
      <c r="C10379" t="s">
        <v>146</v>
      </c>
      <c r="D10379">
        <v>0</v>
      </c>
    </row>
    <row r="10380" spans="1:4" x14ac:dyDescent="0.25">
      <c r="B10380" t="str">
        <f>HYPERLINK("https://www.chemistwarehouse.com.au/buy/75981/NRL-Tissue-Box-2Ply-Penrith-Panthers-200"," NRL Tissue Box 2Ply Penrith Panthers 200")</f>
        <v xml:space="preserve"> NRL Tissue Box 2Ply Penrith Panthers 200</v>
      </c>
      <c r="C10380" t="s">
        <v>146</v>
      </c>
      <c r="D10380">
        <v>0</v>
      </c>
    </row>
    <row r="10381" spans="1:4" x14ac:dyDescent="0.25">
      <c r="B10381" t="str">
        <f>HYPERLINK("https://www.chemistwarehouse.com.au/buy/75982/NRL-Tissue-Box-2Ply-South-Sydney-Rabbitohs-200"," NRL Tissue Box 2Ply South Sydney Rabbitohs 200")</f>
        <v xml:space="preserve"> NRL Tissue Box 2Ply South Sydney Rabbitohs 200</v>
      </c>
      <c r="C10381" t="s">
        <v>146</v>
      </c>
      <c r="D10381">
        <v>0</v>
      </c>
    </row>
    <row r="10382" spans="1:4" x14ac:dyDescent="0.25">
      <c r="B10382" t="str">
        <f>HYPERLINK("https://www.chemistwarehouse.com.au/buy/75983/NRL-Tissue-Box-2Ply-St-George-Illawarra-Dragons-200"," NRL Tissue Box 2Ply St George Illawarra Dragons 200")</f>
        <v xml:space="preserve"> NRL Tissue Box 2Ply St George Illawarra Dragons 200</v>
      </c>
      <c r="C10382" t="s">
        <v>146</v>
      </c>
      <c r="D10382">
        <v>0</v>
      </c>
    </row>
    <row r="10383" spans="1:4" x14ac:dyDescent="0.25">
      <c r="B10383" t="str">
        <f>HYPERLINK("https://www.chemistwarehouse.com.au/buy/75984/NRL-Tissue-Box-2Ply-Sydney-Roosters-200"," NRL Tissue Box 2Ply Sydney Roosters 200")</f>
        <v xml:space="preserve"> NRL Tissue Box 2Ply Sydney Roosters 200</v>
      </c>
      <c r="C10383" t="s">
        <v>146</v>
      </c>
      <c r="D10383">
        <v>0</v>
      </c>
    </row>
    <row r="10384" spans="1:4" x14ac:dyDescent="0.25">
      <c r="B10384" t="str">
        <f>HYPERLINK("https://www.chemistwarehouse.com.au/buy/75985/NRL-Tissue-Box-2Ply-Wests-Tigers-200"," NRL Tissue Box 2Ply Wests Tigers 200")</f>
        <v xml:space="preserve"> NRL Tissue Box 2Ply Wests Tigers 200</v>
      </c>
      <c r="C10384" t="s">
        <v>146</v>
      </c>
      <c r="D10384">
        <v>0</v>
      </c>
    </row>
    <row r="10385" spans="1:4" x14ac:dyDescent="0.25">
      <c r="B10385" t="str">
        <f>HYPERLINK("https://www.chemistwarehouse.com.au/buy/76610/NRL-Pocket-Tissues-Brisbane-Broncos-6-Pack"," NRL Pocket Tissues Brisbane Broncos 6 Pack")</f>
        <v xml:space="preserve"> NRL Pocket Tissues Brisbane Broncos 6 Pack</v>
      </c>
      <c r="C10385" t="s">
        <v>146</v>
      </c>
      <c r="D10385">
        <v>0</v>
      </c>
    </row>
    <row r="10386" spans="1:4" x14ac:dyDescent="0.25">
      <c r="B10386" t="str">
        <f>HYPERLINK("https://www.chemistwarehouse.com.au/buy/76611/NRL-Pocket-Tissues-Canberra-Raiders-6-Pack"," NRL Pocket Tissues Canberra Raiders 6 Pack")</f>
        <v xml:space="preserve"> NRL Pocket Tissues Canberra Raiders 6 Pack</v>
      </c>
      <c r="C10386" t="s">
        <v>146</v>
      </c>
      <c r="D10386">
        <v>0</v>
      </c>
    </row>
    <row r="10387" spans="1:4" x14ac:dyDescent="0.25">
      <c r="B10387" t="str">
        <f>HYPERLINK("https://www.chemistwarehouse.com.au/buy/76612/NRL-Pocket-Tissues-Canterbury-Bulldogs-6-Pack"," NRL Pocket Tissues Canterbury Bulldogs 6 Pack")</f>
        <v xml:space="preserve"> NRL Pocket Tissues Canterbury Bulldogs 6 Pack</v>
      </c>
      <c r="C10387" t="s">
        <v>146</v>
      </c>
      <c r="D10387">
        <v>0</v>
      </c>
    </row>
    <row r="10388" spans="1:4" x14ac:dyDescent="0.25">
      <c r="B10388" t="str">
        <f>HYPERLINK("https://www.chemistwarehouse.com.au/buy/76613/NRL-Pocket-Tissues-Cronulla-Sutherland-Sharks-6-Pack"," NRL Pocket Tissues Cronulla Sutherland Sharks 6 Pack")</f>
        <v xml:space="preserve"> NRL Pocket Tissues Cronulla Sutherland Sharks 6 Pack</v>
      </c>
      <c r="C10388" t="s">
        <v>146</v>
      </c>
      <c r="D10388">
        <v>0</v>
      </c>
    </row>
    <row r="10389" spans="1:4" x14ac:dyDescent="0.25">
      <c r="B10389" t="str">
        <f>HYPERLINK("https://www.chemistwarehouse.com.au/buy/76614/NRL-Pocket-Tissues-Gold-Coast-Titans-6-Pack"," NRL Pocket Tissues Gold Coast Titans 6 Pack")</f>
        <v xml:space="preserve"> NRL Pocket Tissues Gold Coast Titans 6 Pack</v>
      </c>
      <c r="C10389" t="s">
        <v>146</v>
      </c>
      <c r="D10389">
        <v>0</v>
      </c>
    </row>
    <row r="10390" spans="1:4" x14ac:dyDescent="0.25">
      <c r="B10390" t="str">
        <f>HYPERLINK("https://www.chemistwarehouse.com.au/buy/76615/NRL-Pocket-Tissues-Manly-Warringah-Sea-Eagles-6-Pack"," NRL Pocket Tissues Manly Warringah Sea Eagles 6 Pack")</f>
        <v xml:space="preserve"> NRL Pocket Tissues Manly Warringah Sea Eagles 6 Pack</v>
      </c>
      <c r="C10390" t="s">
        <v>146</v>
      </c>
      <c r="D10390">
        <v>0</v>
      </c>
    </row>
    <row r="10391" spans="1:4" x14ac:dyDescent="0.25">
      <c r="B10391" t="str">
        <f>HYPERLINK("https://www.chemistwarehouse.com.au/buy/76623/NRL-Pocket-Tissues-St-George-Illawarra-Dragons-6-Pack"," NRL Pocket Tissues St George Illawarra Dragons 6 Pack")</f>
        <v xml:space="preserve"> NRL Pocket Tissues St George Illawarra Dragons 6 Pack</v>
      </c>
      <c r="C10391" t="s">
        <v>146</v>
      </c>
      <c r="D10391">
        <v>0</v>
      </c>
    </row>
    <row r="10392" spans="1:4" x14ac:dyDescent="0.25">
      <c r="B10392" t="str">
        <f>HYPERLINK("https://www.chemistwarehouse.com.au/buy/76624/NRL-Pocket-Tissues-Sydney-Roosters-6-Pack"," NRL Pocket Tissues Sydney Roosters 6 Pack")</f>
        <v xml:space="preserve"> NRL Pocket Tissues Sydney Roosters 6 Pack</v>
      </c>
      <c r="C10392" t="s">
        <v>146</v>
      </c>
      <c r="D10392">
        <v>0</v>
      </c>
    </row>
    <row r="10393" spans="1:4" x14ac:dyDescent="0.25">
      <c r="B10393" t="str">
        <f>HYPERLINK("https://www.chemistwarehouse.com.au/buy/76625/NRL-Pocket-Tissues-Wests-Tigers-6-Pack"," NRL Pocket Tissues Wests Tigers 6 Pack")</f>
        <v xml:space="preserve"> NRL Pocket Tissues Wests Tigers 6 Pack</v>
      </c>
      <c r="C10393" t="s">
        <v>146</v>
      </c>
      <c r="D10393">
        <v>0</v>
      </c>
    </row>
    <row r="10394" spans="1:4" x14ac:dyDescent="0.25">
      <c r="B10394" t="str">
        <f>HYPERLINK("https://www.chemistwarehouse.com.au/buy/76617/NRL-Pocket-Tissues-New-Zealand-Warriors-6-Pack"," NRL Pocket Tissues New Zealand Warriors 6 Pack")</f>
        <v xml:space="preserve"> NRL Pocket Tissues New Zealand Warriors 6 Pack</v>
      </c>
      <c r="C10394" t="s">
        <v>146</v>
      </c>
      <c r="D10394">
        <v>0</v>
      </c>
    </row>
    <row r="10395" spans="1:4" x14ac:dyDescent="0.25">
      <c r="B10395" t="str">
        <f>HYPERLINK("https://www.chemistwarehouse.com.au/buy/76618/NRL-Pocket-Tissues-Newcastle-Knights-6-Pack"," NRL Pocket Tissues Newcastle Knights 6 Pack")</f>
        <v xml:space="preserve"> NRL Pocket Tissues Newcastle Knights 6 Pack</v>
      </c>
      <c r="C10395" t="s">
        <v>146</v>
      </c>
      <c r="D10395">
        <v>0</v>
      </c>
    </row>
    <row r="10396" spans="1:4" x14ac:dyDescent="0.25">
      <c r="B10396" t="str">
        <f>HYPERLINK("https://www.chemistwarehouse.com.au/buy/76619/NRL-Pocket-Tissues-North-Queensland-Cowboys-6-Pack"," NRL Pocket Tissues North Queensland Cowboys 6 Pack")</f>
        <v xml:space="preserve"> NRL Pocket Tissues North Queensland Cowboys 6 Pack</v>
      </c>
      <c r="C10396" t="s">
        <v>146</v>
      </c>
      <c r="D10396">
        <v>0</v>
      </c>
    </row>
    <row r="10397" spans="1:4" x14ac:dyDescent="0.25">
      <c r="A10397" t="s">
        <v>2140</v>
      </c>
    </row>
    <row r="10398" spans="1:4" x14ac:dyDescent="0.25">
      <c r="B10398" t="str">
        <f>HYPERLINK("https://www.chemistwarehouse.com.au/buy/80161/Dove-for-Men-Clinical-Protection-Antiperspirant-Deodorant-Clean-Comfort-45ml"," Dove for Men Clinical Protection Antiperspirant Deodorant Clean Comfort 45ml")</f>
        <v xml:space="preserve"> Dove for Men Clinical Protection Antiperspirant Deodorant Clean Comfort 45ml</v>
      </c>
      <c r="C10398" t="s">
        <v>45</v>
      </c>
      <c r="D10398" t="s">
        <v>165</v>
      </c>
    </row>
    <row r="10399" spans="1:4" x14ac:dyDescent="0.25">
      <c r="B10399" t="str">
        <f>HYPERLINK("https://www.chemistwarehouse.com.au/buy/75824/Dove-Men-Antiperspirant-Extra-Fresh-250ml"," Dove Men Antiperspirant Extra Fresh 250ml")</f>
        <v xml:space="preserve"> Dove Men Antiperspirant Extra Fresh 250ml</v>
      </c>
      <c r="C10399" t="s">
        <v>116</v>
      </c>
      <c r="D10399" t="s">
        <v>611</v>
      </c>
    </row>
    <row r="10400" spans="1:4" x14ac:dyDescent="0.25">
      <c r="B10400" t="str">
        <f>HYPERLINK("https://www.chemistwarehouse.com.au/buy/76491/Dove-Men-Antiperspirant-Extra-Fresh-Roll-On-50ml"," Dove Men Antiperspirant Extra Fresh Roll On 50ml")</f>
        <v xml:space="preserve"> Dove Men Antiperspirant Extra Fresh Roll On 50ml</v>
      </c>
      <c r="C10400" t="s">
        <v>728</v>
      </c>
      <c r="D10400" t="s">
        <v>725</v>
      </c>
    </row>
    <row r="10401" spans="1:4" x14ac:dyDescent="0.25">
      <c r="B10401" t="str">
        <f>HYPERLINK("https://www.chemistwarehouse.com.au/buy/54356/Dove-Deodorant-Aerosol-Invisible-Dry-150ml"," Dove Deodorant Aerosol Invisible Dry 150ml")</f>
        <v xml:space="preserve"> Dove Deodorant Aerosol Invisible Dry 150ml</v>
      </c>
      <c r="C10401" t="s">
        <v>483</v>
      </c>
      <c r="D10401">
        <v>0</v>
      </c>
    </row>
    <row r="10402" spans="1:4" x14ac:dyDescent="0.25">
      <c r="B10402" t="str">
        <f>HYPERLINK("https://www.chemistwarehouse.com.au/buy/59248/Dove-Men-Care-Deodorant-Roll-On-Clean-Comfort-50ml"," Dove Men Care Deodorant Roll On Clean Comfort 50ml")</f>
        <v xml:space="preserve"> Dove Men Care Deodorant Roll On Clean Comfort 50ml</v>
      </c>
      <c r="C10402" t="s">
        <v>635</v>
      </c>
      <c r="D10402" t="s">
        <v>805</v>
      </c>
    </row>
    <row r="10403" spans="1:4" x14ac:dyDescent="0.25">
      <c r="B10403" t="str">
        <f>HYPERLINK("https://www.chemistwarehouse.com.au/buy/69424/Dove-Men-Care-Deodorant-Anti-Perspirant-Clean-Comfort-150ml"," Dove Men Care Deodorant Anti-Perspirant Clean Comfort 150ml")</f>
        <v xml:space="preserve"> Dove Men Care Deodorant Anti-Perspirant Clean Comfort 150ml</v>
      </c>
      <c r="C10403" t="s">
        <v>483</v>
      </c>
      <c r="D10403">
        <v>0</v>
      </c>
    </row>
    <row r="10404" spans="1:4" x14ac:dyDescent="0.25">
      <c r="B10404" t="str">
        <f>HYPERLINK("https://www.chemistwarehouse.com.au/buy/75822/Dove-Men-Antiperspirant-Clean-Comfort-250ml"," Dove Men Antiperspirant Clean Comfort 250ml")</f>
        <v xml:space="preserve"> Dove Men Antiperspirant Clean Comfort 250ml</v>
      </c>
      <c r="C10404" t="s">
        <v>116</v>
      </c>
      <c r="D10404" t="s">
        <v>611</v>
      </c>
    </row>
    <row r="10405" spans="1:4" x14ac:dyDescent="0.25">
      <c r="B10405" t="str">
        <f>HYPERLINK("https://www.chemistwarehouse.com.au/buy/75823/Dove-Men-Antiperspirant-Invisible-Dry-250ml"," Dove Men Antiperspirant Invisible Dry 250ml")</f>
        <v xml:space="preserve"> Dove Men Antiperspirant Invisible Dry 250ml</v>
      </c>
      <c r="C10405" t="s">
        <v>116</v>
      </c>
      <c r="D10405" t="s">
        <v>611</v>
      </c>
    </row>
    <row r="10406" spans="1:4" x14ac:dyDescent="0.25">
      <c r="B10406" t="str">
        <f>HYPERLINK("https://www.chemistwarehouse.com.au/buy/82522/Dove-for-Men-Antiperspirant-Deodorant-Clean-Fresh-Roll-On-50ml"," Dove for Men Antiperspirant Deodorant Clean Fresh Roll On 50ml")</f>
        <v xml:space="preserve"> Dove for Men Antiperspirant Deodorant Clean Fresh Roll On 50ml</v>
      </c>
      <c r="C10406" t="s">
        <v>146</v>
      </c>
      <c r="D10406" t="s">
        <v>1516</v>
      </c>
    </row>
    <row r="10407" spans="1:4" x14ac:dyDescent="0.25">
      <c r="B10407" t="str">
        <f>HYPERLINK("https://www.chemistwarehouse.com.au/buy/82523/Dove-For-Men-Antiperspirant-Deodorant-Cool-Fresh-245ml"," Dove For Men Antiperspirant Deodorant Cool Fresh 245ml")</f>
        <v xml:space="preserve"> Dove For Men Antiperspirant Deodorant Cool Fresh 245ml</v>
      </c>
      <c r="C10407" t="s">
        <v>116</v>
      </c>
      <c r="D10407" t="s">
        <v>611</v>
      </c>
    </row>
    <row r="10408" spans="1:4" x14ac:dyDescent="0.25">
      <c r="B10408" t="str">
        <f>HYPERLINK("https://www.chemistwarehouse.com.au/buy/76174/Dove-Deodorant-Antiperspirant-Go-Fresh-Grapefruit-Roll-On-50ml"," Dove Deodorant Antiperspirant Go Fresh Grapefruit Roll On 50ml")</f>
        <v xml:space="preserve"> Dove Deodorant Antiperspirant Go Fresh Grapefruit Roll On 50ml</v>
      </c>
      <c r="C10408" t="s">
        <v>635</v>
      </c>
      <c r="D10408" t="s">
        <v>805</v>
      </c>
    </row>
    <row r="10409" spans="1:4" x14ac:dyDescent="0.25">
      <c r="B10409" t="str">
        <f>HYPERLINK("https://www.chemistwarehouse.com.au/buy/75825/Dove-Men-Antiperspirant-Aqua-Impact-250ml"," Dove Men Antiperspirant Aqua Impact 250ml")</f>
        <v xml:space="preserve"> Dove Men Antiperspirant Aqua Impact 250ml</v>
      </c>
      <c r="C10409" t="s">
        <v>272</v>
      </c>
      <c r="D10409" t="s">
        <v>1609</v>
      </c>
    </row>
    <row r="10410" spans="1:4" x14ac:dyDescent="0.25">
      <c r="B10410" t="str">
        <f>HYPERLINK("https://www.chemistwarehouse.com.au/buy/82279/Dove-For-Men-Antiperspirant-Aqua-Impact-150ml"," Dove For Men Antiperspirant Aqua Impact 150ml")</f>
        <v xml:space="preserve"> Dove For Men Antiperspirant Aqua Impact 150ml</v>
      </c>
      <c r="C10410" t="s">
        <v>483</v>
      </c>
      <c r="D10410">
        <v>0</v>
      </c>
    </row>
    <row r="10411" spans="1:4" x14ac:dyDescent="0.25">
      <c r="B10411" t="str">
        <f>HYPERLINK("https://www.chemistwarehouse.com.au/buy/82378/Dove-For-Men-Antiperspirant-Deodorant-Invisible-Dry-Roll-on-50ml"," Dove For Men Antiperspirant Deodorant Invisible Dry Roll on 50ml")</f>
        <v xml:space="preserve"> Dove For Men Antiperspirant Deodorant Invisible Dry Roll on 50ml</v>
      </c>
      <c r="C10411" t="s">
        <v>635</v>
      </c>
      <c r="D10411" t="s">
        <v>805</v>
      </c>
    </row>
    <row r="10412" spans="1:4" x14ac:dyDescent="0.25">
      <c r="B10412" t="str">
        <f>HYPERLINK("https://www.chemistwarehouse.com.au/buy/68978/Dove-For-Men-Antiperspirant-Deodorant-Extra-Fresh-150ml"," Dove For Men Antiperspirant Deodorant Extra Fresh 150ml")</f>
        <v xml:space="preserve"> Dove For Men Antiperspirant Deodorant Extra Fresh 150ml</v>
      </c>
      <c r="C10412" t="s">
        <v>483</v>
      </c>
      <c r="D10412">
        <v>0</v>
      </c>
    </row>
    <row r="10413" spans="1:4" x14ac:dyDescent="0.25">
      <c r="B10413" t="str">
        <f>HYPERLINK("https://www.chemistwarehouse.com.au/buy/79295/Dove-Men-Antiperspirant-Deodorant-Sensitive-150ml"," Dove Men Antiperspirant Deodorant Sensitive 150ml")</f>
        <v xml:space="preserve"> Dove Men Antiperspirant Deodorant Sensitive 150ml</v>
      </c>
      <c r="C10413" t="s">
        <v>483</v>
      </c>
      <c r="D10413">
        <v>0</v>
      </c>
    </row>
    <row r="10414" spans="1:4" x14ac:dyDescent="0.25">
      <c r="B10414" t="str">
        <f>HYPERLINK("https://www.chemistwarehouse.com.au/buy/79296/Dove-for-Men-Deodorant-Antiperspirant-Silver-Control-150ml"," Dove for Men Deodorant Antiperspirant Silver Control 150ml")</f>
        <v xml:space="preserve"> Dove for Men Deodorant Antiperspirant Silver Control 150ml</v>
      </c>
      <c r="C10414" t="s">
        <v>483</v>
      </c>
      <c r="D10414">
        <v>0</v>
      </c>
    </row>
    <row r="10415" spans="1:4" x14ac:dyDescent="0.25">
      <c r="B10415" t="str">
        <f>HYPERLINK("https://www.chemistwarehouse.com.au/buy/79297/Dove-for-Men-Antiperspirant-Deodorant-Invisible-Dry-150ml"," Dove for Men Antiperspirant Deodorant Invisible Dry 150ml")</f>
        <v xml:space="preserve"> Dove for Men Antiperspirant Deodorant Invisible Dry 150ml</v>
      </c>
      <c r="C10415" t="s">
        <v>483</v>
      </c>
      <c r="D10415">
        <v>0</v>
      </c>
    </row>
    <row r="10416" spans="1:4" x14ac:dyDescent="0.25">
      <c r="A10416" t="s">
        <v>2141</v>
      </c>
    </row>
    <row r="10417" spans="1:4" x14ac:dyDescent="0.25">
      <c r="B10417" t="str">
        <f>HYPERLINK("https://www.chemistwarehouse.com.au/buy/63897/Garnier-Mineral-Deodorant-for-Men-Aerosol-Extreme-150ml"," Garnier Mineral Deodorant for Men Aerosol Extreme 150ml")</f>
        <v xml:space="preserve"> Garnier Mineral Deodorant for Men Aerosol Extreme 150ml</v>
      </c>
      <c r="C10417" t="s">
        <v>483</v>
      </c>
      <c r="D10417" t="s">
        <v>1870</v>
      </c>
    </row>
    <row r="10418" spans="1:4" x14ac:dyDescent="0.25">
      <c r="A10418" t="s">
        <v>2142</v>
      </c>
    </row>
    <row r="10419" spans="1:4" x14ac:dyDescent="0.25">
      <c r="B10419" t="str">
        <f>HYPERLINK("https://www.chemistwarehouse.com.au/buy/70269/Lynx-Deodorant-Antiperspirant-Dark-Temptation-150ml"," Lynx Deodorant Antiperspirant Dark Temptation 150ml")</f>
        <v xml:space="preserve"> Lynx Deodorant Antiperspirant Dark Temptation 150ml</v>
      </c>
      <c r="C10419" t="s">
        <v>483</v>
      </c>
      <c r="D10419">
        <v>0</v>
      </c>
    </row>
    <row r="10420" spans="1:4" x14ac:dyDescent="0.25">
      <c r="B10420" t="str">
        <f>HYPERLINK("https://www.chemistwarehouse.com.au/buy/72658/Lynx-Africa-Deodorant-Africa-30g"," Lynx Africa Deodorant Africa 30g")</f>
        <v xml:space="preserve"> Lynx Africa Deodorant Africa 30g</v>
      </c>
      <c r="C10420" t="s">
        <v>733</v>
      </c>
      <c r="D10420" t="s">
        <v>150</v>
      </c>
    </row>
    <row r="10421" spans="1:4" x14ac:dyDescent="0.25">
      <c r="B10421" t="str">
        <f>HYPERLINK("https://www.chemistwarehouse.com.au/buy/67753/Lynx-Deodorant-Body-Spray-Apollo-100g"," Lynx Deodorant Body Spray Apollo 100g")</f>
        <v xml:space="preserve"> Lynx Deodorant Body Spray Apollo 100g</v>
      </c>
      <c r="C10421" t="s">
        <v>146</v>
      </c>
      <c r="D10421" t="s">
        <v>291</v>
      </c>
    </row>
    <row r="10422" spans="1:4" x14ac:dyDescent="0.25">
      <c r="B10422" t="str">
        <f>HYPERLINK("https://www.chemistwarehouse.com.au/buy/64523/Lynx-Antiperspirant-Deodorant-Aerosol-Africa-96g"," Lynx Antiperspirant Deodorant Aerosol Africa 96g")</f>
        <v xml:space="preserve"> Lynx Antiperspirant Deodorant Aerosol Africa 96g</v>
      </c>
      <c r="C10422" t="s">
        <v>146</v>
      </c>
      <c r="D10422" t="s">
        <v>291</v>
      </c>
    </row>
    <row r="10423" spans="1:4" x14ac:dyDescent="0.25">
      <c r="B10423" t="str">
        <f>HYPERLINK("https://www.chemistwarehouse.com.au/buy/78729/Lynx-Antiperspirant-Deodorant-Signature-96g"," Lynx Antiperspirant Deodorant Signature 96g")</f>
        <v xml:space="preserve"> Lynx Antiperspirant Deodorant Signature 96g</v>
      </c>
      <c r="C10423" t="s">
        <v>146</v>
      </c>
      <c r="D10423" t="s">
        <v>291</v>
      </c>
    </row>
    <row r="10424" spans="1:4" x14ac:dyDescent="0.25">
      <c r="B10424" t="str">
        <f>HYPERLINK("https://www.chemistwarehouse.com.au/buy/75072/Lynx-Antiperspirant-Deodorant-Black-96g"," Lynx Antiperspirant Deodorant Black 96g")</f>
        <v xml:space="preserve"> Lynx Antiperspirant Deodorant Black 96g</v>
      </c>
      <c r="C10424" t="s">
        <v>146</v>
      </c>
      <c r="D10424" t="s">
        <v>291</v>
      </c>
    </row>
    <row r="10425" spans="1:4" x14ac:dyDescent="0.25">
      <c r="B10425" t="str">
        <f>HYPERLINK("https://www.chemistwarehouse.com.au/buy/55976/Lynx-Deodorant-Body-Spray-Dark-Temptation-100g"," Lynx Deodorant Body Spray Dark Temptation 100g")</f>
        <v xml:space="preserve"> Lynx Deodorant Body Spray Dark Temptation 100g</v>
      </c>
      <c r="C10425" t="s">
        <v>146</v>
      </c>
      <c r="D10425" t="s">
        <v>291</v>
      </c>
    </row>
    <row r="10426" spans="1:4" x14ac:dyDescent="0.25">
      <c r="B10426" t="str">
        <f>HYPERLINK("https://www.chemistwarehouse.com.au/buy/67754/Lynx-Antiperspirant-Deodorant-Aerosol-Apollo-96g"," Lynx Antiperspirant Deodorant Aerosol Apollo 96g")</f>
        <v xml:space="preserve"> Lynx Antiperspirant Deodorant Aerosol Apollo 96g</v>
      </c>
      <c r="C10426" t="s">
        <v>146</v>
      </c>
      <c r="D10426" t="s">
        <v>291</v>
      </c>
    </row>
    <row r="10427" spans="1:4" x14ac:dyDescent="0.25">
      <c r="B10427" t="str">
        <f>HYPERLINK("https://www.chemistwarehouse.com.au/buy/75568/Lynx-Deodorant-Body-Spray-Apollo-150ml"," Lynx Deodorant Body Spray Apollo 150ml")</f>
        <v xml:space="preserve"> Lynx Deodorant Body Spray Apollo 150ml</v>
      </c>
      <c r="C10427" t="s">
        <v>483</v>
      </c>
      <c r="D10427">
        <v>0</v>
      </c>
    </row>
    <row r="10428" spans="1:4" x14ac:dyDescent="0.25">
      <c r="B10428" t="str">
        <f>HYPERLINK("https://www.chemistwarehouse.com.au/buy/70268/Lynx-Deodorant-Antiperspirant-Africa-150ml"," Lynx Deodorant Antiperspirant Africa 150ml")</f>
        <v xml:space="preserve"> Lynx Deodorant Antiperspirant Africa 150ml</v>
      </c>
      <c r="C10428" t="s">
        <v>483</v>
      </c>
      <c r="D10428">
        <v>0</v>
      </c>
    </row>
    <row r="10429" spans="1:4" x14ac:dyDescent="0.25">
      <c r="B10429" t="str">
        <f>HYPERLINK("https://www.chemistwarehouse.com.au/buy/82524/Lynx-Deodorant-Body-Spray-You-155ml"," Lynx Deodorant Body Spray You 155ml")</f>
        <v xml:space="preserve"> Lynx Deodorant Body Spray You 155ml</v>
      </c>
      <c r="C10429" t="s">
        <v>556</v>
      </c>
      <c r="D10429" t="s">
        <v>611</v>
      </c>
    </row>
    <row r="10430" spans="1:4" x14ac:dyDescent="0.25">
      <c r="B10430" t="str">
        <f>HYPERLINK("https://www.chemistwarehouse.com.au/buy/79607/Lynx-Antiperspirant-Deodorant-Urban-96g"," Lynx Antiperspirant Deodorant Urban 96g")</f>
        <v xml:space="preserve"> Lynx Antiperspirant Deodorant Urban 96g</v>
      </c>
      <c r="C10430" t="s">
        <v>146</v>
      </c>
      <c r="D10430" t="s">
        <v>291</v>
      </c>
    </row>
    <row r="10431" spans="1:4" x14ac:dyDescent="0.25">
      <c r="B10431" t="str">
        <f>HYPERLINK("https://www.chemistwarehouse.com.au/buy/76702/Lynx-Deodorant-Body-Spray-Black-Night-Edition-155ml"," Lynx Deodorant Body Spray Black Night Edition 155ml")</f>
        <v xml:space="preserve"> Lynx Deodorant Body Spray Black Night Edition 155ml</v>
      </c>
      <c r="C10431" t="s">
        <v>146</v>
      </c>
      <c r="D10431" t="s">
        <v>291</v>
      </c>
    </row>
    <row r="10432" spans="1:4" x14ac:dyDescent="0.25">
      <c r="B10432" t="str">
        <f>HYPERLINK("https://www.chemistwarehouse.com.au/buy/77841/Lynx-Deodorant-Antiperspirant-Black-150ml"," Lynx Deodorant Antiperspirant Black 150ml")</f>
        <v xml:space="preserve"> Lynx Deodorant Antiperspirant Black 150ml</v>
      </c>
      <c r="C10432" t="s">
        <v>483</v>
      </c>
      <c r="D10432">
        <v>0</v>
      </c>
    </row>
    <row r="10433" spans="1:4" x14ac:dyDescent="0.25">
      <c r="B10433" t="str">
        <f>HYPERLINK("https://www.chemistwarehouse.com.au/buy/78722/Lynx-Antiperspirant-Deodorant-Adrenaline-96g"," Lynx Antiperspirant Deodorant Adrenaline 96g")</f>
        <v xml:space="preserve"> Lynx Antiperspirant Deodorant Adrenaline 96g</v>
      </c>
      <c r="C10433" t="s">
        <v>146</v>
      </c>
      <c r="D10433" t="s">
        <v>291</v>
      </c>
    </row>
    <row r="10434" spans="1:4" x14ac:dyDescent="0.25">
      <c r="B10434" t="str">
        <f>HYPERLINK("https://www.chemistwarehouse.com.au/buy/75073/Lynx-Deodorant-Body-Spray-Black-100g"," Lynx Deodorant Body Spray Black 100g")</f>
        <v xml:space="preserve"> Lynx Deodorant Body Spray Black 100g</v>
      </c>
      <c r="C10434" t="s">
        <v>146</v>
      </c>
      <c r="D10434" t="s">
        <v>291</v>
      </c>
    </row>
    <row r="10435" spans="1:4" x14ac:dyDescent="0.25">
      <c r="B10435" t="str">
        <f>HYPERLINK("https://www.chemistwarehouse.com.au/buy/71280/Lynx-Body-Spray-Peace-100g"," Lynx Body Spray Peace 100g")</f>
        <v xml:space="preserve"> Lynx Body Spray Peace 100g</v>
      </c>
      <c r="C10435" t="s">
        <v>146</v>
      </c>
      <c r="D10435" t="s">
        <v>291</v>
      </c>
    </row>
    <row r="10436" spans="1:4" x14ac:dyDescent="0.25">
      <c r="B10436" t="str">
        <f>HYPERLINK("https://www.chemistwarehouse.com.au/buy/62940/Lynx-Deodorant-Aerosol-Excite-100g"," Lynx Deodorant Aerosol Excite 100g")</f>
        <v xml:space="preserve"> Lynx Deodorant Aerosol Excite 100g</v>
      </c>
      <c r="C10436" t="s">
        <v>146</v>
      </c>
      <c r="D10436" t="s">
        <v>291</v>
      </c>
    </row>
    <row r="10437" spans="1:4" x14ac:dyDescent="0.25">
      <c r="B10437" t="str">
        <f>HYPERLINK("https://www.chemistwarehouse.com.au/buy/6082/Lynx-Deodorant-Body-Spray-Africa-100g"," Lynx Deodorant Body Spray Africa 100g")</f>
        <v xml:space="preserve"> Lynx Deodorant Body Spray Africa 100g</v>
      </c>
      <c r="C10437" t="s">
        <v>635</v>
      </c>
      <c r="D10437" t="s">
        <v>739</v>
      </c>
    </row>
    <row r="10438" spans="1:4" x14ac:dyDescent="0.25">
      <c r="B10438" t="str">
        <f>HYPERLINK("https://www.chemistwarehouse.com.au/buy/65967/Lynx-Deodorant-Aerosol-Anarchy-100g"," Lynx Deodorant Aerosol Anarchy 100g")</f>
        <v xml:space="preserve"> Lynx Deodorant Aerosol Anarchy 100g</v>
      </c>
      <c r="C10438" t="s">
        <v>146</v>
      </c>
      <c r="D10438" t="s">
        <v>291</v>
      </c>
    </row>
    <row r="10439" spans="1:4" x14ac:dyDescent="0.25">
      <c r="B10439" t="str">
        <f>HYPERLINK("https://www.chemistwarehouse.com.au/buy/67505/Lynx-Deodorant-Antiperspirant-Excite-150ml"," Lynx Deodorant Antiperspirant Excite 150ml")</f>
        <v xml:space="preserve"> Lynx Deodorant Antiperspirant Excite 150ml</v>
      </c>
      <c r="C10439" t="s">
        <v>483</v>
      </c>
      <c r="D10439">
        <v>0</v>
      </c>
    </row>
    <row r="10440" spans="1:4" x14ac:dyDescent="0.25">
      <c r="B10440" t="str">
        <f>HYPERLINK("https://www.chemistwarehouse.com.au/buy/65966/Lynx-Antiperspirant-Deodorant-Aerosol-Anarchy-96g"," Lynx Antiperspirant Deodorant Aerosol Anarchy 96g")</f>
        <v xml:space="preserve"> Lynx Antiperspirant Deodorant Aerosol Anarchy 96g</v>
      </c>
      <c r="C10440" t="s">
        <v>146</v>
      </c>
      <c r="D10440" t="s">
        <v>291</v>
      </c>
    </row>
    <row r="10441" spans="1:4" x14ac:dyDescent="0.25">
      <c r="B10441" t="str">
        <f>HYPERLINK("https://www.chemistwarehouse.com.au/buy/73532/Lynx-Body-Spray-Gold-Temptation-100g"," Lynx Body Spray Gold Temptation 100g")</f>
        <v xml:space="preserve"> Lynx Body Spray Gold Temptation 100g</v>
      </c>
      <c r="C10441" t="s">
        <v>146</v>
      </c>
      <c r="D10441" t="s">
        <v>291</v>
      </c>
    </row>
    <row r="10442" spans="1:4" x14ac:dyDescent="0.25">
      <c r="B10442" t="str">
        <f>HYPERLINK("https://www.chemistwarehouse.com.au/buy/69914/Lynx-Deodorant-Body-Spray-Africa-150ml"," Lynx Deodorant Body Spray Africa 150ml")</f>
        <v xml:space="preserve"> Lynx Deodorant Body Spray Africa 150ml</v>
      </c>
      <c r="C10442" t="s">
        <v>483</v>
      </c>
      <c r="D10442">
        <v>0</v>
      </c>
    </row>
    <row r="10443" spans="1:4" x14ac:dyDescent="0.25">
      <c r="A10443" t="s">
        <v>2143</v>
      </c>
    </row>
    <row r="10444" spans="1:4" x14ac:dyDescent="0.25">
      <c r="B10444" t="str">
        <f>HYPERLINK("https://www.chemistwarehouse.com.au/buy/71271/Playboy-Vegas-Body-Spray-96g"," Playboy Vegas Body Spray 96g")</f>
        <v xml:space="preserve"> Playboy Vegas Body Spray 96g</v>
      </c>
      <c r="C10444" t="s">
        <v>556</v>
      </c>
      <c r="D10444" t="s">
        <v>727</v>
      </c>
    </row>
    <row r="10445" spans="1:4" x14ac:dyDescent="0.25">
      <c r="B10445" t="str">
        <f>HYPERLINK("https://www.chemistwarehouse.com.au/buy/78175/Adidas-For-Men-Antiperspirant-Deodorant-Intensive-200mL"," Adidas For Men Antiperspirant Deodorant Intensive 200mL  ")</f>
        <v xml:space="preserve"> Adidas For Men Antiperspirant Deodorant Intensive 200mL  </v>
      </c>
      <c r="C10445" t="s">
        <v>146</v>
      </c>
      <c r="D10445" t="s">
        <v>291</v>
      </c>
    </row>
    <row r="10446" spans="1:4" x14ac:dyDescent="0.25">
      <c r="B10446" t="str">
        <f>HYPERLINK("https://www.chemistwarehouse.com.au/buy/63523/Adidas-Action-3-DMS-ProLevel-200ml-Anti-Perspirant-Deodorant-Spray"," Adidas Action 3 DMS ProLevel 200ml Anti-Perspirant Deodorant Spray")</f>
        <v xml:space="preserve"> Adidas Action 3 DMS ProLevel 200ml Anti-Perspirant Deodorant Spray</v>
      </c>
      <c r="C10446" t="s">
        <v>146</v>
      </c>
      <c r="D10446" t="s">
        <v>291</v>
      </c>
    </row>
    <row r="10447" spans="1:4" x14ac:dyDescent="0.25">
      <c r="B10447" t="str">
        <f>HYPERLINK("https://www.chemistwarehouse.com.au/buy/73385/Mitchum-for-Men-Anti-Perspirant-Deodorant-Unscented-Roll-On-50ml"," Mitchum for Men Anti-Perspirant Deodorant  Unscented Roll On 50ml")</f>
        <v xml:space="preserve"> Mitchum for Men Anti-Perspirant Deodorant  Unscented Roll On 50ml</v>
      </c>
      <c r="C10447" t="s">
        <v>728</v>
      </c>
      <c r="D10447" t="s">
        <v>755</v>
      </c>
    </row>
    <row r="10448" spans="1:4" x14ac:dyDescent="0.25">
      <c r="B10448" t="str">
        <f>HYPERLINK("https://www.chemistwarehouse.com.au/buy/67410/Playboy-Hollywood-Body-Spray-96g"," Playboy Hollywood Body Spray 96g")</f>
        <v xml:space="preserve"> Playboy Hollywood Body Spray 96g</v>
      </c>
      <c r="C10448" t="s">
        <v>556</v>
      </c>
      <c r="D10448" t="s">
        <v>727</v>
      </c>
    </row>
    <row r="10449" spans="2:4" x14ac:dyDescent="0.25">
      <c r="B10449" t="str">
        <f>HYPERLINK("https://www.chemistwarehouse.com.au/buy/63522/Adidas-Action-3-DMS-Fresh-200ml-Anti-Perspirant-Deodorant-Spray"," Adidas Action 3 DMS Fresh 200ml Anti-Perspirant Deodorant Spray")</f>
        <v xml:space="preserve"> Adidas Action 3 DMS Fresh 200ml Anti-Perspirant Deodorant Spray</v>
      </c>
      <c r="C10449" t="s">
        <v>146</v>
      </c>
      <c r="D10449" t="s">
        <v>291</v>
      </c>
    </row>
    <row r="10450" spans="2:4" x14ac:dyDescent="0.25">
      <c r="B10450" t="str">
        <f>HYPERLINK("https://www.chemistwarehouse.com.au/buy/71272/Super-Playboy-Male-Body-Spray-96g"," Super Playboy Male Body Spray 96g")</f>
        <v xml:space="preserve"> Super Playboy Male Body Spray 96g</v>
      </c>
      <c r="C10450" t="s">
        <v>483</v>
      </c>
      <c r="D10450" t="s">
        <v>1086</v>
      </c>
    </row>
    <row r="10451" spans="2:4" x14ac:dyDescent="0.25">
      <c r="B10451" t="str">
        <f>HYPERLINK("https://www.chemistwarehouse.com.au/buy/76304/Adidas-For-Men-Antiperspirant-Deodorant-Climacool-200ml"," Adidas For Men Antiperspirant Deodorant Climacool 200ml")</f>
        <v xml:space="preserve"> Adidas For Men Antiperspirant Deodorant Climacool 200ml</v>
      </c>
      <c r="C10451" t="s">
        <v>146</v>
      </c>
      <c r="D10451" t="s">
        <v>291</v>
      </c>
    </row>
    <row r="10452" spans="2:4" x14ac:dyDescent="0.25">
      <c r="B10452" t="str">
        <f>HYPERLINK("https://www.chemistwarehouse.com.au/buy/74296/Adidas-Action-3-DMS-for-Men-Anti-Perspirant-Deodorant-6-in-1-Cool-amp-Dry-Spray-200ml"," Adidas Action 3 DMS for Men Anti-Perspirant Deodorant 6 in 1 Cool &amp; Dry Spray 200ml")</f>
        <v xml:space="preserve"> Adidas Action 3 DMS for Men Anti-Perspirant Deodorant 6 in 1 Cool &amp; Dry Spray 200ml</v>
      </c>
      <c r="C10452" t="s">
        <v>146</v>
      </c>
      <c r="D10452" t="s">
        <v>291</v>
      </c>
    </row>
    <row r="10453" spans="2:4" x14ac:dyDescent="0.25">
      <c r="B10453" t="str">
        <f>HYPERLINK("https://www.chemistwarehouse.com.au/buy/73384/Mitchum-for-Men-Anti-Perspirant-Deodorant-Sport-Roll-On-50ml"," Mitchum for Men Anti-Perspirant Deodorant Sport Roll On 50ml")</f>
        <v xml:space="preserve"> Mitchum for Men Anti-Perspirant Deodorant Sport Roll On 50ml</v>
      </c>
      <c r="C10453" t="s">
        <v>728</v>
      </c>
      <c r="D10453" t="s">
        <v>755</v>
      </c>
    </row>
    <row r="10454" spans="2:4" x14ac:dyDescent="0.25">
      <c r="B10454" t="str">
        <f>HYPERLINK("https://www.chemistwarehouse.com.au/buy/79623/Playboy-VIP-Mens-Body-Spray-150ml"," Playboy VIP Mens Body Spray 150ml")</f>
        <v xml:space="preserve"> Playboy VIP Mens Body Spray 150ml</v>
      </c>
      <c r="C10454" t="s">
        <v>556</v>
      </c>
      <c r="D10454" t="s">
        <v>727</v>
      </c>
    </row>
    <row r="10455" spans="2:4" x14ac:dyDescent="0.25">
      <c r="B10455" t="str">
        <f>HYPERLINK("https://www.chemistwarehouse.com.au/buy/80347/David-Beckham-Classic-Body-Spray-150ml"," David Beckham Classic Body Spray 150ml")</f>
        <v xml:space="preserve"> David Beckham Classic Body Spray 150ml</v>
      </c>
      <c r="C10455" t="s">
        <v>92</v>
      </c>
      <c r="D10455" t="s">
        <v>371</v>
      </c>
    </row>
    <row r="10456" spans="2:4" x14ac:dyDescent="0.25">
      <c r="B10456" t="str">
        <f>HYPERLINK("https://www.chemistwarehouse.com.au/buy/80390/Dunhill-Desire-Black-Body-Spray"," Dunhill Desire Black Body Spray")</f>
        <v xml:space="preserve"> Dunhill Desire Black Body Spray</v>
      </c>
      <c r="C10456" t="s">
        <v>187</v>
      </c>
      <c r="D10456">
        <v>0</v>
      </c>
    </row>
    <row r="10457" spans="2:4" x14ac:dyDescent="0.25">
      <c r="B10457" t="str">
        <f>HYPERLINK("https://www.chemistwarehouse.com.au/buy/80391/Dunhill-Desire-Blue-Body-Spray"," Dunhill Desire Blue Body Spray")</f>
        <v xml:space="preserve"> Dunhill Desire Blue Body Spray</v>
      </c>
      <c r="C10457" t="s">
        <v>187</v>
      </c>
      <c r="D10457">
        <v>0</v>
      </c>
    </row>
    <row r="10458" spans="2:4" x14ac:dyDescent="0.25">
      <c r="B10458" t="str">
        <f>HYPERLINK("https://www.chemistwarehouse.com.au/buy/82047/Playboy-Super-Mens-Body-Spray-150ml"," Playboy Super Mens Body Spray 150ml")</f>
        <v xml:space="preserve"> Playboy Super Mens Body Spray 150ml</v>
      </c>
      <c r="C10458" t="s">
        <v>556</v>
      </c>
      <c r="D10458" t="s">
        <v>727</v>
      </c>
    </row>
    <row r="10459" spans="2:4" x14ac:dyDescent="0.25">
      <c r="B10459" t="str">
        <f>HYPERLINK("https://www.chemistwarehouse.com.au/buy/82048/Police-To-Be-Illusionist-150ml-Deodorant-Spray"," Police To Be Illusionist 150ml Deodorant Spray")</f>
        <v xml:space="preserve"> Police To Be Illusionist 150ml Deodorant Spray</v>
      </c>
      <c r="C10459" t="s">
        <v>556</v>
      </c>
      <c r="D10459">
        <v>0</v>
      </c>
    </row>
    <row r="10460" spans="2:4" x14ac:dyDescent="0.25">
      <c r="B10460" t="str">
        <f>HYPERLINK("https://www.chemistwarehouse.com.au/buy/82049/Police-To-Be-The-King-150ml-Deodorant-Spray"," Police To Be The King 150ml Deodorant Spray")</f>
        <v xml:space="preserve"> Police To Be The King 150ml Deodorant Spray</v>
      </c>
      <c r="C10460" t="s">
        <v>556</v>
      </c>
      <c r="D10460">
        <v>0</v>
      </c>
    </row>
    <row r="10461" spans="2:4" x14ac:dyDescent="0.25">
      <c r="B10461" t="str">
        <f>HYPERLINK("https://www.chemistwarehouse.com.au/buy/82221/Pierre-Cardin-Bleu-Marine-Pour-Loui-Deodorant-200ml-Spray"," Pierre Cardin Bleu Marine Pour Loui Deodorant 200ml Spray")</f>
        <v xml:space="preserve"> Pierre Cardin Bleu Marine Pour Loui Deodorant 200ml Spray</v>
      </c>
      <c r="C10461" t="s">
        <v>556</v>
      </c>
      <c r="D10461">
        <v>0</v>
      </c>
    </row>
    <row r="10462" spans="2:4" x14ac:dyDescent="0.25">
      <c r="B10462" t="str">
        <f>HYPERLINK("https://www.chemistwarehouse.com.au/buy/82222/Pierre-Cardin-Pour-Homme-For-Men-Deodorant-200ml-Spray"," Pierre Cardin Pour Homme For Men Deodorant 200ml Spray")</f>
        <v xml:space="preserve"> Pierre Cardin Pour Homme For Men Deodorant 200ml Spray</v>
      </c>
      <c r="C10462" t="s">
        <v>556</v>
      </c>
      <c r="D10462">
        <v>0</v>
      </c>
    </row>
    <row r="10463" spans="2:4" x14ac:dyDescent="0.25">
      <c r="B10463" t="str">
        <f>HYPERLINK("https://www.chemistwarehouse.com.au/buy/82223/Pierre-Cardin-Pour-Monsieur-Deodorant-200ml-Spray"," Pierre Cardin Pour Monsieur Deodorant 200ml Spray")</f>
        <v xml:space="preserve"> Pierre Cardin Pour Monsieur Deodorant 200ml Spray</v>
      </c>
      <c r="C10463" t="s">
        <v>556</v>
      </c>
      <c r="D10463">
        <v>0</v>
      </c>
    </row>
    <row r="10464" spans="2:4" x14ac:dyDescent="0.25">
      <c r="B10464" t="str">
        <f>HYPERLINK("https://www.chemistwarehouse.com.au/buy/82876/Playboy-King-Of-The-Game-Body-Spray-150ml"," Playboy King Of The Game Body Spray 150ml")</f>
        <v xml:space="preserve"> Playboy King Of The Game Body Spray 150ml</v>
      </c>
      <c r="C10464" t="s">
        <v>556</v>
      </c>
      <c r="D10464" t="s">
        <v>727</v>
      </c>
    </row>
    <row r="10465" spans="1:4" x14ac:dyDescent="0.25">
      <c r="B10465" t="str">
        <f>HYPERLINK("https://www.chemistwarehouse.com.au/buy/74373/Police-To-Be-150ml-Deoderant-Spray"," Police To Be 150ml Deoderant Spray ")</f>
        <v xml:space="preserve"> Police To Be 150ml Deoderant Spray </v>
      </c>
      <c r="C10465" t="s">
        <v>556</v>
      </c>
      <c r="D10465">
        <v>0</v>
      </c>
    </row>
    <row r="10466" spans="1:4" x14ac:dyDescent="0.25">
      <c r="B10466" t="str">
        <f>HYPERLINK("https://www.chemistwarehouse.com.au/buy/77515/Playboy-Play-It-Wild-For-Him-Body-Spray-150ml"," Playboy Play It Wild For Him Body Spray 150ml")</f>
        <v xml:space="preserve"> Playboy Play It Wild For Him Body Spray 150ml</v>
      </c>
      <c r="C10466" t="s">
        <v>375</v>
      </c>
      <c r="D10466">
        <v>0</v>
      </c>
    </row>
    <row r="10467" spans="1:4" x14ac:dyDescent="0.25">
      <c r="B10467" t="str">
        <f>HYPERLINK("https://www.chemistwarehouse.com.au/buy/68413/Playboy-Men-39-s-VIP-Body-Spray-150ml"," Playboy Men's VIP Body Spray 150ml")</f>
        <v xml:space="preserve"> Playboy Men's VIP Body Spray 150ml</v>
      </c>
      <c r="C10467" t="s">
        <v>483</v>
      </c>
      <c r="D10467" t="s">
        <v>1086</v>
      </c>
    </row>
    <row r="10468" spans="1:4" x14ac:dyDescent="0.25">
      <c r="A10468" t="s">
        <v>2144</v>
      </c>
    </row>
    <row r="10469" spans="1:4" x14ac:dyDescent="0.25">
      <c r="B10469" t="str">
        <f>HYPERLINK("https://www.chemistwarehouse.com.au/buy/63900/Nivea-Deodorant-for-Men-Black-and-White-Invisible-Power-Roll-On-50ml"," Nivea Deodorant for Men Black and White Invisible Power Roll On 50ml")</f>
        <v xml:space="preserve"> Nivea Deodorant for Men Black and White Invisible Power Roll On 50ml</v>
      </c>
      <c r="C10469" t="s">
        <v>146</v>
      </c>
      <c r="D10469" t="s">
        <v>731</v>
      </c>
    </row>
    <row r="10470" spans="1:4" x14ac:dyDescent="0.25">
      <c r="B10470" t="str">
        <f>HYPERLINK("https://www.chemistwarehouse.com.au/buy/66435/Nivea-For-Men-Deodorant-Roll-On-Sensitive-Protect-50ml"," Nivea For Men Deodorant Roll On Sensitive Protect 50ml")</f>
        <v xml:space="preserve"> Nivea For Men Deodorant Roll On Sensitive Protect 50ml</v>
      </c>
      <c r="C10470" t="s">
        <v>146</v>
      </c>
      <c r="D10470" t="s">
        <v>731</v>
      </c>
    </row>
    <row r="10471" spans="1:4" x14ac:dyDescent="0.25">
      <c r="B10471" t="str">
        <f>HYPERLINK("https://www.chemistwarehouse.com.au/buy/58722/Nivea-for-Men-Deodorant-Roll-On-Silver-Protect-50ml"," Nivea for Men Deodorant Roll On Silver Protect 50ml")</f>
        <v xml:space="preserve"> Nivea for Men Deodorant Roll On Silver Protect 50ml</v>
      </c>
      <c r="C10471" t="s">
        <v>146</v>
      </c>
      <c r="D10471" t="s">
        <v>731</v>
      </c>
    </row>
    <row r="10472" spans="1:4" x14ac:dyDescent="0.25">
      <c r="B10472" t="str">
        <f>HYPERLINK("https://www.chemistwarehouse.com.au/buy/68241/Nivea-For-Men-Deodorant-Aerosol-Dry-Impact-250ml"," Nivea For Men Deodorant Aerosol Dry Impact 250ml")</f>
        <v xml:space="preserve"> Nivea For Men Deodorant Aerosol Dry Impact 250ml</v>
      </c>
      <c r="C10472" t="s">
        <v>483</v>
      </c>
      <c r="D10472" t="s">
        <v>121</v>
      </c>
    </row>
    <row r="10473" spans="1:4" x14ac:dyDescent="0.25">
      <c r="B10473" t="str">
        <f>HYPERLINK("https://www.chemistwarehouse.com.au/buy/68243/Nivea-For-Men-Deodorant-Aerosol-Black-And-White-Power-250ml"," Nivea For Men Deodorant Aerosol Black And White Power 250ml")</f>
        <v xml:space="preserve"> Nivea For Men Deodorant Aerosol Black And White Power 250ml</v>
      </c>
      <c r="C10473" t="s">
        <v>483</v>
      </c>
      <c r="D10473" t="s">
        <v>121</v>
      </c>
    </row>
    <row r="10474" spans="1:4" x14ac:dyDescent="0.25">
      <c r="B10474" t="str">
        <f>HYPERLINK("https://www.chemistwarehouse.com.au/buy/44366/Nivea-for-Men-Deodorant-Roll-On-Dry-50ml"," Nivea for Men Deodorant Roll On Dry 50ml")</f>
        <v xml:space="preserve"> Nivea for Men Deodorant Roll On Dry 50ml</v>
      </c>
      <c r="C10474" t="s">
        <v>146</v>
      </c>
      <c r="D10474" t="s">
        <v>731</v>
      </c>
    </row>
    <row r="10475" spans="1:4" x14ac:dyDescent="0.25">
      <c r="B10475" t="str">
        <f>HYPERLINK("https://www.chemistwarehouse.com.au/buy/68244/Nivea-For-Men-Deodorant-Aerosol-Silver-Protect-250ml"," Nivea For Men Deodorant Aerosol Silver Protect 250ml")</f>
        <v xml:space="preserve"> Nivea For Men Deodorant Aerosol Silver Protect 250ml</v>
      </c>
      <c r="C10475" t="s">
        <v>483</v>
      </c>
      <c r="D10475" t="s">
        <v>121</v>
      </c>
    </row>
    <row r="10476" spans="1:4" x14ac:dyDescent="0.25">
      <c r="B10476" t="str">
        <f>HYPERLINK("https://www.chemistwarehouse.com.au/buy/68062/Nivea-For-Men-Deodorant-Aerosol-Sensitive-Protect-250ml"," Nivea For Men Deodorant Aerosol Sensitive Protect 250ml")</f>
        <v xml:space="preserve"> Nivea For Men Deodorant Aerosol Sensitive Protect 250ml</v>
      </c>
      <c r="C10476" t="s">
        <v>483</v>
      </c>
      <c r="D10476" t="s">
        <v>121</v>
      </c>
    </row>
    <row r="10477" spans="1:4" x14ac:dyDescent="0.25">
      <c r="B10477" t="str">
        <f>HYPERLINK("https://www.chemistwarehouse.com.au/buy/68184/Nivea-For-Men-Deodorant-Stress-Protect-Roll-On-50ml"," Nivea For Men Deodorant Stress Protect Roll On 50ml")</f>
        <v xml:space="preserve"> Nivea For Men Deodorant Stress Protect Roll On 50ml</v>
      </c>
      <c r="C10477" t="s">
        <v>146</v>
      </c>
      <c r="D10477" t="s">
        <v>731</v>
      </c>
    </row>
    <row r="10478" spans="1:4" x14ac:dyDescent="0.25">
      <c r="B10478" t="str">
        <f>HYPERLINK("https://www.chemistwarehouse.com.au/buy/74627/Nivea-For-Men-Deodorant-Black-and-White-Power-35ml"," Nivea For Men Deodorant Black and White Power 35ml")</f>
        <v xml:space="preserve"> Nivea For Men Deodorant Black and White Power 35ml</v>
      </c>
      <c r="C10478" t="s">
        <v>146</v>
      </c>
      <c r="D10478" t="s">
        <v>1328</v>
      </c>
    </row>
    <row r="10479" spans="1:4" x14ac:dyDescent="0.25">
      <c r="B10479" t="str">
        <f>HYPERLINK("https://www.chemistwarehouse.com.au/buy/81583/Nivea-for-Men-Deodorant-Aerosol-Protect-and-Care-250ml"," Nivea for Men Deodorant Aerosol Protect and Care 250ml")</f>
        <v xml:space="preserve"> Nivea for Men Deodorant Aerosol Protect and Care 250ml</v>
      </c>
      <c r="C10479" t="s">
        <v>483</v>
      </c>
      <c r="D10479" t="s">
        <v>121</v>
      </c>
    </row>
    <row r="10480" spans="1:4" x14ac:dyDescent="0.25">
      <c r="B10480" t="str">
        <f>HYPERLINK("https://www.chemistwarehouse.com.au/buy/81584/Nivea-for-Men-Deodorant-Protect-and-Care-Roll-On-50ml"," Nivea for Men Deodorant Protect and Care Roll On 50ml")</f>
        <v xml:space="preserve"> Nivea for Men Deodorant Protect and Care Roll On 50ml</v>
      </c>
      <c r="C10480" t="s">
        <v>146</v>
      </c>
      <c r="D10480" t="s">
        <v>731</v>
      </c>
    </row>
    <row r="10481" spans="1:4" x14ac:dyDescent="0.25">
      <c r="B10481" t="str">
        <f>HYPERLINK("https://www.chemistwarehouse.com.au/buy/68242/Nivea-For-Men-Deodorant-Aerosol-Cool-Kick-250ml"," Nivea For Men Deodorant Aerosol Cool Kick 250ml")</f>
        <v xml:space="preserve"> Nivea For Men Deodorant Aerosol Cool Kick 250ml</v>
      </c>
      <c r="C10481" t="s">
        <v>483</v>
      </c>
      <c r="D10481" t="s">
        <v>121</v>
      </c>
    </row>
    <row r="10482" spans="1:4" x14ac:dyDescent="0.25">
      <c r="B10482" t="str">
        <f>HYPERLINK("https://www.chemistwarehouse.com.au/buy/68194/Nivea-For-Men-Deodorant-Stress-Protect-Aerosol-250ml"," Nivea For Men Deodorant Stress Protect Aerosol 250ml")</f>
        <v xml:space="preserve"> Nivea For Men Deodorant Stress Protect Aerosol 250ml</v>
      </c>
      <c r="C10482" t="s">
        <v>483</v>
      </c>
      <c r="D10482" t="s">
        <v>121</v>
      </c>
    </row>
    <row r="10483" spans="1:4" x14ac:dyDescent="0.25">
      <c r="B10483" t="str">
        <f>HYPERLINK("https://www.chemistwarehouse.com.au/buy/63902/Nivea-Deodorant-for-Women-Black-and-White-Invisible-Pure-150ml"," Nivea Deodorant for Women Black and White Invisible Pure 150ml")</f>
        <v xml:space="preserve"> Nivea Deodorant for Women Black and White Invisible Pure 150ml</v>
      </c>
      <c r="C10483" t="s">
        <v>483</v>
      </c>
      <c r="D10483" t="s">
        <v>371</v>
      </c>
    </row>
    <row r="10484" spans="1:4" x14ac:dyDescent="0.25">
      <c r="A10484" t="s">
        <v>2145</v>
      </c>
    </row>
    <row r="10485" spans="1:4" x14ac:dyDescent="0.25">
      <c r="B10485" t="str">
        <f>HYPERLINK("https://www.chemistwarehouse.com.au/buy/75952/Rexona-for-Men-Antiperspirant-Deodorant-Aquashield-250ml"," Rexona for Men Antiperspirant Deodorant Aquashield 250ml")</f>
        <v xml:space="preserve"> Rexona for Men Antiperspirant Deodorant Aquashield 250ml</v>
      </c>
      <c r="C10485" t="s">
        <v>326</v>
      </c>
      <c r="D10485" t="s">
        <v>2146</v>
      </c>
    </row>
    <row r="10486" spans="1:4" x14ac:dyDescent="0.25">
      <c r="B10486" t="str">
        <f>HYPERLINK("https://www.chemistwarehouse.com.au/buy/7455/Rexona-for-Men-Antiperspirant-Deodorant-Original-250ml"," Rexona for Men Antiperspirant Deodorant Original 250ml")</f>
        <v xml:space="preserve"> Rexona for Men Antiperspirant Deodorant Original 250ml</v>
      </c>
      <c r="C10486" t="s">
        <v>326</v>
      </c>
      <c r="D10486" t="s">
        <v>2146</v>
      </c>
    </row>
    <row r="10487" spans="1:4" x14ac:dyDescent="0.25">
      <c r="B10487" t="str">
        <f>HYPERLINK("https://www.chemistwarehouse.com.au/buy/79629/Rexona-for-Men-Antiperspirant-Deodorant-Stick-Sport-52g"," Rexona for Men Antiperspirant Deodorant Stick Sport 52g")</f>
        <v xml:space="preserve"> Rexona for Men Antiperspirant Deodorant Stick Sport 52g</v>
      </c>
      <c r="C10487" t="s">
        <v>483</v>
      </c>
      <c r="D10487" t="s">
        <v>371</v>
      </c>
    </row>
    <row r="10488" spans="1:4" x14ac:dyDescent="0.25">
      <c r="B10488" t="str">
        <f>HYPERLINK("https://www.chemistwarehouse.com.au/buy/55470/Rexona-for-Men-Antiperspirant-Deodorant-Quantum-250ml"," Rexona for Men Antiperspirant Deodorant Quantum 250ml")</f>
        <v xml:space="preserve"> Rexona for Men Antiperspirant Deodorant Quantum 250ml</v>
      </c>
      <c r="C10488" t="s">
        <v>326</v>
      </c>
      <c r="D10488" t="s">
        <v>2146</v>
      </c>
    </row>
    <row r="10489" spans="1:4" x14ac:dyDescent="0.25">
      <c r="B10489" t="str">
        <f>HYPERLINK("https://www.chemistwarehouse.com.au/buy/7447/Rexona-for-Men-Antiperspirant-Deodorant-Roll-On-Sport-50ml"," Rexona for Men Antiperspirant Deodorant Roll On Sport 50ml")</f>
        <v xml:space="preserve"> Rexona for Men Antiperspirant Deodorant Roll On Sport 50ml</v>
      </c>
      <c r="C10489" t="s">
        <v>728</v>
      </c>
      <c r="D10489" t="s">
        <v>558</v>
      </c>
    </row>
    <row r="10490" spans="1:4" x14ac:dyDescent="0.25">
      <c r="B10490" t="str">
        <f>HYPERLINK("https://www.chemistwarehouse.com.au/buy/66176/Rexona-for-Men-Antiperspirant-Deodorant-Adventure-250ml"," Rexona for Men Antiperspirant Deodorant Adventure 250ml")</f>
        <v xml:space="preserve"> Rexona for Men Antiperspirant Deodorant Adventure 250ml</v>
      </c>
      <c r="C10490" t="s">
        <v>326</v>
      </c>
      <c r="D10490" t="s">
        <v>2146</v>
      </c>
    </row>
    <row r="10491" spans="1:4" x14ac:dyDescent="0.25">
      <c r="B10491" t="str">
        <f>HYPERLINK("https://www.chemistwarehouse.com.au/buy/76192/Rexona-for-Men-Antiperspirant-Deodorant-Invisible-Black-and-White-250ml"," Rexona for Men Antiperspirant Deodorant Invisible Black and White 250ml")</f>
        <v xml:space="preserve"> Rexona for Men Antiperspirant Deodorant Invisible Black and White 250ml</v>
      </c>
      <c r="C10491" t="s">
        <v>326</v>
      </c>
      <c r="D10491" t="s">
        <v>2146</v>
      </c>
    </row>
    <row r="10492" spans="1:4" x14ac:dyDescent="0.25">
      <c r="B10492" t="str">
        <f>HYPERLINK("https://www.chemistwarehouse.com.au/buy/7446/Rexona-for-Men-Antiperspirant-Deodorant-Roll-On-Original-50ml"," Rexona for Men Antiperspirant Deodorant Roll On Original 50ml")</f>
        <v xml:space="preserve"> Rexona for Men Antiperspirant Deodorant Roll On Original 50ml</v>
      </c>
      <c r="C10492" t="s">
        <v>728</v>
      </c>
      <c r="D10492" t="s">
        <v>558</v>
      </c>
    </row>
    <row r="10493" spans="1:4" x14ac:dyDescent="0.25">
      <c r="B10493" t="str">
        <f>HYPERLINK("https://www.chemistwarehouse.com.au/buy/47706/Rexona-for-Men-Antiperspirant-Deodorant-Sport-250ml"," Rexona for Men Antiperspirant Deodorant Sport 250ml")</f>
        <v xml:space="preserve"> Rexona for Men Antiperspirant Deodorant Sport 250ml</v>
      </c>
      <c r="C10493" t="s">
        <v>326</v>
      </c>
      <c r="D10493" t="s">
        <v>2146</v>
      </c>
    </row>
    <row r="10494" spans="1:4" x14ac:dyDescent="0.25">
      <c r="B10494" t="str">
        <f>HYPERLINK("https://www.chemistwarehouse.com.au/buy/72965/Rexona-for-Men-Clinical-Protection-Antiperspirant-Deodorant-Sport-45ml"," Rexona for Men Clinical Protection Antiperspirant Deodorant Sport 45ml ")</f>
        <v xml:space="preserve"> Rexona for Men Clinical Protection Antiperspirant Deodorant Sport 45ml </v>
      </c>
      <c r="C10494" t="s">
        <v>45</v>
      </c>
      <c r="D10494" t="s">
        <v>720</v>
      </c>
    </row>
    <row r="10495" spans="1:4" x14ac:dyDescent="0.25">
      <c r="B10495" t="str">
        <f>HYPERLINK("https://www.chemistwarehouse.com.au/buy/80162/Rexona-for-Men-Antiperspirant-Deodorant-Sport-90ml"," Rexona for Men Antiperspirant Deodorant Sport 90ml")</f>
        <v xml:space="preserve"> Rexona for Men Antiperspirant Deodorant Sport 90ml</v>
      </c>
      <c r="C10495" t="s">
        <v>483</v>
      </c>
      <c r="D10495" t="s">
        <v>371</v>
      </c>
    </row>
    <row r="10496" spans="1:4" x14ac:dyDescent="0.25">
      <c r="B10496" t="str">
        <f>HYPERLINK("https://www.chemistwarehouse.com.au/buy/75953/Rexona-for-Men-Antiperspirant-Deodorant-Turbo-250ml"," Rexona for Men Antiperspirant Deodorant Turbo 250ml")</f>
        <v xml:space="preserve"> Rexona for Men Antiperspirant Deodorant Turbo 250ml</v>
      </c>
      <c r="C10496" t="s">
        <v>326</v>
      </c>
      <c r="D10496" t="s">
        <v>2146</v>
      </c>
    </row>
    <row r="10497" spans="1:4" x14ac:dyDescent="0.25">
      <c r="B10497" t="str">
        <f>HYPERLINK("https://www.chemistwarehouse.com.au/buy/78737/Rexona-for-Men-Antiperspirant-Deodorant-Antibacterial-Defence-250ml"," Rexona for Men Antiperspirant Deodorant Antibacterial Defence 250ml")</f>
        <v xml:space="preserve"> Rexona for Men Antiperspirant Deodorant Antibacterial Defence 250ml</v>
      </c>
      <c r="C10497" t="s">
        <v>326</v>
      </c>
      <c r="D10497" t="s">
        <v>2146</v>
      </c>
    </row>
    <row r="10498" spans="1:4" x14ac:dyDescent="0.25">
      <c r="B10498" t="str">
        <f>HYPERLINK("https://www.chemistwarehouse.com.au/buy/79628/Rexona-for-Men-Antiperspirant-Antibacterial-Defence-Roll-On-50ml"," Rexona for Men Antiperspirant Antibacterial Defence Roll On 50ml")</f>
        <v xml:space="preserve"> Rexona for Men Antiperspirant Antibacterial Defence Roll On 50ml</v>
      </c>
      <c r="C10498" t="s">
        <v>728</v>
      </c>
      <c r="D10498" t="s">
        <v>558</v>
      </c>
    </row>
    <row r="10499" spans="1:4" x14ac:dyDescent="0.25">
      <c r="B10499" t="str">
        <f>HYPERLINK("https://www.chemistwarehouse.com.au/buy/59779/Rexona-for-Men-Clinical-Protection-Antiperspirant-Deodorant-Cream-45ml"," Rexona for Men Clinical Protection Antiperspirant Deodorant Cream 45ml")</f>
        <v xml:space="preserve"> Rexona for Men Clinical Protection Antiperspirant Deodorant Cream 45ml</v>
      </c>
      <c r="C10499" t="s">
        <v>45</v>
      </c>
      <c r="D10499" t="s">
        <v>720</v>
      </c>
    </row>
    <row r="10500" spans="1:4" x14ac:dyDescent="0.25">
      <c r="B10500" t="str">
        <f>HYPERLINK("https://www.chemistwarehouse.com.au/buy/62941/Rexona-for-Men-Antiperspirant-Deodorant-Sensitive-250ml"," Rexona for Men Antiperspirant Deodorant Sensitive 250ml")</f>
        <v xml:space="preserve"> Rexona for Men Antiperspirant Deodorant Sensitive 250ml</v>
      </c>
      <c r="C10500" t="s">
        <v>326</v>
      </c>
      <c r="D10500" t="s">
        <v>2146</v>
      </c>
    </row>
    <row r="10501" spans="1:4" x14ac:dyDescent="0.25">
      <c r="B10501" t="str">
        <f>HYPERLINK("https://www.chemistwarehouse.com.au/buy/65839/Rexona-for-Men-Antiperspirant-Spray-50ml"," Rexona for Men Antiperspirant Spray 50ml")</f>
        <v xml:space="preserve"> Rexona for Men Antiperspirant Spray 50ml</v>
      </c>
      <c r="C10501" t="s">
        <v>483</v>
      </c>
      <c r="D10501" t="s">
        <v>1328</v>
      </c>
    </row>
    <row r="10502" spans="1:4" x14ac:dyDescent="0.25">
      <c r="B10502" t="str">
        <f>HYPERLINK("https://www.chemistwarehouse.com.au/buy/78638/Rexona-for-Men-Antiperspirant-Deodrant-Williams-Racing-250ml"," Rexona for Men Antiperspirant Deodrant Williams Racing 250ml")</f>
        <v xml:space="preserve"> Rexona for Men Antiperspirant Deodrant Williams Racing 250ml</v>
      </c>
      <c r="C10502" t="s">
        <v>326</v>
      </c>
      <c r="D10502" t="s">
        <v>2146</v>
      </c>
    </row>
    <row r="10503" spans="1:4" x14ac:dyDescent="0.25">
      <c r="B10503" t="str">
        <f>HYPERLINK("https://www.chemistwarehouse.com.au/buy/80163/Rexona-for-Men-Antiperspirant-Deodorant-Original-90ml"," Rexona for Men Antiperspirant Deodorant Original 90ml")</f>
        <v xml:space="preserve"> Rexona for Men Antiperspirant Deodorant Original 90ml</v>
      </c>
      <c r="C10503" t="s">
        <v>483</v>
      </c>
      <c r="D10503" t="s">
        <v>371</v>
      </c>
    </row>
    <row r="10504" spans="1:4" x14ac:dyDescent="0.25">
      <c r="B10504" t="str">
        <f>HYPERLINK("https://www.chemistwarehouse.com.au/buy/82525/Rexona-for-Men-Antiperspirant-Deodorant-Ice-Fresh-250ml"," Rexona for Men Antiperspirant Deodorant Ice Fresh 250ml")</f>
        <v xml:space="preserve"> Rexona for Men Antiperspirant Deodorant Ice Fresh 250ml</v>
      </c>
      <c r="C10504" t="s">
        <v>326</v>
      </c>
      <c r="D10504" t="s">
        <v>2146</v>
      </c>
    </row>
    <row r="10505" spans="1:4" x14ac:dyDescent="0.25">
      <c r="B10505" t="str">
        <f>HYPERLINK("https://www.chemistwarehouse.com.au/buy/82526/Rexona-for-Men-Clinical-Protection-Antiperspirant-Clean-Scent-45ml"," Rexona for Men Clinical Protection Antiperspirant Clean Scent 45ml")</f>
        <v xml:space="preserve"> Rexona for Men Clinical Protection Antiperspirant Clean Scent 45ml</v>
      </c>
      <c r="C10505" t="s">
        <v>551</v>
      </c>
      <c r="D10505" t="s">
        <v>822</v>
      </c>
    </row>
    <row r="10506" spans="1:4" x14ac:dyDescent="0.25">
      <c r="B10506" t="str">
        <f>HYPERLINK("https://www.chemistwarehouse.com.au/buy/78639/Rexona-for-Men-Williams-Racing-Roll-On-50ml"," Rexona for Men Williams Racing Roll On 50ml")</f>
        <v xml:space="preserve"> Rexona for Men Williams Racing Roll On 50ml</v>
      </c>
      <c r="C10506" t="s">
        <v>728</v>
      </c>
      <c r="D10506" t="s">
        <v>558</v>
      </c>
    </row>
    <row r="10507" spans="1:4" x14ac:dyDescent="0.25">
      <c r="A10507" t="s">
        <v>2147</v>
      </c>
    </row>
    <row r="10508" spans="1:4" x14ac:dyDescent="0.25">
      <c r="B10508" t="str">
        <f>HYPERLINK("https://www.chemistwarehouse.com.au/buy/69913/Dove-Deodorant-Aerosol-Go-Fresh-Cucumber-150ml"," Dove Deodorant Aerosol Go Fresh Cucumber 150ml")</f>
        <v xml:space="preserve"> Dove Deodorant Aerosol Go Fresh Cucumber 150ml</v>
      </c>
      <c r="C10508" t="s">
        <v>483</v>
      </c>
      <c r="D10508">
        <v>0</v>
      </c>
    </row>
    <row r="10509" spans="1:4" x14ac:dyDescent="0.25">
      <c r="B10509" t="str">
        <f>HYPERLINK("https://www.chemistwarehouse.com.au/buy/3595/Dove-Antiperspirant-Deodorant-Original-Roll-On-50ml"," Dove Antiperspirant Deodorant Original Roll On 50ml")</f>
        <v xml:space="preserve"> Dove Antiperspirant Deodorant Original Roll On 50ml</v>
      </c>
      <c r="C10509" t="s">
        <v>728</v>
      </c>
      <c r="D10509" t="s">
        <v>725</v>
      </c>
    </row>
    <row r="10510" spans="1:4" x14ac:dyDescent="0.25">
      <c r="B10510" t="str">
        <f>HYPERLINK("https://www.chemistwarehouse.com.au/buy/55031/Dove-Go-Fresh-Cucumber-amp-Green-Tea-Deodorant-Roll-On-50ml"," Dove Go Fresh Cucumber &amp; Green Tea Deodorant Roll-On 50ml")</f>
        <v xml:space="preserve"> Dove Go Fresh Cucumber &amp; Green Tea Deodorant Roll-On 50ml</v>
      </c>
      <c r="C10510" t="s">
        <v>728</v>
      </c>
      <c r="D10510" t="s">
        <v>725</v>
      </c>
    </row>
    <row r="10511" spans="1:4" x14ac:dyDescent="0.25">
      <c r="B10511" t="str">
        <f>HYPERLINK("https://www.chemistwarehouse.com.au/buy/59469/Dove-for-Women-Clinical-Protection-Antiperspirant-Deodorant-Fresh-Touch-Cream-45ml"," Dove for Women Clinical Protection Antiperspirant Deodorant Fresh Touch Cream 45ml")</f>
        <v xml:space="preserve"> Dove for Women Clinical Protection Antiperspirant Deodorant Fresh Touch Cream 45ml</v>
      </c>
      <c r="C10511" t="s">
        <v>45</v>
      </c>
      <c r="D10511" t="s">
        <v>720</v>
      </c>
    </row>
    <row r="10512" spans="1:4" x14ac:dyDescent="0.25">
      <c r="B10512" t="str">
        <f>HYPERLINK("https://www.chemistwarehouse.com.au/buy/75826/Dove-Antiperspirant-Deodorant-Original-250ml"," Dove Antiperspirant Deodorant Original 250ml")</f>
        <v xml:space="preserve"> Dove Antiperspirant Deodorant Original 250ml</v>
      </c>
      <c r="C10512" t="s">
        <v>116</v>
      </c>
      <c r="D10512" t="s">
        <v>611</v>
      </c>
    </row>
    <row r="10513" spans="2:4" x14ac:dyDescent="0.25">
      <c r="B10513" t="str">
        <f>HYPERLINK("https://www.chemistwarehouse.com.au/buy/75827/Dove-Antiperspirant-Deodorant-Go-Fresh-Pomegranate-250ml"," Dove Antiperspirant Deodorant Go Fresh Pomegranate 250ml")</f>
        <v xml:space="preserve"> Dove Antiperspirant Deodorant Go Fresh Pomegranate 250ml</v>
      </c>
      <c r="C10513" t="s">
        <v>116</v>
      </c>
      <c r="D10513" t="s">
        <v>611</v>
      </c>
    </row>
    <row r="10514" spans="2:4" x14ac:dyDescent="0.25">
      <c r="B10514" t="str">
        <f>HYPERLINK("https://www.chemistwarehouse.com.au/buy/75829/Dove-Antiperspirant-Deodorant-Invisible-Dry-250ml"," Dove Antiperspirant Deodorant Invisible Dry 250ml")</f>
        <v xml:space="preserve"> Dove Antiperspirant Deodorant Invisible Dry 250ml</v>
      </c>
      <c r="C10514" t="s">
        <v>116</v>
      </c>
      <c r="D10514" t="s">
        <v>611</v>
      </c>
    </row>
    <row r="10515" spans="2:4" x14ac:dyDescent="0.25">
      <c r="B10515" t="str">
        <f>HYPERLINK("https://www.chemistwarehouse.com.au/buy/76435/Dove-for-Women-Pomegranate-and-Lemon-Verbena-Roll-On-50ml"," Dove for Women Pomegranate and Lemon Verbena Roll On 50ml")</f>
        <v xml:space="preserve"> Dove for Women Pomegranate and Lemon Verbena Roll On 50ml</v>
      </c>
      <c r="C10515" t="s">
        <v>728</v>
      </c>
      <c r="D10515" t="s">
        <v>725</v>
      </c>
    </row>
    <row r="10516" spans="2:4" x14ac:dyDescent="0.25">
      <c r="B10516" t="str">
        <f>HYPERLINK("https://www.chemistwarehouse.com.au/buy/76691/Dove-Deodorant-Antiperspirant-Go-Fresh-Grapefruit-250ml"," Dove Deodorant Antiperspirant Go Fresh Grapefruit 250ml")</f>
        <v xml:space="preserve"> Dove Deodorant Antiperspirant Go Fresh Grapefruit 250ml</v>
      </c>
      <c r="C10516" t="s">
        <v>483</v>
      </c>
      <c r="D10516">
        <v>0</v>
      </c>
    </row>
    <row r="10517" spans="2:4" x14ac:dyDescent="0.25">
      <c r="B10517" t="str">
        <f>HYPERLINK("https://www.chemistwarehouse.com.au/buy/72651/Dove-Deodorant-Anti-Perspirant-Original-30g"," Dove Deodorant Anti-Perspirant Original 30g")</f>
        <v xml:space="preserve"> Dove Deodorant Anti-Perspirant Original 30g</v>
      </c>
      <c r="C10517" t="s">
        <v>483</v>
      </c>
      <c r="D10517" t="s">
        <v>1328</v>
      </c>
    </row>
    <row r="10518" spans="2:4" x14ac:dyDescent="0.25">
      <c r="B10518" t="str">
        <f>HYPERLINK("https://www.chemistwarehouse.com.au/buy/79212/Dove-Antiperspirant-Deodorant-Powder-Soft-Roll-On-50ml"," Dove Antiperspirant Deodorant Powder Soft Roll On 50ml")</f>
        <v xml:space="preserve"> Dove Antiperspirant Deodorant Powder Soft Roll On 50ml</v>
      </c>
      <c r="C10518" t="s">
        <v>728</v>
      </c>
      <c r="D10518" t="s">
        <v>725</v>
      </c>
    </row>
    <row r="10519" spans="2:4" x14ac:dyDescent="0.25">
      <c r="B10519" t="str">
        <f>HYPERLINK("https://www.chemistwarehouse.com.au/buy/60356/Dove-Deodorant-Invisible-Dry-Roll-On-50ml"," Dove Deodorant Invisible Dry Roll On 50ml")</f>
        <v xml:space="preserve"> Dove Deodorant Invisible Dry Roll On 50ml</v>
      </c>
      <c r="C10519" t="s">
        <v>635</v>
      </c>
      <c r="D10519" t="s">
        <v>805</v>
      </c>
    </row>
    <row r="10520" spans="2:4" x14ac:dyDescent="0.25">
      <c r="B10520" t="str">
        <f>HYPERLINK("https://www.chemistwarehouse.com.au/buy/60906/Dove-Deodorant-Anti-Perspirant-Original-150mL"," Dove Deodorant Anti-Perspirant Original 150mL")</f>
        <v xml:space="preserve"> Dove Deodorant Anti-Perspirant Original 150mL</v>
      </c>
      <c r="C10520" t="s">
        <v>483</v>
      </c>
      <c r="D10520">
        <v>0</v>
      </c>
    </row>
    <row r="10521" spans="2:4" x14ac:dyDescent="0.25">
      <c r="B10521" t="str">
        <f>HYPERLINK("https://www.chemistwarehouse.com.au/buy/51516/Dove-Deodorant-Anti-Perspirant-Aerosol-Silk-Dry-150ml"," Dove Deodorant Anti-Perspirant Aerosol Silk Dry 150ml")</f>
        <v xml:space="preserve"> Dove Deodorant Anti-Perspirant Aerosol Silk Dry 150ml</v>
      </c>
      <c r="C10521" t="s">
        <v>483</v>
      </c>
      <c r="D10521">
        <v>0</v>
      </c>
    </row>
    <row r="10522" spans="2:4" x14ac:dyDescent="0.25">
      <c r="B10522" t="str">
        <f>HYPERLINK("https://www.chemistwarehouse.com.au/buy/70300/Dove-Deodorant-Anti-Perspirant-Silk-Dry-250ml"," Dove Deodorant Anti-Perspirant Silk Dry 250ml")</f>
        <v xml:space="preserve"> Dove Deodorant Anti-Perspirant Silk Dry 250ml</v>
      </c>
      <c r="C10522" t="s">
        <v>483</v>
      </c>
      <c r="D10522">
        <v>0</v>
      </c>
    </row>
    <row r="10523" spans="2:4" x14ac:dyDescent="0.25">
      <c r="B10523" t="str">
        <f>HYPERLINK("https://www.chemistwarehouse.com.au/buy/79349/Dove-Antiperspirant-Deodorant-Powder-Soft-250ml"," Dove Antiperspirant Deodorant Powder Soft 250ml")</f>
        <v xml:space="preserve"> Dove Antiperspirant Deodorant Powder Soft 250ml</v>
      </c>
      <c r="C10523" t="s">
        <v>116</v>
      </c>
      <c r="D10523" t="s">
        <v>611</v>
      </c>
    </row>
    <row r="10524" spans="2:4" x14ac:dyDescent="0.25">
      <c r="B10524" t="str">
        <f>HYPERLINK("https://www.chemistwarehouse.com.au/buy/80164/Dove-Antiperspirant-Deodorant-Original-169ml"," Dove Antiperspirant Deodorant Original 169ml")</f>
        <v xml:space="preserve"> Dove Antiperspirant Deodorant Original 169ml</v>
      </c>
      <c r="C10524" t="s">
        <v>120</v>
      </c>
      <c r="D10524" t="s">
        <v>1502</v>
      </c>
    </row>
    <row r="10525" spans="2:4" x14ac:dyDescent="0.25">
      <c r="B10525" t="str">
        <f>HYPERLINK("https://www.chemistwarehouse.com.au/buy/82520/Dove-Antiperspirant-Deodorant-Fresh-Pear-Roll-On-50ml"," Dove Antiperspirant Deodorant Fresh Pear Roll On 50ml")</f>
        <v xml:space="preserve"> Dove Antiperspirant Deodorant Fresh Pear Roll On 50ml</v>
      </c>
      <c r="C10525" t="s">
        <v>146</v>
      </c>
      <c r="D10525" t="s">
        <v>1516</v>
      </c>
    </row>
    <row r="10526" spans="2:4" x14ac:dyDescent="0.25">
      <c r="B10526" t="str">
        <f>HYPERLINK("https://www.chemistwarehouse.com.au/buy/82521/Dove-Antiperspirant-Deodorant-Pear-Aloe-Vera-169ml"," Dove Antiperspirant Deodorant Pear Aloe Vera 169ml")</f>
        <v xml:space="preserve"> Dove Antiperspirant Deodorant Pear Aloe Vera 169ml</v>
      </c>
      <c r="C10526" t="s">
        <v>556</v>
      </c>
      <c r="D10526" t="s">
        <v>754</v>
      </c>
    </row>
    <row r="10527" spans="2:4" x14ac:dyDescent="0.25">
      <c r="B10527" t="str">
        <f>HYPERLINK("https://www.chemistwarehouse.com.au/buy/71956/Dove-Deodorant-Go-Fresh-Pomegranate-Roll-On-50ml"," Dove Deodorant Go Fresh Pomegranate Roll On 50ml")</f>
        <v xml:space="preserve"> Dove Deodorant Go Fresh Pomegranate Roll On 50ml</v>
      </c>
      <c r="C10527" t="s">
        <v>146</v>
      </c>
      <c r="D10527" t="s">
        <v>1516</v>
      </c>
    </row>
    <row r="10528" spans="2:4" x14ac:dyDescent="0.25">
      <c r="B10528" t="str">
        <f>HYPERLINK("https://www.chemistwarehouse.com.au/buy/78079/Dove-Antiperspirant-Deodorant-Silk-Dry-Roll-on-50ml"," Dove Antiperspirant Deodorant Silk Dry Roll on 50ml")</f>
        <v xml:space="preserve"> Dove Antiperspirant Deodorant Silk Dry Roll on 50ml</v>
      </c>
      <c r="C10528" t="s">
        <v>635</v>
      </c>
      <c r="D10528" t="s">
        <v>805</v>
      </c>
    </row>
    <row r="10529" spans="1:4" x14ac:dyDescent="0.25">
      <c r="B10529" t="str">
        <f>HYPERLINK("https://www.chemistwarehouse.com.au/buy/78081/Dove-Antiperspirant-Deodorant-Sensitive-Care-Roll-On-50ml"," Dove Antiperspirant Deodorant Sensitive Care Roll On 50ml")</f>
        <v xml:space="preserve"> Dove Antiperspirant Deodorant Sensitive Care Roll On 50ml</v>
      </c>
      <c r="C10529" t="s">
        <v>146</v>
      </c>
      <c r="D10529" t="s">
        <v>1516</v>
      </c>
    </row>
    <row r="10530" spans="1:4" x14ac:dyDescent="0.25">
      <c r="B10530" t="str">
        <f>HYPERLINK("https://www.chemistwarehouse.com.au/buy/79294/Dove-Antiperspirant-Deodorant-Go-Fresh-Grapefruit-150ml"," Dove Antiperspirant Deodorant Go Fresh Grapefruit 150ml")</f>
        <v xml:space="preserve"> Dove Antiperspirant Deodorant Go Fresh Grapefruit 150ml</v>
      </c>
      <c r="C10530" t="s">
        <v>483</v>
      </c>
      <c r="D10530">
        <v>0</v>
      </c>
    </row>
    <row r="10531" spans="1:4" x14ac:dyDescent="0.25">
      <c r="B10531" t="str">
        <f>HYPERLINK("https://www.chemistwarehouse.com.au/buy/73259/Dove-for-Women-Clinical-Protection-Antiperspirant-Deodorant-Original-Cream-45ml"," Dove for Women Clinical Protection Antiperspirant Deodorant Original Cream 45ml ")</f>
        <v xml:space="preserve"> Dove for Women Clinical Protection Antiperspirant Deodorant Original Cream 45ml </v>
      </c>
      <c r="C10531" t="s">
        <v>45</v>
      </c>
      <c r="D10531" t="s">
        <v>720</v>
      </c>
    </row>
    <row r="10532" spans="1:4" x14ac:dyDescent="0.25">
      <c r="A10532" t="s">
        <v>2148</v>
      </c>
    </row>
    <row r="10533" spans="1:4" x14ac:dyDescent="0.25">
      <c r="B10533" t="str">
        <f>HYPERLINK("https://www.chemistwarehouse.com.au/buy/65968/Lynx-for-Women-Deodorant-Aerosol-Anarchy-100g"," Lynx for Women Deodorant Aerosol Anarchy 100g")</f>
        <v xml:space="preserve"> Lynx for Women Deodorant Aerosol Anarchy 100g</v>
      </c>
      <c r="C10533" t="s">
        <v>146</v>
      </c>
      <c r="D10533" t="s">
        <v>291</v>
      </c>
    </row>
    <row r="10534" spans="1:4" x14ac:dyDescent="0.25">
      <c r="A10534" t="s">
        <v>2149</v>
      </c>
    </row>
    <row r="10535" spans="1:4" x14ac:dyDescent="0.25">
      <c r="B10535" t="str">
        <f>HYPERLINK("https://www.chemistwarehouse.com.au/buy/60672/Garnier-Minerals-Ultra-Dry-Roll-On-50ml"," Garnier Minerals Ultra Dry Roll On 50ml")</f>
        <v xml:space="preserve"> Garnier Minerals Ultra Dry Roll On 50ml</v>
      </c>
      <c r="C10535" t="s">
        <v>146</v>
      </c>
      <c r="D10535" t="s">
        <v>325</v>
      </c>
    </row>
    <row r="10536" spans="1:4" x14ac:dyDescent="0.25">
      <c r="B10536" t="str">
        <f>HYPERLINK("https://www.chemistwarehouse.com.au/buy/60674/Garnier-Minerals-Ultra-Dry-Deodorant-Aerosol-150ml"," Garnier Minerals Ultra Dry Deodorant Aerosol 150ml")</f>
        <v xml:space="preserve"> Garnier Minerals Ultra Dry Deodorant Aerosol 150ml</v>
      </c>
      <c r="C10536" t="s">
        <v>483</v>
      </c>
      <c r="D10536" t="s">
        <v>1870</v>
      </c>
    </row>
    <row r="10537" spans="1:4" x14ac:dyDescent="0.25">
      <c r="B10537" t="str">
        <f>HYPERLINK("https://www.chemistwarehouse.com.au/buy/63963/Garnier-Invisimineral-Deodorant-Calm-Roll-On-50mL"," Garnier Invisimineral Deodorant Calm Roll On 50mL")</f>
        <v xml:space="preserve"> Garnier Invisimineral Deodorant Calm Roll On 50mL</v>
      </c>
      <c r="C10537" t="s">
        <v>146</v>
      </c>
      <c r="D10537" t="s">
        <v>325</v>
      </c>
    </row>
    <row r="10538" spans="1:4" x14ac:dyDescent="0.25">
      <c r="B10538" t="str">
        <f>HYPERLINK("https://www.chemistwarehouse.com.au/buy/60675/Garnier-Minerals-Invisible-Deodorant-Aerosol-150ml"," Garnier Minerals Invisible Deodorant Aerosol 150ml")</f>
        <v xml:space="preserve"> Garnier Minerals Invisible Deodorant Aerosol 150ml</v>
      </c>
      <c r="C10538" t="s">
        <v>483</v>
      </c>
      <c r="D10538" t="s">
        <v>1870</v>
      </c>
    </row>
    <row r="10539" spans="1:4" x14ac:dyDescent="0.25">
      <c r="B10539" t="str">
        <f>HYPERLINK("https://www.chemistwarehouse.com.au/buy/63890/Garnier-Invisimineral-Deodorant-Aerosol-Max-Protect-150mL"," Garnier Invisimineral Deodorant Aerosol Max Protect 150mL")</f>
        <v xml:space="preserve"> Garnier Invisimineral Deodorant Aerosol Max Protect 150mL</v>
      </c>
      <c r="C10539" t="s">
        <v>483</v>
      </c>
      <c r="D10539" t="s">
        <v>1870</v>
      </c>
    </row>
    <row r="10540" spans="1:4" x14ac:dyDescent="0.25">
      <c r="B10540" t="str">
        <f>HYPERLINK("https://www.chemistwarehouse.com.au/buy/63962/Garnier-Invimineral-Deodorant-Max-Protect-Roll-On-50mL"," Garnier Invimineral Deodorant Max Protect Roll On 50mL")</f>
        <v xml:space="preserve"> Garnier Invimineral Deodorant Max Protect Roll On 50mL</v>
      </c>
      <c r="C10540" t="s">
        <v>146</v>
      </c>
      <c r="D10540" t="s">
        <v>325</v>
      </c>
    </row>
    <row r="10541" spans="1:4" x14ac:dyDescent="0.25">
      <c r="A10541" t="s">
        <v>2150</v>
      </c>
    </row>
    <row r="10542" spans="1:4" x14ac:dyDescent="0.25">
      <c r="B10542" t="str">
        <f>HYPERLINK("https://www.chemistwarehouse.com.au/buy/66949/Hello-Kitty-Bubblegum-Body-Mist-Spray-75g"," Hello Kitty Bubblegum Body Mist Spray 75g")</f>
        <v xml:space="preserve"> Hello Kitty Bubblegum Body Mist Spray 75g</v>
      </c>
      <c r="C10542" t="s">
        <v>483</v>
      </c>
      <c r="D10542" t="s">
        <v>371</v>
      </c>
    </row>
    <row r="10543" spans="1:4" x14ac:dyDescent="0.25">
      <c r="B10543" t="str">
        <f>HYPERLINK("https://www.chemistwarehouse.com.au/buy/66955/Hello-Kitty-Strawberry-amp-Cream-Body-Mist-Spray-75g"," Hello Kitty Strawberry &amp; Cream Body Mist Spray 75g")</f>
        <v xml:space="preserve"> Hello Kitty Strawberry &amp; Cream Body Mist Spray 75g</v>
      </c>
      <c r="C10543" t="s">
        <v>483</v>
      </c>
      <c r="D10543" t="s">
        <v>371</v>
      </c>
    </row>
    <row r="10544" spans="1:4" x14ac:dyDescent="0.25">
      <c r="B10544" t="str">
        <f>HYPERLINK("https://www.chemistwarehouse.com.au/buy/73173/Hello-Kitty-Juicy-Grape-Body-Mist-75g"," Hello Kitty Juicy Grape Body Mist 75g")</f>
        <v xml:space="preserve"> Hello Kitty Juicy Grape Body Mist 75g</v>
      </c>
      <c r="C10544" t="s">
        <v>483</v>
      </c>
      <c r="D10544" t="s">
        <v>371</v>
      </c>
    </row>
    <row r="10545" spans="1:4" x14ac:dyDescent="0.25">
      <c r="A10545" t="s">
        <v>2151</v>
      </c>
    </row>
    <row r="10546" spans="1:4" x14ac:dyDescent="0.25">
      <c r="B10546" t="str">
        <f>HYPERLINK("https://www.chemistwarehouse.com.au/buy/34625/Innoxa-Free-amp-Easy-Aluminium-Free-Roll-On-Deodorant-100mL"," Innoxa Free &amp; Easy Aluminium Free Roll On Deodorant 100mL")</f>
        <v xml:space="preserve"> Innoxa Free &amp; Easy Aluminium Free Roll On Deodorant 100mL</v>
      </c>
      <c r="C10546" t="s">
        <v>116</v>
      </c>
      <c r="D10546" t="s">
        <v>611</v>
      </c>
    </row>
    <row r="10547" spans="1:4" x14ac:dyDescent="0.25">
      <c r="B10547" t="str">
        <f>HYPERLINK("https://www.chemistwarehouse.com.au/buy/55762/Innoxa-Free-amp-Easy-Regular-Roll-On-Deodorant-100ml"," Innoxa Free &amp; Easy Regular Roll On Deodorant 100ml")</f>
        <v xml:space="preserve"> Innoxa Free &amp; Easy Regular Roll On Deodorant 100ml</v>
      </c>
      <c r="C10547" t="s">
        <v>116</v>
      </c>
      <c r="D10547" t="s">
        <v>611</v>
      </c>
    </row>
    <row r="10548" spans="1:4" x14ac:dyDescent="0.25">
      <c r="A10548" t="s">
        <v>2152</v>
      </c>
    </row>
    <row r="10549" spans="1:4" x14ac:dyDescent="0.25">
      <c r="B10549" t="str">
        <f>HYPERLINK("https://www.chemistwarehouse.com.au/buy/36038/Mum-Roll-On-Dry-Cool-Pink-50ml"," Mum Roll On Dry Cool Pink 50ml")</f>
        <v xml:space="preserve"> Mum Roll On Dry Cool Pink 50ml</v>
      </c>
      <c r="C10549" t="s">
        <v>691</v>
      </c>
      <c r="D10549" t="s">
        <v>327</v>
      </c>
    </row>
    <row r="10550" spans="1:4" x14ac:dyDescent="0.25">
      <c r="B10550" t="str">
        <f>HYPERLINK("https://www.chemistwarehouse.com.au/buy/64532/Mum-Dry-Aerosol-Active-100g"," Mum Dry Aerosol Active 100g")</f>
        <v xml:space="preserve"> Mum Dry Aerosol Active 100g</v>
      </c>
      <c r="C10550" t="s">
        <v>728</v>
      </c>
      <c r="D10550" t="s">
        <v>1440</v>
      </c>
    </row>
    <row r="10551" spans="1:4" x14ac:dyDescent="0.25">
      <c r="B10551" t="str">
        <f>HYPERLINK("https://www.chemistwarehouse.com.au/buy/53524/Mum-Dry-Roll-On-Active-50ml"," Mum Dry Roll On Active 50ml")</f>
        <v xml:space="preserve"> Mum Dry Roll On Active 50ml</v>
      </c>
      <c r="C10551" t="s">
        <v>691</v>
      </c>
      <c r="D10551" t="s">
        <v>327</v>
      </c>
    </row>
    <row r="10552" spans="1:4" x14ac:dyDescent="0.25">
      <c r="B10552" t="str">
        <f>HYPERLINK("https://www.chemistwarehouse.com.au/buy/53522/Mum-Dry-Aerosol-Cool-Pink-100g"," Mum Dry Aerosol Cool Pink 100g")</f>
        <v xml:space="preserve"> Mum Dry Aerosol Cool Pink 100g</v>
      </c>
      <c r="C10552" t="s">
        <v>728</v>
      </c>
      <c r="D10552" t="s">
        <v>1440</v>
      </c>
    </row>
    <row r="10553" spans="1:4" x14ac:dyDescent="0.25">
      <c r="A10553" t="s">
        <v>2153</v>
      </c>
    </row>
    <row r="10554" spans="1:4" x14ac:dyDescent="0.25">
      <c r="B10554" t="str">
        <f>HYPERLINK("https://www.chemistwarehouse.com.au/buy/50832/Nivea-Deodorant-Roll-On-Aqua-Cool-Kick-50mL"," Nivea Deodorant Roll On Aqua Cool Kick 50mL")</f>
        <v xml:space="preserve"> Nivea Deodorant Roll On Aqua Cool Kick 50mL</v>
      </c>
      <c r="C10554" t="s">
        <v>146</v>
      </c>
      <c r="D10554" t="s">
        <v>731</v>
      </c>
    </row>
    <row r="10555" spans="1:4" x14ac:dyDescent="0.25">
      <c r="B10555" t="str">
        <f>HYPERLINK("https://www.chemistwarehouse.com.au/buy/50833/Nivea-Deodorant-Roll-On-Pure-50ml"," Nivea Deodorant Roll On Pure 50ml")</f>
        <v xml:space="preserve"> Nivea Deodorant Roll On Pure 50ml</v>
      </c>
      <c r="C10555" t="s">
        <v>146</v>
      </c>
      <c r="D10555" t="s">
        <v>731</v>
      </c>
    </row>
    <row r="10556" spans="1:4" x14ac:dyDescent="0.25">
      <c r="B10556" t="str">
        <f>HYPERLINK("https://www.chemistwarehouse.com.au/buy/73607/Nivea-for-Women-Deodorant-Aerosol-Stress-Protect-250ml"," Nivea for Women Deodorant Aerosol Stress Protect 250ml")</f>
        <v xml:space="preserve"> Nivea for Women Deodorant Aerosol Stress Protect 250ml</v>
      </c>
      <c r="C10556" t="s">
        <v>556</v>
      </c>
      <c r="D10556" t="s">
        <v>812</v>
      </c>
    </row>
    <row r="10557" spans="1:4" x14ac:dyDescent="0.25">
      <c r="B10557" t="str">
        <f>HYPERLINK("https://www.chemistwarehouse.com.au/buy/63888/Nivea-Deodorant-for-Women-Black-and-White-Invisible-Clear-Roll-On-50ml"," Nivea Deodorant for Women Black and White Invisible Clear Roll On 50ml")</f>
        <v xml:space="preserve"> Nivea Deodorant for Women Black and White Invisible Clear Roll On 50ml</v>
      </c>
      <c r="C10557" t="s">
        <v>146</v>
      </c>
      <c r="D10557" t="s">
        <v>731</v>
      </c>
    </row>
    <row r="10558" spans="1:4" x14ac:dyDescent="0.25">
      <c r="B10558" t="str">
        <f>HYPERLINK("https://www.chemistwarehouse.com.au/buy/66433/Nivea-Deodorant-for-Women-Sensitive-Protect-Roll-On-50ml"," Nivea Deodorant for Women Sensitive Protect Roll On 50ml")</f>
        <v xml:space="preserve"> Nivea Deodorant for Women Sensitive Protect Roll On 50ml</v>
      </c>
      <c r="C10558" t="s">
        <v>146</v>
      </c>
      <c r="D10558" t="s">
        <v>731</v>
      </c>
    </row>
    <row r="10559" spans="1:4" x14ac:dyDescent="0.25">
      <c r="B10559" t="str">
        <f>HYPERLINK("https://www.chemistwarehouse.com.au/buy/63893/Nivea-Deodorant-for-Women-Black-and-White-Invisible-Pure-Roll-On-50-ml"," Nivea Deodorant for Women Black and White Invisible Pure Roll On 50 ml")</f>
        <v xml:space="preserve"> Nivea Deodorant for Women Black and White Invisible Pure Roll On 50 ml</v>
      </c>
      <c r="C10559" t="s">
        <v>146</v>
      </c>
      <c r="D10559" t="s">
        <v>731</v>
      </c>
    </row>
    <row r="10560" spans="1:4" x14ac:dyDescent="0.25">
      <c r="B10560" t="str">
        <f>HYPERLINK("https://www.chemistwarehouse.com.au/buy/72911/Nivea-for-Women-Stress-Protect-Clinical-Strength-40ml"," Nivea for Women Stress Protect Clinical Strength 40ml")</f>
        <v xml:space="preserve"> Nivea for Women Stress Protect Clinical Strength 40ml</v>
      </c>
      <c r="C10560" t="s">
        <v>551</v>
      </c>
      <c r="D10560" t="s">
        <v>1420</v>
      </c>
    </row>
    <row r="10561" spans="1:4" x14ac:dyDescent="0.25">
      <c r="B10561" t="str">
        <f>HYPERLINK("https://www.chemistwarehouse.com.au/buy/81585/Nivea-for-Women-Deodorant-Protect-and-Care-Roll-On-50ml"," Nivea for Women Deodorant  Protect and Care Roll On 50ml")</f>
        <v xml:space="preserve"> Nivea for Women Deodorant  Protect and Care Roll On 50ml</v>
      </c>
      <c r="C10561" t="s">
        <v>146</v>
      </c>
      <c r="D10561" t="s">
        <v>731</v>
      </c>
    </row>
    <row r="10562" spans="1:4" x14ac:dyDescent="0.25">
      <c r="B10562" t="str">
        <f>HYPERLINK("https://www.chemistwarehouse.com.au/buy/58720/Nivea-Deodorant-Roll-On-Double-Effect-50ml"," Nivea Deodorant Roll On Double Effect 50ml")</f>
        <v xml:space="preserve"> Nivea Deodorant Roll On Double Effect 50ml</v>
      </c>
      <c r="C10562" t="s">
        <v>146</v>
      </c>
      <c r="D10562" t="s">
        <v>731</v>
      </c>
    </row>
    <row r="10563" spans="1:4" x14ac:dyDescent="0.25">
      <c r="B10563" t="str">
        <f>HYPERLINK("https://www.chemistwarehouse.com.au/buy/73606/Nivea-for-Women-Deodorant-Aerosol-Pure-Invisible-250ml"," Nivea for Women Deodorant Aerosol Pure Invisible 250ml")</f>
        <v xml:space="preserve"> Nivea for Women Deodorant Aerosol Pure Invisible 250ml</v>
      </c>
      <c r="C10563" t="s">
        <v>556</v>
      </c>
      <c r="D10563" t="s">
        <v>812</v>
      </c>
    </row>
    <row r="10564" spans="1:4" x14ac:dyDescent="0.25">
      <c r="B10564" t="str">
        <f>HYPERLINK("https://www.chemistwarehouse.com.au/buy/73609/Nivea-for-Women-Deodorant-Aerosol-Double-Effect-White-Senses-250ml"," Nivea for Women Deodorant Aerosol Double Effect White Senses 250ml")</f>
        <v xml:space="preserve"> Nivea for Women Deodorant Aerosol Double Effect White Senses 250ml</v>
      </c>
      <c r="C10564" t="s">
        <v>556</v>
      </c>
      <c r="D10564" t="s">
        <v>812</v>
      </c>
    </row>
    <row r="10565" spans="1:4" x14ac:dyDescent="0.25">
      <c r="B10565" t="str">
        <f>HYPERLINK("https://www.chemistwarehouse.com.au/buy/73610/Nivea-for-Women-Deodorant-Aerosol-Black-amp-White-Invisible-Clear-250ml"," Nivea for Women Deodorant Aerosol Black &amp; White Invisible Clear 250ml")</f>
        <v xml:space="preserve"> Nivea for Women Deodorant Aerosol Black &amp; White Invisible Clear 250ml</v>
      </c>
      <c r="C10565" t="s">
        <v>556</v>
      </c>
      <c r="D10565" t="s">
        <v>812</v>
      </c>
    </row>
    <row r="10566" spans="1:4" x14ac:dyDescent="0.25">
      <c r="B10566" t="str">
        <f>HYPERLINK("https://www.chemistwarehouse.com.au/buy/74626/Nivea-Deodorant-for-Women-Black-and-White-Clear-35ml"," Nivea Deodorant for Women Black and White Clear 35ml ")</f>
        <v xml:space="preserve"> Nivea Deodorant for Women Black and White Clear 35ml </v>
      </c>
      <c r="C10566" t="s">
        <v>146</v>
      </c>
      <c r="D10566" t="s">
        <v>1328</v>
      </c>
    </row>
    <row r="10567" spans="1:4" x14ac:dyDescent="0.25">
      <c r="B10567" t="str">
        <f>HYPERLINK("https://www.chemistwarehouse.com.au/buy/75098/Nivea-for-Women-Deodorant-Aerosol-Silk-Touch-250ml"," Nivea for Women Deodorant Aerosol Silk Touch 250ml")</f>
        <v xml:space="preserve"> Nivea for Women Deodorant Aerosol Silk Touch 250ml</v>
      </c>
      <c r="C10567" t="s">
        <v>556</v>
      </c>
      <c r="D10567" t="s">
        <v>812</v>
      </c>
    </row>
    <row r="10568" spans="1:4" x14ac:dyDescent="0.25">
      <c r="B10568" t="str">
        <f>HYPERLINK("https://www.chemistwarehouse.com.au/buy/75099/Nivea-for-Women-Deodorant-Roll-On-Silk-Touch-50ml"," Nivea for Women Deodorant Roll On Silk Touch 50ml")</f>
        <v xml:space="preserve"> Nivea for Women Deodorant Roll On Silk Touch 50ml</v>
      </c>
      <c r="C10568" t="s">
        <v>146</v>
      </c>
      <c r="D10568" t="s">
        <v>731</v>
      </c>
    </row>
    <row r="10569" spans="1:4" x14ac:dyDescent="0.25">
      <c r="B10569" t="str">
        <f>HYPERLINK("https://www.chemistwarehouse.com.au/buy/68231/Nivea-Deodorant-Stress-Protect-Roll-On-50ml"," Nivea Deodorant Stress Protect Roll On 50ml")</f>
        <v xml:space="preserve"> Nivea Deodorant Stress Protect Roll On 50ml</v>
      </c>
      <c r="C10569" t="s">
        <v>146</v>
      </c>
      <c r="D10569" t="s">
        <v>731</v>
      </c>
    </row>
    <row r="10570" spans="1:4" x14ac:dyDescent="0.25">
      <c r="B10570" t="str">
        <f>HYPERLINK("https://www.chemistwarehouse.com.au/buy/50834/Nivea-Deodorant-Pearl-Beauty-Spray-150ml"," Nivea Deodorant Pearl Beauty Spray 150ml")</f>
        <v xml:space="preserve"> Nivea Deodorant Pearl Beauty Spray 150ml</v>
      </c>
      <c r="C10570" t="s">
        <v>483</v>
      </c>
      <c r="D10570" t="s">
        <v>371</v>
      </c>
    </row>
    <row r="10571" spans="1:4" x14ac:dyDescent="0.25">
      <c r="B10571" t="str">
        <f>HYPERLINK("https://www.chemistwarehouse.com.au/buy/50835/Nivea-Deodorant-Roll-On-Pearl-Beauty-50ml"," Nivea Deodorant Roll On Pearl Beauty 50ml")</f>
        <v xml:space="preserve"> Nivea Deodorant Roll On Pearl Beauty 50ml</v>
      </c>
      <c r="C10571" t="s">
        <v>146</v>
      </c>
      <c r="D10571" t="s">
        <v>731</v>
      </c>
    </row>
    <row r="10572" spans="1:4" x14ac:dyDescent="0.25">
      <c r="B10572" t="str">
        <f>HYPERLINK("https://www.chemistwarehouse.com.au/buy/80037/Nivea-for-Women-Deodorant-Aerosol-Black-And-White-Clear-and-Stress-Protect-250ml-Twin-Pack"," Nivea for Women Deodorant Aerosol Black And White Clear and Stress Protect 250ml Twin Pack")</f>
        <v xml:space="preserve"> Nivea for Women Deodorant Aerosol Black And White Clear and Stress Protect 250ml Twin Pack</v>
      </c>
      <c r="C10572" t="s">
        <v>64</v>
      </c>
      <c r="D10572" t="s">
        <v>2154</v>
      </c>
    </row>
    <row r="10573" spans="1:4" x14ac:dyDescent="0.25">
      <c r="B10573" t="str">
        <f>HYPERLINK("https://www.chemistwarehouse.com.au/buy/81586/Nivea-for-Women-Deodorant-Aerosol-Protect-and-Care-250ml"," Nivea for Women Deodorant Aerosol Protect and Care 250ml")</f>
        <v xml:space="preserve"> Nivea for Women Deodorant Aerosol Protect and Care 250ml</v>
      </c>
      <c r="C10573" t="s">
        <v>556</v>
      </c>
      <c r="D10573" t="s">
        <v>561</v>
      </c>
    </row>
    <row r="10574" spans="1:4" x14ac:dyDescent="0.25">
      <c r="A10574" t="s">
        <v>2155</v>
      </c>
    </row>
    <row r="10575" spans="1:4" x14ac:dyDescent="0.25">
      <c r="B10575" t="str">
        <f>HYPERLINK("https://www.chemistwarehouse.com.au/buy/68766/Rexona-for-Women-Antiperspirant-Deodorant-Sexy-Bouquet-150ml"," Rexona for Women Antiperspirant Deodorant Sexy Bouquet 150ml")</f>
        <v xml:space="preserve"> Rexona for Women Antiperspirant Deodorant Sexy Bouquet 150ml</v>
      </c>
      <c r="C10575" t="s">
        <v>483</v>
      </c>
      <c r="D10575" t="s">
        <v>371</v>
      </c>
    </row>
    <row r="10576" spans="1:4" x14ac:dyDescent="0.25">
      <c r="B10576" t="str">
        <f>HYPERLINK("https://www.chemistwarehouse.com.au/buy/72969/Rexona-for-Women-Clinical-Protection-Antiperspirant-Deodorant-Shower-Clean-45ml"," Rexona for Women Clinical Protection Antiperspirant Deodorant Shower Clean 45ml")</f>
        <v xml:space="preserve"> Rexona for Women Clinical Protection Antiperspirant Deodorant Shower Clean 45ml</v>
      </c>
      <c r="C10576" t="s">
        <v>45</v>
      </c>
      <c r="D10576" t="s">
        <v>720</v>
      </c>
    </row>
    <row r="10577" spans="2:4" x14ac:dyDescent="0.25">
      <c r="B10577" t="str">
        <f>HYPERLINK("https://www.chemistwarehouse.com.au/buy/73309/Rexona-Impulse-Illusions-Body-Spray-75ml"," Rexona Impulse Illusions Body Spray 75ml")</f>
        <v xml:space="preserve"> Rexona Impulse Illusions Body Spray 75ml</v>
      </c>
      <c r="C10577" t="s">
        <v>483</v>
      </c>
      <c r="D10577" t="s">
        <v>371</v>
      </c>
    </row>
    <row r="10578" spans="2:4" x14ac:dyDescent="0.25">
      <c r="B10578" t="str">
        <f>HYPERLINK("https://www.chemistwarehouse.com.au/buy/75955/Rexona-for-Women-Antiperspirant-Deodorant-Sexy-Bouquet-250ml"," Rexona for Women Antiperspirant Deodorant Sexy Bouquet 250ml")</f>
        <v xml:space="preserve"> Rexona for Women Antiperspirant Deodorant Sexy Bouquet 250ml</v>
      </c>
      <c r="C10578" t="s">
        <v>326</v>
      </c>
      <c r="D10578" t="s">
        <v>2146</v>
      </c>
    </row>
    <row r="10579" spans="2:4" x14ac:dyDescent="0.25">
      <c r="B10579" t="str">
        <f>HYPERLINK("https://www.chemistwarehouse.com.au/buy/75956/Rexona-for-Women-Antiperspirant-Deodorant-Invisible-Dry-Pure-250ml"," Rexona for Women Antiperspirant Deodorant Invisible Dry Pure 250ml")</f>
        <v xml:space="preserve"> Rexona for Women Antiperspirant Deodorant Invisible Dry Pure 250ml</v>
      </c>
      <c r="C10579" t="s">
        <v>326</v>
      </c>
      <c r="D10579" t="s">
        <v>2146</v>
      </c>
    </row>
    <row r="10580" spans="2:4" x14ac:dyDescent="0.25">
      <c r="B10580" t="str">
        <f>HYPERLINK("https://www.chemistwarehouse.com.au/buy/75957/Rexona-for-Women-Antiperspirant-Deodorant-Shower-Fresh-250ml"," Rexona for Women Antiperspirant Deodorant Shower Fresh 250ml")</f>
        <v xml:space="preserve"> Rexona for Women Antiperspirant Deodorant Shower Fresh 250ml</v>
      </c>
      <c r="C10580" t="s">
        <v>326</v>
      </c>
      <c r="D10580" t="s">
        <v>2146</v>
      </c>
    </row>
    <row r="10581" spans="2:4" x14ac:dyDescent="0.25">
      <c r="B10581" t="str">
        <f>HYPERLINK("https://www.chemistwarehouse.com.au/buy/73313/Rexona-Impulse-Romantic-Spark-Body-Spray-75ml"," Rexona Impulse Romantic Spark Body Spray 75ml")</f>
        <v xml:space="preserve"> Rexona Impulse Romantic Spark Body Spray 75ml</v>
      </c>
      <c r="C10581" t="s">
        <v>483</v>
      </c>
      <c r="D10581" t="s">
        <v>371</v>
      </c>
    </row>
    <row r="10582" spans="2:4" x14ac:dyDescent="0.25">
      <c r="B10582" t="str">
        <f>HYPERLINK("https://www.chemistwarehouse.com.au/buy/78235/Rexona-for-Women-Antiperspirant-Deodorant-Stick-Shower-Fresh-42ml"," Rexona for Women Antiperspirant Deodorant Stick Shower Fresh 42ml")</f>
        <v xml:space="preserve"> Rexona for Women Antiperspirant Deodorant Stick Shower Fresh 42ml</v>
      </c>
      <c r="C10582" t="s">
        <v>775</v>
      </c>
      <c r="D10582" t="s">
        <v>731</v>
      </c>
    </row>
    <row r="10583" spans="2:4" x14ac:dyDescent="0.25">
      <c r="B10583" t="str">
        <f>HYPERLINK("https://www.chemistwarehouse.com.au/buy/76040/Rexona-for-Women-Clinical-Protection-Antiperspirant-Deodorant-Sheer-Powder-45ml"," Rexona for Women Clinical Protection Antiperspirant Deodorant Sheer Powder 45ml")</f>
        <v xml:space="preserve"> Rexona for Women Clinical Protection Antiperspirant Deodorant Sheer Powder 45ml</v>
      </c>
      <c r="C10583" t="s">
        <v>45</v>
      </c>
      <c r="D10583" t="s">
        <v>720</v>
      </c>
    </row>
    <row r="10584" spans="2:4" x14ac:dyDescent="0.25">
      <c r="B10584" t="str">
        <f>HYPERLINK("https://www.chemistwarehouse.com.au/buy/72968/Rexona-for-Women-Clinical-Protection-Antiperspirant-Deodorant-Gentle-Dry-45ml"," Rexona for Women Clinical Protection Antiperspirant Deodorant Gentle Dry 45ml")</f>
        <v xml:space="preserve"> Rexona for Women Clinical Protection Antiperspirant Deodorant Gentle Dry 45ml</v>
      </c>
      <c r="C10584" t="s">
        <v>45</v>
      </c>
      <c r="D10584" t="s">
        <v>720</v>
      </c>
    </row>
    <row r="10585" spans="2:4" x14ac:dyDescent="0.25">
      <c r="B10585" t="str">
        <f>HYPERLINK("https://www.chemistwarehouse.com.au/buy/68767/Rexona-for-Women-Antiperspirant-Deodorant-Shower-Fresh-150ml"," Rexona for Women Antiperspirant Deodorant Shower Fresh 150ml")</f>
        <v xml:space="preserve"> Rexona for Women Antiperspirant Deodorant Shower Fresh 150ml</v>
      </c>
      <c r="C10585" t="s">
        <v>483</v>
      </c>
      <c r="D10585" t="s">
        <v>371</v>
      </c>
    </row>
    <row r="10586" spans="2:4" x14ac:dyDescent="0.25">
      <c r="B10586" t="str">
        <f>HYPERLINK("https://www.chemistwarehouse.com.au/buy/68763/Rexona-for-Women-Antiperspirant-Deodorant-Invisible-Black-amp-White-150ml"," Rexona for Women Antiperspirant Deodorant Invisible Black &amp; White 150ml")</f>
        <v xml:space="preserve"> Rexona for Women Antiperspirant Deodorant Invisible Black &amp; White 150ml</v>
      </c>
      <c r="C10586" t="s">
        <v>483</v>
      </c>
      <c r="D10586" t="s">
        <v>371</v>
      </c>
    </row>
    <row r="10587" spans="2:4" x14ac:dyDescent="0.25">
      <c r="B10587" t="str">
        <f>HYPERLINK("https://www.chemistwarehouse.com.au/buy/7442/Rexona-Antiperspirant-Pump-Sport-150ml"," Rexona Antiperspirant Pump Sport 150ml")</f>
        <v xml:space="preserve"> Rexona Antiperspirant Pump Sport 150ml</v>
      </c>
      <c r="C10587" t="s">
        <v>375</v>
      </c>
      <c r="D10587" t="s">
        <v>2156</v>
      </c>
    </row>
    <row r="10588" spans="2:4" x14ac:dyDescent="0.25">
      <c r="B10588" t="str">
        <f>HYPERLINK("https://www.chemistwarehouse.com.au/buy/51031/Rexona-for-Women-Antiperspirant-Deodorant-Cotton-Dry-250ml"," Rexona for Women Antiperspirant Deodorant Cotton Dry 250ml")</f>
        <v xml:space="preserve"> Rexona for Women Antiperspirant Deodorant Cotton Dry 250ml</v>
      </c>
      <c r="C10588" t="s">
        <v>326</v>
      </c>
      <c r="D10588" t="s">
        <v>2146</v>
      </c>
    </row>
    <row r="10589" spans="2:4" x14ac:dyDescent="0.25">
      <c r="B10589" t="str">
        <f>HYPERLINK("https://www.chemistwarehouse.com.au/buy/70305/Rexona-Impulse-Tease-Body-Spray-75ml"," Rexona Impulse Tease Body Spray 75ml")</f>
        <v xml:space="preserve"> Rexona Impulse Tease Body Spray 75ml</v>
      </c>
      <c r="C10589" t="s">
        <v>146</v>
      </c>
      <c r="D10589">
        <v>0</v>
      </c>
    </row>
    <row r="10590" spans="2:4" x14ac:dyDescent="0.25">
      <c r="B10590" t="str">
        <f>HYPERLINK("https://www.chemistwarehouse.com.au/buy/44351/Rexona-for-Women-Antiperspirant-Deodorant-Roll-On-Shower-Fresh-50ml"," Rexona for Women Antiperspirant Deodorant Roll On Shower Fresh 50ml")</f>
        <v xml:space="preserve"> Rexona for Women Antiperspirant Deodorant Roll On Shower Fresh 50ml</v>
      </c>
      <c r="C10590" t="s">
        <v>728</v>
      </c>
      <c r="D10590" t="s">
        <v>558</v>
      </c>
    </row>
    <row r="10591" spans="2:4" x14ac:dyDescent="0.25">
      <c r="B10591" t="str">
        <f>HYPERLINK("https://www.chemistwarehouse.com.au/buy/72966/Rexona-for-Women-Clinical-Protection-Antiperspirant-Deodorant-Summer-Strength-45ml"," Rexona for Women Clinical Protection Antiperspirant Deodorant Summer Strength 45ml")</f>
        <v xml:space="preserve"> Rexona for Women Clinical Protection Antiperspirant Deodorant Summer Strength 45ml</v>
      </c>
      <c r="C10591" t="s">
        <v>45</v>
      </c>
      <c r="D10591" t="s">
        <v>720</v>
      </c>
    </row>
    <row r="10592" spans="2:4" x14ac:dyDescent="0.25">
      <c r="B10592" t="str">
        <f>HYPERLINK("https://www.chemistwarehouse.com.au/buy/73312/Rexona-Impulse-Hint-of-Musk-Body-Spray-75ml"," Rexona Impulse Hint of Musk Body Spray 75ml")</f>
        <v xml:space="preserve"> Rexona Impulse Hint of Musk Body Spray 75ml</v>
      </c>
      <c r="C10592" t="s">
        <v>483</v>
      </c>
      <c r="D10592" t="s">
        <v>371</v>
      </c>
    </row>
    <row r="10593" spans="1:4" x14ac:dyDescent="0.25">
      <c r="B10593" t="str">
        <f>HYPERLINK("https://www.chemistwarehouse.com.au/buy/81935/Rexona-Impulse-Rock-and-Love-Body-Spray-75ml"," Rexona Impulse Rock and Love Body Spray 75ml")</f>
        <v xml:space="preserve"> Rexona Impulse Rock and Love Body Spray 75ml</v>
      </c>
      <c r="C10593" t="s">
        <v>146</v>
      </c>
      <c r="D10593">
        <v>0</v>
      </c>
    </row>
    <row r="10594" spans="1:4" x14ac:dyDescent="0.25">
      <c r="B10594" t="str">
        <f>HYPERLINK("https://www.chemistwarehouse.com.au/buy/81936/Rexona-Impulse-Romantic-Spark-Body-Spray-75ml"," Rexona Impulse Romantic Spark Body Spray 75ml")</f>
        <v xml:space="preserve"> Rexona Impulse Romantic Spark Body Spray 75ml</v>
      </c>
      <c r="C10594" t="s">
        <v>146</v>
      </c>
      <c r="D10594">
        <v>0</v>
      </c>
    </row>
    <row r="10595" spans="1:4" x14ac:dyDescent="0.25">
      <c r="B10595" t="str">
        <f>HYPERLINK("https://www.chemistwarehouse.com.au/buy/82519/Rexona-Impulse-Instant-Crush-Body-Spray-57g"," Rexona Impulse Instant Crush Body Spray 57g")</f>
        <v xml:space="preserve"> Rexona Impulse Instant Crush Body Spray 57g</v>
      </c>
      <c r="C10595" t="s">
        <v>483</v>
      </c>
      <c r="D10595" t="s">
        <v>371</v>
      </c>
    </row>
    <row r="10596" spans="1:4" x14ac:dyDescent="0.25">
      <c r="B10596" t="str">
        <f>HYPERLINK("https://www.chemistwarehouse.com.au/buy/82767/Rexona-for-Women-Antiperspirant-Spray-Sexy-Bouquet-50ml"," Rexona for Women Antiperspirant Spray Sexy Bouquet 50ml")</f>
        <v xml:space="preserve"> Rexona for Women Antiperspirant Spray Sexy Bouquet 50ml</v>
      </c>
      <c r="C10596" t="s">
        <v>146</v>
      </c>
      <c r="D10596" t="s">
        <v>2157</v>
      </c>
    </row>
    <row r="10597" spans="1:4" x14ac:dyDescent="0.25">
      <c r="B10597" t="str">
        <f>HYPERLINK("https://www.chemistwarehouse.com.au/buy/73310/Rexona-Impulse-Into-Glamour-Body-Spray-75ml"," Rexona Impulse Into Glamour Body Spray 75ml")</f>
        <v xml:space="preserve"> Rexona Impulse Into Glamour Body Spray 75ml</v>
      </c>
      <c r="C10597" t="s">
        <v>483</v>
      </c>
      <c r="D10597" t="s">
        <v>371</v>
      </c>
    </row>
    <row r="10598" spans="1:4" x14ac:dyDescent="0.25">
      <c r="B10598" t="str">
        <f>HYPERLINK("https://www.chemistwarehouse.com.au/buy/73311/Rexona-Impulse-Love-Story-Body-Spray-75ml"," Rexona Impulse Love Story Body Spray 75ml")</f>
        <v xml:space="preserve"> Rexona Impulse Love Story Body Spray 75ml</v>
      </c>
      <c r="C10598" t="s">
        <v>483</v>
      </c>
      <c r="D10598" t="s">
        <v>371</v>
      </c>
    </row>
    <row r="10599" spans="1:4" x14ac:dyDescent="0.25">
      <c r="A10599" t="s">
        <v>2158</v>
      </c>
    </row>
    <row r="10600" spans="1:4" x14ac:dyDescent="0.25">
      <c r="B10600" t="str">
        <f>HYPERLINK("https://www.chemistwarehouse.com.au/buy/38127/Thursday-Plantation-Anti-Perspirant-Roll-On-Sport-60ml"," Thursday Plantation Anti-Perspirant Roll On - Sport 60ml")</f>
        <v xml:space="preserve"> Thursday Plantation Anti-Perspirant Roll On - Sport 60ml</v>
      </c>
      <c r="C10600" t="s">
        <v>775</v>
      </c>
      <c r="D10600" t="s">
        <v>813</v>
      </c>
    </row>
    <row r="10601" spans="1:4" x14ac:dyDescent="0.25">
      <c r="B10601" t="str">
        <f>HYPERLINK("https://www.chemistwarehouse.com.au/buy/74297/No-More-Sweat-Antiperspirant-Face-amp-Scalp-50ml"," No More Sweat Antiperspirant Face &amp; Scalp 50ml")</f>
        <v xml:space="preserve"> No More Sweat Antiperspirant Face &amp; Scalp 50ml</v>
      </c>
      <c r="C10601" t="s">
        <v>212</v>
      </c>
      <c r="D10601" t="s">
        <v>2159</v>
      </c>
    </row>
    <row r="10602" spans="1:4" x14ac:dyDescent="0.25">
      <c r="B10602" t="str">
        <f>HYPERLINK("https://www.chemistwarehouse.com.au/buy/81309/Victoria-Secret-Mist-Vanilla-Lace-250ml-Spray"," Victoria Secret Mist Vanilla Lace 250ml Spray")</f>
        <v xml:space="preserve"> Victoria Secret Mist Vanilla Lace 250ml Spray</v>
      </c>
      <c r="C10602" t="s">
        <v>45</v>
      </c>
      <c r="D10602" t="s">
        <v>46</v>
      </c>
    </row>
    <row r="10603" spans="1:4" x14ac:dyDescent="0.25">
      <c r="B10603" t="str">
        <f>HYPERLINK("https://www.chemistwarehouse.com.au/buy/64842/Ego-QV-Naked-Deodorant-Antiperspirant-Roll-On-80g"," Ego QV Naked Deodorant Antiperspirant Roll On 80g")</f>
        <v xml:space="preserve"> Ego QV Naked Deodorant Antiperspirant Roll On 80g</v>
      </c>
      <c r="C10603" t="s">
        <v>375</v>
      </c>
      <c r="D10603" t="s">
        <v>325</v>
      </c>
    </row>
    <row r="10604" spans="1:4" x14ac:dyDescent="0.25">
      <c r="B10604" t="str">
        <f>HYPERLINK("https://www.chemistwarehouse.com.au/buy/51191/Ego-QV-Naked-Deodorant-Spray-100g"," Ego QV Naked Deodorant Spray 100g")</f>
        <v xml:space="preserve"> Ego QV Naked Deodorant Spray 100g</v>
      </c>
      <c r="C10604" t="s">
        <v>116</v>
      </c>
      <c r="D10604" t="s">
        <v>640</v>
      </c>
    </row>
    <row r="10605" spans="1:4" x14ac:dyDescent="0.25">
      <c r="B10605" t="str">
        <f>HYPERLINK("https://www.chemistwarehouse.com.au/buy/38134/Thursday-Plantation-Deodorant-Roll-On-60mL"," Thursday Plantation Deodorant Roll On 60mL")</f>
        <v xml:space="preserve"> Thursday Plantation Deodorant Roll On 60mL</v>
      </c>
      <c r="C10605" t="s">
        <v>775</v>
      </c>
      <c r="D10605" t="s">
        <v>738</v>
      </c>
    </row>
    <row r="10606" spans="1:4" x14ac:dyDescent="0.25">
      <c r="B10606" t="str">
        <f>HYPERLINK("https://www.chemistwarehouse.com.au/buy/73386/Mitchum-for-Women-Anti-Perspirant-Deodorant-Powder-Fresh-Roll-On-50ml"," Mitchum for Women Anti-Perspirant Deodorant  Powder Fresh Roll On 50ml")</f>
        <v xml:space="preserve"> Mitchum for Women Anti-Perspirant Deodorant  Powder Fresh Roll On 50ml</v>
      </c>
      <c r="C10606" t="s">
        <v>728</v>
      </c>
      <c r="D10606" t="s">
        <v>755</v>
      </c>
    </row>
    <row r="10607" spans="1:4" x14ac:dyDescent="0.25">
      <c r="B10607" t="str">
        <f>HYPERLINK("https://www.chemistwarehouse.com.au/buy/81308/Victoria-Secret-Mist-Love-Spell-250ml-Spray"," Victoria Secret Mist Love Spell 250ml Spray")</f>
        <v xml:space="preserve"> Victoria Secret Mist Love Spell 250ml Spray</v>
      </c>
      <c r="C10607" t="s">
        <v>45</v>
      </c>
      <c r="D10607" t="s">
        <v>46</v>
      </c>
    </row>
    <row r="10608" spans="1:4" x14ac:dyDescent="0.25">
      <c r="B10608" t="str">
        <f>HYPERLINK("https://www.chemistwarehouse.com.au/buy/81315/Victoria-Secret-Mist-Romantic-250ml-Spray"," Victoria Secret Mist Romantic 250ml Spray")</f>
        <v xml:space="preserve"> Victoria Secret Mist Romantic 250ml Spray</v>
      </c>
      <c r="C10608" t="s">
        <v>45</v>
      </c>
      <c r="D10608" t="s">
        <v>46</v>
      </c>
    </row>
    <row r="10609" spans="1:4" x14ac:dyDescent="0.25">
      <c r="B10609" t="str">
        <f>HYPERLINK("https://www.chemistwarehouse.com.au/buy/72397/Mitchum-for-Women-Clinical-Deodorant-Pure-Fresh-Stick-45g"," Mitchum for Women Clinical Deodorant Pure Fresh Stick 45g")</f>
        <v xml:space="preserve"> Mitchum for Women Clinical Deodorant Pure Fresh Stick 45g</v>
      </c>
      <c r="C10609" t="s">
        <v>32</v>
      </c>
      <c r="D10609" t="s">
        <v>145</v>
      </c>
    </row>
    <row r="10610" spans="1:4" x14ac:dyDescent="0.25">
      <c r="B10610" t="str">
        <f>HYPERLINK("https://www.chemistwarehouse.com.au/buy/51193/Ego-QV-Naked-Deodorant-Roll-On-80g"," Ego QV Naked Deodorant Roll On 80g")</f>
        <v xml:space="preserve"> Ego QV Naked Deodorant Roll On 80g</v>
      </c>
      <c r="C10610" t="s">
        <v>375</v>
      </c>
      <c r="D10610" t="s">
        <v>325</v>
      </c>
    </row>
    <row r="10611" spans="1:4" x14ac:dyDescent="0.25">
      <c r="B10611" t="str">
        <f>HYPERLINK("https://www.chemistwarehouse.com.au/buy/73387/Mitchum-for-Women-Anti-Perspirant-Deodorant-Shower-Fresh-Roll-On-50ml"," Mitchum for Women Anti-Perspirant Deodorant Shower Fresh Roll On 50ml")</f>
        <v xml:space="preserve"> Mitchum for Women Anti-Perspirant Deodorant Shower Fresh Roll On 50ml</v>
      </c>
      <c r="C10611" t="s">
        <v>728</v>
      </c>
      <c r="D10611" t="s">
        <v>755</v>
      </c>
    </row>
    <row r="10612" spans="1:4" x14ac:dyDescent="0.25">
      <c r="B10612" t="str">
        <f>HYPERLINK("https://www.chemistwarehouse.com.au/buy/78985/Hello-Kitty-Body-Mist-Banana-75g"," Hello Kitty Body Mist Banana 75g")</f>
        <v xml:space="preserve"> Hello Kitty Body Mist Banana 75g</v>
      </c>
      <c r="C10612" t="s">
        <v>483</v>
      </c>
      <c r="D10612" t="s">
        <v>371</v>
      </c>
    </row>
    <row r="10613" spans="1:4" x14ac:dyDescent="0.25">
      <c r="B10613" t="str">
        <f>HYPERLINK("https://www.chemistwarehouse.com.au/buy/78986/Hello-Kitty-Body-Mist-Coconut-75g"," Hello Kitty Body Mist Coconut 75g")</f>
        <v xml:space="preserve"> Hello Kitty Body Mist Coconut 75g</v>
      </c>
      <c r="C10613" t="s">
        <v>483</v>
      </c>
      <c r="D10613" t="s">
        <v>371</v>
      </c>
    </row>
    <row r="10614" spans="1:4" x14ac:dyDescent="0.25">
      <c r="B10614" t="str">
        <f>HYPERLINK("https://www.chemistwarehouse.com.au/buy/79350/Mitchum-for-Women-Clinical-Deodorant-Powder-Fresh-Gel-57g"," Mitchum for Women Clinical Deodorant Powder Fresh Gel 57g")</f>
        <v xml:space="preserve"> Mitchum for Women Clinical Deodorant Powder Fresh Gel 57g</v>
      </c>
      <c r="C10614" t="s">
        <v>32</v>
      </c>
      <c r="D10614" t="s">
        <v>145</v>
      </c>
    </row>
    <row r="10615" spans="1:4" x14ac:dyDescent="0.25">
      <c r="B10615" t="str">
        <f>HYPERLINK("https://www.chemistwarehouse.com.au/buy/79351/Mitchum-for-Women-Clinical-Deodorant-Cool-Fresh-Gel-57g"," Mitchum for Women Clinical Deodorant Cool Fresh Gel 57g")</f>
        <v xml:space="preserve"> Mitchum for Women Clinical Deodorant Cool Fresh Gel 57g</v>
      </c>
      <c r="C10615" t="s">
        <v>32</v>
      </c>
      <c r="D10615" t="s">
        <v>145</v>
      </c>
    </row>
    <row r="10616" spans="1:4" x14ac:dyDescent="0.25">
      <c r="B10616" t="str">
        <f>HYPERLINK("https://www.chemistwarehouse.com.au/buy/82877/Playboy-Queen-Of-The-Game-Body-Spray-150ml"," Playboy Queen Of The Game Body Spray 150ml")</f>
        <v xml:space="preserve"> Playboy Queen Of The Game Body Spray 150ml</v>
      </c>
      <c r="C10616" t="s">
        <v>556</v>
      </c>
      <c r="D10616" t="s">
        <v>727</v>
      </c>
    </row>
    <row r="10617" spans="1:4" x14ac:dyDescent="0.25">
      <c r="B10617" t="str">
        <f>HYPERLINK("https://www.chemistwarehouse.com.au/buy/51243/Spray-Fresh-Soft-Antiperspirant-Spray-Deodrant-150g"," Spray Fresh Soft Antiperspirant Spray Deodrant 150g")</f>
        <v xml:space="preserve"> Spray Fresh Soft Antiperspirant Spray Deodrant 150g</v>
      </c>
      <c r="C10617" t="s">
        <v>775</v>
      </c>
      <c r="D10617" t="s">
        <v>1763</v>
      </c>
    </row>
    <row r="10618" spans="1:4" x14ac:dyDescent="0.25">
      <c r="B10618" t="str">
        <f>HYPERLINK("https://www.chemistwarehouse.com.au/buy/63529/Driclor-Women-Deodorant-60ml"," Driclor Women Deodorant 60ml")</f>
        <v xml:space="preserve"> Driclor Women Deodorant 60ml</v>
      </c>
      <c r="C10618" t="s">
        <v>295</v>
      </c>
      <c r="D10618" t="s">
        <v>482</v>
      </c>
    </row>
    <row r="10619" spans="1:4" x14ac:dyDescent="0.25">
      <c r="B10619" t="str">
        <f>HYPERLINK("https://www.chemistwarehouse.com.au/buy/72398/Mitchum-for-Women-Clinical-Deodorant-Powder-Fresh-Stick-45g"," Mitchum for Women Clinical Deodorant Powder Fresh Stick 45g")</f>
        <v xml:space="preserve"> Mitchum for Women Clinical Deodorant Powder Fresh Stick 45g</v>
      </c>
      <c r="C10619" t="s">
        <v>32</v>
      </c>
      <c r="D10619" t="s">
        <v>145</v>
      </c>
    </row>
    <row r="10620" spans="1:4" x14ac:dyDescent="0.25">
      <c r="B10620" t="str">
        <f>HYPERLINK("https://www.chemistwarehouse.com.au/buy/77518/Playboy-Play-It-Wild-For-Her-Body-Spray-150ml"," Playboy Play It Wild For Her Body Spray 150ml")</f>
        <v xml:space="preserve"> Playboy Play It Wild For Her Body Spray 150ml</v>
      </c>
      <c r="C10620" t="s">
        <v>556</v>
      </c>
      <c r="D10620" t="s">
        <v>727</v>
      </c>
    </row>
    <row r="10621" spans="1:4" x14ac:dyDescent="0.25">
      <c r="B10621" t="str">
        <f>HYPERLINK("https://www.chemistwarehouse.com.au/buy/51242/Spray-Fresh-Activ-Hight-Energy-Anti-Perspirant-Spray-Deodrant-150g"," Spray Fresh Activ Hight Energy Anti-Perspirant Spray Deodrant 150g")</f>
        <v xml:space="preserve"> Spray Fresh Activ Hight Energy Anti-Perspirant Spray Deodrant 150g</v>
      </c>
      <c r="C10621" t="s">
        <v>775</v>
      </c>
      <c r="D10621" t="s">
        <v>1763</v>
      </c>
    </row>
    <row r="10622" spans="1:4" x14ac:dyDescent="0.25">
      <c r="B10622" t="str">
        <f>HYPERLINK("https://www.chemistwarehouse.com.au/buy/51192/Ego-QV-Naked-Antiperspirant-Deodorant-Spray-100g"," Ego QV Naked Antiperspirant Deodorant Spray 100g")</f>
        <v xml:space="preserve"> Ego QV Naked Antiperspirant Deodorant Spray 100g</v>
      </c>
      <c r="C10622" t="s">
        <v>116</v>
      </c>
      <c r="D10622" t="s">
        <v>640</v>
      </c>
    </row>
    <row r="10623" spans="1:4" x14ac:dyDescent="0.25">
      <c r="B10623" t="str">
        <f>HYPERLINK("https://www.chemistwarehouse.com.au/buy/78742/Nike-Woman-Azure-Eau-De-Toilette-Deodorant-200ml"," Nike Woman Azure Eau De Toilette Deodorant 200ml")</f>
        <v xml:space="preserve"> Nike Woman Azure Eau De Toilette Deodorant 200ml</v>
      </c>
      <c r="C10623" t="s">
        <v>483</v>
      </c>
      <c r="D10623">
        <v>0</v>
      </c>
    </row>
    <row r="10624" spans="1:4" x14ac:dyDescent="0.25">
      <c r="A10624" t="s">
        <v>2160</v>
      </c>
    </row>
    <row r="10625" spans="1:4" x14ac:dyDescent="0.25">
      <c r="B10625" t="str">
        <f>HYPERLINK("https://www.chemistwarehouse.com.au/buy/68106/No-More-Sweat-Total-Body-50ml"," No More Sweat Total Body 50ml")</f>
        <v xml:space="preserve"> No More Sweat Total Body 50ml</v>
      </c>
      <c r="C10625" t="s">
        <v>212</v>
      </c>
      <c r="D10625" t="s">
        <v>2159</v>
      </c>
    </row>
    <row r="10626" spans="1:4" x14ac:dyDescent="0.25">
      <c r="B10626" t="str">
        <f>HYPERLINK("https://www.chemistwarehouse.com.au/buy/68105/No-More-Sweat-Hands-And-Feet-50ml"," No More Sweat Hands And Feet 50ml")</f>
        <v xml:space="preserve"> No More Sweat Hands And Feet 50ml</v>
      </c>
      <c r="C10626" t="s">
        <v>212</v>
      </c>
      <c r="D10626" t="s">
        <v>2159</v>
      </c>
    </row>
    <row r="10627" spans="1:4" x14ac:dyDescent="0.25">
      <c r="A10627" t="s">
        <v>2161</v>
      </c>
    </row>
    <row r="10628" spans="1:4" x14ac:dyDescent="0.25">
      <c r="B10628" t="str">
        <f>HYPERLINK("https://www.chemistwarehouse.com.au/buy/7987/Taav-Vapouriser-Cleaning-Tablets-30"," Taav Vapouriser Cleaning Tablets 30")</f>
        <v xml:space="preserve"> Taav Vapouriser Cleaning Tablets 30</v>
      </c>
      <c r="C10628" t="s">
        <v>120</v>
      </c>
      <c r="D10628" t="s">
        <v>755</v>
      </c>
    </row>
    <row r="10629" spans="1:4" x14ac:dyDescent="0.25">
      <c r="B10629" t="str">
        <f>HYPERLINK("https://www.chemistwarehouse.com.au/buy/31770/Taav-Vaporiser"," Taav Vaporiser")</f>
        <v xml:space="preserve"> Taav Vaporiser</v>
      </c>
      <c r="C10629" t="s">
        <v>258</v>
      </c>
      <c r="D10629" t="s">
        <v>391</v>
      </c>
    </row>
    <row r="10630" spans="1:4" x14ac:dyDescent="0.25">
      <c r="A10630" t="s">
        <v>2162</v>
      </c>
    </row>
    <row r="10631" spans="1:4" x14ac:dyDescent="0.25">
      <c r="B10631" t="str">
        <f>HYPERLINK("https://www.chemistwarehouse.com.au/buy/49462/Ear-Planes-Flight-Ear-Protection-Plugs-Ages-11-Adult"," Ear Planes Flight Ear Protection Plugs Ages 11-Adult")</f>
        <v xml:space="preserve"> Ear Planes Flight Ear Protection Plugs Ages 11-Adult</v>
      </c>
      <c r="C10631" t="s">
        <v>202</v>
      </c>
      <c r="D10631" t="s">
        <v>312</v>
      </c>
    </row>
    <row r="10632" spans="1:4" x14ac:dyDescent="0.25">
      <c r="A10632" t="s">
        <v>1769</v>
      </c>
    </row>
    <row r="10633" spans="1:4" x14ac:dyDescent="0.25">
      <c r="B10633" t="str">
        <f>HYPERLINK("https://www.chemistwarehouse.com.au/buy/53068/Oapl-65067-Knee-Action-Sport-Thermic-Support-Large"," Oapl 65067 Knee Action Sport Thermic Support Large")</f>
        <v xml:space="preserve"> Oapl 65067 Knee Action Sport Thermic Support Large</v>
      </c>
      <c r="C10633" t="s">
        <v>8</v>
      </c>
      <c r="D10633" t="s">
        <v>2163</v>
      </c>
    </row>
    <row r="10634" spans="1:4" x14ac:dyDescent="0.25">
      <c r="B10634" t="str">
        <f>HYPERLINK("https://www.chemistwarehouse.com.au/buy/74624/Oapl-Space-Chamber-Combo-Child-Spacer-plus-Mask"," Oapl Space Chamber Combo Child Spacer plus Mask")</f>
        <v xml:space="preserve"> Oapl Space Chamber Combo Child Spacer plus Mask</v>
      </c>
      <c r="C10634" t="s">
        <v>161</v>
      </c>
      <c r="D10634" t="s">
        <v>500</v>
      </c>
    </row>
    <row r="10635" spans="1:4" x14ac:dyDescent="0.25">
      <c r="B10635" t="str">
        <f>HYPERLINK("https://www.chemistwarehouse.com.au/buy/54857/Oapl-31199-Wrist-Support-Elastic-Large"," Oapl 31199 Wrist Support Elastic Large")</f>
        <v xml:space="preserve"> Oapl 31199 Wrist Support Elastic Large</v>
      </c>
      <c r="C10635" t="s">
        <v>237</v>
      </c>
      <c r="D10635" t="s">
        <v>64</v>
      </c>
    </row>
    <row r="10636" spans="1:4" x14ac:dyDescent="0.25">
      <c r="B10636" t="str">
        <f>HYPERLINK("https://www.chemistwarehouse.com.au/buy/54858/Oapl-31199-Wrist-Support-Elastic-Extra-Large"," Oapl 31199 Wrist Support Elastic Extra Large")</f>
        <v xml:space="preserve"> Oapl 31199 Wrist Support Elastic Extra Large</v>
      </c>
      <c r="C10636" t="s">
        <v>237</v>
      </c>
      <c r="D10636" t="s">
        <v>64</v>
      </c>
    </row>
    <row r="10637" spans="1:4" x14ac:dyDescent="0.25">
      <c r="B10637" t="str">
        <f>HYPERLINK("https://www.chemistwarehouse.com.au/buy/54859/Oapl-32000-Wrist-Elastic-Strap-with-Velcro-Closure-Medium"," Oapl 32000 Wrist Elastic Strap with Velcro Closure Medium")</f>
        <v xml:space="preserve"> Oapl 32000 Wrist Elastic Strap with Velcro Closure Medium</v>
      </c>
      <c r="C10637" t="s">
        <v>237</v>
      </c>
      <c r="D10637" t="s">
        <v>64</v>
      </c>
    </row>
    <row r="10638" spans="1:4" x14ac:dyDescent="0.25">
      <c r="B10638" t="str">
        <f>HYPERLINK("https://www.chemistwarehouse.com.au/buy/54860/Oapl-32000A-Wrist-Elastic-Strap-with-Velcro-Closure-Large"," Oapl 32000A Wrist Elastic Strap with Velcro Closure Large")</f>
        <v xml:space="preserve"> Oapl 32000A Wrist Elastic Strap with Velcro Closure Large</v>
      </c>
      <c r="C10638" t="s">
        <v>237</v>
      </c>
      <c r="D10638" t="s">
        <v>64</v>
      </c>
    </row>
    <row r="10639" spans="1:4" x14ac:dyDescent="0.25">
      <c r="B10639" t="str">
        <f>HYPERLINK("https://www.chemistwarehouse.com.au/buy/54861/Oapl-34001-Elbow-Support-Elastic-Small"," Oapl 34001 Elbow Support Elastic Small")</f>
        <v xml:space="preserve"> Oapl 34001 Elbow Support Elastic Small</v>
      </c>
      <c r="C10639" t="s">
        <v>237</v>
      </c>
      <c r="D10639" t="s">
        <v>64</v>
      </c>
    </row>
    <row r="10640" spans="1:4" x14ac:dyDescent="0.25">
      <c r="B10640" t="str">
        <f>HYPERLINK("https://www.chemistwarehouse.com.au/buy/54862/Oapl-34002-Elbow-Support-Elastic-Medium"," Oapl 34002 Elbow Support Elastic Medium")</f>
        <v xml:space="preserve"> Oapl 34002 Elbow Support Elastic Medium</v>
      </c>
      <c r="C10640" t="s">
        <v>237</v>
      </c>
      <c r="D10640" t="s">
        <v>64</v>
      </c>
    </row>
    <row r="10641" spans="2:4" x14ac:dyDescent="0.25">
      <c r="B10641" t="str">
        <f>HYPERLINK("https://www.chemistwarehouse.com.au/buy/54863/Oapl-34003-Elbow-Support-Elastic-Large"," Oapl 34003 Elbow Support Elastic Large")</f>
        <v xml:space="preserve"> Oapl 34003 Elbow Support Elastic Large</v>
      </c>
      <c r="C10641" t="s">
        <v>237</v>
      </c>
      <c r="D10641" t="s">
        <v>64</v>
      </c>
    </row>
    <row r="10642" spans="2:4" x14ac:dyDescent="0.25">
      <c r="B10642" t="str">
        <f>HYPERLINK("https://www.chemistwarehouse.com.au/buy/54864/Oapl-34004-Elbow-Support-Elastic-Extra-Large"," Oapl 34004 Elbow Support Elastic Extra Large")</f>
        <v xml:space="preserve"> Oapl 34004 Elbow Support Elastic Extra Large</v>
      </c>
      <c r="C10642" t="s">
        <v>237</v>
      </c>
      <c r="D10642" t="s">
        <v>64</v>
      </c>
    </row>
    <row r="10643" spans="2:4" x14ac:dyDescent="0.25">
      <c r="B10643" t="str">
        <f>HYPERLINK("https://www.chemistwarehouse.com.au/buy/55923/Oapl-46007-Elbow-Tennis-Strap-Small"," Oapl 46007 Elbow Tennis Strap Small")</f>
        <v xml:space="preserve"> Oapl 46007 Elbow Tennis Strap Small</v>
      </c>
      <c r="C10643" t="s">
        <v>58</v>
      </c>
      <c r="D10643" t="s">
        <v>2164</v>
      </c>
    </row>
    <row r="10644" spans="2:4" x14ac:dyDescent="0.25">
      <c r="B10644" t="str">
        <f>HYPERLINK("https://www.chemistwarehouse.com.au/buy/55924/Oapl-46008-Elbow-Tennis-Strap-Medium"," Oapl 46008 Elbow Tennis Strap Medium")</f>
        <v xml:space="preserve"> Oapl 46008 Elbow Tennis Strap Medium</v>
      </c>
      <c r="C10644" t="s">
        <v>58</v>
      </c>
      <c r="D10644" t="s">
        <v>2164</v>
      </c>
    </row>
    <row r="10645" spans="2:4" x14ac:dyDescent="0.25">
      <c r="B10645" t="str">
        <f>HYPERLINK("https://www.chemistwarehouse.com.au/buy/57262/Oapl-12007-Ankle-Support-Elastic-Small"," Oapl 12007 Ankle Support Elastic Small")</f>
        <v xml:space="preserve"> Oapl 12007 Ankle Support Elastic Small</v>
      </c>
      <c r="C10645" t="s">
        <v>237</v>
      </c>
      <c r="D10645" t="s">
        <v>64</v>
      </c>
    </row>
    <row r="10646" spans="2:4" x14ac:dyDescent="0.25">
      <c r="B10646" t="str">
        <f>HYPERLINK("https://www.chemistwarehouse.com.au/buy/58083/Oapl-20613-Ankle-Brace-Small"," Oapl 20613 Ankle Brace Small")</f>
        <v xml:space="preserve"> Oapl 20613 Ankle Brace Small</v>
      </c>
      <c r="C10646" t="s">
        <v>2165</v>
      </c>
      <c r="D10646" t="s">
        <v>169</v>
      </c>
    </row>
    <row r="10647" spans="2:4" x14ac:dyDescent="0.25">
      <c r="B10647" t="str">
        <f>HYPERLINK("https://www.chemistwarehouse.com.au/buy/58085/Oapl-65060-Knee-Thermovent-Support-Closed-Small"," Oapl 65060 Knee Thermovent Support Closed Small")</f>
        <v xml:space="preserve"> Oapl 65060 Knee Thermovent Support Closed Small</v>
      </c>
      <c r="C10647" t="s">
        <v>457</v>
      </c>
      <c r="D10647" t="s">
        <v>388</v>
      </c>
    </row>
    <row r="10648" spans="2:4" x14ac:dyDescent="0.25">
      <c r="B10648" t="str">
        <f>HYPERLINK("https://www.chemistwarehouse.com.au/buy/58086/Oapl-65062-Knee-Thermovent-Support-Closed-Large"," Oapl 65062 Knee Thermovent Support Closed Large")</f>
        <v xml:space="preserve"> Oapl 65062 Knee Thermovent Support Closed Large</v>
      </c>
      <c r="C10648" t="s">
        <v>457</v>
      </c>
      <c r="D10648" t="s">
        <v>388</v>
      </c>
    </row>
    <row r="10649" spans="2:4" x14ac:dyDescent="0.25">
      <c r="B10649" t="str">
        <f>HYPERLINK("https://www.chemistwarehouse.com.au/buy/58087/Oapl-65063-Knee-Thermovent-Support-Closed-Extra-Large"," Oapl 65063 Knee Thermovent Support Closed Extra Large")</f>
        <v xml:space="preserve"> Oapl 65063 Knee Thermovent Support Closed Extra Large</v>
      </c>
      <c r="C10649" t="s">
        <v>457</v>
      </c>
      <c r="D10649" t="s">
        <v>388</v>
      </c>
    </row>
    <row r="10650" spans="2:4" x14ac:dyDescent="0.25">
      <c r="B10650" t="str">
        <f>HYPERLINK("https://www.chemistwarehouse.com.au/buy/58129/Oapl-65061-Knee-Thermovent-Support-Closed-Medium"," Oapl 65061 Knee Thermovent Support Closed Medium")</f>
        <v xml:space="preserve"> Oapl 65061 Knee Thermovent Support Closed Medium</v>
      </c>
      <c r="C10650" t="s">
        <v>457</v>
      </c>
      <c r="D10650" t="s">
        <v>388</v>
      </c>
    </row>
    <row r="10651" spans="2:4" x14ac:dyDescent="0.25">
      <c r="B10651" t="str">
        <f>HYPERLINK("https://www.chemistwarehouse.com.au/buy/58130/Oapl-20617-Ankle-Brace-Large"," Oapl 20617 Ankle Brace Large")</f>
        <v xml:space="preserve"> Oapl 20617 Ankle Brace Large</v>
      </c>
      <c r="C10651" t="s">
        <v>2165</v>
      </c>
      <c r="D10651" t="s">
        <v>2166</v>
      </c>
    </row>
    <row r="10652" spans="2:4" x14ac:dyDescent="0.25">
      <c r="B10652" t="str">
        <f>HYPERLINK("https://www.chemistwarehouse.com.au/buy/58292/Oapl-41032-Travel-Stockings-Black-Small"," Oapl 41032 Travel Stockings Black Small")</f>
        <v xml:space="preserve"> Oapl 41032 Travel Stockings Black Small</v>
      </c>
      <c r="C10652" t="s">
        <v>1</v>
      </c>
      <c r="D10652" t="s">
        <v>2167</v>
      </c>
    </row>
    <row r="10653" spans="2:4" x14ac:dyDescent="0.25">
      <c r="B10653" t="str">
        <f>HYPERLINK("https://www.chemistwarehouse.com.au/buy/58293/Oapl-41034-Travel-Stockings-Black-Large"," Oapl 41034 Travel Stockings Black Large")</f>
        <v xml:space="preserve"> Oapl 41034 Travel Stockings Black Large</v>
      </c>
      <c r="C10653" t="s">
        <v>1</v>
      </c>
      <c r="D10653" t="s">
        <v>2167</v>
      </c>
    </row>
    <row r="10654" spans="2:4" x14ac:dyDescent="0.25">
      <c r="B10654" t="str">
        <f>HYPERLINK("https://www.chemistwarehouse.com.au/buy/58294/Oapl-41035-Travel-Stockings-Black-Extra-Large"," Oapl 41035 Travel Stockings Black Extra Large")</f>
        <v xml:space="preserve"> Oapl 41035 Travel Stockings Black Extra Large</v>
      </c>
      <c r="C10654" t="s">
        <v>1</v>
      </c>
      <c r="D10654" t="s">
        <v>2167</v>
      </c>
    </row>
    <row r="10655" spans="2:4" x14ac:dyDescent="0.25">
      <c r="B10655" t="str">
        <f>HYPERLINK("https://www.chemistwarehouse.com.au/buy/58295/Oapl-41038-Travel-Stockings-Beige-Large"," Oapl 41038 Travel Stockings Beige Large")</f>
        <v xml:space="preserve"> Oapl 41038 Travel Stockings Beige Large</v>
      </c>
      <c r="C10655" t="s">
        <v>1</v>
      </c>
      <c r="D10655" t="s">
        <v>2167</v>
      </c>
    </row>
    <row r="10656" spans="2:4" x14ac:dyDescent="0.25">
      <c r="B10656" t="str">
        <f>HYPERLINK("https://www.chemistwarehouse.com.au/buy/58296/Oapl-41039-Travel-Stockings-Beige-Extra-Large"," Oapl 41039 Travel Stockings Beige Extra Large")</f>
        <v xml:space="preserve"> Oapl 41039 Travel Stockings Beige Extra Large</v>
      </c>
      <c r="C10656" t="s">
        <v>1</v>
      </c>
      <c r="D10656" t="s">
        <v>2167</v>
      </c>
    </row>
    <row r="10657" spans="1:4" x14ac:dyDescent="0.25">
      <c r="A10657" t="s">
        <v>2168</v>
      </c>
    </row>
    <row r="10658" spans="1:4" x14ac:dyDescent="0.25">
      <c r="B10658" t="str">
        <f>HYPERLINK("https://www.chemistwarehouse.com.au/buy/71589/Dick-Wicks-ActivEase-Power-Knee-Strap"," Dick Wicks ActivEase Power Knee Strap")</f>
        <v xml:space="preserve"> Dick Wicks ActivEase Power Knee Strap</v>
      </c>
      <c r="C10658" t="s">
        <v>10</v>
      </c>
      <c r="D10658" t="s">
        <v>46</v>
      </c>
    </row>
    <row r="10659" spans="1:4" x14ac:dyDescent="0.25">
      <c r="B10659" t="str">
        <f>HYPERLINK("https://www.chemistwarehouse.com.au/buy/71593/Dick-Wicks-Super-Back-Support-Extra-Large"," Dick Wicks Super Back Support Extra Large")</f>
        <v xml:space="preserve"> Dick Wicks Super Back Support Extra Large</v>
      </c>
      <c r="C10659" t="s">
        <v>330</v>
      </c>
      <c r="D10659" t="s">
        <v>227</v>
      </c>
    </row>
    <row r="10660" spans="1:4" x14ac:dyDescent="0.25">
      <c r="B10660" t="str">
        <f>HYPERLINK("https://www.chemistwarehouse.com.au/buy/71594/Dick-Wicks-Super-Back-Support-Medium"," Dick Wicks Super Back Support Medium ")</f>
        <v xml:space="preserve"> Dick Wicks Super Back Support Medium </v>
      </c>
      <c r="C10660" t="s">
        <v>330</v>
      </c>
      <c r="D10660" t="s">
        <v>227</v>
      </c>
    </row>
    <row r="10661" spans="1:4" x14ac:dyDescent="0.25">
      <c r="B10661" t="str">
        <f>HYPERLINK("https://www.chemistwarehouse.com.au/buy/71595/Dick-Wicks-Super-Back-Support-XXLarge"," Dick Wicks Super Back Support XXLarge")</f>
        <v xml:space="preserve"> Dick Wicks Super Back Support XXLarge</v>
      </c>
      <c r="C10661" t="s">
        <v>330</v>
      </c>
      <c r="D10661" t="s">
        <v>227</v>
      </c>
    </row>
    <row r="10662" spans="1:4" x14ac:dyDescent="0.25">
      <c r="B10662" t="str">
        <f>HYPERLINK("https://www.chemistwarehouse.com.au/buy/71596/Dick-Wicks-Magnetic-Lower-Back-Support-Belt-Large"," Dick Wicks Magnetic Lower Back Support Belt Large")</f>
        <v xml:space="preserve"> Dick Wicks Magnetic Lower Back Support Belt Large</v>
      </c>
      <c r="C10662" t="s">
        <v>168</v>
      </c>
      <c r="D10662" t="s">
        <v>112</v>
      </c>
    </row>
    <row r="10663" spans="1:4" x14ac:dyDescent="0.25">
      <c r="B10663" t="str">
        <f>HYPERLINK("https://www.chemistwarehouse.com.au/buy/71597/Dick-Wicks-Magnetic-Lower-Back-Support-Belt-Small"," Dick Wicks Magnetic Lower Back Support Belt Small")</f>
        <v xml:space="preserve"> Dick Wicks Magnetic Lower Back Support Belt Small</v>
      </c>
      <c r="C10663" t="s">
        <v>168</v>
      </c>
      <c r="D10663" t="s">
        <v>112</v>
      </c>
    </row>
    <row r="10664" spans="1:4" x14ac:dyDescent="0.25">
      <c r="B10664" t="str">
        <f>HYPERLINK("https://www.chemistwarehouse.com.au/buy/71599/Dick-Wicks-Slip-On-Elastic-Wrist-Large"," Dick Wicks Slip-On Elastic Wrist Large")</f>
        <v xml:space="preserve"> Dick Wicks Slip-On Elastic Wrist Large</v>
      </c>
      <c r="C10664" t="s">
        <v>10</v>
      </c>
      <c r="D10664" t="s">
        <v>46</v>
      </c>
    </row>
    <row r="10665" spans="1:4" x14ac:dyDescent="0.25">
      <c r="B10665" t="str">
        <f>HYPERLINK("https://www.chemistwarehouse.com.au/buy/71600/Dick-Wicks-Slip-On-Elastic-Wrist-Medium"," Dick Wicks Slip-On Elastic Wrist Medium")</f>
        <v xml:space="preserve"> Dick Wicks Slip-On Elastic Wrist Medium</v>
      </c>
      <c r="C10665" t="s">
        <v>10</v>
      </c>
      <c r="D10665" t="s">
        <v>46</v>
      </c>
    </row>
    <row r="10666" spans="1:4" x14ac:dyDescent="0.25">
      <c r="B10666" t="str">
        <f>HYPERLINK("https://www.chemistwarehouse.com.au/buy/71601/Dick-Wicks-Slip-On-Elastic-Wrist-Small"," Dick Wicks Slip-On Elastic Wrist Small")</f>
        <v xml:space="preserve"> Dick Wicks Slip-On Elastic Wrist Small</v>
      </c>
      <c r="C10666" t="s">
        <v>10</v>
      </c>
      <c r="D10666" t="s">
        <v>46</v>
      </c>
    </row>
    <row r="10667" spans="1:4" x14ac:dyDescent="0.25">
      <c r="B10667" t="str">
        <f>HYPERLINK("https://www.chemistwarehouse.com.au/buy/71603/Dick-Wicks-Elbow-Support-Extra-Large"," Dick Wicks Elbow Support Extra Large")</f>
        <v xml:space="preserve"> Dick Wicks Elbow Support Extra Large</v>
      </c>
      <c r="C10667" t="s">
        <v>322</v>
      </c>
      <c r="D10667" t="s">
        <v>61</v>
      </c>
    </row>
    <row r="10668" spans="1:4" x14ac:dyDescent="0.25">
      <c r="B10668" t="str">
        <f>HYPERLINK("https://www.chemistwarehouse.com.au/buy/71604/Dick-Wicks-Elbow-Support-Large"," Dick Wicks Elbow Support Large")</f>
        <v xml:space="preserve"> Dick Wicks Elbow Support Large</v>
      </c>
      <c r="C10668" t="s">
        <v>322</v>
      </c>
      <c r="D10668" t="s">
        <v>61</v>
      </c>
    </row>
    <row r="10669" spans="1:4" x14ac:dyDescent="0.25">
      <c r="B10669" t="str">
        <f>HYPERLINK("https://www.chemistwarehouse.com.au/buy/71605/Dick-Wicks-Elbow-Support-Small-Medium"," Dick Wicks Elbow Support Small/Medium")</f>
        <v xml:space="preserve"> Dick Wicks Elbow Support Small/Medium</v>
      </c>
      <c r="C10669" t="s">
        <v>322</v>
      </c>
      <c r="D10669" t="s">
        <v>61</v>
      </c>
    </row>
    <row r="10670" spans="1:4" x14ac:dyDescent="0.25">
      <c r="B10670" t="str">
        <f>HYPERLINK("https://www.chemistwarehouse.com.au/buy/71606/Dick-Wicks-Knee-Support-Extra-Large"," Dick Wicks Knee Support Extra Large")</f>
        <v xml:space="preserve"> Dick Wicks Knee Support Extra Large</v>
      </c>
      <c r="C10670" t="s">
        <v>166</v>
      </c>
      <c r="D10670" t="s">
        <v>167</v>
      </c>
    </row>
    <row r="10671" spans="1:4" x14ac:dyDescent="0.25">
      <c r="B10671" t="str">
        <f>HYPERLINK("https://www.chemistwarehouse.com.au/buy/71607/Dick-Wicks-Knee-Support-Large"," Dick Wicks Knee Support Large")</f>
        <v xml:space="preserve"> Dick Wicks Knee Support Large</v>
      </c>
      <c r="C10671" t="s">
        <v>166</v>
      </c>
      <c r="D10671" t="s">
        <v>167</v>
      </c>
    </row>
    <row r="10672" spans="1:4" x14ac:dyDescent="0.25">
      <c r="B10672" t="str">
        <f>HYPERLINK("https://www.chemistwarehouse.com.au/buy/71608/Dick-Wicks-Knee-Support-Small-Medium"," Dick Wicks Knee Support Small/Medium")</f>
        <v xml:space="preserve"> Dick Wicks Knee Support Small/Medium</v>
      </c>
      <c r="C10672" t="s">
        <v>166</v>
      </c>
      <c r="D10672" t="s">
        <v>167</v>
      </c>
    </row>
    <row r="10673" spans="1:4" x14ac:dyDescent="0.25">
      <c r="B10673" t="str">
        <f>HYPERLINK("https://www.chemistwarehouse.com.au/buy/71609/Dick-Wicks-Knee-Support-XXLarge"," Dick Wicks Knee Support XXLarge")</f>
        <v xml:space="preserve"> Dick Wicks Knee Support XXLarge</v>
      </c>
      <c r="C10673" t="s">
        <v>166</v>
      </c>
      <c r="D10673" t="s">
        <v>167</v>
      </c>
    </row>
    <row r="10674" spans="1:4" x14ac:dyDescent="0.25">
      <c r="B10674" t="str">
        <f>HYPERLINK("https://www.chemistwarehouse.com.au/buy/48178/Dick-Wicks-Activease-Body-Supports-Wrist"," Dick Wicks Activease Body Supports Wrist")</f>
        <v xml:space="preserve"> Dick Wicks Activease Body Supports Wrist</v>
      </c>
      <c r="C10674" t="s">
        <v>187</v>
      </c>
      <c r="D10674" t="s">
        <v>162</v>
      </c>
    </row>
    <row r="10675" spans="1:4" x14ac:dyDescent="0.25">
      <c r="B10675" t="str">
        <f>HYPERLINK("https://www.chemistwarehouse.com.au/buy/48179/Dick-Wicks-ActivEase-Thermal-Back-Support-Small-Medium"," Dick Wicks ActivEase Thermal Back Support Small/Medium")</f>
        <v xml:space="preserve"> Dick Wicks ActivEase Thermal Back Support Small/Medium</v>
      </c>
      <c r="C10675" t="s">
        <v>472</v>
      </c>
      <c r="D10675" t="s">
        <v>227</v>
      </c>
    </row>
    <row r="10676" spans="1:4" x14ac:dyDescent="0.25">
      <c r="B10676" t="str">
        <f>HYPERLINK("https://www.chemistwarehouse.com.au/buy/50280/Dick-Wicks-Super-Back-Support-Large"," Dick Wicks Super Back Support Large")</f>
        <v xml:space="preserve"> Dick Wicks Super Back Support Large</v>
      </c>
      <c r="C10676" t="s">
        <v>330</v>
      </c>
      <c r="D10676" t="s">
        <v>379</v>
      </c>
    </row>
    <row r="10677" spans="1:4" x14ac:dyDescent="0.25">
      <c r="B10677" t="str">
        <f>HYPERLINK("https://www.chemistwarehouse.com.au/buy/58223/Dick-Wicks-Magnetic-Lower-Back-Support-Belt-Medium"," Dick Wicks Magnetic Lower Back Support Belt Medium")</f>
        <v xml:space="preserve"> Dick Wicks Magnetic Lower Back Support Belt Medium</v>
      </c>
      <c r="C10677" t="s">
        <v>168</v>
      </c>
      <c r="D10677" t="s">
        <v>112</v>
      </c>
    </row>
    <row r="10678" spans="1:4" x14ac:dyDescent="0.25">
      <c r="B10678" t="str">
        <f>HYPERLINK("https://www.chemistwarehouse.com.au/buy/58816/Dick-Wicks-ActivEase-Thermal-Knee-Support"," Dick Wicks ActivEase Thermal Knee Support ")</f>
        <v xml:space="preserve"> Dick Wicks ActivEase Thermal Knee Support </v>
      </c>
      <c r="C10678" t="s">
        <v>166</v>
      </c>
      <c r="D10678" t="s">
        <v>167</v>
      </c>
    </row>
    <row r="10679" spans="1:4" x14ac:dyDescent="0.25">
      <c r="B10679" t="str">
        <f>HYPERLINK("https://www.chemistwarehouse.com.au/buy/59404/Dick-Wicks-Magnoease-10-Spot"," Dick Wicks Magnoease 10 Spot")</f>
        <v xml:space="preserve"> Dick Wicks Magnoease 10 Spot</v>
      </c>
      <c r="C10679" t="s">
        <v>10</v>
      </c>
      <c r="D10679" t="s">
        <v>46</v>
      </c>
    </row>
    <row r="10680" spans="1:4" x14ac:dyDescent="0.25">
      <c r="B10680" t="str">
        <f>HYPERLINK("https://www.chemistwarehouse.com.au/buy/71579/Dick-Wicks-Magnetic-Lower-Back-Support-Belt-Extra-Large"," Dick Wicks Magnetic Lower Back Support Belt Extra Large")</f>
        <v xml:space="preserve"> Dick Wicks Magnetic Lower Back Support Belt Extra Large</v>
      </c>
      <c r="C10680" t="s">
        <v>168</v>
      </c>
      <c r="D10680" t="s">
        <v>112</v>
      </c>
    </row>
    <row r="10681" spans="1:4" x14ac:dyDescent="0.25">
      <c r="B10681" t="str">
        <f>HYPERLINK("https://www.chemistwarehouse.com.au/buy/71580/Dick-Wicks-ActivEase-Thermal-Back-Support-Large-XLarge"," Dick Wicks ActivEase Thermal Back Support Large/XLarge")</f>
        <v xml:space="preserve"> Dick Wicks ActivEase Thermal Back Support Large/XLarge</v>
      </c>
      <c r="C10681" t="s">
        <v>472</v>
      </c>
      <c r="D10681" t="s">
        <v>227</v>
      </c>
    </row>
    <row r="10682" spans="1:4" x14ac:dyDescent="0.25">
      <c r="A10682" t="s">
        <v>2169</v>
      </c>
    </row>
    <row r="10683" spans="1:4" x14ac:dyDescent="0.25">
      <c r="B10683" t="str">
        <f>HYPERLINK("https://www.chemistwarehouse.com.au/buy/50812/Body-Plus-1402-Rigid-Tape-3-8cm-x-13-7m"," Body Plus 1402 Rigid Tape 3.8cm x 13.7m")</f>
        <v xml:space="preserve"> Body Plus 1402 Rigid Tape 3.8cm x 13.7m</v>
      </c>
      <c r="C10683" t="s">
        <v>45</v>
      </c>
      <c r="D10683" t="s">
        <v>1086</v>
      </c>
    </row>
    <row r="10684" spans="1:4" x14ac:dyDescent="0.25">
      <c r="B10684" t="str">
        <f>HYPERLINK("https://www.chemistwarehouse.com.au/buy/50814/Body-Plus-1399-Rigid-Tape-2-5cm-x-13-7m"," Body Plus 1399 Rigid Tape 2.5cm x 13.7m")</f>
        <v xml:space="preserve"> Body Plus 1399 Rigid Tape 2.5cm x 13.7m</v>
      </c>
      <c r="C10684" t="s">
        <v>782</v>
      </c>
      <c r="D10684" t="s">
        <v>611</v>
      </c>
    </row>
    <row r="10685" spans="1:4" x14ac:dyDescent="0.25">
      <c r="B10685" t="str">
        <f>HYPERLINK("https://www.chemistwarehouse.com.au/buy/53070/Body-Plus-1403-Rigid-Tape-5-0cm-x-13-7m"," Body Plus 1403 Rigid Tape 5.0cm x 13.7m")</f>
        <v xml:space="preserve"> Body Plus 1403 Rigid Tape 5.0cm x 13.7m</v>
      </c>
      <c r="C10685" t="s">
        <v>237</v>
      </c>
      <c r="D10685" t="s">
        <v>312</v>
      </c>
    </row>
    <row r="10686" spans="1:4" x14ac:dyDescent="0.25">
      <c r="B10686" t="str">
        <f>HYPERLINK("https://www.chemistwarehouse.com.au/buy/72144/Body-Plus-Hyp-Undertape-5cm-x-10m"," Body Plus Hyp Undertape 5cm x 10m")</f>
        <v xml:space="preserve"> Body Plus Hyp Undertape 5cm x 10m</v>
      </c>
      <c r="C10686" t="s">
        <v>317</v>
      </c>
      <c r="D10686" t="s">
        <v>799</v>
      </c>
    </row>
    <row r="10687" spans="1:4" x14ac:dyDescent="0.25">
      <c r="B10687" t="str">
        <f>HYPERLINK("https://www.chemistwarehouse.com.au/buy/72145/Body-Plus-Multi-Eat-5cm-x-4-5m"," Body Plus Multi Eat 5cm x 4.5m")</f>
        <v xml:space="preserve"> Body Plus Multi Eat 5cm x 4.5m</v>
      </c>
      <c r="C10687" t="s">
        <v>554</v>
      </c>
      <c r="D10687" t="s">
        <v>325</v>
      </c>
    </row>
    <row r="10688" spans="1:4" x14ac:dyDescent="0.25">
      <c r="B10688" t="str">
        <f>HYPERLINK("https://www.chemistwarehouse.com.au/buy/72146/Body-Plus-Multi-Eat-7-5cm-x-4-5m"," Body Plus Multi Eat 7.5cm x 4.5m")</f>
        <v xml:space="preserve"> Body Plus Multi Eat 7.5cm x 4.5m</v>
      </c>
      <c r="C10688" t="s">
        <v>317</v>
      </c>
      <c r="D10688" t="s">
        <v>799</v>
      </c>
    </row>
    <row r="10689" spans="1:4" x14ac:dyDescent="0.25">
      <c r="A10689" t="s">
        <v>2170</v>
      </c>
    </row>
    <row r="10690" spans="1:4" x14ac:dyDescent="0.25">
      <c r="B10690" t="str">
        <f>HYPERLINK("https://www.chemistwarehouse.com.au/buy/47524/Elastoplast-36005-Sport-Rigid-Strapping-Tape-50mm-x-10m-Tan"," Elastoplast 36005 Sport Rigid Strapping Tape 50mm x 10m Tan")</f>
        <v xml:space="preserve"> Elastoplast 36005 Sport Rigid Strapping Tape 50mm x 10m Tan</v>
      </c>
      <c r="C10690" t="s">
        <v>202</v>
      </c>
      <c r="D10690" t="s">
        <v>482</v>
      </c>
    </row>
    <row r="10691" spans="1:4" x14ac:dyDescent="0.25">
      <c r="B10691" t="str">
        <f>HYPERLINK("https://www.chemistwarehouse.com.au/buy/51482/Elastoplast-Sport-Elastowrap-Underwrap-10546-10cm-x-10m"," Elastoplast Sport Elastowrap Underwrap 10546 10cm x 10m")</f>
        <v xml:space="preserve"> Elastoplast Sport Elastowrap Underwrap 10546 10cm x 10m</v>
      </c>
      <c r="C10691" t="s">
        <v>173</v>
      </c>
      <c r="D10691" t="s">
        <v>1489</v>
      </c>
    </row>
    <row r="10692" spans="1:4" x14ac:dyDescent="0.25">
      <c r="B10692" t="str">
        <f>HYPERLINK("https://www.chemistwarehouse.com.au/buy/53436/Elastoplast-30320-Mouthguard-Adult-Assorted"," Elastoplast 30320 Mouthguard Adult Assorted")</f>
        <v xml:space="preserve"> Elastoplast 30320 Mouthguard Adult Assorted</v>
      </c>
      <c r="C10692" t="s">
        <v>92</v>
      </c>
      <c r="D10692" t="s">
        <v>2171</v>
      </c>
    </row>
    <row r="10693" spans="1:4" x14ac:dyDescent="0.25">
      <c r="B10693" t="str">
        <f>HYPERLINK("https://www.chemistwarehouse.com.au/buy/31341/Surgipack-6913-Mouthguard-Junior-Assorted"," Surgipack 6913 Mouthguard Junior Assorted")</f>
        <v xml:space="preserve"> Surgipack 6913 Mouthguard Junior Assorted</v>
      </c>
      <c r="C10693" t="s">
        <v>103</v>
      </c>
      <c r="D10693" t="s">
        <v>150</v>
      </c>
    </row>
    <row r="10694" spans="1:4" x14ac:dyDescent="0.25">
      <c r="B10694" t="str">
        <f>HYPERLINK("https://www.chemistwarehouse.com.au/buy/42877/Elastoplast-36003-Sport-Rigid-Strapping-Tape-38mm-x-10m-Tan"," Elastoplast 36003 Sport Rigid Strapping Tape 38mm x 10m Tan")</f>
        <v xml:space="preserve"> Elastoplast 36003 Sport Rigid Strapping Tape 38mm x 10m Tan</v>
      </c>
      <c r="C10694" t="s">
        <v>45</v>
      </c>
      <c r="D10694" t="s">
        <v>1637</v>
      </c>
    </row>
    <row r="10695" spans="1:4" x14ac:dyDescent="0.25">
      <c r="B10695" t="str">
        <f>HYPERLINK("https://www.chemistwarehouse.com.au/buy/47523/Elastoplast-36002-Sport-Rigid-Strapping-Tape-25mm-x-10m-Tan"," Elastoplast 36002 Sport Rigid Strapping Tape 25mm x 10m Tan")</f>
        <v xml:space="preserve"> Elastoplast 36002 Sport Rigid Strapping Tape 25mm x 10m Tan</v>
      </c>
      <c r="C10695" t="s">
        <v>32</v>
      </c>
      <c r="D10695" t="s">
        <v>1217</v>
      </c>
    </row>
    <row r="10696" spans="1:4" x14ac:dyDescent="0.25">
      <c r="B10696" t="str">
        <f>HYPERLINK("https://www.chemistwarehouse.com.au/buy/78934/Elastoplast-Mouthguard-Sport-Adult-Jaws-Black-amp-White"," Elastoplast Mouthguard Sport Adult Jaws Black &amp; White")</f>
        <v xml:space="preserve"> Elastoplast Mouthguard Sport Adult Jaws Black &amp; White</v>
      </c>
      <c r="C10696" t="s">
        <v>80</v>
      </c>
      <c r="D10696" t="s">
        <v>718</v>
      </c>
    </row>
    <row r="10697" spans="1:4" x14ac:dyDescent="0.25">
      <c r="B10697" t="str">
        <f>HYPERLINK("https://www.chemistwarehouse.com.au/buy/78935/Elastoplast-Mouthguard-Sport-Youth-Jaws-Black-amp-Red"," Elastoplast Mouthguard Sport Youth Jaws Black &amp; Red")</f>
        <v xml:space="preserve"> Elastoplast Mouthguard Sport Youth Jaws Black &amp; Red</v>
      </c>
      <c r="C10697" t="s">
        <v>80</v>
      </c>
      <c r="D10697" t="s">
        <v>1319</v>
      </c>
    </row>
    <row r="10698" spans="1:4" x14ac:dyDescent="0.25">
      <c r="B10698" t="str">
        <f>HYPERLINK("https://www.chemistwarehouse.com.au/buy/79825/E-Sport-Adjustable-Back-Stabiliser"," E-Sport Adjustable Back Stabiliser")</f>
        <v xml:space="preserve"> E-Sport Adjustable Back Stabiliser</v>
      </c>
      <c r="C10698" t="s">
        <v>2172</v>
      </c>
      <c r="D10698" t="s">
        <v>2173</v>
      </c>
    </row>
    <row r="10699" spans="1:4" x14ac:dyDescent="0.25">
      <c r="B10699" t="str">
        <f>HYPERLINK("https://www.chemistwarehouse.com.au/buy/53447/Elastoplast-30310-Mouthguard-Youth-Assorted"," Elastoplast 30310 Mouthguard Youth Assorted")</f>
        <v xml:space="preserve"> Elastoplast 30310 Mouthguard Youth Assorted</v>
      </c>
      <c r="C10699" t="s">
        <v>92</v>
      </c>
      <c r="D10699" t="s">
        <v>2171</v>
      </c>
    </row>
    <row r="10700" spans="1:4" x14ac:dyDescent="0.25">
      <c r="B10700" t="str">
        <f>HYPERLINK("https://www.chemistwarehouse.com.au/buy/58150/Elastoplast-46909-Cold-Spray-75g"," Elastoplast 46909 Cold Spray 75g ")</f>
        <v xml:space="preserve"> Elastoplast 46909 Cold Spray 75g </v>
      </c>
      <c r="C10700" t="s">
        <v>32</v>
      </c>
      <c r="D10700" t="s">
        <v>1320</v>
      </c>
    </row>
    <row r="10701" spans="1:4" x14ac:dyDescent="0.25">
      <c r="B10701" t="str">
        <f>HYPERLINK("https://www.chemistwarehouse.com.au/buy/60132/Elastoplast-10528-Sport-Wrap-10mx5cm"," Elastoplast 10528 Sport Wrap 10mx5cm")</f>
        <v xml:space="preserve"> Elastoplast 10528 Sport Wrap 10mx5cm</v>
      </c>
      <c r="C10701" t="s">
        <v>80</v>
      </c>
      <c r="D10701" t="s">
        <v>2174</v>
      </c>
    </row>
    <row r="10702" spans="1:4" x14ac:dyDescent="0.25">
      <c r="B10702" t="str">
        <f>HYPERLINK("https://www.chemistwarehouse.com.au/buy/64768/Elastoplast-36001-Sport-Rigid-Strapping-Tape-12-5mmx10m-Tan"," Elastoplast 36001 Sport Rigid Strapping Tape 12.5mmx10m Tan")</f>
        <v xml:space="preserve"> Elastoplast 36001 Sport Rigid Strapping Tape 12.5mmx10m Tan</v>
      </c>
      <c r="C10702" t="s">
        <v>242</v>
      </c>
      <c r="D10702" t="s">
        <v>2175</v>
      </c>
    </row>
    <row r="10703" spans="1:4" x14ac:dyDescent="0.25">
      <c r="B10703" t="str">
        <f>HYPERLINK("https://www.chemistwarehouse.com.au/buy/64770/Elastoplast-Sport-Elastic-Adhesive-Bandage-7-5CMX-3-00M"," Elastoplast Sport Elastic Adhesive Bandage 7.5CMX 3.00M")</f>
        <v xml:space="preserve"> Elastoplast Sport Elastic Adhesive Bandage 7.5CMX 3.00M</v>
      </c>
      <c r="C10703" t="s">
        <v>151</v>
      </c>
      <c r="D10703" t="s">
        <v>2176</v>
      </c>
    </row>
    <row r="10704" spans="1:4" x14ac:dyDescent="0.25">
      <c r="B10704" t="str">
        <f>HYPERLINK("https://www.chemistwarehouse.com.au/buy/71811/Elastoplast-Heavy-Fabric-Waterproof-XL-10-Strips"," Elastoplast Heavy Fabric Waterproof XL 10 Strips")</f>
        <v xml:space="preserve"> Elastoplast Heavy Fabric Waterproof XL 10 Strips</v>
      </c>
      <c r="C10704" t="s">
        <v>483</v>
      </c>
      <c r="D10704" t="s">
        <v>371</v>
      </c>
    </row>
    <row r="10705" spans="1:4" x14ac:dyDescent="0.25">
      <c r="B10705" t="str">
        <f>HYPERLINK("https://www.chemistwarehouse.com.au/buy/72602/Elastoplast-Sport-Clear-Mouthguard-Clear"," Elastoplast Sport Clear Mouthguard Clear")</f>
        <v xml:space="preserve"> Elastoplast Sport Clear Mouthguard Clear</v>
      </c>
      <c r="C10705" t="s">
        <v>103</v>
      </c>
      <c r="D10705" t="s">
        <v>1558</v>
      </c>
    </row>
    <row r="10706" spans="1:4" x14ac:dyDescent="0.25">
      <c r="B10706" t="str">
        <f>HYPERLINK("https://www.chemistwarehouse.com.au/buy/72603/Elastoplast-Sport-Clear-Mouthguard-Youth"," Elastoplast Sport Clear Mouthguard Youth")</f>
        <v xml:space="preserve"> Elastoplast Sport Clear Mouthguard Youth</v>
      </c>
      <c r="C10706" t="s">
        <v>103</v>
      </c>
      <c r="D10706" t="s">
        <v>1558</v>
      </c>
    </row>
    <row r="10707" spans="1:4" x14ac:dyDescent="0.25">
      <c r="B10707" t="str">
        <f>HYPERLINK("https://www.chemistwarehouse.com.au/buy/77189/Elastoplast-Sport-EAB-HT-2-5cm-x-3-5m"," Elastoplast Sport EAB HT 2.5cm x 3.5m")</f>
        <v xml:space="preserve"> Elastoplast Sport EAB HT 2.5cm x 3.5m</v>
      </c>
      <c r="C10707" t="s">
        <v>326</v>
      </c>
      <c r="D10707" t="s">
        <v>1424</v>
      </c>
    </row>
    <row r="10708" spans="1:4" x14ac:dyDescent="0.25">
      <c r="B10708" t="str">
        <f>HYPERLINK("https://www.chemistwarehouse.com.au/buy/77190/Elastoplast-Sport-EAB-HT-5cm-x-3-5m"," Elastoplast Sport EAB HT 5cm x 3.5m")</f>
        <v xml:space="preserve"> Elastoplast Sport EAB HT 5cm x 3.5m</v>
      </c>
      <c r="C10708" t="s">
        <v>103</v>
      </c>
      <c r="D10708" t="s">
        <v>1969</v>
      </c>
    </row>
    <row r="10709" spans="1:4" x14ac:dyDescent="0.25">
      <c r="B10709" t="str">
        <f>HYPERLINK("https://www.chemistwarehouse.com.au/buy/77191/Elastoplast-Sport-EAB-HT-7-5cm-x-3-5m"," Elastoplast Sport EAB HT 7.5cm x 3.5m")</f>
        <v xml:space="preserve"> Elastoplast Sport EAB HT 7.5cm x 3.5m</v>
      </c>
      <c r="C10709" t="s">
        <v>80</v>
      </c>
      <c r="D10709" t="s">
        <v>1426</v>
      </c>
    </row>
    <row r="10710" spans="1:4" x14ac:dyDescent="0.25">
      <c r="B10710" t="str">
        <f>HYPERLINK("https://www.chemistwarehouse.com.au/buy/53437/Elastoplast-30300-Mouthguard-Junior-Assorted"," Elastoplast 30300 Mouthguard Junior Assorted")</f>
        <v xml:space="preserve"> Elastoplast 30300 Mouthguard Junior Assorted</v>
      </c>
      <c r="C10710" t="s">
        <v>92</v>
      </c>
      <c r="D10710" t="s">
        <v>2177</v>
      </c>
    </row>
    <row r="10711" spans="1:4" x14ac:dyDescent="0.25">
      <c r="A10711" t="s">
        <v>2178</v>
      </c>
    </row>
    <row r="10712" spans="1:4" x14ac:dyDescent="0.25">
      <c r="B10712" t="str">
        <f>HYPERLINK("https://www.chemistwarehouse.com.au/buy/75251/Deep-Heat-Low-Odour-100g"," Deep Heat Low Odour 100g")</f>
        <v xml:space="preserve"> Deep Heat Low Odour 100g</v>
      </c>
      <c r="C10712" t="s">
        <v>103</v>
      </c>
      <c r="D10712" t="s">
        <v>147</v>
      </c>
    </row>
    <row r="10713" spans="1:4" x14ac:dyDescent="0.25">
      <c r="B10713" t="str">
        <f>HYPERLINK("https://www.chemistwarehouse.com.au/buy/71416/Deep-Heat-Sports-Spray-100g"," Deep Heat Sports Spray 100g")</f>
        <v xml:space="preserve"> Deep Heat Sports Spray 100g</v>
      </c>
      <c r="C10713" t="s">
        <v>45</v>
      </c>
      <c r="D10713" t="s">
        <v>1358</v>
      </c>
    </row>
    <row r="10714" spans="1:4" x14ac:dyDescent="0.25">
      <c r="B10714" t="str">
        <f>HYPERLINK("https://www.chemistwarehouse.com.au/buy/78587/Deep-Heat-Sports-Pro-Massage-Lotion-500ml"," Deep Heat Sports Pro Massage Lotion 500ml")</f>
        <v xml:space="preserve"> Deep Heat Sports Pro Massage Lotion 500ml</v>
      </c>
      <c r="C10714" t="s">
        <v>1</v>
      </c>
      <c r="D10714" t="s">
        <v>162</v>
      </c>
    </row>
    <row r="10715" spans="1:4" x14ac:dyDescent="0.25">
      <c r="B10715" t="str">
        <f>HYPERLINK("https://www.chemistwarehouse.com.au/buy/78588/Deep-Heat-Sports-Pro-Massage-Oil-400ml"," Deep Heat Sports Pro Massage Oil 400ml")</f>
        <v xml:space="preserve"> Deep Heat Sports Pro Massage Oil 400ml</v>
      </c>
      <c r="C10715" t="s">
        <v>98</v>
      </c>
      <c r="D10715" t="s">
        <v>104</v>
      </c>
    </row>
    <row r="10716" spans="1:4" x14ac:dyDescent="0.25">
      <c r="B10716" t="str">
        <f>HYPERLINK("https://www.chemistwarehouse.com.au/buy/72599/Deep-Heat-Regular-200g"," Deep Heat Regular 200g")</f>
        <v xml:space="preserve"> Deep Heat Regular 200g</v>
      </c>
      <c r="C10716" t="s">
        <v>240</v>
      </c>
      <c r="D10716">
        <v>0</v>
      </c>
    </row>
    <row r="10717" spans="1:4" x14ac:dyDescent="0.25">
      <c r="A10717" t="s">
        <v>2179</v>
      </c>
    </row>
    <row r="10718" spans="1:4" x14ac:dyDescent="0.25">
      <c r="B10718" t="str">
        <f>HYPERLINK("https://www.chemistwarehouse.com.au/buy/51005/Elmore-Oil-Roll-On-50ml"," Elmore Oil Roll On 50ml")</f>
        <v xml:space="preserve"> Elmore Oil Roll On 50ml</v>
      </c>
      <c r="C10718" t="s">
        <v>202</v>
      </c>
      <c r="D10718" t="s">
        <v>312</v>
      </c>
    </row>
    <row r="10719" spans="1:4" x14ac:dyDescent="0.25">
      <c r="B10719" t="str">
        <f>HYPERLINK("https://www.chemistwarehouse.com.au/buy/53051/Mouthguard-Senior-Assorted-6914-P-P-15"," Mouthguard Senior Assorted 6914 - P/P 15")</f>
        <v xml:space="preserve"> Mouthguard Senior Assorted 6914 - P/P 15</v>
      </c>
      <c r="C10719" t="s">
        <v>103</v>
      </c>
      <c r="D10719" t="s">
        <v>150</v>
      </c>
    </row>
    <row r="10720" spans="1:4" x14ac:dyDescent="0.25">
      <c r="B10720" t="str">
        <f>HYPERLINK("https://www.chemistwarehouse.com.au/buy/63672/Difflam-Extra-Strength-Gel-75g"," Difflam Extra Strength Gel 75g")</f>
        <v xml:space="preserve"> Difflam Extra Strength Gel 75g</v>
      </c>
      <c r="C10720" t="s">
        <v>187</v>
      </c>
      <c r="D10720" t="s">
        <v>1309</v>
      </c>
    </row>
    <row r="10721" spans="1:4" x14ac:dyDescent="0.25">
      <c r="A10721" t="s">
        <v>2180</v>
      </c>
    </row>
    <row r="10722" spans="1:4" x14ac:dyDescent="0.25">
      <c r="B10722" t="str">
        <f>HYPERLINK("https://www.chemistwarehouse.com.au/buy/40997/Leuko-Sportstape-Flesh-76013-5cm-x-13-7m-1"," Leuko Sportstape Flesh 76013 5cm x 13.7m 1")</f>
        <v xml:space="preserve"> Leuko Sportstape Flesh 76013 5cm x 13.7m 1</v>
      </c>
      <c r="C10722" t="s">
        <v>58</v>
      </c>
      <c r="D10722" t="s">
        <v>822</v>
      </c>
    </row>
    <row r="10723" spans="1:4" x14ac:dyDescent="0.25">
      <c r="B10723" t="str">
        <f>HYPERLINK("https://www.chemistwarehouse.com.au/buy/47527/Leuko-Sport-Tape-3-8-X-13-7cm-Flesh-1"," Leuko Sport Tape 3.8 X 13.7cm Flesh 1")</f>
        <v xml:space="preserve"> Leuko Sport Tape 3.8 X 13.7cm Flesh 1</v>
      </c>
      <c r="C10723" t="s">
        <v>98</v>
      </c>
      <c r="D10723" t="s">
        <v>1754</v>
      </c>
    </row>
    <row r="10724" spans="1:4" x14ac:dyDescent="0.25">
      <c r="B10724" t="str">
        <f>HYPERLINK("https://www.chemistwarehouse.com.au/buy/73686/BDF-Leuko-Sportstape-Premium-Plus-Flesh-50mm-5cmx13-7m-20"," BDF Leuko Sportstape Premium Plus Flesh 50mm 5cmx13.7m 20")</f>
        <v xml:space="preserve"> BDF Leuko Sportstape Premium Plus Flesh 50mm 5cmx13.7m 20</v>
      </c>
      <c r="C10724" t="s">
        <v>202</v>
      </c>
      <c r="D10724" t="s">
        <v>808</v>
      </c>
    </row>
    <row r="10725" spans="1:4" x14ac:dyDescent="0.25">
      <c r="A10725" t="s">
        <v>2181</v>
      </c>
    </row>
    <row r="10726" spans="1:4" x14ac:dyDescent="0.25">
      <c r="B10726" t="str">
        <f>HYPERLINK("https://www.chemistwarehouse.com.au/buy/71581/BodyAssist-Cotton-Arthritis-Gloves-Large-1-Pair"," BodyAssist Cotton Arthritis Gloves Large 1 Pair")</f>
        <v xml:space="preserve"> BodyAssist Cotton Arthritis Gloves Large 1 Pair</v>
      </c>
      <c r="C10726" t="s">
        <v>1</v>
      </c>
      <c r="D10726" t="s">
        <v>160</v>
      </c>
    </row>
    <row r="10727" spans="1:4" x14ac:dyDescent="0.25">
      <c r="B10727" t="str">
        <f>HYPERLINK("https://www.chemistwarehouse.com.au/buy/71582/BodyAssist-Cotton-Arthritis-Gloves-Medium-1-Pair"," BodyAssist Cotton Arthritis Gloves Medium 1 Pair")</f>
        <v xml:space="preserve"> BodyAssist Cotton Arthritis Gloves Medium 1 Pair</v>
      </c>
      <c r="C10727" t="s">
        <v>1</v>
      </c>
      <c r="D10727" t="s">
        <v>160</v>
      </c>
    </row>
    <row r="10728" spans="1:4" x14ac:dyDescent="0.25">
      <c r="B10728" t="str">
        <f>HYPERLINK("https://www.chemistwarehouse.com.au/buy/71583/BodyAssist-Cotton-Arthritis-Gloves-Small-1-Pair"," BodyAssist Cotton Arthritis Gloves Small 1 Pair")</f>
        <v xml:space="preserve"> BodyAssist Cotton Arthritis Gloves Small 1 Pair</v>
      </c>
      <c r="C10728" t="s">
        <v>1</v>
      </c>
      <c r="D10728" t="s">
        <v>160</v>
      </c>
    </row>
    <row r="10729" spans="1:4" x14ac:dyDescent="0.25">
      <c r="B10729" t="str">
        <f>HYPERLINK("https://www.chemistwarehouse.com.au/buy/71590/BodyAssist-Elastic-Ankle-Wrap-Anchor-Beige"," BodyAssist Elastic Ankle Wrap/Anchor Beige")</f>
        <v xml:space="preserve"> BodyAssist Elastic Ankle Wrap/Anchor Beige</v>
      </c>
      <c r="C10729" t="s">
        <v>161</v>
      </c>
      <c r="D10729" t="s">
        <v>169</v>
      </c>
    </row>
    <row r="10730" spans="1:4" x14ac:dyDescent="0.25">
      <c r="B10730" t="str">
        <f>HYPERLINK("https://www.chemistwarehouse.com.au/buy/71592/BodyAssist-Deluxe-Thermal-Wrist-Wrap-Beige"," BodyAssist Deluxe Thermal Wrist Wrap Beige")</f>
        <v xml:space="preserve"> BodyAssist Deluxe Thermal Wrist Wrap Beige</v>
      </c>
      <c r="C10730" t="s">
        <v>161</v>
      </c>
      <c r="D10730" t="s">
        <v>169</v>
      </c>
    </row>
    <row r="10731" spans="1:4" x14ac:dyDescent="0.25">
      <c r="A10731" t="s">
        <v>2182</v>
      </c>
    </row>
    <row r="10732" spans="1:4" x14ac:dyDescent="0.25">
      <c r="B10732" t="str">
        <f>HYPERLINK("https://www.chemistwarehouse.com.au/buy/77198/E-Sport-Cohesive-Bandage-Tan-5cm-x-4-5m"," E-Sport Cohesive Bandage Tan 5cm x 4.5m")</f>
        <v xml:space="preserve"> E-Sport Cohesive Bandage Tan 5cm x 4.5m</v>
      </c>
      <c r="C10732" t="s">
        <v>32</v>
      </c>
      <c r="D10732" t="s">
        <v>150</v>
      </c>
    </row>
    <row r="10733" spans="1:4" x14ac:dyDescent="0.25">
      <c r="B10733" t="str">
        <f>HYPERLINK("https://www.chemistwarehouse.com.au/buy/77208/E-Sport-Tennis-Elbow"," E-Sport Tennis Elbow")</f>
        <v xml:space="preserve"> E-Sport Tennis Elbow</v>
      </c>
      <c r="C10733" t="s">
        <v>61</v>
      </c>
      <c r="D10733" t="s">
        <v>501</v>
      </c>
    </row>
    <row r="10734" spans="1:4" x14ac:dyDescent="0.25">
      <c r="B10734" t="str">
        <f>HYPERLINK("https://www.chemistwarehouse.com.au/buy/77209/E-Sport-Wrap-Around-Ankle-Adjustable"," E-Sport Wrap Around Ankle Adjustable")</f>
        <v xml:space="preserve"> E-Sport Wrap Around Ankle Adjustable</v>
      </c>
      <c r="C10734" t="s">
        <v>237</v>
      </c>
      <c r="D10734" t="s">
        <v>343</v>
      </c>
    </row>
    <row r="10735" spans="1:4" x14ac:dyDescent="0.25">
      <c r="B10735" t="str">
        <f>HYPERLINK("https://www.chemistwarehouse.com.au/buy/77210/E-Sport-Wrap-Around-Wrist-Small-Medium"," E-Sport Wrap Around Wrist Small/Medium")</f>
        <v xml:space="preserve"> E-Sport Wrap Around Wrist Small/Medium</v>
      </c>
      <c r="C10735" t="s">
        <v>45</v>
      </c>
      <c r="D10735" t="s">
        <v>2183</v>
      </c>
    </row>
    <row r="10736" spans="1:4" x14ac:dyDescent="0.25">
      <c r="B10736" t="str">
        <f>HYPERLINK("https://www.chemistwarehouse.com.au/buy/77205/E-Sport-Comfort-Lift-Knee-Medium"," E-Sport Comfort Lift Knee Medium")</f>
        <v xml:space="preserve"> E-Sport Comfort Lift Knee Medium</v>
      </c>
      <c r="C10736" t="s">
        <v>45</v>
      </c>
      <c r="D10736" t="s">
        <v>154</v>
      </c>
    </row>
    <row r="10737" spans="2:4" x14ac:dyDescent="0.25">
      <c r="B10737" t="str">
        <f>HYPERLINK("https://www.chemistwarehouse.com.au/buy/77206/E-Sport-Hot-Cold-Pack-10cm-x-20cm-Small"," E-Sport Hot/Cold Pack 10cm x 20cm Small")</f>
        <v xml:space="preserve"> E-Sport Hot/Cold Pack 10cm x 20cm Small</v>
      </c>
      <c r="C10737" t="s">
        <v>98</v>
      </c>
      <c r="D10737" t="s">
        <v>1215</v>
      </c>
    </row>
    <row r="10738" spans="2:4" x14ac:dyDescent="0.25">
      <c r="B10738" t="str">
        <f>HYPERLINK("https://www.chemistwarehouse.com.au/buy/77207/E-Sport-Knee-Strap"," E-Sport Knee Strap")</f>
        <v xml:space="preserve"> E-Sport Knee Strap</v>
      </c>
      <c r="C10738" t="s">
        <v>80</v>
      </c>
      <c r="D10738" t="s">
        <v>501</v>
      </c>
    </row>
    <row r="10739" spans="2:4" x14ac:dyDescent="0.25">
      <c r="B10739" t="str">
        <f>HYPERLINK("https://www.chemistwarehouse.com.au/buy/77199/E-Sport-Cohesive-Bandage-Tan-7-5cm-x-4-5m"," E-Sport Cohesive Bandage Tan 7.5cm x 4.5m")</f>
        <v xml:space="preserve"> E-Sport Cohesive Bandage Tan 7.5cm x 4.5m</v>
      </c>
      <c r="C10739" t="s">
        <v>45</v>
      </c>
      <c r="D10739" t="s">
        <v>145</v>
      </c>
    </row>
    <row r="10740" spans="2:4" x14ac:dyDescent="0.25">
      <c r="B10740" t="str">
        <f>HYPERLINK("https://www.chemistwarehouse.com.au/buy/77200/E-Sport-Comfort-Lift-Ankle-Large"," E-Sport Comfort Lift Ankle Large")</f>
        <v xml:space="preserve"> E-Sport Comfort Lift Ankle Large</v>
      </c>
      <c r="C10740" t="s">
        <v>45</v>
      </c>
      <c r="D10740" t="s">
        <v>2183</v>
      </c>
    </row>
    <row r="10741" spans="2:4" x14ac:dyDescent="0.25">
      <c r="B10741" t="str">
        <f>HYPERLINK("https://www.chemistwarehouse.com.au/buy/77201/E-Sport-Comfort-Lift-Ankle-Medium"," E-Sport Comfort Lift Ankle Medium")</f>
        <v xml:space="preserve"> E-Sport Comfort Lift Ankle Medium</v>
      </c>
      <c r="C10741" t="s">
        <v>45</v>
      </c>
      <c r="D10741" t="s">
        <v>2183</v>
      </c>
    </row>
    <row r="10742" spans="2:4" x14ac:dyDescent="0.25">
      <c r="B10742" t="str">
        <f>HYPERLINK("https://www.chemistwarehouse.com.au/buy/77202/E-Sport-Comfort-Lift-Ankle-Small"," E-Sport Comfort Lift Ankle Small")</f>
        <v xml:space="preserve"> E-Sport Comfort Lift Ankle Small</v>
      </c>
      <c r="C10742" t="s">
        <v>45</v>
      </c>
      <c r="D10742" t="s">
        <v>2183</v>
      </c>
    </row>
    <row r="10743" spans="2:4" x14ac:dyDescent="0.25">
      <c r="B10743" t="str">
        <f>HYPERLINK("https://www.chemistwarehouse.com.au/buy/77203/E-Sport-Comfort-Lift-Elbow-Medium"," E-Sport Comfort Lift Elbow Medium")</f>
        <v xml:space="preserve"> E-Sport Comfort Lift Elbow Medium</v>
      </c>
      <c r="C10743" t="s">
        <v>202</v>
      </c>
      <c r="D10743" t="s">
        <v>2184</v>
      </c>
    </row>
    <row r="10744" spans="2:4" x14ac:dyDescent="0.25">
      <c r="B10744" t="str">
        <f>HYPERLINK("https://www.chemistwarehouse.com.au/buy/76423/E-Sport-K-Tape-Black-5cm-x-5m-1-Roll"," E-Sport K Tape Black 5cm x 5m 1 Roll")</f>
        <v xml:space="preserve"> E-Sport K Tape Black 5cm x 5m 1 Roll</v>
      </c>
      <c r="C10744" t="s">
        <v>98</v>
      </c>
      <c r="D10744" t="s">
        <v>397</v>
      </c>
    </row>
    <row r="10745" spans="2:4" x14ac:dyDescent="0.25">
      <c r="B10745" t="str">
        <f>HYPERLINK("https://www.chemistwarehouse.com.au/buy/76424/E-Sport-K-Tape-Blue-5cm-x-5m-1-Roll"," E-Sport K Tape Blue 5cm x 5m 1 Roll")</f>
        <v xml:space="preserve"> E-Sport K Tape Blue 5cm x 5m 1 Roll</v>
      </c>
      <c r="C10745" t="s">
        <v>98</v>
      </c>
      <c r="D10745" t="s">
        <v>397</v>
      </c>
    </row>
    <row r="10746" spans="2:4" x14ac:dyDescent="0.25">
      <c r="B10746" t="str">
        <f>HYPERLINK("https://www.chemistwarehouse.com.au/buy/77192/E-Sport-Adjustable-Ankle"," E-Sport Adjustable Ankle")</f>
        <v xml:space="preserve"> E-Sport Adjustable Ankle</v>
      </c>
      <c r="C10746" t="s">
        <v>45</v>
      </c>
      <c r="D10746" t="s">
        <v>165</v>
      </c>
    </row>
    <row r="10747" spans="2:4" x14ac:dyDescent="0.25">
      <c r="B10747" t="str">
        <f>HYPERLINK("https://www.chemistwarehouse.com.au/buy/77194/E-Sport-Adjustable-Knee"," E-Sport Adjustable Knee")</f>
        <v xml:space="preserve"> E-Sport Adjustable Knee</v>
      </c>
      <c r="C10747" t="s">
        <v>98</v>
      </c>
      <c r="D10747" t="s">
        <v>93</v>
      </c>
    </row>
    <row r="10748" spans="2:4" x14ac:dyDescent="0.25">
      <c r="B10748" t="str">
        <f>HYPERLINK("https://www.chemistwarehouse.com.au/buy/77196/E-Sport-Adjustable-Knee-Stabiliser"," E-Sport Adjustable Knee Stabiliser")</f>
        <v xml:space="preserve"> E-Sport Adjustable Knee Stabiliser</v>
      </c>
      <c r="C10748" t="s">
        <v>125</v>
      </c>
      <c r="D10748" t="s">
        <v>2185</v>
      </c>
    </row>
    <row r="10749" spans="2:4" x14ac:dyDescent="0.25">
      <c r="B10749" t="str">
        <f>HYPERLINK("https://www.chemistwarehouse.com.au/buy/77197/E-Sport-Cohesive-Bandage-Camouflage-7-5cm-x-4-5m"," E-Sport Cohesive Bandage Camouflage 7.5cm x 4.5m")</f>
        <v xml:space="preserve"> E-Sport Cohesive Bandage Camouflage 7.5cm x 4.5m</v>
      </c>
      <c r="C10749" t="s">
        <v>45</v>
      </c>
      <c r="D10749" t="s">
        <v>145</v>
      </c>
    </row>
    <row r="10750" spans="2:4" x14ac:dyDescent="0.25">
      <c r="B10750" t="str">
        <f>HYPERLINK("https://www.chemistwarehouse.com.au/buy/76422/E-Sport-K-Tape-Beige-5cm-x-5m-1-Roll"," E-Sport K Tape Beige 5cm x 5m 1 Roll")</f>
        <v xml:space="preserve"> E-Sport K Tape Beige 5cm x 5m 1 Roll</v>
      </c>
      <c r="C10750" t="s">
        <v>98</v>
      </c>
      <c r="D10750" t="s">
        <v>397</v>
      </c>
    </row>
    <row r="10751" spans="2:4" x14ac:dyDescent="0.25">
      <c r="B10751" t="str">
        <f>HYPERLINK("https://www.chemistwarehouse.com.au/buy/77195/E-Sport-Adjustable-Wrist"," E-Sport Adjustable Wrist")</f>
        <v xml:space="preserve"> E-Sport Adjustable Wrist</v>
      </c>
      <c r="C10751" t="s">
        <v>45</v>
      </c>
      <c r="D10751" t="s">
        <v>165</v>
      </c>
    </row>
    <row r="10752" spans="2:4" x14ac:dyDescent="0.25">
      <c r="B10752" t="str">
        <f>HYPERLINK("https://www.chemistwarehouse.com.au/buy/77193/E-Sport-Adjustable-Ankle-Stabiliser"," E-Sport Adjustable Ankle Stabiliser")</f>
        <v xml:space="preserve"> E-Sport Adjustable Ankle Stabiliser</v>
      </c>
      <c r="C10752" t="s">
        <v>6</v>
      </c>
      <c r="D10752" t="s">
        <v>2186</v>
      </c>
    </row>
    <row r="10753" spans="1:4" x14ac:dyDescent="0.25">
      <c r="B10753" t="str">
        <f>HYPERLINK("https://www.chemistwarehouse.com.au/buy/77204/E-Sport-Comfort-Lift-Knee-Large"," E-Sport Comfort Lift Knee Large")</f>
        <v xml:space="preserve"> E-Sport Comfort Lift Knee Large</v>
      </c>
      <c r="C10753" t="s">
        <v>45</v>
      </c>
      <c r="D10753" t="s">
        <v>154</v>
      </c>
    </row>
    <row r="10754" spans="1:4" x14ac:dyDescent="0.25">
      <c r="A10754" t="s">
        <v>2187</v>
      </c>
    </row>
    <row r="10755" spans="1:4" x14ac:dyDescent="0.25">
      <c r="B10755" t="str">
        <f>HYPERLINK("https://www.chemistwarehouse.com.au/buy/71843/Omron-HEM7130-Deluxe-BP-Monitor-MC245"," Omron HEM7130 Deluxe BP Monitor + MC245")</f>
        <v xml:space="preserve"> Omron HEM7130 Deluxe BP Monitor + MC245</v>
      </c>
      <c r="C10755" t="s">
        <v>765</v>
      </c>
      <c r="D10755" t="s">
        <v>489</v>
      </c>
    </row>
    <row r="10756" spans="1:4" x14ac:dyDescent="0.25">
      <c r="B10756" t="str">
        <f>HYPERLINK("https://www.chemistwarehouse.com.au/buy/32387/Omron-Blood-Pressure-Kit-Cuff-Large"," Omron Blood Pressure Kit Cuff Large")</f>
        <v xml:space="preserve"> Omron Blood Pressure Kit Cuff Large</v>
      </c>
      <c r="C10756" t="s">
        <v>243</v>
      </c>
      <c r="D10756" t="s">
        <v>312</v>
      </c>
    </row>
    <row r="10757" spans="1:4" x14ac:dyDescent="0.25">
      <c r="B10757" t="str">
        <f>HYPERLINK("https://www.chemistwarehouse.com.au/buy/73662/Omron-TH839S-Probe-Covers-40-pack"," Omron TH839S Probe Covers 40 pack ")</f>
        <v xml:space="preserve"> Omron TH839S Probe Covers 40 pack </v>
      </c>
      <c r="C10757" t="s">
        <v>443</v>
      </c>
      <c r="D10757" t="s">
        <v>325</v>
      </c>
    </row>
    <row r="10758" spans="1:4" x14ac:dyDescent="0.25">
      <c r="B10758" t="str">
        <f>HYPERLINK("https://www.chemistwarehouse.com.au/buy/73663/Omron-HEM6221-Premium-Wrist-Blood-Pressure-Monitor"," Omron HEM6221 Premium Wrist Blood Pressure Monitor")</f>
        <v xml:space="preserve"> Omron HEM6221 Premium Wrist Blood Pressure Monitor</v>
      </c>
      <c r="C10758" t="s">
        <v>2188</v>
      </c>
      <c r="D10758" t="s">
        <v>856</v>
      </c>
    </row>
    <row r="10759" spans="1:4" x14ac:dyDescent="0.25">
      <c r="B10759" t="str">
        <f>HYPERLINK("https://www.chemistwarehouse.com.au/buy/73664/Omron-HEM7320-Ultra-Premium-Blood-Pressure-Monitor"," Omron HEM7320 Ultra Premium Blood Pressure Monitor")</f>
        <v xml:space="preserve"> Omron HEM7320 Ultra Premium Blood Pressure Monitor</v>
      </c>
      <c r="C10759" t="s">
        <v>2189</v>
      </c>
      <c r="D10759" t="s">
        <v>769</v>
      </c>
    </row>
    <row r="10760" spans="1:4" x14ac:dyDescent="0.25">
      <c r="B10760" t="str">
        <f>HYPERLINK("https://www.chemistwarehouse.com.au/buy/73665/Omron-HEM7322-Premium-BP-Monitor-MC245"," Omron HEM7322 Premium BP Monitor + MC245")</f>
        <v xml:space="preserve"> Omron HEM7322 Premium BP Monitor + MC245</v>
      </c>
      <c r="C10760" t="s">
        <v>765</v>
      </c>
      <c r="D10760" t="s">
        <v>2190</v>
      </c>
    </row>
    <row r="10761" spans="1:4" x14ac:dyDescent="0.25">
      <c r="B10761" t="str">
        <f>HYPERLINK("https://www.chemistwarehouse.com.au/buy/73666/Omron-HJ320-Walking-Pedometer"," Omron HJ320 Walking Pedometer")</f>
        <v xml:space="preserve"> Omron HJ320 Walking Pedometer</v>
      </c>
      <c r="C10761" t="s">
        <v>273</v>
      </c>
      <c r="D10761" t="s">
        <v>349</v>
      </c>
    </row>
    <row r="10762" spans="1:4" x14ac:dyDescent="0.25">
      <c r="B10762" t="str">
        <f>HYPERLINK("https://www.chemistwarehouse.com.au/buy/74068/Omron-MC720-Forehead-Thermometer"," Omron MC720 Forehead Thermometer")</f>
        <v xml:space="preserve"> Omron MC720 Forehead Thermometer</v>
      </c>
      <c r="C10762" t="s">
        <v>745</v>
      </c>
      <c r="D10762" t="s">
        <v>2191</v>
      </c>
    </row>
    <row r="10763" spans="1:4" x14ac:dyDescent="0.25">
      <c r="B10763" t="str">
        <f>HYPERLINK("https://www.chemistwarehouse.com.au/buy/79826/Omron-HEM7280T-Blood-Pressure-Monitor-Bluetooth"," Omron HEM7280T Blood Pressure Monitor Bluetooth")</f>
        <v xml:space="preserve"> Omron HEM7280T Blood Pressure Monitor Bluetooth</v>
      </c>
      <c r="C10763" t="s">
        <v>2192</v>
      </c>
      <c r="D10763" t="s">
        <v>2193</v>
      </c>
    </row>
    <row r="10764" spans="1:4" x14ac:dyDescent="0.25">
      <c r="B10764" t="str">
        <f>HYPERLINK("https://www.chemistwarehouse.com.au/buy/81651/Heart-Sure-Pulse-Oximeter"," Heart Sure Pulse Oximeter")</f>
        <v xml:space="preserve"> Heart Sure Pulse Oximeter</v>
      </c>
      <c r="C10764" t="s">
        <v>276</v>
      </c>
      <c r="D10764" t="s">
        <v>124</v>
      </c>
    </row>
    <row r="10765" spans="1:4" x14ac:dyDescent="0.25">
      <c r="B10765" t="str">
        <f>HYPERLINK("https://www.chemistwarehouse.com.au/buy/70225/Omron-HEM7121-Standard-Blood-Pressure-Monitor"," Omron HEM7121 Standard Blood Pressure Monitor")</f>
        <v xml:space="preserve"> Omron HEM7121 Standard Blood Pressure Monitor</v>
      </c>
      <c r="C10765" t="s">
        <v>2000</v>
      </c>
      <c r="D10765" t="s">
        <v>447</v>
      </c>
    </row>
    <row r="10766" spans="1:4" x14ac:dyDescent="0.25">
      <c r="B10766" t="str">
        <f>HYPERLINK("https://www.chemistwarehouse.com.au/buy/64705/Omron-HJ005-Pedometer-Blue"," Omron HJ005 Pedometer Blue")</f>
        <v xml:space="preserve"> Omron HJ005 Pedometer Blue</v>
      </c>
      <c r="C10766" t="s">
        <v>63</v>
      </c>
      <c r="D10766" t="s">
        <v>371</v>
      </c>
    </row>
    <row r="10767" spans="1:4" x14ac:dyDescent="0.25">
      <c r="A10767" t="s">
        <v>2194</v>
      </c>
    </row>
    <row r="10768" spans="1:4" x14ac:dyDescent="0.25">
      <c r="B10768" t="str">
        <f>HYPERLINK("https://www.chemistwarehouse.com.au/buy/58969/Accu-Chek-Performa-Blood-Glucose-Strips-100"," Accu-Chek Performa Blood Glucose Strips 100")</f>
        <v xml:space="preserve"> Accu-Chek Performa Blood Glucose Strips 100</v>
      </c>
      <c r="C10768" t="s">
        <v>331</v>
      </c>
      <c r="D10768">
        <v>0</v>
      </c>
    </row>
    <row r="10769" spans="1:4" x14ac:dyDescent="0.25">
      <c r="B10769" t="str">
        <f>HYPERLINK("https://www.chemistwarehouse.com.au/buy/59427/Accu-Chek-Go-Blood-Glucose-Strips"," Accu-Chek Go Blood Glucose Strips")</f>
        <v xml:space="preserve"> Accu-Chek Go Blood Glucose Strips</v>
      </c>
      <c r="C10769" t="s">
        <v>109</v>
      </c>
      <c r="D10769">
        <v>0</v>
      </c>
    </row>
    <row r="10770" spans="1:4" x14ac:dyDescent="0.25">
      <c r="B10770" t="str">
        <f>HYPERLINK("https://www.chemistwarehouse.com.au/buy/63459/Accu-Chek-Active-Strips-100"," Accu-Chek Active Strips 100")</f>
        <v xml:space="preserve"> Accu-Chek Active Strips 100</v>
      </c>
      <c r="C10770" t="s">
        <v>331</v>
      </c>
      <c r="D10770">
        <v>0</v>
      </c>
    </row>
    <row r="10771" spans="1:4" x14ac:dyDescent="0.25">
      <c r="B10771" t="str">
        <f>HYPERLINK("https://www.chemistwarehouse.com.au/buy/68583/Accu-Chek-Aviva-Blood-Glucose-Test-Strips-50"," Accu-Chek Aviva Blood Glucose Test Strips 50 ")</f>
        <v xml:space="preserve"> Accu-Chek Aviva Blood Glucose Test Strips 50 </v>
      </c>
      <c r="C10771" t="s">
        <v>286</v>
      </c>
      <c r="D10771">
        <v>0</v>
      </c>
    </row>
    <row r="10772" spans="1:4" x14ac:dyDescent="0.25">
      <c r="B10772" t="str">
        <f>HYPERLINK("https://www.chemistwarehouse.com.au/buy/73974/Accu-Chek-Integra-Glucose-Strips"," Accu Chek Integra Glucose Strips")</f>
        <v xml:space="preserve"> Accu Chek Integra Glucose Strips</v>
      </c>
      <c r="C10772" t="s">
        <v>109</v>
      </c>
      <c r="D10772">
        <v>0</v>
      </c>
    </row>
    <row r="10773" spans="1:4" x14ac:dyDescent="0.25">
      <c r="B10773" t="str">
        <f>HYPERLINK("https://www.chemistwarehouse.com.au/buy/80702/Accu-Chek-Guide-Test-Strips-100"," Accu Chek Guide Test Strips 100")</f>
        <v xml:space="preserve"> Accu Chek Guide Test Strips 100</v>
      </c>
      <c r="C10773" t="s">
        <v>2195</v>
      </c>
      <c r="D10773" t="s">
        <v>2196</v>
      </c>
    </row>
    <row r="10774" spans="1:4" x14ac:dyDescent="0.25">
      <c r="B10774" t="str">
        <f>HYPERLINK("https://www.chemistwarehouse.com.au/buy/60468/Accu-Chek-Mobile-Test-Cassette-100"," Accu-Chek Mobile Test Cassette 100")</f>
        <v xml:space="preserve"> Accu-Chek Mobile Test Cassette 100</v>
      </c>
      <c r="C10774" t="s">
        <v>331</v>
      </c>
      <c r="D10774">
        <v>0</v>
      </c>
    </row>
    <row r="10775" spans="1:4" x14ac:dyDescent="0.25">
      <c r="B10775" t="str">
        <f>HYPERLINK("https://www.chemistwarehouse.com.au/buy/61735/Accu-Chek-Advantage-Comfort-Sensor-Strip-100"," Accu-Chek Advantage (Comfort Sensor) Strip 100")</f>
        <v xml:space="preserve"> Accu-Chek Advantage (Comfort Sensor) Strip 100</v>
      </c>
      <c r="C10775" t="s">
        <v>331</v>
      </c>
      <c r="D10775">
        <v>0</v>
      </c>
    </row>
    <row r="10776" spans="1:4" x14ac:dyDescent="0.25">
      <c r="B10776" t="str">
        <f>HYPERLINK("https://www.chemistwarehouse.com.au/buy/48906/Accu-Chek-Go-Blood-Glucose-Test-Strips-50"," Accu-Chek Go Blood Glucose Test Strips 50")</f>
        <v xml:space="preserve"> Accu-Chek Go Blood Glucose Test Strips 50</v>
      </c>
      <c r="C10776" t="s">
        <v>109</v>
      </c>
      <c r="D10776">
        <v>0</v>
      </c>
    </row>
    <row r="10777" spans="1:4" x14ac:dyDescent="0.25">
      <c r="A10777" t="s">
        <v>2197</v>
      </c>
    </row>
    <row r="10778" spans="1:4" x14ac:dyDescent="0.25">
      <c r="B10778" t="str">
        <f>HYPERLINK("https://www.chemistwarehouse.com.au/buy/51551/Accu-Chek-Performa-Blood-Glucose-Meter-No-Test-Strips-Included"," Accu-Chek Performa Blood Glucose Meter (No Test Strips Included)")</f>
        <v xml:space="preserve"> Accu-Chek Performa Blood Glucose Meter (No Test Strips Included)</v>
      </c>
      <c r="C10778" t="s">
        <v>113</v>
      </c>
      <c r="D10778" t="s">
        <v>419</v>
      </c>
    </row>
    <row r="10779" spans="1:4" x14ac:dyDescent="0.25">
      <c r="B10779" t="str">
        <f>HYPERLINK("https://www.chemistwarehouse.com.au/buy/66103/Accu-Chek-Mobile-Blood-Glucose-Meter-Kit"," Accu-Chek Mobile Blood Glucose Meter Kit")</f>
        <v xml:space="preserve"> Accu-Chek Mobile Blood Glucose Meter Kit</v>
      </c>
      <c r="C10779" t="s">
        <v>514</v>
      </c>
      <c r="D10779" t="s">
        <v>1105</v>
      </c>
    </row>
    <row r="10780" spans="1:4" x14ac:dyDescent="0.25">
      <c r="B10780" t="str">
        <f>HYPERLINK("https://www.chemistwarehouse.com.au/buy/80703/Accu-Chek-Guide-Meter-Kit"," Accu Chek Guide Meter Kit")</f>
        <v xml:space="preserve"> Accu Chek Guide Meter Kit</v>
      </c>
      <c r="C10780" t="s">
        <v>1942</v>
      </c>
      <c r="D10780" t="s">
        <v>2198</v>
      </c>
    </row>
    <row r="10781" spans="1:4" x14ac:dyDescent="0.25">
      <c r="A10781" t="s">
        <v>2199</v>
      </c>
    </row>
    <row r="10782" spans="1:4" x14ac:dyDescent="0.25">
      <c r="B10782" t="str">
        <f>HYPERLINK("https://www.chemistwarehouse.com.au/buy/54038/Accu-Chek-Multiclix-Lancet-102"," Accu-Chek Multiclix Lancet 102")</f>
        <v xml:space="preserve"> Accu-Chek Multiclix Lancet 102</v>
      </c>
      <c r="C10782" t="s">
        <v>401</v>
      </c>
      <c r="D10782" t="s">
        <v>2200</v>
      </c>
    </row>
    <row r="10783" spans="1:4" x14ac:dyDescent="0.25">
      <c r="B10783" t="str">
        <f>HYPERLINK("https://www.chemistwarehouse.com.au/buy/60944/Accu-Chek-FastClix-102"," Accu-Chek FastClix 102")</f>
        <v xml:space="preserve"> Accu-Chek FastClix 102</v>
      </c>
      <c r="C10783" t="s">
        <v>63</v>
      </c>
      <c r="D10783" t="s">
        <v>371</v>
      </c>
    </row>
    <row r="10784" spans="1:4" x14ac:dyDescent="0.25">
      <c r="B10784" t="str">
        <f>HYPERLINK("https://www.chemistwarehouse.com.au/buy/61009/Accu-Chek-Softclix-Lancing-Device"," Accu-Chek Softclix Lancing Device ")</f>
        <v xml:space="preserve"> Accu-Chek Softclix Lancing Device </v>
      </c>
      <c r="C10784" t="s">
        <v>1</v>
      </c>
      <c r="D10784" t="s">
        <v>312</v>
      </c>
    </row>
    <row r="10785" spans="1:4" x14ac:dyDescent="0.25">
      <c r="B10785" t="str">
        <f>HYPERLINK("https://www.chemistwarehouse.com.au/buy/61736/Accu-Chek-FastClix-Lancets-24"," Accu-Chek FastClix Lancets 24")</f>
        <v xml:space="preserve"> Accu-Chek FastClix Lancets 24</v>
      </c>
      <c r="C10785" t="s">
        <v>610</v>
      </c>
      <c r="D10785" t="s">
        <v>327</v>
      </c>
    </row>
    <row r="10786" spans="1:4" x14ac:dyDescent="0.25">
      <c r="B10786" t="str">
        <f>HYPERLINK("https://www.chemistwarehouse.com.au/buy/61739/Accu-Chek-Multiclix-Lancet-24"," Accu-Chek Multiclix Lancet 24")</f>
        <v xml:space="preserve"> Accu-Chek Multiclix Lancet 24</v>
      </c>
      <c r="C10786" t="s">
        <v>610</v>
      </c>
      <c r="D10786" t="s">
        <v>1640</v>
      </c>
    </row>
    <row r="10787" spans="1:4" x14ac:dyDescent="0.25">
      <c r="B10787" t="str">
        <f>HYPERLINK("https://www.chemistwarehouse.com.au/buy/79567/Accu-Chek-Fastclix-Device"," Accu Chek Fastclix Device")</f>
        <v xml:space="preserve"> Accu Chek Fastclix Device</v>
      </c>
      <c r="C10787" t="s">
        <v>1</v>
      </c>
      <c r="D10787" t="s">
        <v>2201</v>
      </c>
    </row>
    <row r="10788" spans="1:4" x14ac:dyDescent="0.25">
      <c r="B10788" t="str">
        <f>HYPERLINK("https://www.chemistwarehouse.com.au/buy/47585/Accu-Chek-Softclix-Lancets-100"," Accu-Chek Softclix Lancets 100")</f>
        <v xml:space="preserve"> Accu-Chek Softclix Lancets 100</v>
      </c>
      <c r="C10788" t="s">
        <v>237</v>
      </c>
      <c r="D10788" t="s">
        <v>115</v>
      </c>
    </row>
    <row r="10789" spans="1:4" x14ac:dyDescent="0.25">
      <c r="B10789" t="str">
        <f>HYPERLINK("https://www.chemistwarehouse.com.au/buy/47952/Accu-Chek-Softclix-Lancets-200"," Accu-Chek Softclix Lancets 200")</f>
        <v xml:space="preserve"> Accu-Chek Softclix Lancets 200</v>
      </c>
      <c r="C10789" t="s">
        <v>445</v>
      </c>
      <c r="D10789" t="s">
        <v>108</v>
      </c>
    </row>
    <row r="10790" spans="1:4" x14ac:dyDescent="0.25">
      <c r="A10790" t="s">
        <v>2202</v>
      </c>
    </row>
    <row r="10791" spans="1:4" x14ac:dyDescent="0.25">
      <c r="B10791" t="str">
        <f>HYPERLINK("https://www.chemistwarehouse.com.au/buy/60469/Accu-Chek-Go-Glucose-Control-Solution"," Accu-Chek Go Glucose Control Solution")</f>
        <v xml:space="preserve"> Accu-Chek Go Glucose Control Solution</v>
      </c>
      <c r="C10791" t="s">
        <v>404</v>
      </c>
      <c r="D10791">
        <v>0</v>
      </c>
    </row>
    <row r="10792" spans="1:4" x14ac:dyDescent="0.25">
      <c r="A10792" t="s">
        <v>2203</v>
      </c>
    </row>
    <row r="10793" spans="1:4" x14ac:dyDescent="0.25">
      <c r="B10793" t="str">
        <f>HYPERLINK("https://www.chemistwarehouse.com.au/buy/47604/Omron-Tens-Replacement-Electrode-Long-Life-Pads-1-pair-2pcs"," Omron Tens Replacement Electrode Long Life Pads 1 pair (2pcs)")</f>
        <v xml:space="preserve"> Omron Tens Replacement Electrode Long Life Pads 1 pair (2pcs)</v>
      </c>
      <c r="C10793" t="s">
        <v>266</v>
      </c>
      <c r="D10793">
        <v>0</v>
      </c>
    </row>
    <row r="10794" spans="1:4" x14ac:dyDescent="0.25">
      <c r="B10794" t="str">
        <f>HYPERLINK("https://www.chemistwarehouse.com.au/buy/56702/Radox-Muscle-Soothe-Bath-Salts-Relaxing-500g"," Radox Muscle Soothe Bath Salts Relaxing 500g")</f>
        <v xml:space="preserve"> Radox Muscle Soothe Bath Salts Relaxing 500g</v>
      </c>
      <c r="C10794" t="s">
        <v>116</v>
      </c>
      <c r="D10794" t="s">
        <v>2204</v>
      </c>
    </row>
    <row r="10795" spans="1:4" x14ac:dyDescent="0.25">
      <c r="B10795" t="str">
        <f>HYPERLINK("https://www.chemistwarehouse.com.au/buy/82204/Radox-Sleep-Easy-Bath-Soak-with-Chamomile-amp-Jasmine-500ml"," Radox Sleep Easy Bath Soak with Chamomile &amp; Jasmine 500ml")</f>
        <v xml:space="preserve"> Radox Sleep Easy Bath Soak with Chamomile &amp; Jasmine 500ml</v>
      </c>
      <c r="C10795" t="s">
        <v>483</v>
      </c>
      <c r="D10795">
        <v>0</v>
      </c>
    </row>
    <row r="10796" spans="1:4" x14ac:dyDescent="0.25">
      <c r="B10796" t="str">
        <f>HYPERLINK("https://www.chemistwarehouse.com.au/buy/68643/Radox-Muscle-Soak-Bath-Salts-400g"," Radox Muscle Soak Bath Salts 400g")</f>
        <v xml:space="preserve"> Radox Muscle Soak Bath Salts 400g</v>
      </c>
      <c r="C10796" t="s">
        <v>556</v>
      </c>
      <c r="D10796">
        <v>0</v>
      </c>
    </row>
    <row r="10797" spans="1:4" x14ac:dyDescent="0.25">
      <c r="B10797" t="str">
        <f>HYPERLINK("https://www.chemistwarehouse.com.au/buy/47606/Omron-Tens-Unit-HVF-127"," Omron Tens Unit HVF-127")</f>
        <v xml:space="preserve"> Omron Tens Unit HVF-127</v>
      </c>
      <c r="C10797" t="s">
        <v>2205</v>
      </c>
      <c r="D10797" t="s">
        <v>2206</v>
      </c>
    </row>
    <row r="10798" spans="1:4" x14ac:dyDescent="0.25">
      <c r="B10798" t="str">
        <f>HYPERLINK("https://www.chemistwarehouse.com.au/buy/47607/Omron-Tens-Unit-HVF-128"," Omron Tens Unit HVF-128")</f>
        <v xml:space="preserve"> Omron Tens Unit HVF-128</v>
      </c>
      <c r="C10798" t="s">
        <v>2207</v>
      </c>
      <c r="D10798" t="s">
        <v>303</v>
      </c>
    </row>
    <row r="10799" spans="1:4" x14ac:dyDescent="0.25">
      <c r="A10799" t="s">
        <v>2208</v>
      </c>
    </row>
    <row r="10800" spans="1:4" x14ac:dyDescent="0.25">
      <c r="B10800" t="str">
        <f>HYPERLINK("https://www.chemistwarehouse.com.au/buy/55705/Silence-Anti-Snoring-Spray-50ml"," Silence Anti-Snoring Spray 50ml")</f>
        <v xml:space="preserve"> Silence Anti-Snoring Spray 50ml</v>
      </c>
      <c r="C10800" t="s">
        <v>161</v>
      </c>
      <c r="D10800" t="s">
        <v>150</v>
      </c>
    </row>
    <row r="10801" spans="1:4" x14ac:dyDescent="0.25">
      <c r="A10801" t="s">
        <v>2209</v>
      </c>
    </row>
    <row r="10802" spans="1:4" x14ac:dyDescent="0.25">
      <c r="B10802" t="str">
        <f>HYPERLINK("https://www.chemistwarehouse.com.au/buy/1634/Breath-a-Tech-Child-Mask"," Breath-a-Tech Child Mask")</f>
        <v xml:space="preserve"> Breath-a-Tech Child Mask</v>
      </c>
      <c r="C10802" t="s">
        <v>782</v>
      </c>
      <c r="D10802" t="s">
        <v>325</v>
      </c>
    </row>
    <row r="10803" spans="1:4" x14ac:dyDescent="0.25">
      <c r="B10803" t="str">
        <f>HYPERLINK("https://www.chemistwarehouse.com.au/buy/1635/Breath-a-Tech-Inhaler-Spacer"," Breath-a-Tech Inhaler Spacer")</f>
        <v xml:space="preserve"> Breath-a-Tech Inhaler Spacer</v>
      </c>
      <c r="C10803" t="s">
        <v>248</v>
      </c>
      <c r="D10803" t="s">
        <v>329</v>
      </c>
    </row>
    <row r="10804" spans="1:4" x14ac:dyDescent="0.25">
      <c r="A10804" t="s">
        <v>2210</v>
      </c>
    </row>
    <row r="10805" spans="1:4" x14ac:dyDescent="0.25">
      <c r="B10805" t="str">
        <f>HYPERLINK("https://www.chemistwarehouse.com.au/buy/79797/Better-Air-Enviromental-Probiotics-Dispenser-Kit-Online-Only"," Better Air Enviromental Probiotics Dispenser Kit Online Only")</f>
        <v xml:space="preserve"> Better Air Enviromental Probiotics Dispenser Kit Online Only</v>
      </c>
      <c r="C10805" t="s">
        <v>2211</v>
      </c>
      <c r="D10805" t="s">
        <v>2212</v>
      </c>
    </row>
    <row r="10806" spans="1:4" x14ac:dyDescent="0.25">
      <c r="B10806" t="str">
        <f>HYPERLINK("https://www.chemistwarehouse.com.au/buy/79798/Better-Air-Enviromental-Probiotics-Spray-Pump-200ml-Online-Only"," Better Air Enviromental Probiotics Spray Pump 200ml Online Only")</f>
        <v xml:space="preserve"> Better Air Enviromental Probiotics Spray Pump 200ml Online Only</v>
      </c>
      <c r="C10806" t="s">
        <v>6</v>
      </c>
      <c r="D10806" t="s">
        <v>160</v>
      </c>
    </row>
    <row r="10807" spans="1:4" x14ac:dyDescent="0.25">
      <c r="B10807" t="str">
        <f>HYPERLINK("https://www.chemistwarehouse.com.au/buy/79799/Better-Air-Enviromental-Probiotics-Spray-Pump-50ml-Online-Only"," Better Air Enviromental Probiotics Spray Pump 50ml Online Only")</f>
        <v xml:space="preserve"> Better Air Enviromental Probiotics Spray Pump 50ml Online Only</v>
      </c>
      <c r="C10807" t="s">
        <v>237</v>
      </c>
      <c r="D10807" t="s">
        <v>157</v>
      </c>
    </row>
    <row r="10808" spans="1:4" x14ac:dyDescent="0.25">
      <c r="A10808" t="s">
        <v>2213</v>
      </c>
    </row>
    <row r="10809" spans="1:4" x14ac:dyDescent="0.25">
      <c r="B10809" t="str">
        <f>HYPERLINK("https://www.chemistwarehouse.com.au/buy/55555/Braun-ThermoScan-With-Bonus-Toy"," Braun ThermoScan With Bonus Toy")</f>
        <v xml:space="preserve"> Braun ThermoScan With Bonus Toy</v>
      </c>
      <c r="C10809" t="s">
        <v>564</v>
      </c>
      <c r="D10809" t="s">
        <v>71</v>
      </c>
    </row>
    <row r="10810" spans="1:4" x14ac:dyDescent="0.25">
      <c r="B10810" t="str">
        <f>HYPERLINK("https://www.chemistwarehouse.com.au/buy/68659/Vicks-Insight-Thermometer"," Vicks Insight Thermometer")</f>
        <v xml:space="preserve"> Vicks Insight Thermometer</v>
      </c>
      <c r="C10810" t="s">
        <v>1</v>
      </c>
      <c r="D10810" t="s">
        <v>165</v>
      </c>
    </row>
    <row r="10811" spans="1:4" x14ac:dyDescent="0.25">
      <c r="B10811" t="str">
        <f>HYPERLINK("https://www.chemistwarehouse.com.au/buy/75254/Braun-Thermoscan-5-IRT-6030"," Braun Thermoscan 5 IRT 6030")</f>
        <v xml:space="preserve"> Braun Thermoscan 5 IRT 6030</v>
      </c>
      <c r="C10811" t="s">
        <v>564</v>
      </c>
      <c r="D10811" t="s">
        <v>71</v>
      </c>
    </row>
    <row r="10812" spans="1:4" x14ac:dyDescent="0.25">
      <c r="B10812" t="str">
        <f>HYPERLINK("https://www.chemistwarehouse.com.au/buy/76846/Surgipack-6332-Thermometer-Ovulation-Digital"," Surgipack 6332 Thermometer Ovulation Digital")</f>
        <v xml:space="preserve"> Surgipack 6332 Thermometer Ovulation Digital</v>
      </c>
      <c r="C10812" t="s">
        <v>98</v>
      </c>
      <c r="D10812" t="s">
        <v>154</v>
      </c>
    </row>
    <row r="10813" spans="1:4" x14ac:dyDescent="0.25">
      <c r="B10813" t="str">
        <f>HYPERLINK("https://www.chemistwarehouse.com.au/buy/61250/Omron-MC341-10-Second-Read-Thermometer"," Omron MC341 10 Second Read Thermometer ")</f>
        <v xml:space="preserve"> Omron MC341 10 Second Read Thermometer </v>
      </c>
      <c r="C10813" t="s">
        <v>782</v>
      </c>
      <c r="D10813" t="s">
        <v>1029</v>
      </c>
    </row>
    <row r="10814" spans="1:4" x14ac:dyDescent="0.25">
      <c r="B10814" t="str">
        <f>HYPERLINK("https://www.chemistwarehouse.com.au/buy/68465/Omron-TH839S-Ear-Thermometer-Gift-With-Purchase"," Omron TH839S Ear Thermometer + Gift With Purchase")</f>
        <v xml:space="preserve"> Omron TH839S Ear Thermometer + Gift With Purchase</v>
      </c>
      <c r="C10814" t="s">
        <v>566</v>
      </c>
      <c r="D10814" t="s">
        <v>2214</v>
      </c>
    </row>
    <row r="10815" spans="1:4" x14ac:dyDescent="0.25">
      <c r="B10815" t="str">
        <f>HYPERLINK("https://www.chemistwarehouse.com.au/buy/60358/Omron-MC246-Digital-Thermometer"," Omron MC246 Digital Thermometer")</f>
        <v xml:space="preserve"> Omron MC246 Digital Thermometer</v>
      </c>
      <c r="C10815" t="s">
        <v>116</v>
      </c>
      <c r="D10815" t="s">
        <v>465</v>
      </c>
    </row>
    <row r="10816" spans="1:4" x14ac:dyDescent="0.25">
      <c r="B10816" t="str">
        <f>HYPERLINK("https://www.chemistwarehouse.com.au/buy/36322/Omron-Thermometer-Plastic-Probe-Cover-40"," Omron Thermometer Plastic Probe Cover 40")</f>
        <v xml:space="preserve"> Omron Thermometer Plastic Probe Cover 40</v>
      </c>
      <c r="C10816" t="s">
        <v>173</v>
      </c>
      <c r="D10816" t="s">
        <v>2215</v>
      </c>
    </row>
    <row r="10817" spans="1:4" x14ac:dyDescent="0.25">
      <c r="B10817" t="str">
        <f>HYPERLINK("https://www.chemistwarehouse.com.au/buy/32494/Braun-Thermoscan-Lens-Filters-LF40"," Braun Thermoscan Lens Filters LF40")</f>
        <v xml:space="preserve"> Braun Thermoscan Lens Filters LF40</v>
      </c>
      <c r="C10817" t="s">
        <v>187</v>
      </c>
      <c r="D10817" t="s">
        <v>145</v>
      </c>
    </row>
    <row r="10818" spans="1:4" x14ac:dyDescent="0.25">
      <c r="B10818" t="str">
        <f>HYPERLINK("https://www.chemistwarehouse.com.au/buy/60560/Omron-MC343F-Flexi-Tip-10-Second-Thermometer"," Omron MC343F Flexi Tip 10 Second Thermometer ")</f>
        <v xml:space="preserve"> Omron MC343F Flexi Tip 10 Second Thermometer </v>
      </c>
      <c r="C10818" t="s">
        <v>45</v>
      </c>
      <c r="D10818" t="s">
        <v>465</v>
      </c>
    </row>
    <row r="10819" spans="1:4" x14ac:dyDescent="0.25">
      <c r="B10819" t="str">
        <f>HYPERLINK("https://www.chemistwarehouse.com.au/buy/71759/Surgipack-Clear-Tip-Digital-Thermometer-2-Pack"," Surgipack Clear Tip Digital Thermometer 2 Pack")</f>
        <v xml:space="preserve"> Surgipack Clear Tip Digital Thermometer 2 Pack</v>
      </c>
      <c r="C10819" t="s">
        <v>103</v>
      </c>
      <c r="D10819" t="s">
        <v>147</v>
      </c>
    </row>
    <row r="10820" spans="1:4" x14ac:dyDescent="0.25">
      <c r="B10820" t="str">
        <f>HYPERLINK("https://www.chemistwarehouse.com.au/buy/76002/Braun-Touchless-Forehead-Thermometer"," Braun Touchless + Forehead Thermometer")</f>
        <v xml:space="preserve"> Braun Touchless + Forehead Thermometer</v>
      </c>
      <c r="C10820" t="s">
        <v>2216</v>
      </c>
      <c r="D10820" t="s">
        <v>145</v>
      </c>
    </row>
    <row r="10821" spans="1:4" x14ac:dyDescent="0.25">
      <c r="B10821" t="str">
        <f>HYPERLINK("https://www.chemistwarehouse.com.au/buy/68967/Surgipack-TraxIt-Wearable-Underarm-Thermometer-4-Pack"," Surgipack TraxIt Wearable Underarm Thermometer 4 Pack ")</f>
        <v xml:space="preserve"> Surgipack TraxIt Wearable Underarm Thermometer 4 Pack </v>
      </c>
      <c r="C10821" t="s">
        <v>103</v>
      </c>
      <c r="D10821" t="s">
        <v>641</v>
      </c>
    </row>
    <row r="10822" spans="1:4" x14ac:dyDescent="0.25">
      <c r="A10822" t="s">
        <v>2217</v>
      </c>
    </row>
    <row r="10823" spans="1:4" x14ac:dyDescent="0.25">
      <c r="B10823" t="str">
        <f>HYPERLINK("https://www.chemistwarehouse.com.au/buy/39380/Apex-Ultra-Pill-Splitter"," Apex Ultra Pill Splitter")</f>
        <v xml:space="preserve"> Apex Ultra Pill Splitter</v>
      </c>
      <c r="C10823" t="s">
        <v>45</v>
      </c>
      <c r="D10823" t="s">
        <v>150</v>
      </c>
    </row>
    <row r="10824" spans="1:4" x14ac:dyDescent="0.25">
      <c r="B10824" t="str">
        <f>HYPERLINK("https://www.chemistwarehouse.com.au/buy/51830/Apex-7-Day-Pill-Organiser-Extra-Large"," Apex 7 Day Pill Organiser- Extra Large")</f>
        <v xml:space="preserve"> Apex 7 Day Pill Organiser- Extra Large</v>
      </c>
      <c r="C10824" t="s">
        <v>116</v>
      </c>
      <c r="D10824" t="s">
        <v>147</v>
      </c>
    </row>
    <row r="10825" spans="1:4" x14ac:dyDescent="0.25">
      <c r="B10825" t="str">
        <f>HYPERLINK("https://www.chemistwarehouse.com.au/buy/51831/Apex-7-Day-Pill-Organiser-Medium"," Apex 7 Day Pill Organiser - Medium")</f>
        <v xml:space="preserve"> Apex 7 Day Pill Organiser - Medium</v>
      </c>
      <c r="C10825" t="s">
        <v>326</v>
      </c>
      <c r="D10825" t="s">
        <v>755</v>
      </c>
    </row>
    <row r="10826" spans="1:4" x14ac:dyDescent="0.25">
      <c r="B10826" t="str">
        <f>HYPERLINK("https://www.chemistwarehouse.com.au/buy/59871/Apex-70059A-Twice-a-Day-Weekly-Pill-Organizer"," Apex 70059A Twice-a-Day Weekly Pill Organizer")</f>
        <v xml:space="preserve"> Apex 70059A Twice-a-Day Weekly Pill Organizer</v>
      </c>
      <c r="C10826" t="s">
        <v>240</v>
      </c>
      <c r="D10826" t="s">
        <v>329</v>
      </c>
    </row>
    <row r="10827" spans="1:4" x14ac:dyDescent="0.25">
      <c r="B10827" t="str">
        <f>HYPERLINK("https://www.chemistwarehouse.com.au/buy/62008/Apex-7-Day-Medi-Planner"," Apex 7-Day Medi Planner ")</f>
        <v xml:space="preserve"> Apex 7-Day Medi Planner </v>
      </c>
      <c r="C10827" t="s">
        <v>58</v>
      </c>
      <c r="D10827" t="s">
        <v>165</v>
      </c>
    </row>
    <row r="10828" spans="1:4" x14ac:dyDescent="0.25">
      <c r="B10828" t="str">
        <f>HYPERLINK("https://www.chemistwarehouse.com.au/buy/62010/Apex-7-Day-Pill-Organiser-Extra-Large-Bubble-Lok"," Apex 7 Day Pill Organiser Extra Large Bubble Lok")</f>
        <v xml:space="preserve"> Apex 7 Day Pill Organiser Extra Large Bubble Lok</v>
      </c>
      <c r="C10828" t="s">
        <v>375</v>
      </c>
      <c r="D10828" t="s">
        <v>682</v>
      </c>
    </row>
    <row r="10829" spans="1:4" x14ac:dyDescent="0.25">
      <c r="B10829" t="str">
        <f>HYPERLINK("https://www.chemistwarehouse.com.au/buy/62013/Apex-AM-PM-Contour-Extra-Large-Pillbox-2-Pack"," Apex AM/PM Contour Extra Large Pillbox 2 Pack")</f>
        <v xml:space="preserve"> Apex AM/PM Contour Extra Large Pillbox 2 Pack</v>
      </c>
      <c r="C10829" t="s">
        <v>483</v>
      </c>
      <c r="D10829" t="s">
        <v>147</v>
      </c>
    </row>
    <row r="10830" spans="1:4" x14ac:dyDescent="0.25">
      <c r="B10830" t="str">
        <f>HYPERLINK("https://www.chemistwarehouse.com.au/buy/62088/Apex-70016A-Day-Planner-Small"," Apex 70016A Day Planner Small")</f>
        <v xml:space="preserve"> Apex 70016A Day Planner Small</v>
      </c>
      <c r="C10830" t="s">
        <v>728</v>
      </c>
      <c r="D10830" t="s">
        <v>1763</v>
      </c>
    </row>
    <row r="10831" spans="1:4" x14ac:dyDescent="0.25">
      <c r="B10831" t="str">
        <f>HYPERLINK("https://www.chemistwarehouse.com.au/buy/62089/Apex-70600A-Medi-Chest"," Apex 70600A Medi Chest")</f>
        <v xml:space="preserve"> Apex 70600A Medi Chest</v>
      </c>
      <c r="C10831" t="s">
        <v>401</v>
      </c>
      <c r="D10831" t="s">
        <v>376</v>
      </c>
    </row>
    <row r="10832" spans="1:4" x14ac:dyDescent="0.25">
      <c r="B10832" t="str">
        <f>HYPERLINK("https://www.chemistwarehouse.com.au/buy/62092/Apex-Oral-Medication-Syringe"," Apex Oral Medication Syringe")</f>
        <v xml:space="preserve"> Apex Oral Medication Syringe</v>
      </c>
      <c r="C10832" t="s">
        <v>120</v>
      </c>
      <c r="D10832" t="s">
        <v>755</v>
      </c>
    </row>
    <row r="10833" spans="1:4" x14ac:dyDescent="0.25">
      <c r="B10833" t="str">
        <f>HYPERLINK("https://www.chemistwarehouse.com.au/buy/62093/Apex-Oral-Medication-Syringe-with-Adapter"," Apex Oral Medication Syringe with Adapter")</f>
        <v xml:space="preserve"> Apex Oral Medication Syringe with Adapter</v>
      </c>
      <c r="C10833" t="s">
        <v>326</v>
      </c>
      <c r="D10833" t="s">
        <v>1320</v>
      </c>
    </row>
    <row r="10834" spans="1:4" x14ac:dyDescent="0.25">
      <c r="B10834" t="str">
        <f>HYPERLINK("https://www.chemistwarehouse.com.au/buy/62094/Apex-70054A-Pill-Tote"," Apex 70054A Pill Tote")</f>
        <v xml:space="preserve"> Apex 70054A Pill Tote</v>
      </c>
      <c r="C10834" t="s">
        <v>120</v>
      </c>
      <c r="D10834" t="s">
        <v>1763</v>
      </c>
    </row>
    <row r="10835" spans="1:4" x14ac:dyDescent="0.25">
      <c r="B10835" t="str">
        <f>HYPERLINK("https://www.chemistwarehouse.com.au/buy/62098/Apex-70005A-Super-Dropper"," Apex 70005A Super Dropper")</f>
        <v xml:space="preserve"> Apex 70005A Super Dropper</v>
      </c>
      <c r="C10835" t="s">
        <v>483</v>
      </c>
      <c r="D10835" t="s">
        <v>1443</v>
      </c>
    </row>
    <row r="10836" spans="1:4" x14ac:dyDescent="0.25">
      <c r="B10836" t="str">
        <f>HYPERLINK("https://www.chemistwarehouse.com.au/buy/62099/Apex-70071A-Ultra-Pill-Crusher"," Apex 70071A Ultra Pill Crusher")</f>
        <v xml:space="preserve"> Apex 70071A Ultra Pill Crusher</v>
      </c>
      <c r="C10836" t="s">
        <v>240</v>
      </c>
      <c r="D10836" t="s">
        <v>604</v>
      </c>
    </row>
    <row r="10837" spans="1:4" x14ac:dyDescent="0.25">
      <c r="B10837" t="str">
        <f>HYPERLINK("https://www.chemistwarehouse.com.au/buy/62095/Apex-Pocket-or-Purse-Pillbox-Dual-2-Pack"," Apex Pocket or Purse Pillbox Dual 2 Pack")</f>
        <v xml:space="preserve"> Apex Pocket or Purse Pillbox Dual 2 Pack</v>
      </c>
      <c r="C10837" t="s">
        <v>2218</v>
      </c>
      <c r="D10837" t="s">
        <v>2219</v>
      </c>
    </row>
    <row r="10838" spans="1:4" x14ac:dyDescent="0.25">
      <c r="B10838" t="str">
        <f>HYPERLINK("https://www.chemistwarehouse.com.au/buy/62097/Apex-60105A-Spoon-Dropper-Kit"," Apex 60105A Spoon/Dropper Kit")</f>
        <v xml:space="preserve"> Apex 60105A Spoon/Dropper Kit</v>
      </c>
      <c r="C10838" t="s">
        <v>355</v>
      </c>
      <c r="D10838" t="s">
        <v>327</v>
      </c>
    </row>
    <row r="10839" spans="1:4" x14ac:dyDescent="0.25">
      <c r="B10839" t="str">
        <f>HYPERLINK("https://www.chemistwarehouse.com.au/buy/62090/Apex-70007A-Medicine-Dropper"," Apex 70007A Medicine Dropper")</f>
        <v xml:space="preserve"> Apex 70007A Medicine Dropper</v>
      </c>
      <c r="C10839" t="s">
        <v>483</v>
      </c>
      <c r="D10839" t="s">
        <v>1443</v>
      </c>
    </row>
    <row r="10840" spans="1:4" x14ac:dyDescent="0.25">
      <c r="B10840" t="str">
        <f>HYPERLINK("https://www.chemistwarehouse.com.au/buy/62091/Apex-70001A-Medicine-Spoon"," Apex 70001A Medicine Spoon")</f>
        <v xml:space="preserve"> Apex 70001A Medicine Spoon</v>
      </c>
      <c r="C10840" t="s">
        <v>728</v>
      </c>
      <c r="D10840" t="s">
        <v>147</v>
      </c>
    </row>
    <row r="10841" spans="1:4" x14ac:dyDescent="0.25">
      <c r="A10841" t="s">
        <v>2220</v>
      </c>
    </row>
    <row r="10842" spans="1:4" x14ac:dyDescent="0.25">
      <c r="B10842" t="str">
        <f>HYPERLINK("https://www.chemistwarehouse.com.au/buy/6245/Micardis-80mg-Tablets-28"," Micardis 80mg Tablets 28")</f>
        <v xml:space="preserve"> Micardis 80mg Tablets 28</v>
      </c>
      <c r="C10842" t="s">
        <v>546</v>
      </c>
      <c r="D10842">
        <v>0</v>
      </c>
    </row>
    <row r="10843" spans="1:4" x14ac:dyDescent="0.25">
      <c r="B10843" t="str">
        <f>HYPERLINK("https://www.chemistwarehouse.com.au/buy/66236/Atorvastatin-Sandoz-20mg-Tablets-30"," Atorvastatin Sandoz 20mg Tablets 30 ")</f>
        <v xml:space="preserve"> Atorvastatin Sandoz 20mg Tablets 30 </v>
      </c>
      <c r="C10843" t="s">
        <v>253</v>
      </c>
      <c r="D10843">
        <v>0</v>
      </c>
    </row>
    <row r="10844" spans="1:4" x14ac:dyDescent="0.25">
      <c r="B10844" t="str">
        <f>HYPERLINK("https://www.chemistwarehouse.com.au/buy/8495/Zomig-2-5mg-Tablets-2"," Zomig 2.5mg Tablets 2")</f>
        <v xml:space="preserve"> Zomig 2.5mg Tablets 2</v>
      </c>
      <c r="C10844" t="s">
        <v>257</v>
      </c>
      <c r="D10844">
        <v>0</v>
      </c>
    </row>
    <row r="10845" spans="1:4" x14ac:dyDescent="0.25">
      <c r="B10845" t="str">
        <f>HYPERLINK("https://www.chemistwarehouse.com.au/buy/42317/Pariet-20mg-Tablets-30"," Pariet 20mg Tablets 30")</f>
        <v xml:space="preserve"> Pariet 20mg Tablets 30</v>
      </c>
      <c r="C10845" t="s">
        <v>237</v>
      </c>
      <c r="D10845">
        <v>0</v>
      </c>
    </row>
    <row r="10846" spans="1:4" x14ac:dyDescent="0.25">
      <c r="B10846" t="str">
        <f>HYPERLINK("https://www.chemistwarehouse.com.au/buy/66238/Atorvastatin-Sandoz-80mg-Tablets-30"," Atorvastatin Sandoz 80mg Tablets 30")</f>
        <v xml:space="preserve"> Atorvastatin Sandoz 80mg Tablets 30</v>
      </c>
      <c r="C10846" t="s">
        <v>235</v>
      </c>
      <c r="D10846">
        <v>0</v>
      </c>
    </row>
    <row r="10847" spans="1:4" x14ac:dyDescent="0.25">
      <c r="B10847" t="str">
        <f>HYPERLINK("https://www.chemistwarehouse.com.au/buy/66237/Atorvastatin-Sandoz-40mg-Tablets-30"," Atorvastatin Sandoz 40mg Tablets 30")</f>
        <v xml:space="preserve"> Atorvastatin Sandoz 40mg Tablets 30</v>
      </c>
      <c r="C10847" t="s">
        <v>116</v>
      </c>
      <c r="D10847">
        <v>0</v>
      </c>
    </row>
    <row r="10848" spans="1:4" x14ac:dyDescent="0.25">
      <c r="B10848" t="str">
        <f>HYPERLINK("https://www.chemistwarehouse.com.au/buy/42595/Nexium-20mg-Tablets-30"," Nexium 20mg Tablets 30")</f>
        <v xml:space="preserve"> Nexium 20mg Tablets 30</v>
      </c>
      <c r="C10848" t="s">
        <v>63</v>
      </c>
      <c r="D10848">
        <v>0</v>
      </c>
    </row>
    <row r="10849" spans="2:4" x14ac:dyDescent="0.25">
      <c r="B10849" t="str">
        <f>HYPERLINK("https://www.chemistwarehouse.com.au/buy/5992/Lipitor-40mg-Tablets-30"," Lipitor 40mg Tablets 30")</f>
        <v xml:space="preserve"> Lipitor 40mg Tablets 30</v>
      </c>
      <c r="C10849" t="s">
        <v>92</v>
      </c>
      <c r="D10849">
        <v>0</v>
      </c>
    </row>
    <row r="10850" spans="2:4" x14ac:dyDescent="0.25">
      <c r="B10850" t="str">
        <f>HYPERLINK("https://www.chemistwarehouse.com.au/buy/62153/Zolpidem-Sandoz-10mg-Tablets-14"," Zolpidem Sandoz 10mg Tablets 14 ")</f>
        <v xml:space="preserve"> Zolpidem Sandoz 10mg Tablets 14 </v>
      </c>
      <c r="C10850" t="s">
        <v>32</v>
      </c>
      <c r="D10850">
        <v>0</v>
      </c>
    </row>
    <row r="10851" spans="2:4" x14ac:dyDescent="0.25">
      <c r="B10851" t="str">
        <f>HYPERLINK("https://www.chemistwarehouse.com.au/buy/61362/Viagra-100mg-Tablets-12"," Viagra 100mg Tablets 12")</f>
        <v xml:space="preserve"> Viagra 100mg Tablets 12</v>
      </c>
      <c r="C10851" t="s">
        <v>6</v>
      </c>
      <c r="D10851">
        <v>0</v>
      </c>
    </row>
    <row r="10852" spans="2:4" x14ac:dyDescent="0.25">
      <c r="B10852" t="str">
        <f>HYPERLINK("https://www.chemistwarehouse.com.au/buy/61017/Amlodipine-Sandoz-5mg-Tablets-30"," Amlodipine Sandoz 5mg Tablets 30 ")</f>
        <v xml:space="preserve"> Amlodipine Sandoz 5mg Tablets 30 </v>
      </c>
      <c r="C10852" t="s">
        <v>253</v>
      </c>
      <c r="D10852">
        <v>0</v>
      </c>
    </row>
    <row r="10853" spans="2:4" x14ac:dyDescent="0.25">
      <c r="B10853" t="str">
        <f>HYPERLINK("https://www.chemistwarehouse.com.au/buy/61953/Amlodipine-Sandoz-10mg-Tablets-30"," Amlodipine Sandoz 10mg Tablets 30 ")</f>
        <v xml:space="preserve"> Amlodipine Sandoz 10mg Tablets 30 </v>
      </c>
      <c r="C10853" t="s">
        <v>253</v>
      </c>
      <c r="D10853">
        <v>0</v>
      </c>
    </row>
    <row r="10854" spans="2:4" x14ac:dyDescent="0.25">
      <c r="B10854" t="str">
        <f>HYPERLINK("https://www.chemistwarehouse.com.au/buy/64884/Idaprex-4mg-Tablets-30"," Idaprex 4mg Tablets 30")</f>
        <v xml:space="preserve"> Idaprex 4mg Tablets 30</v>
      </c>
      <c r="C10854" t="s">
        <v>116</v>
      </c>
      <c r="D10854">
        <v>0</v>
      </c>
    </row>
    <row r="10855" spans="2:4" x14ac:dyDescent="0.25">
      <c r="B10855" t="str">
        <f>HYPERLINK("https://www.chemistwarehouse.com.au/buy/7252/Presolol-200mg-Tablets-100"," Presolol 200mg Tablets 100")</f>
        <v xml:space="preserve"> Presolol 200mg Tablets 100</v>
      </c>
      <c r="C10855" t="s">
        <v>301</v>
      </c>
      <c r="D10855">
        <v>0</v>
      </c>
    </row>
    <row r="10856" spans="2:4" x14ac:dyDescent="0.25">
      <c r="B10856" t="str">
        <f>HYPERLINK("https://www.chemistwarehouse.com.au/buy/47401/Lexapro-10mg-Tablets-28"," Lexapro 10mg Tablets 28")</f>
        <v xml:space="preserve"> Lexapro 10mg Tablets 28</v>
      </c>
      <c r="C10856" t="s">
        <v>546</v>
      </c>
      <c r="D10856">
        <v>0</v>
      </c>
    </row>
    <row r="10857" spans="2:4" x14ac:dyDescent="0.25">
      <c r="B10857" t="str">
        <f>HYPERLINK("https://www.chemistwarehouse.com.au/buy/68568/Rosuvastatin-Sandoz-10mg-Tablets-30"," Rosuvastatin Sandoz 10mg Tablets 30 ")</f>
        <v xml:space="preserve"> Rosuvastatin Sandoz 10mg Tablets 30 </v>
      </c>
      <c r="C10857" t="s">
        <v>45</v>
      </c>
      <c r="D10857">
        <v>0</v>
      </c>
    </row>
    <row r="10858" spans="2:4" x14ac:dyDescent="0.25">
      <c r="B10858" t="str">
        <f>HYPERLINK("https://www.chemistwarehouse.com.au/buy/61969/Atenolol-Sandoz-50mg-Tablets-30"," Atenolol Sandoz 50mg Tablets 30")</f>
        <v xml:space="preserve"> Atenolol Sandoz 50mg Tablets 30</v>
      </c>
      <c r="C10858" t="s">
        <v>253</v>
      </c>
      <c r="D10858">
        <v>0</v>
      </c>
    </row>
    <row r="10859" spans="2:4" x14ac:dyDescent="0.25">
      <c r="B10859" t="str">
        <f>HYPERLINK("https://www.chemistwarehouse.com.au/buy/39946/Estalis-Continuous-50-140-Patches-8"," Estalis Continuous 50/140 Patches 8")</f>
        <v xml:space="preserve"> Estalis Continuous 50/140 Patches 8</v>
      </c>
      <c r="C10859" t="s">
        <v>1531</v>
      </c>
      <c r="D10859">
        <v>0</v>
      </c>
    </row>
    <row r="10860" spans="2:4" x14ac:dyDescent="0.25">
      <c r="B10860" t="str">
        <f>HYPERLINK("https://www.chemistwarehouse.com.au/buy/50759/Caduet-5-20mg-Tablets-30"," Caduet 5/20mg Tablets 30")</f>
        <v xml:space="preserve"> Caduet 5/20mg Tablets 30</v>
      </c>
      <c r="C10860" t="s">
        <v>242</v>
      </c>
      <c r="D10860">
        <v>0</v>
      </c>
    </row>
    <row r="10861" spans="2:4" x14ac:dyDescent="0.25">
      <c r="B10861" t="str">
        <f>HYPERLINK("https://www.chemistwarehouse.com.au/buy/2793/Cordilox-SR-180mg-Tablets-30"," Cordilox SR 180mg Tablets 30")</f>
        <v xml:space="preserve"> Cordilox SR 180mg Tablets 30</v>
      </c>
      <c r="C10861" t="s">
        <v>45</v>
      </c>
      <c r="D10861">
        <v>0</v>
      </c>
    </row>
    <row r="10862" spans="2:4" x14ac:dyDescent="0.25">
      <c r="B10862" t="str">
        <f>HYPERLINK("https://www.chemistwarehouse.com.au/buy/5457/Hydrene-25-50mg-Tablets-100"," Hydrene 25/50mg Tablets 100")</f>
        <v xml:space="preserve"> Hydrene 25/50mg Tablets 100</v>
      </c>
      <c r="C10862" t="s">
        <v>32</v>
      </c>
      <c r="D10862">
        <v>0</v>
      </c>
    </row>
    <row r="10863" spans="2:4" x14ac:dyDescent="0.25">
      <c r="B10863" t="str">
        <f>HYPERLINK("https://www.chemistwarehouse.com.au/buy/7817/Somac-40mg-Tablets-30"," Somac 40mg Tablets 30")</f>
        <v xml:space="preserve"> Somac 40mg Tablets 30</v>
      </c>
      <c r="C10863" t="s">
        <v>103</v>
      </c>
      <c r="D10863">
        <v>0</v>
      </c>
    </row>
    <row r="10864" spans="2:4" x14ac:dyDescent="0.25">
      <c r="B10864" t="str">
        <f>HYPERLINK("https://www.chemistwarehouse.com.au/buy/53935/Cialis-5mg-Tablets-28"," Cialis 5mg Tablets 28")</f>
        <v xml:space="preserve"> Cialis 5mg Tablets 28</v>
      </c>
      <c r="C10864" t="s">
        <v>2221</v>
      </c>
      <c r="D10864">
        <v>0</v>
      </c>
    </row>
    <row r="10865" spans="1:4" x14ac:dyDescent="0.25">
      <c r="B10865" t="str">
        <f>HYPERLINK("https://www.chemistwarehouse.com.au/buy/62112/Pantoprazole-Sandoz-40mg-Tablets-30"," Pantoprazole Sandoz 40mg Tablets 30")</f>
        <v xml:space="preserve"> Pantoprazole Sandoz 40mg Tablets 30</v>
      </c>
      <c r="C10865" t="s">
        <v>116</v>
      </c>
      <c r="D10865">
        <v>0</v>
      </c>
    </row>
    <row r="10866" spans="1:4" x14ac:dyDescent="0.25">
      <c r="A10866" t="s">
        <v>2222</v>
      </c>
    </row>
    <row r="10867" spans="1:4" x14ac:dyDescent="0.25">
      <c r="B10867" t="str">
        <f>HYPERLINK("https://www.chemistwarehouse.com.au/buy/49055/Heartgard-30-Plus-Chewables-for-dogs-up-to-11kg-Blue-6-pack"," Heartgard 30 Plus Chewables for dogs up to 11kg (Blue) 6 pack")</f>
        <v xml:space="preserve"> Heartgard 30 Plus Chewables for dogs up to 11kg (Blue) 6 pack</v>
      </c>
      <c r="C10867" t="s">
        <v>321</v>
      </c>
      <c r="D10867" t="s">
        <v>867</v>
      </c>
    </row>
    <row r="10868" spans="1:4" x14ac:dyDescent="0.25">
      <c r="B10868" t="str">
        <f>HYPERLINK("https://www.chemistwarehouse.com.au/buy/49056/Heartgard-30-Plus-Chewables-for-dogs-12-22-kg-Green-6-pack"," Heartgard 30 Plus Chewables for dogs 12-22 kg (Green) 6 pack")</f>
        <v xml:space="preserve"> Heartgard 30 Plus Chewables for dogs 12-22 kg (Green) 6 pack</v>
      </c>
      <c r="C10868" t="s">
        <v>491</v>
      </c>
      <c r="D10868" t="s">
        <v>446</v>
      </c>
    </row>
    <row r="10869" spans="1:4" x14ac:dyDescent="0.25">
      <c r="B10869" t="str">
        <f>HYPERLINK("https://www.chemistwarehouse.com.au/buy/49057/Heartgard-30-Plus-Chewables-for-dogs-23-45kg-Brown-6-pack"," Heartgard 30 Plus Chewables for dogs 23-45kg (Brown) 6 pack")</f>
        <v xml:space="preserve"> Heartgard 30 Plus Chewables for dogs 23-45kg (Brown) 6 pack</v>
      </c>
      <c r="C10869" t="s">
        <v>1233</v>
      </c>
      <c r="D10869" t="s">
        <v>356</v>
      </c>
    </row>
    <row r="10870" spans="1:4" x14ac:dyDescent="0.25">
      <c r="A10870" t="s">
        <v>2223</v>
      </c>
    </row>
    <row r="10871" spans="1:4" x14ac:dyDescent="0.25">
      <c r="B10871" t="str">
        <f>HYPERLINK("https://www.chemistwarehouse.com.au/buy/61557/Advocate-Dog-Large-10-25KG-6"," Advocate Dog Large 10-25KG 6")</f>
        <v xml:space="preserve"> Advocate Dog Large 10-25KG 6</v>
      </c>
      <c r="C10871" t="s">
        <v>2224</v>
      </c>
      <c r="D10871" t="s">
        <v>2225</v>
      </c>
    </row>
    <row r="10872" spans="1:4" x14ac:dyDescent="0.25">
      <c r="B10872" t="str">
        <f>HYPERLINK("https://www.chemistwarehouse.com.au/buy/49069/Revolution-for-Cats-2-6-7-5kg-6-pack"," Revolution for Cats 2.6 - 7.5kg 6 pack")</f>
        <v xml:space="preserve"> Revolution for Cats 2.6 - 7.5kg 6 pack</v>
      </c>
      <c r="C10872" t="s">
        <v>2226</v>
      </c>
      <c r="D10872" t="s">
        <v>2227</v>
      </c>
    </row>
    <row r="10873" spans="1:4" x14ac:dyDescent="0.25">
      <c r="B10873" t="str">
        <f>HYPERLINK("https://www.chemistwarehouse.com.au/buy/49070/Revolution-for-Dogs-Purple-2-6-5-kg-6-pack"," Revolution for Dogs Purple 2.6 - 5 kg 6 pack")</f>
        <v xml:space="preserve"> Revolution for Dogs Purple 2.6 - 5 kg 6 pack</v>
      </c>
      <c r="C10873" t="s">
        <v>2228</v>
      </c>
      <c r="D10873" t="s">
        <v>2229</v>
      </c>
    </row>
    <row r="10874" spans="1:4" x14ac:dyDescent="0.25">
      <c r="B10874" t="str">
        <f>HYPERLINK("https://www.chemistwarehouse.com.au/buy/49071/Revolution-for-Dogs-Brown-5-1-10-kg-6-pack"," Revolution for Dogs Brown 5.1 - 10 kg 6 pack")</f>
        <v xml:space="preserve"> Revolution for Dogs Brown 5.1 - 10 kg 6 pack</v>
      </c>
      <c r="C10874" t="s">
        <v>2230</v>
      </c>
      <c r="D10874" t="s">
        <v>2231</v>
      </c>
    </row>
    <row r="10875" spans="1:4" x14ac:dyDescent="0.25">
      <c r="B10875" t="str">
        <f>HYPERLINK("https://www.chemistwarehouse.com.au/buy/49072/Revolution-for-Dogs-Red-10-1-20-kg-6-pack"," Revolution for Dogs Red 10.1 - 20 kg 6 pack")</f>
        <v xml:space="preserve"> Revolution for Dogs Red 10.1 - 20 kg 6 pack</v>
      </c>
      <c r="C10875" t="s">
        <v>2205</v>
      </c>
      <c r="D10875" t="s">
        <v>50</v>
      </c>
    </row>
    <row r="10876" spans="1:4" x14ac:dyDescent="0.25">
      <c r="B10876" t="str">
        <f>HYPERLINK("https://www.chemistwarehouse.com.au/buy/49073/Revolution-for-Dogs-Teal-20-1-40-kg-6-pack"," Revolution for Dogs Teal 20.1 - 40 kg 6 pack")</f>
        <v xml:space="preserve"> Revolution for Dogs Teal 20.1 - 40 kg 6 pack</v>
      </c>
      <c r="C10876" t="s">
        <v>2232</v>
      </c>
      <c r="D10876" t="s">
        <v>2233</v>
      </c>
    </row>
    <row r="10877" spans="1:4" x14ac:dyDescent="0.25">
      <c r="B10877" t="str">
        <f>HYPERLINK("https://www.chemistwarehouse.com.au/buy/49193/Advocate-for-Dogs-Extra-Large-over-25-kg-6-pack"," Advocate for Dogs Extra Large over 25 kg 6 pack")</f>
        <v xml:space="preserve"> Advocate for Dogs Extra Large over 25 kg 6 pack</v>
      </c>
      <c r="C10877" t="s">
        <v>2234</v>
      </c>
      <c r="D10877" t="s">
        <v>2235</v>
      </c>
    </row>
    <row r="10878" spans="1:4" x14ac:dyDescent="0.25">
      <c r="B10878" t="str">
        <f>HYPERLINK("https://www.chemistwarehouse.com.au/buy/49200/Revolution-for-Puppies-and-Kittens-up-to-2-5-kg-3-pack"," Revolution for Puppies and Kittens up to 2.5 kg 3 pack")</f>
        <v xml:space="preserve"> Revolution for Puppies and Kittens up to 2.5 kg 3 pack</v>
      </c>
      <c r="C10878" t="s">
        <v>255</v>
      </c>
      <c r="D10878" t="s">
        <v>2236</v>
      </c>
    </row>
    <row r="10879" spans="1:4" x14ac:dyDescent="0.25">
      <c r="B10879" t="str">
        <f>HYPERLINK("https://www.chemistwarehouse.com.au/buy/61553/Advocate-Cat-0-4KG-Small-6"," Advocate Cat 0-4KG Small 6")</f>
        <v xml:space="preserve"> Advocate Cat 0-4KG Small 6</v>
      </c>
      <c r="C10879" t="s">
        <v>2237</v>
      </c>
      <c r="D10879" t="s">
        <v>1413</v>
      </c>
    </row>
    <row r="10880" spans="1:4" x14ac:dyDescent="0.25">
      <c r="B10880" t="str">
        <f>HYPERLINK("https://www.chemistwarehouse.com.au/buy/61554/Advocate-Cat-4KG-plus-Large-6"," Advocate Cat 4KG plus Large 6")</f>
        <v xml:space="preserve"> Advocate Cat 4KG plus Large 6</v>
      </c>
      <c r="C10880" t="s">
        <v>2238</v>
      </c>
      <c r="D10880" t="s">
        <v>2239</v>
      </c>
    </row>
    <row r="10881" spans="1:4" x14ac:dyDescent="0.25">
      <c r="B10881" t="str">
        <f>HYPERLINK("https://www.chemistwarehouse.com.au/buy/61555/Advocate-Dog-0-4KG-Small-3"," Advocate Dog 0-4KG Small 3")</f>
        <v xml:space="preserve"> Advocate Dog 0-4KG Small 3</v>
      </c>
      <c r="C10881" t="s">
        <v>513</v>
      </c>
      <c r="D10881" t="s">
        <v>2240</v>
      </c>
    </row>
    <row r="10882" spans="1:4" x14ac:dyDescent="0.25">
      <c r="B10882" t="str">
        <f>HYPERLINK("https://www.chemistwarehouse.com.au/buy/61556/Advocate-Dog-Medium-4-10KG-6"," Advocate Dog Medium 4-10KG 6")</f>
        <v xml:space="preserve"> Advocate Dog Medium 4-10KG 6</v>
      </c>
      <c r="C10882" t="s">
        <v>2241</v>
      </c>
      <c r="D10882" t="s">
        <v>2242</v>
      </c>
    </row>
    <row r="10883" spans="1:4" x14ac:dyDescent="0.25">
      <c r="A10883" t="s">
        <v>2243</v>
      </c>
    </row>
    <row r="10884" spans="1:4" x14ac:dyDescent="0.25">
      <c r="B10884" t="str">
        <f>HYPERLINK("https://www.chemistwarehouse.com.au/buy/53929/Drontal-Allwormer-for-Large-Dogs-35kg-2-Chews"," Drontal Allwormer for Large Dogs 35kg 2 Chews")</f>
        <v xml:space="preserve"> Drontal Allwormer for Large Dogs 35kg 2 Chews</v>
      </c>
      <c r="C10884" t="s">
        <v>511</v>
      </c>
      <c r="D10884" t="s">
        <v>2244</v>
      </c>
    </row>
    <row r="10885" spans="1:4" x14ac:dyDescent="0.25">
      <c r="B10885" t="str">
        <f>HYPERLINK("https://www.chemistwarehouse.com.au/buy/53930/Drontal-Cat-Allwormer-2-Tablets-Applicator"," Drontal Cat Allwormer 2 Tablets + Applicator")</f>
        <v xml:space="preserve"> Drontal Cat Allwormer 2 Tablets + Applicator</v>
      </c>
      <c r="C10885" t="s">
        <v>495</v>
      </c>
      <c r="D10885" t="s">
        <v>1452</v>
      </c>
    </row>
    <row r="10886" spans="1:4" x14ac:dyDescent="0.25">
      <c r="B10886" t="str">
        <f>HYPERLINK("https://www.chemistwarehouse.com.au/buy/53931/Drontal-Allwormer-for-Medium-Dogs-10kg-2-Chews"," Drontal Allwormer for Medium Dogs 10kg 2 Chews")</f>
        <v xml:space="preserve"> Drontal Allwormer for Medium Dogs 10kg 2 Chews</v>
      </c>
      <c r="C10886" t="s">
        <v>432</v>
      </c>
      <c r="D10886" t="s">
        <v>784</v>
      </c>
    </row>
    <row r="10887" spans="1:4" x14ac:dyDescent="0.25">
      <c r="A10887" t="s">
        <v>2245</v>
      </c>
    </row>
    <row r="10888" spans="1:4" x14ac:dyDescent="0.25">
      <c r="B10888" t="str">
        <f>HYPERLINK("https://www.chemistwarehouse.com.au/buy/49059/Frontline-Plus-for-Cats-6-pack"," Frontline Plus for Cats 6 pack")</f>
        <v xml:space="preserve"> Frontline Plus for Cats 6 pack</v>
      </c>
      <c r="C10888" t="s">
        <v>328</v>
      </c>
      <c r="D10888" t="s">
        <v>167</v>
      </c>
    </row>
    <row r="10889" spans="1:4" x14ac:dyDescent="0.25">
      <c r="B10889" t="str">
        <f>HYPERLINK("https://www.chemistwarehouse.com.au/buy/49060/Frontline-Plus-for-Small-Dogs-up-to-10kg-6-pack"," Frontline Plus for Small Dogs up to 10kg 6 pack")</f>
        <v xml:space="preserve"> Frontline Plus for Small Dogs up to 10kg 6 pack</v>
      </c>
      <c r="C10889" t="s">
        <v>328</v>
      </c>
      <c r="D10889" t="s">
        <v>167</v>
      </c>
    </row>
    <row r="10890" spans="1:4" x14ac:dyDescent="0.25">
      <c r="B10890" t="str">
        <f>HYPERLINK("https://www.chemistwarehouse.com.au/buy/49061/Frontline-Plus-for-Medium-Dogs-10-to-20-kg-6-pack"," Frontline Plus for Medium Dogs 10 to 20 kg 6 pack")</f>
        <v xml:space="preserve"> Frontline Plus for Medium Dogs 10 to 20 kg 6 pack</v>
      </c>
      <c r="C10890" t="s">
        <v>2246</v>
      </c>
      <c r="D10890" t="s">
        <v>2247</v>
      </c>
    </row>
    <row r="10891" spans="1:4" x14ac:dyDescent="0.25">
      <c r="B10891" t="str">
        <f>HYPERLINK("https://www.chemistwarehouse.com.au/buy/49062/Frontline-Plus-for-Large-Dogs-20-to-40-kg-6-pack"," Frontline Plus for Large Dogs 20 to 40 kg 6 pack")</f>
        <v xml:space="preserve"> Frontline Plus for Large Dogs 20 to 40 kg 6 pack</v>
      </c>
      <c r="C10891" t="s">
        <v>2248</v>
      </c>
      <c r="D10891" t="s">
        <v>2249</v>
      </c>
    </row>
    <row r="10892" spans="1:4" x14ac:dyDescent="0.25">
      <c r="B10892" t="str">
        <f>HYPERLINK("https://www.chemistwarehouse.com.au/buy/49096/Advantix-for-Medium-Dogs-4-10-kg-6-pack"," Advantix for Medium Dogs 4 - 10 kg 6 pack")</f>
        <v xml:space="preserve"> Advantix for Medium Dogs 4 - 10 kg 6 pack</v>
      </c>
      <c r="C10892" t="s">
        <v>2250</v>
      </c>
      <c r="D10892" t="s">
        <v>2251</v>
      </c>
    </row>
    <row r="10893" spans="1:4" x14ac:dyDescent="0.25">
      <c r="B10893" t="str">
        <f>HYPERLINK("https://www.chemistwarehouse.com.au/buy/49097/Advantix-for-Large-Dogs-10-25-kg-6-pack"," Advantix for Large Dogs 10 - 25 kg 6 pack")</f>
        <v xml:space="preserve"> Advantix for Large Dogs 10 - 25 kg 6 pack</v>
      </c>
      <c r="C10893" t="s">
        <v>2252</v>
      </c>
      <c r="D10893" t="s">
        <v>46</v>
      </c>
    </row>
    <row r="10894" spans="1:4" x14ac:dyDescent="0.25">
      <c r="B10894" t="str">
        <f>HYPERLINK("https://www.chemistwarehouse.com.au/buy/49098/Advantix-for-Dogs-over-25-kg-6-pack"," Advantix for Dogs over 25 kg 6 pack")</f>
        <v xml:space="preserve"> Advantix for Dogs over 25 kg 6 pack</v>
      </c>
      <c r="C10894" t="s">
        <v>2253</v>
      </c>
      <c r="D10894" t="s">
        <v>4</v>
      </c>
    </row>
    <row r="10895" spans="1:4" x14ac:dyDescent="0.25">
      <c r="B10895" t="str">
        <f>HYPERLINK("https://www.chemistwarehouse.com.au/buy/60561/Frontline-Plus-for-Extra-Large-Dog-40-60Kg-6-Pack"," Frontline Plus for Extra Large Dog 40-60Kg 6 Pack")</f>
        <v xml:space="preserve"> Frontline Plus for Extra Large Dog 40-60Kg 6 Pack</v>
      </c>
      <c r="C10895" t="s">
        <v>742</v>
      </c>
      <c r="D10895" t="s">
        <v>167</v>
      </c>
    </row>
    <row r="10896" spans="1:4" x14ac:dyDescent="0.25">
      <c r="B10896" t="str">
        <f>HYPERLINK("https://www.chemistwarehouse.com.au/buy/77888/Kiltix-Flea-Tick-Dog-Collar"," Kiltix Flea/Tick Dog Collar")</f>
        <v xml:space="preserve"> Kiltix Flea/Tick Dog Collar</v>
      </c>
      <c r="C10896" t="s">
        <v>187</v>
      </c>
      <c r="D10896" t="s">
        <v>2254</v>
      </c>
    </row>
    <row r="10897" spans="1:4" x14ac:dyDescent="0.25">
      <c r="A10897" t="s">
        <v>2255</v>
      </c>
    </row>
    <row r="10898" spans="1:4" x14ac:dyDescent="0.25">
      <c r="B10898" t="str">
        <f>HYPERLINK("https://www.chemistwarehouse.com.au/buy/49064/Advantage-for-Kittens-amp-Cats-up-to-4kg-6-pack"," Advantage for Kittens &amp; Cats up to 4kg 6 pack")</f>
        <v xml:space="preserve"> Advantage for Kittens &amp; Cats up to 4kg 6 pack</v>
      </c>
      <c r="C10898" t="s">
        <v>2256</v>
      </c>
      <c r="D10898" t="s">
        <v>2257</v>
      </c>
    </row>
    <row r="10899" spans="1:4" x14ac:dyDescent="0.25">
      <c r="B10899" t="str">
        <f>HYPERLINK("https://www.chemistwarehouse.com.au/buy/49065/Advantage-for-Cats-over-4kg-6-pack"," Advantage for Cats over 4kg 6 pack")</f>
        <v xml:space="preserve"> Advantage for Cats over 4kg 6 pack</v>
      </c>
      <c r="C10899" t="s">
        <v>2258</v>
      </c>
      <c r="D10899" t="s">
        <v>2159</v>
      </c>
    </row>
    <row r="10900" spans="1:4" x14ac:dyDescent="0.25">
      <c r="B10900" t="str">
        <f>HYPERLINK("https://www.chemistwarehouse.com.au/buy/49067/Advantage-for-Dogs-4-10-kg-6-pack"," Advantage for  Dogs 4 - 10 kg 6 pack")</f>
        <v xml:space="preserve"> Advantage for  Dogs 4 - 10 kg 6 pack</v>
      </c>
      <c r="C10900" t="s">
        <v>2259</v>
      </c>
      <c r="D10900" t="s">
        <v>2260</v>
      </c>
    </row>
    <row r="10901" spans="1:4" x14ac:dyDescent="0.25">
      <c r="B10901" t="str">
        <f>HYPERLINK("https://www.chemistwarehouse.com.au/buy/49068/Advantage-for-Dogs-10-25-kg-6-pack"," Advantage for Dogs 10 - 25 kg 6 pack")</f>
        <v xml:space="preserve"> Advantage for Dogs 10 - 25 kg 6 pack</v>
      </c>
      <c r="C10901" t="s">
        <v>2261</v>
      </c>
      <c r="D10901" t="s">
        <v>190</v>
      </c>
    </row>
    <row r="10902" spans="1:4" x14ac:dyDescent="0.25">
      <c r="B10902" t="str">
        <f>HYPERLINK("https://www.chemistwarehouse.com.au/buy/49270/Advantage-for-Dogs-over-25-kg-6-pack"," Advantage for Dogs over 25 kg 6 pack")</f>
        <v xml:space="preserve"> Advantage for Dogs over 25 kg 6 pack</v>
      </c>
      <c r="C10902" t="s">
        <v>508</v>
      </c>
      <c r="D10902" t="s">
        <v>35</v>
      </c>
    </row>
    <row r="10903" spans="1:4" x14ac:dyDescent="0.25">
      <c r="A10903" t="s">
        <v>2262</v>
      </c>
    </row>
    <row r="10904" spans="1:4" x14ac:dyDescent="0.25">
      <c r="B10904" t="str">
        <f>HYPERLINK("https://www.chemistwarehouse.com.au/buy/78673/Comfortis-Tab-140Mg-Pink-6-Pack"," Comfortis Tab 140Mg Pink 6 Pack")</f>
        <v xml:space="preserve"> Comfortis Tab 140Mg Pink 6 Pack</v>
      </c>
      <c r="C10904" t="s">
        <v>2263</v>
      </c>
      <c r="D10904" t="s">
        <v>458</v>
      </c>
    </row>
    <row r="10905" spans="1:4" x14ac:dyDescent="0.25">
      <c r="B10905" t="str">
        <f>HYPERLINK("https://www.chemistwarehouse.com.au/buy/78674/Comfortis-Tab-1620Mg-Brown-6-Pack"," Comfortis Tab 1620Mg Brown 6 Pack")</f>
        <v xml:space="preserve"> Comfortis Tab 1620Mg Brown 6 Pack</v>
      </c>
      <c r="C10905" t="s">
        <v>601</v>
      </c>
      <c r="D10905" t="s">
        <v>2264</v>
      </c>
    </row>
    <row r="10906" spans="1:4" x14ac:dyDescent="0.25">
      <c r="B10906" t="str">
        <f>HYPERLINK("https://www.chemistwarehouse.com.au/buy/78675/Comfortis-Tab-270Mg-Orange-6-Pack"," Comfortis Tab 270Mg Orange 6 Pack")</f>
        <v xml:space="preserve"> Comfortis Tab 270Mg Orange 6 Pack</v>
      </c>
      <c r="C10906" t="s">
        <v>2237</v>
      </c>
      <c r="D10906" t="s">
        <v>458</v>
      </c>
    </row>
    <row r="10907" spans="1:4" x14ac:dyDescent="0.25">
      <c r="B10907" t="str">
        <f>HYPERLINK("https://www.chemistwarehouse.com.au/buy/78676/Comfortis-Tab-560Mg-Green-6-Pack"," Comfortis Tab 560Mg Green 6 Pack")</f>
        <v xml:space="preserve"> Comfortis Tab 560Mg Green 6 Pack</v>
      </c>
      <c r="C10907" t="s">
        <v>833</v>
      </c>
      <c r="D10907" t="s">
        <v>160</v>
      </c>
    </row>
    <row r="10908" spans="1:4" x14ac:dyDescent="0.25">
      <c r="B10908" t="str">
        <f>HYPERLINK("https://www.chemistwarehouse.com.au/buy/78677/Comfortis-Tab-810mg-Blue-6-Pack"," Comfortis Tab 810mg Blue 6 Pack")</f>
        <v xml:space="preserve"> Comfortis Tab 810mg Blue 6 Pack</v>
      </c>
      <c r="C10908" t="s">
        <v>2265</v>
      </c>
      <c r="D10908" t="s">
        <v>1301</v>
      </c>
    </row>
    <row r="10909" spans="1:4" x14ac:dyDescent="0.25">
      <c r="A10909" t="s">
        <v>2266</v>
      </c>
    </row>
    <row r="10910" spans="1:4" x14ac:dyDescent="0.25">
      <c r="B10910" t="str">
        <f>HYPERLINK("https://www.chemistwarehouse.com.au/buy/80148/Wrigleys-Extra-Bottle-Bubblemint-46-Piece"," Wrigleys Extra Bottle Bubblemint 46 Piece")</f>
        <v xml:space="preserve"> Wrigleys Extra Bottle Bubblemint 46 Piece</v>
      </c>
      <c r="C10910" t="s">
        <v>483</v>
      </c>
      <c r="D10910">
        <v>0</v>
      </c>
    </row>
    <row r="10911" spans="1:4" x14ac:dyDescent="0.25">
      <c r="B10911" t="str">
        <f>HYPERLINK("https://www.chemistwarehouse.com.au/buy/79194/Glucojels-Jelly-Beans-Black-150g"," Glucojels Jelly Beans Black 150g")</f>
        <v xml:space="preserve"> Glucojels Jelly Beans Black 150g</v>
      </c>
      <c r="C10911" t="s">
        <v>2267</v>
      </c>
      <c r="D10911">
        <v>0</v>
      </c>
    </row>
    <row r="10912" spans="1:4" x14ac:dyDescent="0.25">
      <c r="B10912" t="str">
        <f>HYPERLINK("https://www.chemistwarehouse.com.au/buy/47117/Glucojel-Jelly-Beans-1kg"," Glucojel Jelly Beans 1kg")</f>
        <v xml:space="preserve"> Glucojel Jelly Beans 1kg</v>
      </c>
      <c r="C10912" t="s">
        <v>98</v>
      </c>
      <c r="D10912">
        <v>0</v>
      </c>
    </row>
    <row r="10913" spans="2:4" x14ac:dyDescent="0.25">
      <c r="B10913" t="str">
        <f>HYPERLINK("https://www.chemistwarehouse.com.au/buy/80204/Double-D-Sugarfree-Cola-Bottles-90g"," Double D Sugarfree Cola Bottles 90g")</f>
        <v xml:space="preserve"> Double D Sugarfree Cola Bottles 90g</v>
      </c>
      <c r="C10913" t="s">
        <v>399</v>
      </c>
      <c r="D10913" t="s">
        <v>776</v>
      </c>
    </row>
    <row r="10914" spans="2:4" x14ac:dyDescent="0.25">
      <c r="B10914" t="str">
        <f>HYPERLINK("https://www.chemistwarehouse.com.au/buy/81838/Sweet-Shack-Jelly-Babies-100g"," Sweet Shack Jelly Babies 100g")</f>
        <v xml:space="preserve"> Sweet Shack Jelly Babies 100g</v>
      </c>
      <c r="C10914" t="s">
        <v>635</v>
      </c>
      <c r="D10914">
        <v>0</v>
      </c>
    </row>
    <row r="10915" spans="2:4" x14ac:dyDescent="0.25">
      <c r="B10915" t="str">
        <f>HYPERLINK("https://www.chemistwarehouse.com.au/buy/53914/Glucojel-Jelly-Beans-150g"," Glucojel Jelly Beans 150g")</f>
        <v xml:space="preserve"> Glucojel Jelly Beans 150g</v>
      </c>
      <c r="C10915" t="s">
        <v>2267</v>
      </c>
      <c r="D10915">
        <v>0</v>
      </c>
    </row>
    <row r="10916" spans="2:4" x14ac:dyDescent="0.25">
      <c r="B10916" t="str">
        <f>HYPERLINK("https://www.chemistwarehouse.com.au/buy/55399/Wrigleys-Extra-Envelope-Spearmint-Gum-14"," Wrigleys Extra Envelope Spearmint Gum 14")</f>
        <v xml:space="preserve"> Wrigleys Extra Envelope Spearmint Gum 14</v>
      </c>
      <c r="C10916" t="s">
        <v>635</v>
      </c>
      <c r="D10916">
        <v>0</v>
      </c>
    </row>
    <row r="10917" spans="2:4" x14ac:dyDescent="0.25">
      <c r="B10917" t="str">
        <f>HYPERLINK("https://www.chemistwarehouse.com.au/buy/77907/Wrigleys-Extra-Professional-White-46-Piece-Bottle"," Wrigleys Extra Professional White 46 Piece Bottle")</f>
        <v xml:space="preserve"> Wrigleys Extra Professional White 46 Piece Bottle</v>
      </c>
      <c r="C10917" t="s">
        <v>483</v>
      </c>
      <c r="D10917">
        <v>0</v>
      </c>
    </row>
    <row r="10918" spans="2:4" x14ac:dyDescent="0.25">
      <c r="B10918" t="str">
        <f>HYPERLINK("https://www.chemistwarehouse.com.au/buy/81474/Cavendish-amp-Harvey-Mixed-Fruit-Tin-175g"," Cavendish &amp; Harvey Mixed Fruit Tin 175g")</f>
        <v xml:space="preserve"> Cavendish &amp; Harvey Mixed Fruit Tin 175g</v>
      </c>
      <c r="C10918" t="s">
        <v>775</v>
      </c>
      <c r="D10918" t="s">
        <v>754</v>
      </c>
    </row>
    <row r="10919" spans="2:4" x14ac:dyDescent="0.25">
      <c r="B10919" t="str">
        <f>HYPERLINK("https://www.chemistwarehouse.com.au/buy/81837/Sweet-Shack-Berries-amp-Cream-100g"," Sweet Shack Berries &amp; Cream 100g")</f>
        <v xml:space="preserve"> Sweet Shack Berries &amp; Cream 100g</v>
      </c>
      <c r="C10919" t="s">
        <v>635</v>
      </c>
      <c r="D10919">
        <v>0</v>
      </c>
    </row>
    <row r="10920" spans="2:4" x14ac:dyDescent="0.25">
      <c r="B10920" t="str">
        <f>HYPERLINK("https://www.chemistwarehouse.com.au/buy/81839/Sweet-Shack-Mixed-Lollies-100g"," Sweet Shack Mixed Lollies 100g")</f>
        <v xml:space="preserve"> Sweet Shack Mixed Lollies 100g</v>
      </c>
      <c r="C10920" t="s">
        <v>635</v>
      </c>
      <c r="D10920">
        <v>0</v>
      </c>
    </row>
    <row r="10921" spans="2:4" x14ac:dyDescent="0.25">
      <c r="B10921" t="str">
        <f>HYPERLINK("https://www.chemistwarehouse.com.au/buy/77995/Atkins-Endulge-Caramel-Nut-Chew-170g-5-Pack"," Atkins Endulge Caramel Nut Chew 170g 5 Pack")</f>
        <v xml:space="preserve"> Atkins Endulge Caramel Nut Chew 170g 5 Pack</v>
      </c>
      <c r="C10921" t="s">
        <v>45</v>
      </c>
      <c r="D10921" t="s">
        <v>272</v>
      </c>
    </row>
    <row r="10922" spans="2:4" x14ac:dyDescent="0.25">
      <c r="B10922" t="str">
        <f>HYPERLINK("https://www.chemistwarehouse.com.au/buy/77589/Starburst-Babies-180g"," Starburst Babies 180g")</f>
        <v xml:space="preserve"> Starburst Babies 180g</v>
      </c>
      <c r="C10922" t="s">
        <v>691</v>
      </c>
      <c r="D10922" t="s">
        <v>1257</v>
      </c>
    </row>
    <row r="10923" spans="2:4" x14ac:dyDescent="0.25">
      <c r="B10923" t="str">
        <f>HYPERLINK("https://www.chemistwarehouse.com.au/buy/77590/Starburst-Fruit-Chews-170g"," Starburst Fruit Chews 170g")</f>
        <v xml:space="preserve"> Starburst Fruit Chews 170g</v>
      </c>
      <c r="C10923" t="s">
        <v>691</v>
      </c>
      <c r="D10923" t="s">
        <v>1257</v>
      </c>
    </row>
    <row r="10924" spans="2:4" x14ac:dyDescent="0.25">
      <c r="B10924" t="str">
        <f>HYPERLINK("https://www.chemistwarehouse.com.au/buy/77591/Starburst-Party-Mix-180g"," Starburst Party Mix 180g")</f>
        <v xml:space="preserve"> Starburst Party Mix 180g</v>
      </c>
      <c r="C10924" t="s">
        <v>691</v>
      </c>
      <c r="D10924" t="s">
        <v>1257</v>
      </c>
    </row>
    <row r="10925" spans="2:4" x14ac:dyDescent="0.25">
      <c r="B10925" t="str">
        <f>HYPERLINK("https://www.chemistwarehouse.com.au/buy/53913/Glucojel-Jelly-Beans-70g"," Glucojel Jelly Beans 70g")</f>
        <v xml:space="preserve"> Glucojel Jelly Beans 70g</v>
      </c>
      <c r="C10925" t="s">
        <v>827</v>
      </c>
      <c r="D10925">
        <v>0</v>
      </c>
    </row>
    <row r="10926" spans="2:4" x14ac:dyDescent="0.25">
      <c r="B10926" t="str">
        <f>HYPERLINK("https://www.chemistwarehouse.com.au/buy/58446/Chupa-Chups-12g"," Chupa Chups 12g")</f>
        <v xml:space="preserve"> Chupa Chups 12g</v>
      </c>
      <c r="C10926" t="s">
        <v>1952</v>
      </c>
      <c r="D10926">
        <v>0</v>
      </c>
    </row>
    <row r="10927" spans="2:4" x14ac:dyDescent="0.25">
      <c r="B10927" t="str">
        <f>HYPERLINK("https://www.chemistwarehouse.com.au/buy/55739/Wrigleys-Extra-White-Peppermint-Gum-10-Pack"," Wrigleys Extra White Peppermint Gum 10 Pack")</f>
        <v xml:space="preserve"> Wrigleys Extra White Peppermint Gum 10 Pack</v>
      </c>
      <c r="C10927" t="s">
        <v>827</v>
      </c>
      <c r="D10927">
        <v>0</v>
      </c>
    </row>
    <row r="10928" spans="2:4" x14ac:dyDescent="0.25">
      <c r="B10928" t="str">
        <f>HYPERLINK("https://www.chemistwarehouse.com.au/buy/58434/Life-Savers-Fruit-Tingles-34g"," Life Savers Fruit Tingles 34g")</f>
        <v xml:space="preserve"> Life Savers Fruit Tingles 34g</v>
      </c>
      <c r="C10928" t="s">
        <v>748</v>
      </c>
      <c r="D10928">
        <v>0</v>
      </c>
    </row>
    <row r="10929" spans="1:4" x14ac:dyDescent="0.25">
      <c r="B10929" t="str">
        <f>HYPERLINK("https://www.chemistwarehouse.com.au/buy/81476/Cavendish-amp-Harvey-Wild-Berry-Tin-175g"," Cavendish &amp; Harvey Wild Berry Tin 175g")</f>
        <v xml:space="preserve"> Cavendish &amp; Harvey Wild Berry Tin 175g</v>
      </c>
      <c r="C10929" t="s">
        <v>775</v>
      </c>
      <c r="D10929" t="s">
        <v>754</v>
      </c>
    </row>
    <row r="10930" spans="1:4" x14ac:dyDescent="0.25">
      <c r="B10930" t="str">
        <f>HYPERLINK("https://www.chemistwarehouse.com.au/buy/81552/Piranha-Snaps-Probiotic-Light-amp-Tangy-Salsa-50g"," Piranha Snaps Probiotic Light &amp; Tangy Salsa 50g")</f>
        <v xml:space="preserve"> Piranha Snaps Probiotic Light &amp; Tangy Salsa 50g</v>
      </c>
      <c r="C10930" t="s">
        <v>399</v>
      </c>
      <c r="D10930" t="s">
        <v>776</v>
      </c>
    </row>
    <row r="10931" spans="1:4" x14ac:dyDescent="0.25">
      <c r="B10931" t="str">
        <f>HYPERLINK("https://www.chemistwarehouse.com.au/buy/81553/Piranha-Snaps-Probiotic-Oregano-amp-Thyme-50g"," Piranha Snaps Probiotic Oregano &amp; Thyme 50g")</f>
        <v xml:space="preserve"> Piranha Snaps Probiotic Oregano &amp; Thyme 50g</v>
      </c>
      <c r="C10931" t="s">
        <v>399</v>
      </c>
      <c r="D10931" t="s">
        <v>776</v>
      </c>
    </row>
    <row r="10932" spans="1:4" x14ac:dyDescent="0.25">
      <c r="B10932" t="str">
        <f>HYPERLINK("https://www.chemistwarehouse.com.au/buy/81554/Piranha-Snaps-Probiotic-Smokehouse-BBQ-50g"," Piranha Snaps Probiotic Smokehouse BBQ 50g")</f>
        <v xml:space="preserve"> Piranha Snaps Probiotic Smokehouse BBQ 50g</v>
      </c>
      <c r="C10932" t="s">
        <v>399</v>
      </c>
      <c r="D10932" t="s">
        <v>776</v>
      </c>
    </row>
    <row r="10933" spans="1:4" x14ac:dyDescent="0.25">
      <c r="B10933" t="str">
        <f>HYPERLINK("https://www.chemistwarehouse.com.au/buy/80206/Double-D-Sugarfree-Fruit-Chews-70g"," Double D Sugarfree Fruit Chews 70g")</f>
        <v xml:space="preserve"> Double D Sugarfree Fruit Chews 70g</v>
      </c>
      <c r="C10933" t="s">
        <v>399</v>
      </c>
      <c r="D10933" t="s">
        <v>776</v>
      </c>
    </row>
    <row r="10934" spans="1:4" x14ac:dyDescent="0.25">
      <c r="A10934" t="s">
        <v>2268</v>
      </c>
    </row>
    <row r="10935" spans="1:4" x14ac:dyDescent="0.25">
      <c r="A10935" t="s">
        <v>2269</v>
      </c>
    </row>
    <row r="10936" spans="1:4" x14ac:dyDescent="0.25">
      <c r="B10936" t="str">
        <f>HYPERLINK("https://www.chemistwarehouse.com.au/buy/79802/Sample-Colgate-Optic-White"," Sample: Colgate Optic White")</f>
        <v xml:space="preserve"> Sample: Colgate Optic White</v>
      </c>
      <c r="C10936" t="s">
        <v>2270</v>
      </c>
      <c r="D10936">
        <v>0</v>
      </c>
    </row>
    <row r="10937" spans="1:4" x14ac:dyDescent="0.25">
      <c r="B10937" t="str">
        <f>HYPERLINK("https://www.chemistwarehouse.com.au/buy/68039/Sample-L-39-Oreal-Dermo-Revitalift-Laser-Day-Cream"," Sample: L'Oreal Dermo Revitalift Laser Day Cream")</f>
        <v xml:space="preserve"> Sample: L'Oreal Dermo Revitalift Laser Day Cream</v>
      </c>
      <c r="C10937" t="s">
        <v>2270</v>
      </c>
      <c r="D10937">
        <v>0</v>
      </c>
    </row>
    <row r="10938" spans="1:4" x14ac:dyDescent="0.25">
      <c r="B10938" t="str">
        <f>HYPERLINK("https://www.chemistwarehouse.com.au/buy/82338/Sample-Dr-Lewinns-Eternal-Youth-Day-amp-Night-Cream-10g-Mini"," Sample: Dr Lewinns Eternal Youth Day &amp; Night Cream 10g Mini")</f>
        <v xml:space="preserve"> Sample: Dr Lewinns Eternal Youth Day &amp; Night Cream 10g Mini</v>
      </c>
      <c r="C10938" t="s">
        <v>2270</v>
      </c>
      <c r="D10938">
        <v>0</v>
      </c>
    </row>
    <row r="10939" spans="1:4" x14ac:dyDescent="0.25">
      <c r="B10939" t="str">
        <f>HYPERLINK("https://www.chemistwarehouse.com.au/buy/82336/Sample-Nuby-Bulk-Fabric-Pacifier"," Sample: Nuby Bulk Fabric Pacifier")</f>
        <v xml:space="preserve"> Sample: Nuby Bulk Fabric Pacifier</v>
      </c>
      <c r="C10939" t="s">
        <v>2270</v>
      </c>
      <c r="D10939">
        <v>0</v>
      </c>
    </row>
    <row r="10940" spans="1:4" x14ac:dyDescent="0.25">
      <c r="B10940" t="str">
        <f>HYPERLINK("https://www.chemistwarehouse.com.au/buy/80021/Sample-Rimmel-Match-Perfection-Ivory"," Sample: Rimmel Match Perfection Ivory")</f>
        <v xml:space="preserve"> Sample: Rimmel Match Perfection Ivory</v>
      </c>
      <c r="C10940" t="s">
        <v>2270</v>
      </c>
      <c r="D10940">
        <v>0</v>
      </c>
    </row>
    <row r="10941" spans="1:4" x14ac:dyDescent="0.25">
      <c r="B10941" t="str">
        <f>HYPERLINK("https://www.chemistwarehouse.com.au/buy/82337/Sample-Headgear-Matte-Shaper"," Sample: Headgear Matte Shaper")</f>
        <v xml:space="preserve"> Sample: Headgear Matte Shaper</v>
      </c>
      <c r="C10941" t="s">
        <v>2270</v>
      </c>
      <c r="D10941">
        <v>0</v>
      </c>
    </row>
    <row r="10942" spans="1:4" x14ac:dyDescent="0.25">
      <c r="B10942" t="str">
        <f>HYPERLINK("https://www.chemistwarehouse.com.au/buy/82470/Sample-Revvies-Energy-Strips"," Sample: Revvies Energy Strips")</f>
        <v xml:space="preserve"> Sample: Revvies Energy Strips</v>
      </c>
      <c r="C10942" t="s">
        <v>2270</v>
      </c>
      <c r="D10942">
        <v>0</v>
      </c>
    </row>
    <row r="10943" spans="1:4" x14ac:dyDescent="0.25">
      <c r="B10943" t="str">
        <f>HYPERLINK("https://www.chemistwarehouse.com.au/buy/82577/Sample-Selfie-Tan-N-Go-2-Hour-Sunless-Tan-Sachet"," Sample: Selfie Tan N Go 2 Hour Sunless Tan Sachet")</f>
        <v xml:space="preserve"> Sample: Selfie Tan N Go 2 Hour Sunless Tan Sachet</v>
      </c>
      <c r="C10943" t="s">
        <v>2270</v>
      </c>
      <c r="D10943">
        <v>0</v>
      </c>
    </row>
    <row r="10944" spans="1:4" x14ac:dyDescent="0.25">
      <c r="B10944" t="str">
        <f>HYPERLINK("https://www.chemistwarehouse.com.au/buy/82341/Sample-INC-ShredMax-Pro-Vanilla-30g"," Sample: INC ShredMax Pro Vanilla 30g")</f>
        <v xml:space="preserve"> Sample: INC ShredMax Pro Vanilla 30g</v>
      </c>
      <c r="C10944" t="s">
        <v>2270</v>
      </c>
      <c r="D10944">
        <v>0</v>
      </c>
    </row>
    <row r="10945" spans="1:4" x14ac:dyDescent="0.25">
      <c r="B10945" t="str">
        <f>HYPERLINK("https://www.chemistwarehouse.com.au/buy/82339/Sample-INC-100-WPI-Vanilla-30g"," Sample: INC 100% WPI Vanilla 30g")</f>
        <v xml:space="preserve"> Sample: INC 100% WPI Vanilla 30g</v>
      </c>
      <c r="C10945" t="s">
        <v>2270</v>
      </c>
      <c r="D10945">
        <v>0</v>
      </c>
    </row>
    <row r="10946" spans="1:4" x14ac:dyDescent="0.25">
      <c r="B10946" t="str">
        <f>HYPERLINK("https://www.chemistwarehouse.com.au/buy/82340/Sample-INC-Dynamic-Whey-Vanilla-34g"," Sample: INC Dynamic Whey Vanilla 34g")</f>
        <v xml:space="preserve"> Sample: INC Dynamic Whey Vanilla 34g</v>
      </c>
      <c r="C10946" t="s">
        <v>2270</v>
      </c>
      <c r="D10946">
        <v>0</v>
      </c>
    </row>
    <row r="10947" spans="1:4" x14ac:dyDescent="0.25">
      <c r="A10947" t="s">
        <v>2271</v>
      </c>
    </row>
    <row r="10948" spans="1:4" x14ac:dyDescent="0.25">
      <c r="B10948" t="str">
        <f>HYPERLINK("https://www.chemistwarehouse.com.au/buy/67491/Swisse-Ultiboost-Calcium-Vitamin-D-150-Tablets"," Swisse Ultiboost Calcium + Vitamin D 150 Tablets")</f>
        <v xml:space="preserve"> Swisse Ultiboost Calcium + Vitamin D 150 Tablets</v>
      </c>
      <c r="C10948" t="s">
        <v>443</v>
      </c>
      <c r="D10948" t="s">
        <v>106</v>
      </c>
    </row>
    <row r="10949" spans="1:4" x14ac:dyDescent="0.25">
      <c r="B10949" t="str">
        <f>HYPERLINK("https://www.chemistwarehouse.com.au/buy/52496/Healthy-Care-Fish-Oil-1000mg-400-Capsules"," Healthy Care Fish Oil 1000mg 400 Capsules")</f>
        <v xml:space="preserve"> Healthy Care Fish Oil 1000mg 400 Capsules</v>
      </c>
      <c r="C10949" t="s">
        <v>237</v>
      </c>
      <c r="D10949">
        <v>0</v>
      </c>
    </row>
    <row r="10950" spans="1:4" x14ac:dyDescent="0.25">
      <c r="B10950" t="str">
        <f>HYPERLINK("https://www.chemistwarehouse.com.au/buy/50010/Blackmores-Fish-Oil-1000mg-400-Capsules"," Blackmores Fish Oil 1000mg 400 Capsules")</f>
        <v xml:space="preserve"> Blackmores Fish Oil 1000mg 400 Capsules</v>
      </c>
      <c r="C10950" t="s">
        <v>109</v>
      </c>
      <c r="D10950" t="s">
        <v>295</v>
      </c>
    </row>
    <row r="10951" spans="1:4" x14ac:dyDescent="0.25">
      <c r="B10951" t="str">
        <f>HYPERLINK("https://www.chemistwarehouse.com.au/buy/55322/Cenovis-Mega-Calcium-200-Tablets-Value-Pack"," Cenovis Mega Calcium 200 Tablets Value Pack")</f>
        <v xml:space="preserve"> Cenovis Mega Calcium 200 Tablets Value Pack</v>
      </c>
      <c r="C10951" t="s">
        <v>14</v>
      </c>
      <c r="D10951" t="s">
        <v>15</v>
      </c>
    </row>
    <row r="10952" spans="1:4" x14ac:dyDescent="0.25">
      <c r="B10952" t="str">
        <f>HYPERLINK("https://www.chemistwarehouse.com.au/buy/55278/Blackmores-Total-Calcium-amp-Magnesium-D3-200-Tablets"," Blackmores Total Calcium &amp; Magnesium + D3 200 Tablets")</f>
        <v xml:space="preserve"> Blackmores Total Calcium &amp; Magnesium + D3 200 Tablets</v>
      </c>
      <c r="C10952" t="s">
        <v>1</v>
      </c>
      <c r="D10952" t="s">
        <v>453</v>
      </c>
    </row>
    <row r="10953" spans="1:4" x14ac:dyDescent="0.25">
      <c r="B10953" t="str">
        <f>HYPERLINK("https://www.chemistwarehouse.com.au/buy/60551/Healthy-Care-Glucosamine-HCL-1500mg-400-Tablets"," Healthy Care Glucosamine HCL 1500mg 400 Tablets")</f>
        <v xml:space="preserve"> Healthy Care Glucosamine HCL 1500mg 400 Tablets</v>
      </c>
      <c r="C10953" t="s">
        <v>273</v>
      </c>
      <c r="D10953">
        <v>0</v>
      </c>
    </row>
    <row r="10954" spans="1:4" x14ac:dyDescent="0.25">
      <c r="B10954" t="str">
        <f>HYPERLINK("https://www.chemistwarehouse.com.au/buy/66423/Blackmores-Odourless-Fish-Oil-1000mg-Bulk-Pack-500-Capsules"," Blackmores Odourless Fish Oil 1000mg Bulk Pack 500 Capsules")</f>
        <v xml:space="preserve"> Blackmores Odourless Fish Oil 1000mg Bulk Pack 500 Capsules</v>
      </c>
      <c r="C10954" t="s">
        <v>10</v>
      </c>
      <c r="D10954">
        <v>0</v>
      </c>
    </row>
    <row r="10955" spans="1:4" x14ac:dyDescent="0.25">
      <c r="B10955" t="str">
        <f>HYPERLINK("https://www.chemistwarehouse.com.au/buy/65960/Blackmores-Omega-Triple-Concentration-Fish-Oil-150-Capsules"," Blackmores Omega Triple Concentration Fish Oil 150 Capsules")</f>
        <v xml:space="preserve"> Blackmores Omega Triple Concentration Fish Oil 150 Capsules</v>
      </c>
      <c r="C10955" t="s">
        <v>6</v>
      </c>
      <c r="D10955" t="s">
        <v>296</v>
      </c>
    </row>
    <row r="10956" spans="1:4" x14ac:dyDescent="0.25">
      <c r="B10956" t="str">
        <f>HYPERLINK("https://www.chemistwarehouse.com.au/buy/64965/Nature-39-s-Way-Kids-Smart-Vita-Gummies-Calcium-60-Pastilles"," Nature's Way Kids Smart Vita Gummies Calcium 60 Pastilles")</f>
        <v xml:space="preserve"> Nature's Way Kids Smart Vita Gummies Calcium 60 Pastilles</v>
      </c>
      <c r="C10956" t="s">
        <v>32</v>
      </c>
      <c r="D10956" t="s">
        <v>349</v>
      </c>
    </row>
    <row r="10957" spans="1:4" x14ac:dyDescent="0.25">
      <c r="B10957" t="str">
        <f>HYPERLINK("https://www.chemistwarehouse.com.au/buy/67489/Swisse-Ultiboost-Odourless-High-Strength-Wild-Fish-Oil-Odourless-1500mg-400-Capsules"," Swisse Ultiboost Odourless High Strength Wild Fish Oil Odourless 1500mg 400 Capsules")</f>
        <v xml:space="preserve"> Swisse Ultiboost Odourless High Strength Wild Fish Oil Odourless 1500mg 400 Capsules</v>
      </c>
      <c r="C10957" t="s">
        <v>1</v>
      </c>
      <c r="D10957" t="s">
        <v>390</v>
      </c>
    </row>
    <row r="10958" spans="1:4" x14ac:dyDescent="0.25">
      <c r="B10958" t="str">
        <f>HYPERLINK("https://www.chemistwarehouse.com.au/buy/66369/Healthy-Care-Wild-Krill-Oil-500mg-100-Capsules"," Healthy Care Wild Krill Oil 500mg 100 Capsules")</f>
        <v xml:space="preserve"> Healthy Care Wild Krill Oil 500mg 100 Capsules</v>
      </c>
      <c r="C10958" t="s">
        <v>297</v>
      </c>
      <c r="D10958">
        <v>0</v>
      </c>
    </row>
    <row r="10959" spans="1:4" x14ac:dyDescent="0.25">
      <c r="B10959" t="str">
        <f>HYPERLINK("https://www.chemistwarehouse.com.au/buy/51767/Bio-Organics-Glucosamine-Sulfate-Complex-1000mg-320-Capsules"," Bio-Organics Glucosamine Sulfate Complex 1000mg 320 Capsules")</f>
        <v xml:space="preserve"> Bio-Organics Glucosamine Sulfate Complex 1000mg 320 Capsules</v>
      </c>
      <c r="C10959" t="s">
        <v>123</v>
      </c>
      <c r="D10959" t="s">
        <v>124</v>
      </c>
    </row>
    <row r="10960" spans="1:4" x14ac:dyDescent="0.25">
      <c r="B10960" t="str">
        <f>HYPERLINK("https://www.chemistwarehouse.com.au/buy/63404/Nature-39-s-Own-Odourless-Fish-Oil-2000mg-200-Capsules"," Nature's Own Odourless Fish Oil 2000mg 200 Capsules")</f>
        <v xml:space="preserve"> Nature's Own Odourless Fish Oil 2000mg 200 Capsules</v>
      </c>
      <c r="C10960" t="s">
        <v>2</v>
      </c>
      <c r="D10960" t="s">
        <v>3</v>
      </c>
    </row>
    <row r="10961" spans="1:4" x14ac:dyDescent="0.25">
      <c r="B10961" t="str">
        <f>HYPERLINK("https://www.chemistwarehouse.com.au/buy/66513/Healthy-Care-Paw-Paw-Rosehip-amp-Manuka-Lip-Balm-10g"," Healthy Care Paw Paw Rosehip &amp; Manuka Lip Balm 10g")</f>
        <v xml:space="preserve"> Healthy Care Paw Paw Rosehip &amp; Manuka Lip Balm 10g</v>
      </c>
      <c r="C10961" t="s">
        <v>146</v>
      </c>
      <c r="D10961">
        <v>0</v>
      </c>
    </row>
    <row r="10962" spans="1:4" x14ac:dyDescent="0.25">
      <c r="B10962" t="str">
        <f>HYPERLINK("https://www.chemistwarehouse.com.au/buy/54496/Healthy-Care-Super-Calcium-Vitamin-D-400-Tablets"," Healthy Care Super Calcium + Vitamin D 400 Tablets")</f>
        <v xml:space="preserve"> Healthy Care Super Calcium + Vitamin D 400 Tablets</v>
      </c>
      <c r="C10962" t="s">
        <v>279</v>
      </c>
      <c r="D10962">
        <v>0</v>
      </c>
    </row>
    <row r="10963" spans="1:4" x14ac:dyDescent="0.25">
      <c r="B10963" t="str">
        <f>HYPERLINK("https://www.chemistwarehouse.com.au/buy/62917/Nature-39-s-Own-Fish-Oil-Liquid-300ml"," Nature's Own Fish Oil Liquid 300ml")</f>
        <v xml:space="preserve"> Nature's Own Fish Oil Liquid 300ml</v>
      </c>
      <c r="C10963" t="s">
        <v>4</v>
      </c>
      <c r="D10963" t="s">
        <v>5</v>
      </c>
    </row>
    <row r="10964" spans="1:4" x14ac:dyDescent="0.25">
      <c r="B10964" t="str">
        <f>HYPERLINK("https://www.chemistwarehouse.com.au/buy/62712/Nature-39-s-Way-Kids-Smart-Vita-Gummies-Omega-3-Fish-Oil-60"," Nature's Way Kids Smart Vita Gummies Omega 3 Fish Oil 60")</f>
        <v xml:space="preserve"> Nature's Way Kids Smart Vita Gummies Omega 3 Fish Oil 60</v>
      </c>
      <c r="C10964" t="s">
        <v>32</v>
      </c>
      <c r="D10964" t="s">
        <v>349</v>
      </c>
    </row>
    <row r="10965" spans="1:4" x14ac:dyDescent="0.25">
      <c r="B10965" t="str">
        <f>HYPERLINK("https://www.chemistwarehouse.com.au/buy/65812/Nature-39-s-Own-Odourless-Fish-Oil-1500mg-High-Strength-600-Capsules"," Nature's Own Odourless Fish Oil 1500mg High Strength 600 Capsules")</f>
        <v xml:space="preserve"> Nature's Own Odourless Fish Oil 1500mg High Strength 600 Capsules</v>
      </c>
      <c r="C10965" t="s">
        <v>6</v>
      </c>
      <c r="D10965">
        <v>0</v>
      </c>
    </row>
    <row r="10966" spans="1:4" x14ac:dyDescent="0.25">
      <c r="B10966" t="str">
        <f>HYPERLINK("https://www.chemistwarehouse.com.au/buy/52588/Nature-39-s-Way-Kids-Calcium-Strawberry-Milkshake-Burstlets-50"," Nature's Way Kids Calcium Strawberry Milkshake Burstlets 50")</f>
        <v xml:space="preserve"> Nature's Way Kids Calcium Strawberry Milkshake Burstlets 50</v>
      </c>
      <c r="C10966" t="s">
        <v>98</v>
      </c>
      <c r="D10966" t="s">
        <v>165</v>
      </c>
    </row>
    <row r="10967" spans="1:4" x14ac:dyDescent="0.25">
      <c r="B10967" t="str">
        <f>HYPERLINK("https://www.chemistwarehouse.com.au/buy/49399/Nature-39-s-Way-Glucosamine-500mg-amp-Fish-Oil-500mg-200-Capsules"," Nature's Way Glucosamine 500mg &amp; Fish Oil 500mg 200 Capsules")</f>
        <v xml:space="preserve"> Nature's Way Glucosamine 500mg &amp; Fish Oil 500mg 200 Capsules</v>
      </c>
      <c r="C10967" t="s">
        <v>1</v>
      </c>
      <c r="D10967" t="s">
        <v>46</v>
      </c>
    </row>
    <row r="10968" spans="1:4" x14ac:dyDescent="0.25">
      <c r="B10968" t="str">
        <f>HYPERLINK("https://www.chemistwarehouse.com.au/buy/59657/Nature-39-s-Way-Kids-Smart-Omega-3-Fish-Oil-Trio-180-Capsules"," Nature's Way Kids Smart Omega 3 Fish Oil Trio 180 Capsules")</f>
        <v xml:space="preserve"> Nature's Way Kids Smart Omega 3 Fish Oil Trio 180 Capsules</v>
      </c>
      <c r="C10968" t="s">
        <v>469</v>
      </c>
      <c r="D10968" t="s">
        <v>425</v>
      </c>
    </row>
    <row r="10969" spans="1:4" x14ac:dyDescent="0.25">
      <c r="B10969" t="str">
        <f>HYPERLINK("https://www.chemistwarehouse.com.au/buy/63376/Thompson-39-s-Omega-3-Fish-Oil-400-Capsules"," Thompson's Omega 3 Fish Oil 400 Capsules")</f>
        <v xml:space="preserve"> Thompson's Omega 3 Fish Oil 400 Capsules</v>
      </c>
      <c r="C10969" t="s">
        <v>301</v>
      </c>
      <c r="D10969" t="s">
        <v>519</v>
      </c>
    </row>
    <row r="10970" spans="1:4" x14ac:dyDescent="0.25">
      <c r="B10970" t="str">
        <f>HYPERLINK("https://www.chemistwarehouse.com.au/buy/63199/Trilogy-Rosehip-Oil-45ml"," Trilogy Rosehip Oil 45ml")</f>
        <v xml:space="preserve"> Trilogy Rosehip Oil 45ml</v>
      </c>
      <c r="C10970" t="s">
        <v>266</v>
      </c>
      <c r="D10970" t="s">
        <v>159</v>
      </c>
    </row>
    <row r="10971" spans="1:4" x14ac:dyDescent="0.25">
      <c r="B10971" t="str">
        <f>HYPERLINK("https://www.chemistwarehouse.com.au/buy/66097/Trilogy-Rosehip-Oil-Antioxidant-30ml"," Trilogy Rosehip Oil Antioxidant + 30ml")</f>
        <v xml:space="preserve"> Trilogy Rosehip Oil Antioxidant + 30ml</v>
      </c>
      <c r="C10971" t="s">
        <v>313</v>
      </c>
      <c r="D10971" t="s">
        <v>437</v>
      </c>
    </row>
    <row r="10972" spans="1:4" x14ac:dyDescent="0.25">
      <c r="A10972" t="s">
        <v>2272</v>
      </c>
    </row>
    <row r="10973" spans="1:4" x14ac:dyDescent="0.25">
      <c r="B10973" t="str">
        <f>HYPERLINK("https://www.chemistwarehouse.com.au/buy/58938/Blackmores-Joint-Formula-Advanced-120-Tablets"," Blackmores Joint Formula Advanced 120 Tablets")</f>
        <v xml:space="preserve"> Blackmores Joint Formula Advanced 120 Tablets</v>
      </c>
      <c r="C10973" t="s">
        <v>113</v>
      </c>
      <c r="D10973" t="s">
        <v>439</v>
      </c>
    </row>
    <row r="10974" spans="1:4" x14ac:dyDescent="0.25">
      <c r="B10974" t="str">
        <f>HYPERLINK("https://www.chemistwarehouse.com.au/buy/39747/Herron-OsteoEze-Active-Glucosamine-HCL-Plus-Chondroitin-120-Tabsules"," Herron OsteoEze Active Glucosamine HCL Plus Chondroitin 120 Tabsules")</f>
        <v xml:space="preserve"> Herron OsteoEze Active Glucosamine HCL Plus Chondroitin 120 Tabsules</v>
      </c>
      <c r="C10974" t="s">
        <v>123</v>
      </c>
      <c r="D10974" t="s">
        <v>303</v>
      </c>
    </row>
    <row r="10975" spans="1:4" x14ac:dyDescent="0.25">
      <c r="B10975" t="str">
        <f>HYPERLINK("https://www.chemistwarehouse.com.au/buy/62966/Nature-39-s-Way-Joint-Restore-Triple-Action-120-Tablets"," Nature's Way Joint Restore Triple Action 120 Tablets")</f>
        <v xml:space="preserve"> Nature's Way Joint Restore Triple Action 120 Tablets</v>
      </c>
      <c r="C10975" t="s">
        <v>6</v>
      </c>
      <c r="D10975" t="s">
        <v>303</v>
      </c>
    </row>
    <row r="10976" spans="1:4" x14ac:dyDescent="0.25">
      <c r="B10976" t="str">
        <f>HYPERLINK("https://www.chemistwarehouse.com.au/buy/54277/Healthy-Care-Super-Joint-amp-Arthritis-Relief-200-Capsules"," Healthy Care Super Joint &amp; Arthritis Relief 200 Capsules")</f>
        <v xml:space="preserve"> Healthy Care Super Joint &amp; Arthritis Relief 200 Capsules</v>
      </c>
      <c r="C10976" t="s">
        <v>243</v>
      </c>
      <c r="D10976">
        <v>0</v>
      </c>
    </row>
    <row r="10977" spans="1:4" x14ac:dyDescent="0.25">
      <c r="B10977" t="str">
        <f>HYPERLINK("https://www.chemistwarehouse.com.au/buy/55036/Nature-39-s-Own-Joint-Enhance-Easy-Glide-with-Glucosamine-amp-Chondroitin-100-Tablets"," Nature's Own Joint Enhance Easy Glide with Glucosamine &amp; Chondroitin 100 Tablets")</f>
        <v xml:space="preserve"> Nature's Own Joint Enhance Easy Glide with Glucosamine &amp; Chondroitin 100 Tablets</v>
      </c>
      <c r="C10977" t="s">
        <v>63</v>
      </c>
      <c r="D10977" t="s">
        <v>72</v>
      </c>
    </row>
    <row r="10978" spans="1:4" x14ac:dyDescent="0.25">
      <c r="B10978" t="str">
        <f>HYPERLINK("https://www.chemistwarehouse.com.au/buy/58936/Blackmores-Joint-Formula-120-Tablets"," Blackmores Joint Formula 120 Tablets")</f>
        <v xml:space="preserve"> Blackmores Joint Formula 120 Tablets</v>
      </c>
      <c r="C10978" t="s">
        <v>276</v>
      </c>
      <c r="D10978" t="s">
        <v>303</v>
      </c>
    </row>
    <row r="10979" spans="1:4" x14ac:dyDescent="0.25">
      <c r="B10979" t="str">
        <f>HYPERLINK("https://www.chemistwarehouse.com.au/buy/58937/Blackmores-Joint-Formula-60-Tablets"," Blackmores Joint Formula 60 Tablets")</f>
        <v xml:space="preserve"> Blackmores Joint Formula 60 Tablets</v>
      </c>
      <c r="C10979" t="s">
        <v>111</v>
      </c>
      <c r="D10979" t="s">
        <v>280</v>
      </c>
    </row>
    <row r="10980" spans="1:4" x14ac:dyDescent="0.25">
      <c r="B10980" t="str">
        <f>HYPERLINK("https://www.chemistwarehouse.com.au/buy/64822/Wagner-Joint-Formula-with-Glucosamine-amp-Chondroitin-MSM-500g-Powder"," Wagner Joint Formula with Glucosamine &amp; Chondroitin MSM 500g Powder")</f>
        <v xml:space="preserve"> Wagner Joint Formula with Glucosamine &amp; Chondroitin MSM 500g Powder</v>
      </c>
      <c r="C10980" t="s">
        <v>166</v>
      </c>
      <c r="D10980" t="s">
        <v>112</v>
      </c>
    </row>
    <row r="10981" spans="1:4" x14ac:dyDescent="0.25">
      <c r="A10981" t="s">
        <v>2273</v>
      </c>
    </row>
    <row r="10982" spans="1:4" x14ac:dyDescent="0.25">
      <c r="B10982" t="str">
        <f>HYPERLINK("https://www.chemistwarehouse.com.au/buy/58934/Blackmores-Glucosamine-Sulfate-1500mg-One-A-Day-180-Tablets"," Blackmores Glucosamine Sulfate 1500mg One-A-Day 180 Tablets")</f>
        <v xml:space="preserve"> Blackmores Glucosamine Sulfate 1500mg One-A-Day 180 Tablets</v>
      </c>
      <c r="C10982" t="s">
        <v>6</v>
      </c>
      <c r="D10982" t="s">
        <v>310</v>
      </c>
    </row>
    <row r="10983" spans="1:4" x14ac:dyDescent="0.25">
      <c r="B10983" t="str">
        <f>HYPERLINK("https://www.chemistwarehouse.com.au/buy/60551/Healthy-Care-Glucosamine-HCL-1500mg-400-Tablets"," Healthy Care Glucosamine HCL 1500mg 400 Tablets")</f>
        <v xml:space="preserve"> Healthy Care Glucosamine HCL 1500mg 400 Tablets</v>
      </c>
      <c r="C10983" t="s">
        <v>273</v>
      </c>
      <c r="D10983">
        <v>0</v>
      </c>
    </row>
    <row r="10984" spans="1:4" x14ac:dyDescent="0.25">
      <c r="B10984" t="str">
        <f>HYPERLINK("https://www.chemistwarehouse.com.au/buy/67393/Cenovis-Krill-Oil-Glucosamine-60-Capsules"," Cenovis Krill Oil + Glucosamine 60 Capsules")</f>
        <v xml:space="preserve"> Cenovis Krill Oil + Glucosamine 60 Capsules</v>
      </c>
      <c r="C10984" t="s">
        <v>17</v>
      </c>
      <c r="D10984" t="s">
        <v>18</v>
      </c>
    </row>
    <row r="10985" spans="1:4" x14ac:dyDescent="0.25">
      <c r="B10985" t="str">
        <f>HYPERLINK("https://www.chemistwarehouse.com.au/buy/58938/Blackmores-Joint-Formula-Advanced-120-Tablets"," Blackmores Joint Formula Advanced 120 Tablets")</f>
        <v xml:space="preserve"> Blackmores Joint Formula Advanced 120 Tablets</v>
      </c>
      <c r="C10985" t="s">
        <v>113</v>
      </c>
      <c r="D10985" t="s">
        <v>439</v>
      </c>
    </row>
    <row r="10986" spans="1:4" x14ac:dyDescent="0.25">
      <c r="B10986" t="str">
        <f>HYPERLINK("https://www.chemistwarehouse.com.au/buy/51767/Bio-Organics-Glucosamine-Sulfate-Complex-1000mg-320-Capsules"," Bio-Organics Glucosamine Sulfate Complex 1000mg 320 Capsules")</f>
        <v xml:space="preserve"> Bio-Organics Glucosamine Sulfate Complex 1000mg 320 Capsules</v>
      </c>
      <c r="C10986" t="s">
        <v>123</v>
      </c>
      <c r="D10986" t="s">
        <v>124</v>
      </c>
    </row>
    <row r="10987" spans="1:4" x14ac:dyDescent="0.25">
      <c r="B10987" t="str">
        <f>HYPERLINK("https://www.chemistwarehouse.com.au/buy/39747/Herron-OsteoEze-Active-Glucosamine-HCL-Plus-Chondroitin-120-Tabsules"," Herron OsteoEze Active Glucosamine HCL Plus Chondroitin 120 Tabsules")</f>
        <v xml:space="preserve"> Herron OsteoEze Active Glucosamine HCL Plus Chondroitin 120 Tabsules</v>
      </c>
      <c r="C10987" t="s">
        <v>123</v>
      </c>
      <c r="D10987" t="s">
        <v>303</v>
      </c>
    </row>
    <row r="10988" spans="1:4" x14ac:dyDescent="0.25">
      <c r="B10988" t="str">
        <f>HYPERLINK("https://www.chemistwarehouse.com.au/buy/66557/Bio-Organics-Glucosamine-Forte-1500mg-Tablets-20-Extra-240-Tablets"," Bio-Organics Glucosamine Forte 1500mg Tablets 20% Extra 240 Tablets")</f>
        <v xml:space="preserve"> Bio-Organics Glucosamine Forte 1500mg Tablets 20% Extra 240 Tablets</v>
      </c>
      <c r="C10988" t="s">
        <v>125</v>
      </c>
      <c r="D10988">
        <v>0</v>
      </c>
    </row>
    <row r="10989" spans="1:4" x14ac:dyDescent="0.25">
      <c r="B10989" t="str">
        <f>HYPERLINK("https://www.chemistwarehouse.com.au/buy/63405/Nature-39-s-Own-Glucosamine-1500mg-250-Tablets"," Nature's Own Glucosamine 1500mg 250 Tablets")</f>
        <v xml:space="preserve"> Nature's Own Glucosamine 1500mg 250 Tablets</v>
      </c>
      <c r="C10989" t="s">
        <v>1</v>
      </c>
      <c r="D10989">
        <v>0</v>
      </c>
    </row>
    <row r="10990" spans="1:4" x14ac:dyDescent="0.25">
      <c r="B10990" t="str">
        <f>HYPERLINK("https://www.chemistwarehouse.com.au/buy/49399/Nature-39-s-Way-Glucosamine-500mg-amp-Fish-Oil-500mg-200-Capsules"," Nature's Way Glucosamine 500mg &amp; Fish Oil 500mg 200 Capsules")</f>
        <v xml:space="preserve"> Nature's Way Glucosamine 500mg &amp; Fish Oil 500mg 200 Capsules</v>
      </c>
      <c r="C10990" t="s">
        <v>1</v>
      </c>
      <c r="D10990" t="s">
        <v>46</v>
      </c>
    </row>
    <row r="10991" spans="1:4" x14ac:dyDescent="0.25">
      <c r="B10991" t="str">
        <f>HYPERLINK("https://www.chemistwarehouse.com.au/buy/39165/Arthro-Aid-Direct-Cream-114g"," Arthro Aid Direct Cream 114g")</f>
        <v xml:space="preserve"> Arthro Aid Direct Cream 114g</v>
      </c>
      <c r="C10991" t="s">
        <v>8</v>
      </c>
      <c r="D10991" t="s">
        <v>157</v>
      </c>
    </row>
    <row r="10992" spans="1:4" x14ac:dyDescent="0.25">
      <c r="B10992" t="str">
        <f>HYPERLINK("https://www.chemistwarehouse.com.au/buy/50272/Wagner-Joint-Formula-Glucosamine-and-Chondroitin-200-capsules"," Wagner Joint Formula Glucosamine and Chondroitin 200 capsules")</f>
        <v xml:space="preserve"> Wagner Joint Formula Glucosamine and Chondroitin 200 capsules</v>
      </c>
      <c r="C10992" t="s">
        <v>166</v>
      </c>
      <c r="D10992" t="s">
        <v>541</v>
      </c>
    </row>
    <row r="10993" spans="1:4" x14ac:dyDescent="0.25">
      <c r="B10993" t="str">
        <f>HYPERLINK("https://www.chemistwarehouse.com.au/buy/55107/Healthy-Care-Glucosamine-HCL-1000mg-200-Capsules"," Healthy Care Glucosamine HCL 1000mg 200 Capsules")</f>
        <v xml:space="preserve"> Healthy Care Glucosamine HCL 1000mg 200 Capsules</v>
      </c>
      <c r="C10993" t="s">
        <v>1</v>
      </c>
      <c r="D10993">
        <v>0</v>
      </c>
    </row>
    <row r="10994" spans="1:4" x14ac:dyDescent="0.25">
      <c r="B10994" t="str">
        <f>HYPERLINK("https://www.chemistwarehouse.com.au/buy/66556/Bio-Organics-Glucosamine-750mg-and-Chondroitin-400mg-180-Tablets"," Bio-Organics Glucosamine 750mg and Chondroitin 400mg 180 Tablets")</f>
        <v xml:space="preserve"> Bio-Organics Glucosamine 750mg and Chondroitin 400mg 180 Tablets</v>
      </c>
      <c r="C10994" t="s">
        <v>6</v>
      </c>
      <c r="D10994">
        <v>0</v>
      </c>
    </row>
    <row r="10995" spans="1:4" x14ac:dyDescent="0.25">
      <c r="B10995" t="str">
        <f>HYPERLINK("https://www.chemistwarehouse.com.au/buy/67392/Bio-Organics-Krill-Oil-Glucosamine-60-Capsules"," Bio-Organics Krill Oil + Glucosamine 60 Capsules")</f>
        <v xml:space="preserve"> Bio-Organics Krill Oil + Glucosamine 60 Capsules</v>
      </c>
      <c r="C10995" t="s">
        <v>126</v>
      </c>
      <c r="D10995" t="s">
        <v>127</v>
      </c>
    </row>
    <row r="10996" spans="1:4" x14ac:dyDescent="0.25">
      <c r="B10996" t="str">
        <f>HYPERLINK("https://www.chemistwarehouse.com.au/buy/62966/Nature-39-s-Way-Joint-Restore-Triple-Action-120-Tablets"," Nature's Way Joint Restore Triple Action 120 Tablets")</f>
        <v xml:space="preserve"> Nature's Way Joint Restore Triple Action 120 Tablets</v>
      </c>
      <c r="C10996" t="s">
        <v>6</v>
      </c>
      <c r="D10996" t="s">
        <v>303</v>
      </c>
    </row>
    <row r="10997" spans="1:4" x14ac:dyDescent="0.25">
      <c r="B10997" t="str">
        <f>HYPERLINK("https://www.chemistwarehouse.com.au/buy/58922/Bioglan-Glucosamine-1500mg-200-tablets"," Bioglan Glucosamine 1500mg 200 tablets ")</f>
        <v xml:space="preserve"> Bioglan Glucosamine 1500mg 200 tablets </v>
      </c>
      <c r="C10997" t="s">
        <v>61</v>
      </c>
      <c r="D10997" t="s">
        <v>373</v>
      </c>
    </row>
    <row r="10998" spans="1:4" x14ac:dyDescent="0.25">
      <c r="B10998" t="str">
        <f>HYPERLINK("https://www.chemistwarehouse.com.au/buy/50336/Blackmores-Glucosamine-Fish-Oil-90-Capsules"," Blackmores Glucosamine + Fish Oil 90 Capsules")</f>
        <v xml:space="preserve"> Blackmores Glucosamine + Fish Oil 90 Capsules</v>
      </c>
      <c r="C10998" t="s">
        <v>404</v>
      </c>
      <c r="D10998" t="s">
        <v>1350</v>
      </c>
    </row>
    <row r="10999" spans="1:4" x14ac:dyDescent="0.25">
      <c r="B10999" t="str">
        <f>HYPERLINK("https://www.chemistwarehouse.com.au/buy/54277/Healthy-Care-Super-Joint-amp-Arthritis-Relief-200-Capsules"," Healthy Care Super Joint &amp; Arthritis Relief 200 Capsules")</f>
        <v xml:space="preserve"> Healthy Care Super Joint &amp; Arthritis Relief 200 Capsules</v>
      </c>
      <c r="C10999" t="s">
        <v>243</v>
      </c>
      <c r="D10999">
        <v>0</v>
      </c>
    </row>
    <row r="11000" spans="1:4" x14ac:dyDescent="0.25">
      <c r="B11000" t="str">
        <f>HYPERLINK("https://www.chemistwarehouse.com.au/buy/55036/Nature-39-s-Own-Joint-Enhance-Easy-Glide-with-Glucosamine-amp-Chondroitin-100-Tablets"," Nature's Own Joint Enhance Easy Glide with Glucosamine &amp; Chondroitin 100 Tablets")</f>
        <v xml:space="preserve"> Nature's Own Joint Enhance Easy Glide with Glucosamine &amp; Chondroitin 100 Tablets</v>
      </c>
      <c r="C11000" t="s">
        <v>63</v>
      </c>
      <c r="D11000" t="s">
        <v>72</v>
      </c>
    </row>
    <row r="11001" spans="1:4" x14ac:dyDescent="0.25">
      <c r="B11001" t="str">
        <f>HYPERLINK("https://www.chemistwarehouse.com.au/buy/50514/Nature-39-s-Own-Glucosamine-Sulfate-Complex-1000mg-300-Capsules"," Nature's Own Glucosamine Sulfate Complex 1000mg 300 Capsules")</f>
        <v xml:space="preserve"> Nature's Own Glucosamine Sulfate Complex 1000mg 300 Capsules</v>
      </c>
      <c r="C11001" t="s">
        <v>10</v>
      </c>
      <c r="D11001" t="s">
        <v>71</v>
      </c>
    </row>
    <row r="11002" spans="1:4" x14ac:dyDescent="0.25">
      <c r="B11002" t="str">
        <f>HYPERLINK("https://www.chemistwarehouse.com.au/buy/43238/Bio-Organics-Glucosamine-Rapid-Cream-100g"," Bio-Organics Glucosamine Rapid Cream 100g")</f>
        <v xml:space="preserve"> Bio-Organics Glucosamine Rapid Cream 100g</v>
      </c>
      <c r="C11002" t="s">
        <v>128</v>
      </c>
      <c r="D11002" t="s">
        <v>129</v>
      </c>
    </row>
    <row r="11003" spans="1:4" x14ac:dyDescent="0.25">
      <c r="B11003" t="str">
        <f>HYPERLINK("https://www.chemistwarehouse.com.au/buy/48889/Wagner-MSM-Joint-Formula-with-MSM,-Glucosamine-amp-Chondroitin-1-kg"," Wagner MSM Joint Formula with MSM, Glucosamine &amp; Chondroitin 1 kg")</f>
        <v xml:space="preserve"> Wagner MSM Joint Formula with MSM, Glucosamine &amp; Chondroitin 1 kg</v>
      </c>
      <c r="C11003" t="s">
        <v>333</v>
      </c>
      <c r="D11003" t="s">
        <v>531</v>
      </c>
    </row>
    <row r="11004" spans="1:4" x14ac:dyDescent="0.25">
      <c r="B11004" t="str">
        <f>HYPERLINK("https://www.chemistwarehouse.com.au/buy/64405/Wagner-Glucosamine-1000mg-plus-MSM-200-Capsules"," Wagner Glucosamine 1000mg plus MSM 200 Capsules")</f>
        <v xml:space="preserve"> Wagner Glucosamine 1000mg plus MSM 200 Capsules</v>
      </c>
      <c r="C11004" t="s">
        <v>173</v>
      </c>
      <c r="D11004" t="s">
        <v>543</v>
      </c>
    </row>
    <row r="11005" spans="1:4" x14ac:dyDescent="0.25">
      <c r="B11005" t="str">
        <f>HYPERLINK("https://www.chemistwarehouse.com.au/buy/66517/Nature-39-s-Way-Joint-Restore-Osteo-Krill-50caps"," Nature's Way Joint Restore Osteo Krill 50caps ")</f>
        <v xml:space="preserve"> Nature's Way Joint Restore Osteo Krill 50caps </v>
      </c>
      <c r="C11005" t="s">
        <v>161</v>
      </c>
      <c r="D11005" t="s">
        <v>169</v>
      </c>
    </row>
    <row r="11006" spans="1:4" x14ac:dyDescent="0.25">
      <c r="A11006" t="s">
        <v>2274</v>
      </c>
    </row>
    <row r="11007" spans="1:4" x14ac:dyDescent="0.25">
      <c r="B11007" t="str">
        <f>HYPERLINK("https://www.chemistwarehouse.com.au/buy/67491/Swisse-Ultiboost-Calcium-Vitamin-D-150-Tablets"," Swisse Ultiboost Calcium + Vitamin D 150 Tablets")</f>
        <v xml:space="preserve"> Swisse Ultiboost Calcium + Vitamin D 150 Tablets</v>
      </c>
      <c r="C11007" t="s">
        <v>443</v>
      </c>
      <c r="D11007" t="s">
        <v>106</v>
      </c>
    </row>
    <row r="11008" spans="1:4" x14ac:dyDescent="0.25">
      <c r="B11008" t="str">
        <f>HYPERLINK("https://www.chemistwarehouse.com.au/buy/55322/Cenovis-Mega-Calcium-200-Tablets-Value-Pack"," Cenovis Mega Calcium 200 Tablets Value Pack")</f>
        <v xml:space="preserve"> Cenovis Mega Calcium 200 Tablets Value Pack</v>
      </c>
      <c r="C11008" t="s">
        <v>14</v>
      </c>
      <c r="D11008" t="s">
        <v>15</v>
      </c>
    </row>
    <row r="11009" spans="1:4" x14ac:dyDescent="0.25">
      <c r="B11009" t="str">
        <f>HYPERLINK("https://www.chemistwarehouse.com.au/buy/55278/Blackmores-Total-Calcium-amp-Magnesium-D3-200-Tablets"," Blackmores Total Calcium &amp; Magnesium + D3 200 Tablets")</f>
        <v xml:space="preserve"> Blackmores Total Calcium &amp; Magnesium + D3 200 Tablets</v>
      </c>
      <c r="C11009" t="s">
        <v>1</v>
      </c>
      <c r="D11009" t="s">
        <v>453</v>
      </c>
    </row>
    <row r="11010" spans="1:4" x14ac:dyDescent="0.25">
      <c r="B11010" t="str">
        <f>HYPERLINK("https://www.chemistwarehouse.com.au/buy/64965/Nature-39-s-Way-Kids-Smart-Vita-Gummies-Calcium-60-Pastilles"," Nature's Way Kids Smart Vita Gummies Calcium 60 Pastilles")</f>
        <v xml:space="preserve"> Nature's Way Kids Smart Vita Gummies Calcium 60 Pastilles</v>
      </c>
      <c r="C11010" t="s">
        <v>32</v>
      </c>
      <c r="D11010" t="s">
        <v>349</v>
      </c>
    </row>
    <row r="11011" spans="1:4" x14ac:dyDescent="0.25">
      <c r="B11011" t="str">
        <f>HYPERLINK("https://www.chemistwarehouse.com.au/buy/54496/Healthy-Care-Super-Calcium-Vitamin-D-400-Tablets"," Healthy Care Super Calcium + Vitamin D 400 Tablets")</f>
        <v xml:space="preserve"> Healthy Care Super Calcium + Vitamin D 400 Tablets</v>
      </c>
      <c r="C11011" t="s">
        <v>279</v>
      </c>
      <c r="D11011">
        <v>0</v>
      </c>
    </row>
    <row r="11012" spans="1:4" x14ac:dyDescent="0.25">
      <c r="B11012" t="str">
        <f>HYPERLINK("https://www.chemistwarehouse.com.au/buy/52588/Nature-39-s-Way-Kids-Calcium-Strawberry-Milkshake-Burstlets-50"," Nature's Way Kids Calcium Strawberry Milkshake Burstlets 50")</f>
        <v xml:space="preserve"> Nature's Way Kids Calcium Strawberry Milkshake Burstlets 50</v>
      </c>
      <c r="C11012" t="s">
        <v>98</v>
      </c>
      <c r="D11012" t="s">
        <v>165</v>
      </c>
    </row>
    <row r="11013" spans="1:4" x14ac:dyDescent="0.25">
      <c r="B11013" t="str">
        <f>HYPERLINK("https://www.chemistwarehouse.com.au/buy/60209/CalSource-Calcium-1000mg-10-Tablets"," CalSource Calcium 1000mg 10 Tablets")</f>
        <v xml:space="preserve"> CalSource Calcium 1000mg 10 Tablets</v>
      </c>
      <c r="C11013" t="s">
        <v>375</v>
      </c>
      <c r="D11013" t="s">
        <v>588</v>
      </c>
    </row>
    <row r="11014" spans="1:4" x14ac:dyDescent="0.25">
      <c r="B11014" t="str">
        <f>HYPERLINK("https://www.chemistwarehouse.com.au/buy/55228/Bio-Organics-Calcium-600-Vitamin-D3-400-120-Tablets"," Bio-Organics Calcium 600 + Vitamin D3 400 120 Tablets")</f>
        <v xml:space="preserve"> Bio-Organics Calcium 600 + Vitamin D3 400 120 Tablets</v>
      </c>
      <c r="C11014" t="s">
        <v>54</v>
      </c>
      <c r="D11014" t="s">
        <v>54</v>
      </c>
    </row>
    <row r="11015" spans="1:4" x14ac:dyDescent="0.25">
      <c r="B11015" t="str">
        <f>HYPERLINK("https://www.chemistwarehouse.com.au/buy/58664/Ostelin-Vitamin-D-amp-Calcium-130-Tablets"," Ostelin Vitamin D &amp; Calcium 130 Tablets")</f>
        <v xml:space="preserve"> Ostelin Vitamin D &amp; Calcium 130 Tablets</v>
      </c>
      <c r="C11015" t="s">
        <v>448</v>
      </c>
      <c r="D11015" t="s">
        <v>291</v>
      </c>
    </row>
    <row r="11016" spans="1:4" x14ac:dyDescent="0.25">
      <c r="B11016" t="str">
        <f>HYPERLINK("https://www.chemistwarehouse.com.au/buy/64412/Wagner-Total-Calcium-Complete-150-Tablets"," Wagner Total Calcium Complete 150 Tablets")</f>
        <v xml:space="preserve"> Wagner Total Calcium Complete 150 Tablets</v>
      </c>
      <c r="C11016" t="s">
        <v>404</v>
      </c>
      <c r="D11016" t="s">
        <v>542</v>
      </c>
    </row>
    <row r="11017" spans="1:4" x14ac:dyDescent="0.25">
      <c r="B11017" t="str">
        <f>HYPERLINK("https://www.chemistwarehouse.com.au/buy/64812/Thompson-39-s-Natural-Liquid-Calcium-60-Capsules"," Thompson's Natural Liquid Calcium 60 Capsules")</f>
        <v xml:space="preserve"> Thompson's Natural Liquid Calcium 60 Capsules</v>
      </c>
      <c r="C11017" t="s">
        <v>237</v>
      </c>
      <c r="D11017" t="s">
        <v>165</v>
      </c>
    </row>
    <row r="11018" spans="1:4" x14ac:dyDescent="0.25">
      <c r="B11018" t="str">
        <f>HYPERLINK("https://www.chemistwarehouse.com.au/buy/63585/OsteVit-D-amp-Calcium-120-Caplets"," OsteVit D &amp; Calcium 120 Caplets")</f>
        <v xml:space="preserve"> OsteVit D &amp; Calcium 120 Caplets</v>
      </c>
      <c r="C11018" t="s">
        <v>237</v>
      </c>
      <c r="D11018" t="s">
        <v>157</v>
      </c>
    </row>
    <row r="11019" spans="1:4" x14ac:dyDescent="0.25">
      <c r="B11019" t="str">
        <f>HYPERLINK("https://www.chemistwarehouse.com.au/buy/64668/OsteVit-D-amp-Calcium-1-A-Day-60-Tablets"," OsteVit D &amp; Calcium 1 A Day 60 Tablets")</f>
        <v xml:space="preserve"> OsteVit D &amp; Calcium 1 A Day 60 Tablets</v>
      </c>
      <c r="C11019" t="s">
        <v>237</v>
      </c>
      <c r="D11019" t="s">
        <v>157</v>
      </c>
    </row>
    <row r="11020" spans="1:4" x14ac:dyDescent="0.25">
      <c r="B11020" t="str">
        <f>HYPERLINK("https://www.chemistwarehouse.com.au/buy/62465/Manicare-Calcium-Nail-Builder-12Ml"," Manicare Calcium Nail Builder 12Ml")</f>
        <v xml:space="preserve"> Manicare Calcium Nail Builder 12Ml</v>
      </c>
      <c r="C11020" t="s">
        <v>228</v>
      </c>
      <c r="D11020" t="s">
        <v>121</v>
      </c>
    </row>
    <row r="11021" spans="1:4" x14ac:dyDescent="0.25">
      <c r="B11021" t="str">
        <f>HYPERLINK("https://www.chemistwarehouse.com.au/buy/55295/Blackmores-Total-Calcium-Magnesium-60-Tablets"," Blackmores Total Calcium + Magnesium 60 Tablets")</f>
        <v xml:space="preserve"> Blackmores Total Calcium + Magnesium 60 Tablets</v>
      </c>
      <c r="C11021" t="s">
        <v>324</v>
      </c>
      <c r="D11021" t="s">
        <v>1524</v>
      </c>
    </row>
    <row r="11022" spans="1:4" x14ac:dyDescent="0.25">
      <c r="B11022" t="str">
        <f>HYPERLINK("https://www.chemistwarehouse.com.au/buy/54252/Ostelin-Vitamin-D-amp-Calcium-60-Tablets"," Ostelin Vitamin D &amp; Calcium 60 Tablets")</f>
        <v xml:space="preserve"> Ostelin Vitamin D &amp; Calcium 60 Tablets</v>
      </c>
      <c r="C11022" t="s">
        <v>212</v>
      </c>
      <c r="D11022" t="s">
        <v>312</v>
      </c>
    </row>
    <row r="11023" spans="1:4" x14ac:dyDescent="0.25">
      <c r="B11023" t="str">
        <f>HYPERLINK("https://www.chemistwarehouse.com.au/buy/62975/Ostelin-Vitamin-D-amp-Calcium-Chewable-60"," Ostelin Vitamin D &amp; Calcium Chewable 60")</f>
        <v xml:space="preserve"> Ostelin Vitamin D &amp; Calcium Chewable 60</v>
      </c>
      <c r="C11023" t="s">
        <v>103</v>
      </c>
      <c r="D11023" t="s">
        <v>223</v>
      </c>
    </row>
    <row r="11024" spans="1:4" x14ac:dyDescent="0.25">
      <c r="A11024" t="s">
        <v>2275</v>
      </c>
    </row>
    <row r="11025" spans="2:4" x14ac:dyDescent="0.25">
      <c r="B11025" t="str">
        <f>HYPERLINK("https://www.chemistwarehouse.com.au/buy/52496/Healthy-Care-Fish-Oil-1000mg-400-Capsules"," Healthy Care Fish Oil 1000mg 400 Capsules")</f>
        <v xml:space="preserve"> Healthy Care Fish Oil 1000mg 400 Capsules</v>
      </c>
      <c r="C11025" t="s">
        <v>237</v>
      </c>
      <c r="D11025">
        <v>0</v>
      </c>
    </row>
    <row r="11026" spans="2:4" x14ac:dyDescent="0.25">
      <c r="B11026" t="str">
        <f>HYPERLINK("https://www.chemistwarehouse.com.au/buy/69707/Bioglan-Red-Krill-Oil-1000mg-60-Capsules"," Bioglan Red Krill Oil 1000mg 60 Capsules")</f>
        <v xml:space="preserve"> Bioglan Red Krill Oil 1000mg 60 Capsules</v>
      </c>
      <c r="C11026" t="s">
        <v>6</v>
      </c>
      <c r="D11026" t="s">
        <v>382</v>
      </c>
    </row>
    <row r="11027" spans="2:4" x14ac:dyDescent="0.25">
      <c r="B11027" t="str">
        <f>HYPERLINK("https://www.chemistwarehouse.com.au/buy/50010/Blackmores-Fish-Oil-1000mg-400-Capsules"," Blackmores Fish Oil 1000mg 400 Capsules")</f>
        <v xml:space="preserve"> Blackmores Fish Oil 1000mg 400 Capsules</v>
      </c>
      <c r="C11027" t="s">
        <v>109</v>
      </c>
      <c r="D11027" t="s">
        <v>295</v>
      </c>
    </row>
    <row r="11028" spans="2:4" x14ac:dyDescent="0.25">
      <c r="B11028" t="str">
        <f>HYPERLINK("https://www.chemistwarehouse.com.au/buy/66423/Blackmores-Odourless-Fish-Oil-1000mg-Bulk-Pack-500-Capsules"," Blackmores Odourless Fish Oil 1000mg Bulk Pack 500 Capsules")</f>
        <v xml:space="preserve"> Blackmores Odourless Fish Oil 1000mg Bulk Pack 500 Capsules</v>
      </c>
      <c r="C11028" t="s">
        <v>10</v>
      </c>
      <c r="D11028">
        <v>0</v>
      </c>
    </row>
    <row r="11029" spans="2:4" x14ac:dyDescent="0.25">
      <c r="B11029" t="str">
        <f>HYPERLINK("https://www.chemistwarehouse.com.au/buy/67393/Cenovis-Krill-Oil-Glucosamine-60-Capsules"," Cenovis Krill Oil + Glucosamine 60 Capsules")</f>
        <v xml:space="preserve"> Cenovis Krill Oil + Glucosamine 60 Capsules</v>
      </c>
      <c r="C11029" t="s">
        <v>17</v>
      </c>
      <c r="D11029" t="s">
        <v>18</v>
      </c>
    </row>
    <row r="11030" spans="2:4" x14ac:dyDescent="0.25">
      <c r="B11030" t="str">
        <f>HYPERLINK("https://www.chemistwarehouse.com.au/buy/65960/Blackmores-Omega-Triple-Concentration-Fish-Oil-150-Capsules"," Blackmores Omega Triple Concentration Fish Oil 150 Capsules")</f>
        <v xml:space="preserve"> Blackmores Omega Triple Concentration Fish Oil 150 Capsules</v>
      </c>
      <c r="C11030" t="s">
        <v>6</v>
      </c>
      <c r="D11030" t="s">
        <v>296</v>
      </c>
    </row>
    <row r="11031" spans="2:4" x14ac:dyDescent="0.25">
      <c r="B11031" t="str">
        <f>HYPERLINK("https://www.chemistwarehouse.com.au/buy/67489/Swisse-Ultiboost-Odourless-High-Strength-Wild-Fish-Oil-Odourless-1500mg-400-Capsules"," Swisse Ultiboost Odourless High Strength Wild Fish Oil Odourless 1500mg 400 Capsules")</f>
        <v xml:space="preserve"> Swisse Ultiboost Odourless High Strength Wild Fish Oil Odourless 1500mg 400 Capsules</v>
      </c>
      <c r="C11031" t="s">
        <v>1</v>
      </c>
      <c r="D11031" t="s">
        <v>390</v>
      </c>
    </row>
    <row r="11032" spans="2:4" x14ac:dyDescent="0.25">
      <c r="B11032" t="str">
        <f>HYPERLINK("https://www.chemistwarehouse.com.au/buy/75456/Bioglan-Super-Fish-Oil-2000mg-200-Capsules"," Bioglan Super Fish Oil 2000mg 200 Capsules")</f>
        <v xml:space="preserve"> Bioglan Super Fish Oil 2000mg 200 Capsules</v>
      </c>
      <c r="C11032" t="s">
        <v>237</v>
      </c>
      <c r="D11032" t="s">
        <v>296</v>
      </c>
    </row>
    <row r="11033" spans="2:4" x14ac:dyDescent="0.25">
      <c r="B11033" t="str">
        <f>HYPERLINK("https://www.chemistwarehouse.com.au/buy/67494/Swisse-Ultiboost-High-Strength-Deep-Sea-Krill-Oil-1000mg-60-Capsules-Exclusive-Size"," Swisse Ultiboost High Strength Deep Sea Krill Oil 1000mg 60 Capsules Exclusive Size")</f>
        <v xml:space="preserve"> Swisse Ultiboost High Strength Deep Sea Krill Oil 1000mg 60 Capsules Exclusive Size</v>
      </c>
      <c r="C11033" t="s">
        <v>6</v>
      </c>
      <c r="D11033">
        <v>0</v>
      </c>
    </row>
    <row r="11034" spans="2:4" x14ac:dyDescent="0.25">
      <c r="B11034" t="str">
        <f>HYPERLINK("https://www.chemistwarehouse.com.au/buy/66369/Healthy-Care-Wild-Krill-Oil-500mg-100-Capsules"," Healthy Care Wild Krill Oil 500mg 100 Capsules")</f>
        <v xml:space="preserve"> Healthy Care Wild Krill Oil 500mg 100 Capsules</v>
      </c>
      <c r="C11034" t="s">
        <v>297</v>
      </c>
      <c r="D11034">
        <v>0</v>
      </c>
    </row>
    <row r="11035" spans="2:4" x14ac:dyDescent="0.25">
      <c r="B11035" t="str">
        <f>HYPERLINK("https://www.chemistwarehouse.com.au/buy/63404/Nature-39-s-Own-Odourless-Fish-Oil-2000mg-200-Capsules"," Nature's Own Odourless Fish Oil 2000mg 200 Capsules")</f>
        <v xml:space="preserve"> Nature's Own Odourless Fish Oil 2000mg 200 Capsules</v>
      </c>
      <c r="C11035" t="s">
        <v>2</v>
      </c>
      <c r="D11035" t="s">
        <v>3</v>
      </c>
    </row>
    <row r="11036" spans="2:4" x14ac:dyDescent="0.25">
      <c r="B11036" t="str">
        <f>HYPERLINK("https://www.chemistwarehouse.com.au/buy/62917/Nature-39-s-Own-Fish-Oil-Liquid-300ml"," Nature's Own Fish Oil Liquid 300ml")</f>
        <v xml:space="preserve"> Nature's Own Fish Oil Liquid 300ml</v>
      </c>
      <c r="C11036" t="s">
        <v>4</v>
      </c>
      <c r="D11036" t="s">
        <v>5</v>
      </c>
    </row>
    <row r="11037" spans="2:4" x14ac:dyDescent="0.25">
      <c r="B11037" t="str">
        <f>HYPERLINK("https://www.chemistwarehouse.com.au/buy/62712/Nature-39-s-Way-Kids-Smart-Vita-Gummies-Omega-3-Fish-Oil-60"," Nature's Way Kids Smart Vita Gummies Omega 3 Fish Oil 60")</f>
        <v xml:space="preserve"> Nature's Way Kids Smart Vita Gummies Omega 3 Fish Oil 60</v>
      </c>
      <c r="C11037" t="s">
        <v>32</v>
      </c>
      <c r="D11037" t="s">
        <v>349</v>
      </c>
    </row>
    <row r="11038" spans="2:4" x14ac:dyDescent="0.25">
      <c r="B11038" t="str">
        <f>HYPERLINK("https://www.chemistwarehouse.com.au/buy/66521/Swisse-Ultiboost-Deep-Sea-Krill-Oil-500mg-60-Capsules"," Swisse Ultiboost Deep Sea Krill Oil 500mg 60 Capsules")</f>
        <v xml:space="preserve"> Swisse Ultiboost Deep Sea Krill Oil 500mg 60 Capsules</v>
      </c>
      <c r="C11038" t="s">
        <v>173</v>
      </c>
      <c r="D11038" t="s">
        <v>391</v>
      </c>
    </row>
    <row r="11039" spans="2:4" x14ac:dyDescent="0.25">
      <c r="B11039" t="str">
        <f>HYPERLINK("https://www.chemistwarehouse.com.au/buy/69708/Bioglan-Red-Krill-Oil-500mg-120-Capsules"," Bioglan Red Krill Oil 500mg 120 Capsules")</f>
        <v xml:space="preserve"> Bioglan Red Krill Oil 500mg 120 Capsules</v>
      </c>
      <c r="C11039" t="s">
        <v>123</v>
      </c>
      <c r="D11039" t="s">
        <v>383</v>
      </c>
    </row>
    <row r="11040" spans="2:4" x14ac:dyDescent="0.25">
      <c r="B11040" t="str">
        <f>HYPERLINK("https://www.chemistwarehouse.com.au/buy/65812/Nature-39-s-Own-Odourless-Fish-Oil-1500mg-High-Strength-600-Capsules"," Nature's Own Odourless Fish Oil 1500mg High Strength 600 Capsules")</f>
        <v xml:space="preserve"> Nature's Own Odourless Fish Oil 1500mg High Strength 600 Capsules</v>
      </c>
      <c r="C11040" t="s">
        <v>6</v>
      </c>
      <c r="D11040">
        <v>0</v>
      </c>
    </row>
    <row r="11041" spans="1:4" x14ac:dyDescent="0.25">
      <c r="B11041" t="str">
        <f>HYPERLINK("https://www.chemistwarehouse.com.au/buy/75524/Bioglan-Super-Odourless-Fish-Oil-1000-500mg-200-Capsules"," Bioglan Super Odourless Fish Oil 1000/500mg 200 Capsules")</f>
        <v xml:space="preserve"> Bioglan Super Odourless Fish Oil 1000/500mg 200 Capsules</v>
      </c>
      <c r="C11041" t="s">
        <v>8</v>
      </c>
      <c r="D11041" t="s">
        <v>93</v>
      </c>
    </row>
    <row r="11042" spans="1:4" x14ac:dyDescent="0.25">
      <c r="B11042" t="str">
        <f>HYPERLINK("https://www.chemistwarehouse.com.au/buy/49399/Nature-39-s-Way-Glucosamine-500mg-amp-Fish-Oil-500mg-200-Capsules"," Nature's Way Glucosamine 500mg &amp; Fish Oil 500mg 200 Capsules")</f>
        <v xml:space="preserve"> Nature's Way Glucosamine 500mg &amp; Fish Oil 500mg 200 Capsules</v>
      </c>
      <c r="C11042" t="s">
        <v>1</v>
      </c>
      <c r="D11042" t="s">
        <v>46</v>
      </c>
    </row>
    <row r="11043" spans="1:4" x14ac:dyDescent="0.25">
      <c r="B11043" t="str">
        <f>HYPERLINK("https://www.chemistwarehouse.com.au/buy/59657/Nature-39-s-Way-Kids-Smart-Omega-3-Fish-Oil-Trio-180-Capsules"," Nature's Way Kids Smart Omega 3 Fish Oil Trio 180 Capsules")</f>
        <v xml:space="preserve"> Nature's Way Kids Smart Omega 3 Fish Oil Trio 180 Capsules</v>
      </c>
      <c r="C11043" t="s">
        <v>469</v>
      </c>
      <c r="D11043" t="s">
        <v>425</v>
      </c>
    </row>
    <row r="11044" spans="1:4" x14ac:dyDescent="0.25">
      <c r="B11044" t="str">
        <f>HYPERLINK("https://www.chemistwarehouse.com.au/buy/63376/Thompson-39-s-Omega-3-Fish-Oil-400-Capsules"," Thompson's Omega 3 Fish Oil 400 Capsules")</f>
        <v xml:space="preserve"> Thompson's Omega 3 Fish Oil 400 Capsules</v>
      </c>
      <c r="C11044" t="s">
        <v>301</v>
      </c>
      <c r="D11044" t="s">
        <v>519</v>
      </c>
    </row>
    <row r="11045" spans="1:4" x14ac:dyDescent="0.25">
      <c r="B11045" t="str">
        <f>HYPERLINK("https://www.chemistwarehouse.com.au/buy/66536/Healthy-Care-Odourless-Fish-Oil-2000mg-400-Capsules"," Healthy Care Odourless Fish Oil 2000mg 400 Capsules")</f>
        <v xml:space="preserve"> Healthy Care Odourless Fish Oil 2000mg 400 Capsules</v>
      </c>
      <c r="C11045" t="s">
        <v>279</v>
      </c>
      <c r="D11045">
        <v>0</v>
      </c>
    </row>
    <row r="11046" spans="1:4" x14ac:dyDescent="0.25">
      <c r="B11046" t="str">
        <f>HYPERLINK("https://www.chemistwarehouse.com.au/buy/66829/Carusos-Natural-Health-King-Krill-1000MG-60-Capsules"," Carusos Natural Health King Krill 1000MG 60 Capsules")</f>
        <v xml:space="preserve"> Carusos Natural Health King Krill 1000MG 60 Capsules</v>
      </c>
      <c r="C11046" t="s">
        <v>282</v>
      </c>
      <c r="D11046" t="s">
        <v>486</v>
      </c>
    </row>
    <row r="11047" spans="1:4" x14ac:dyDescent="0.25">
      <c r="B11047" t="str">
        <f>HYPERLINK("https://www.chemistwarehouse.com.au/buy/54175/Blackmores-Odourless-Fish-Oil-1000mg-200-Capsules"," Blackmores Odourless Fish Oil 1000mg 200 Capsules")</f>
        <v xml:space="preserve"> Blackmores Odourless Fish Oil 1000mg 200 Capsules</v>
      </c>
      <c r="C11047" t="s">
        <v>105</v>
      </c>
      <c r="D11047" t="s">
        <v>232</v>
      </c>
    </row>
    <row r="11048" spans="1:4" x14ac:dyDescent="0.25">
      <c r="B11048" t="str">
        <f>HYPERLINK("https://www.chemistwarehouse.com.au/buy/61295/Ethical-Nutrients-Hi-Strength-Liquid-Fish-Oil-280mL"," Ethical Nutrients Hi Strength Liquid Fish Oil 280mL")</f>
        <v xml:space="preserve"> Ethical Nutrients Hi Strength Liquid Fish Oil 280mL</v>
      </c>
      <c r="C11048" t="s">
        <v>345</v>
      </c>
      <c r="D11048" t="s">
        <v>346</v>
      </c>
    </row>
    <row r="11049" spans="1:4" x14ac:dyDescent="0.25">
      <c r="A11049" t="s">
        <v>2276</v>
      </c>
    </row>
    <row r="11050" spans="1:4" x14ac:dyDescent="0.25">
      <c r="B11050" t="str">
        <f>HYPERLINK("https://www.chemistwarehouse.com.au/buy/43238/Bio-Organics-Glucosamine-Rapid-Cream-100g"," Bio-Organics Glucosamine Rapid Cream 100g")</f>
        <v xml:space="preserve"> Bio-Organics Glucosamine Rapid Cream 100g</v>
      </c>
      <c r="C11050" t="s">
        <v>128</v>
      </c>
      <c r="D11050" t="s">
        <v>129</v>
      </c>
    </row>
    <row r="11051" spans="1:4" x14ac:dyDescent="0.25">
      <c r="B11051" t="str">
        <f>HYPERLINK("https://www.chemistwarehouse.com.au/buy/54057/Zostrix-HP-Topical-Analgesic-Cream-45g"," Zostrix HP Topical Analgesic Cream 45g")</f>
        <v xml:space="preserve"> Zostrix HP Topical Analgesic Cream 45g</v>
      </c>
      <c r="C11051" t="s">
        <v>316</v>
      </c>
      <c r="D11051" t="s">
        <v>253</v>
      </c>
    </row>
    <row r="11052" spans="1:4" x14ac:dyDescent="0.25">
      <c r="A11052" t="s">
        <v>2277</v>
      </c>
    </row>
    <row r="11053" spans="1:4" x14ac:dyDescent="0.25">
      <c r="B11053" t="str">
        <f>HYPERLINK("https://www.chemistwarehouse.com.au/buy/66513/Healthy-Care-Paw-Paw-Rosehip-amp-Manuka-Lip-Balm-10g"," Healthy Care Paw Paw Rosehip &amp; Manuka Lip Balm 10g")</f>
        <v xml:space="preserve"> Healthy Care Paw Paw Rosehip &amp; Manuka Lip Balm 10g</v>
      </c>
      <c r="C11053" t="s">
        <v>146</v>
      </c>
      <c r="D11053">
        <v>0</v>
      </c>
    </row>
    <row r="11054" spans="1:4" x14ac:dyDescent="0.25">
      <c r="B11054" t="str">
        <f>HYPERLINK("https://www.chemistwarehouse.com.au/buy/54814/Rose-Hip-Vital-250-Capsules"," Rose-Hip Vital 250 Capsules")</f>
        <v xml:space="preserve"> Rose-Hip Vital 250 Capsules</v>
      </c>
      <c r="C11054" t="s">
        <v>243</v>
      </c>
      <c r="D11054" t="s">
        <v>369</v>
      </c>
    </row>
    <row r="11055" spans="1:4" x14ac:dyDescent="0.25">
      <c r="B11055" t="str">
        <f>HYPERLINK("https://www.chemistwarehouse.com.au/buy/66097/Trilogy-Rosehip-Oil-Antioxidant-30ml"," Trilogy Rosehip Oil Antioxidant + 30ml")</f>
        <v xml:space="preserve"> Trilogy Rosehip Oil Antioxidant + 30ml</v>
      </c>
      <c r="C11055" t="s">
        <v>313</v>
      </c>
      <c r="D11055" t="s">
        <v>437</v>
      </c>
    </row>
    <row r="11056" spans="1:4" x14ac:dyDescent="0.25">
      <c r="B11056" t="str">
        <f>HYPERLINK("https://www.chemistwarehouse.com.au/buy/63199/Trilogy-Rosehip-Oil-45ml"," Trilogy Rosehip Oil 45ml")</f>
        <v xml:space="preserve"> Trilogy Rosehip Oil 45ml</v>
      </c>
      <c r="C11056" t="s">
        <v>266</v>
      </c>
      <c r="D11056" t="s">
        <v>159</v>
      </c>
    </row>
    <row r="11057" spans="1:4" x14ac:dyDescent="0.25">
      <c r="B11057" t="str">
        <f>HYPERLINK("https://www.chemistwarehouse.com.au/buy/66508/RosehipPLUS-Rosehip-Oil-30ml"," RosehipPLUS Rosehip Oil 30ml")</f>
        <v xml:space="preserve"> RosehipPLUS Rosehip Oil 30ml</v>
      </c>
      <c r="C11057" t="s">
        <v>324</v>
      </c>
      <c r="D11057" t="s">
        <v>437</v>
      </c>
    </row>
    <row r="11058" spans="1:4" x14ac:dyDescent="0.25">
      <c r="B11058" t="str">
        <f>HYPERLINK("https://www.chemistwarehouse.com.au/buy/60332/Rose-Hip-Vital™-125g-Powder"," Rose-Hip Vital™ 125g Powder")</f>
        <v xml:space="preserve"> Rose-Hip Vital™ 125g Powder</v>
      </c>
      <c r="C11058" t="s">
        <v>113</v>
      </c>
      <c r="D11058" t="s">
        <v>81</v>
      </c>
    </row>
    <row r="11059" spans="1:4" x14ac:dyDescent="0.25">
      <c r="B11059" t="str">
        <f>HYPERLINK("https://www.chemistwarehouse.com.au/buy/63200/Trilogy-Rosehip-Oil-20ml"," Trilogy Rosehip Oil 20ml")</f>
        <v xml:space="preserve"> Trilogy Rosehip Oil 20ml</v>
      </c>
      <c r="C11059" t="s">
        <v>404</v>
      </c>
      <c r="D11059" t="s">
        <v>496</v>
      </c>
    </row>
    <row r="11060" spans="1:4" x14ac:dyDescent="0.25">
      <c r="B11060" t="str">
        <f>HYPERLINK("https://www.chemistwarehouse.com.au/buy/66725/RosehipPLUS-Rosehip-Oil-50ml"," RosehipPLUS Rosehip Oil 50ml")</f>
        <v xml:space="preserve"> RosehipPLUS Rosehip Oil 50ml</v>
      </c>
      <c r="C11060" t="s">
        <v>301</v>
      </c>
      <c r="D11060" t="s">
        <v>1346</v>
      </c>
    </row>
    <row r="11061" spans="1:4" x14ac:dyDescent="0.25">
      <c r="B11061" t="str">
        <f>HYPERLINK("https://www.chemistwarehouse.com.au/buy/67946/Swisse-Skincare-Rose-Hip-Oil-20ml"," Swisse Skincare Rose Hip Oil 20ml")</f>
        <v xml:space="preserve"> Swisse Skincare Rose Hip Oil 20ml</v>
      </c>
      <c r="C11061" t="s">
        <v>290</v>
      </c>
      <c r="D11061" t="s">
        <v>408</v>
      </c>
    </row>
    <row r="11062" spans="1:4" x14ac:dyDescent="0.25">
      <c r="B11062" t="str">
        <f>HYPERLINK("https://www.chemistwarehouse.com.au/buy/64416/Sukin-Rose-Hip-Oil-25ml"," Sukin Rose Hip Oil 25ml")</f>
        <v xml:space="preserve"> Sukin Rose Hip Oil 25ml</v>
      </c>
      <c r="C11062" t="s">
        <v>551</v>
      </c>
      <c r="D11062" t="s">
        <v>867</v>
      </c>
    </row>
    <row r="11063" spans="1:4" x14ac:dyDescent="0.25">
      <c r="B11063" t="str">
        <f>HYPERLINK("https://www.chemistwarehouse.com.au/buy/66027/Oil-Garden-Rose-Hip-Oil-25ml"," Oil Garden Rose Hip Oil 25ml")</f>
        <v xml:space="preserve"> Oil Garden Rose Hip Oil 25ml</v>
      </c>
      <c r="C11063" t="s">
        <v>237</v>
      </c>
      <c r="D11063" t="s">
        <v>64</v>
      </c>
    </row>
    <row r="11064" spans="1:4" x14ac:dyDescent="0.25">
      <c r="B11064" t="str">
        <f>HYPERLINK("https://www.chemistwarehouse.com.au/buy/62770/Palmers-Rosehip-Skin-Therapy-Oil-60mL"," Palmers Rosehip Skin Therapy Oil 60mL")</f>
        <v xml:space="preserve"> Palmers Rosehip Skin Therapy Oil 60mL</v>
      </c>
      <c r="C11064" t="s">
        <v>45</v>
      </c>
      <c r="D11064" t="s">
        <v>312</v>
      </c>
    </row>
    <row r="11065" spans="1:4" x14ac:dyDescent="0.25">
      <c r="A11065" t="s">
        <v>2278</v>
      </c>
    </row>
    <row r="11066" spans="1:4" x14ac:dyDescent="0.25">
      <c r="B11066" t="str">
        <f>HYPERLINK("https://www.chemistwarehouse.com.au/buy/6593/Nicotinell-Chewing-Gum-2mg-Mint-96"," Nicotinell Chewing Gum 2mg Mint 96")</f>
        <v xml:space="preserve"> Nicotinell Chewing Gum 2mg Mint 96</v>
      </c>
      <c r="C11066" t="s">
        <v>153</v>
      </c>
      <c r="D11066" t="s">
        <v>164</v>
      </c>
    </row>
    <row r="11067" spans="1:4" x14ac:dyDescent="0.25">
      <c r="B11067" t="str">
        <f>HYPERLINK("https://www.chemistwarehouse.com.au/buy/57616/Nicorette-Gum-Extra-Strength-4mg-Classic-210-Chewing-Gum"," Nicorette Gum Extra Strength 4mg Classic 210 Chewing Gum")</f>
        <v xml:space="preserve"> Nicorette Gum Extra Strength 4mg Classic 210 Chewing Gum</v>
      </c>
      <c r="C11067" t="s">
        <v>168</v>
      </c>
      <c r="D11067" t="s">
        <v>169</v>
      </c>
    </row>
    <row r="11068" spans="1:4" x14ac:dyDescent="0.25">
      <c r="B11068" t="str">
        <f>HYPERLINK("https://www.chemistwarehouse.com.au/buy/40672/QuitX-Gum-4mg-Classic-100"," QuitX Gum 4mg Classic 100")</f>
        <v xml:space="preserve"> QuitX Gum 4mg Classic 100</v>
      </c>
      <c r="C11068" t="s">
        <v>173</v>
      </c>
      <c r="D11068" t="s">
        <v>159</v>
      </c>
    </row>
    <row r="11069" spans="1:4" x14ac:dyDescent="0.25">
      <c r="B11069" t="str">
        <f>HYPERLINK("https://www.chemistwarehouse.com.au/buy/57961/Nicorette-Gum-2mg-Classic-210-Pieces"," Nicorette Gum 2mg Classic 210 Pieces")</f>
        <v xml:space="preserve"> Nicorette Gum 2mg Classic 210 Pieces</v>
      </c>
      <c r="C11069" t="s">
        <v>168</v>
      </c>
      <c r="D11069" t="s">
        <v>169</v>
      </c>
    </row>
    <row r="11070" spans="1:4" x14ac:dyDescent="0.25">
      <c r="B11070" t="str">
        <f>HYPERLINK("https://www.chemistwarehouse.com.au/buy/49578/Nicorette-Regular-Strength-2mg-Freshmint-105-Chewing-Gum"," Nicorette Regular Strength (2mg) Freshmint 105 Chewing Gum")</f>
        <v xml:space="preserve"> Nicorette Regular Strength (2mg) Freshmint 105 Chewing Gum</v>
      </c>
      <c r="C11070" t="s">
        <v>111</v>
      </c>
      <c r="D11070" t="s">
        <v>217</v>
      </c>
    </row>
    <row r="11071" spans="1:4" x14ac:dyDescent="0.25">
      <c r="B11071" t="str">
        <f>HYPERLINK("https://www.chemistwarehouse.com.au/buy/6594/Nicotinell-Chewing-Gum-2mg-Fruit-96"," Nicotinell Chewing Gum 2mg Fruit 96")</f>
        <v xml:space="preserve"> Nicotinell Chewing Gum 2mg Fruit 96</v>
      </c>
      <c r="C11071" t="s">
        <v>153</v>
      </c>
      <c r="D11071" t="s">
        <v>164</v>
      </c>
    </row>
    <row r="11072" spans="1:4" x14ac:dyDescent="0.25">
      <c r="B11072" t="str">
        <f>HYPERLINK("https://www.chemistwarehouse.com.au/buy/60239/Nicorette-Icy-Mint-Gum-2mg-105"," Nicorette Icy Mint Gum 2mg 105")</f>
        <v xml:space="preserve"> Nicorette Icy Mint Gum 2mg 105</v>
      </c>
      <c r="C11072" t="s">
        <v>111</v>
      </c>
      <c r="D11072" t="s">
        <v>217</v>
      </c>
    </row>
    <row r="11073" spans="2:4" x14ac:dyDescent="0.25">
      <c r="B11073" t="str">
        <f>HYPERLINK("https://www.chemistwarehouse.com.au/buy/63456/Nicorette-Gum-4mg-Fresh-Fruit-Pieces-30"," Nicorette Gum 4mg Fresh Fruit Pieces 30")</f>
        <v xml:space="preserve"> Nicorette Gum 4mg Fresh Fruit Pieces 30</v>
      </c>
      <c r="C11073" t="s">
        <v>80</v>
      </c>
      <c r="D11073" t="s">
        <v>104</v>
      </c>
    </row>
    <row r="11074" spans="2:4" x14ac:dyDescent="0.25">
      <c r="B11074" t="str">
        <f>HYPERLINK("https://www.chemistwarehouse.com.au/buy/63457/Nicorette-Gum-4mg-Classic-30-Pieces"," Nicorette Gum 4mg Classic 30 Pieces")</f>
        <v xml:space="preserve"> Nicorette Gum 4mg Classic 30 Pieces</v>
      </c>
      <c r="C11074" t="s">
        <v>80</v>
      </c>
      <c r="D11074" t="s">
        <v>104</v>
      </c>
    </row>
    <row r="11075" spans="2:4" x14ac:dyDescent="0.25">
      <c r="B11075" t="str">
        <f>HYPERLINK("https://www.chemistwarehouse.com.au/buy/6597/Nicotinell-Chewing-Gum-4mg-Mint-96"," Nicotinell Chewing Gum 4mg Mint 96")</f>
        <v xml:space="preserve"> Nicotinell Chewing Gum 4mg Mint 96</v>
      </c>
      <c r="C11075" t="s">
        <v>125</v>
      </c>
      <c r="D11075" t="s">
        <v>164</v>
      </c>
    </row>
    <row r="11076" spans="2:4" x14ac:dyDescent="0.25">
      <c r="B11076" t="str">
        <f>HYPERLINK("https://www.chemistwarehouse.com.au/buy/6598/Nicotinell-Chewing-Gum-4mg-Fruit-96"," Nicotinell Chewing Gum 4mg Fruit 96")</f>
        <v xml:space="preserve"> Nicotinell Chewing Gum 4mg Fruit 96</v>
      </c>
      <c r="C11076" t="s">
        <v>125</v>
      </c>
      <c r="D11076" t="s">
        <v>164</v>
      </c>
    </row>
    <row r="11077" spans="2:4" x14ac:dyDescent="0.25">
      <c r="B11077" t="str">
        <f>HYPERLINK("https://www.chemistwarehouse.com.au/buy/6578/Nicorette-Regular-Strength-2mg-Classic-30-Chewing-Gum"," Nicorette Regular Strength (2mg) Classic 30 Chewing Gum")</f>
        <v xml:space="preserve"> Nicorette Regular Strength (2mg) Classic 30 Chewing Gum</v>
      </c>
      <c r="C11077" t="s">
        <v>80</v>
      </c>
      <c r="D11077" t="s">
        <v>104</v>
      </c>
    </row>
    <row r="11078" spans="2:4" x14ac:dyDescent="0.25">
      <c r="B11078" t="str">
        <f>HYPERLINK("https://www.chemistwarehouse.com.au/buy/6581/Nicorette-Extra-Strength-4mg-Classic-105-Chewing-Gum"," Nicorette Extra Strength (4mg) Classic 105 Chewing Gum")</f>
        <v xml:space="preserve"> Nicorette Extra Strength (4mg) Classic 105 Chewing Gum</v>
      </c>
      <c r="C11078" t="s">
        <v>111</v>
      </c>
      <c r="D11078" t="s">
        <v>217</v>
      </c>
    </row>
    <row r="11079" spans="2:4" x14ac:dyDescent="0.25">
      <c r="B11079" t="str">
        <f>HYPERLINK("https://www.chemistwarehouse.com.au/buy/49579/Nicorette-Regular-Strength-2mg-Freshmint-30-Chewing-Gum"," Nicorette Regular Strength (2mg) Freshmint 30 Chewing Gum")</f>
        <v xml:space="preserve"> Nicorette Regular Strength (2mg) Freshmint 30 Chewing Gum</v>
      </c>
      <c r="C11079" t="s">
        <v>80</v>
      </c>
      <c r="D11079" t="s">
        <v>104</v>
      </c>
    </row>
    <row r="11080" spans="2:4" x14ac:dyDescent="0.25">
      <c r="B11080" t="str">
        <f>HYPERLINK("https://www.chemistwarehouse.com.au/buy/57339/Nicorette-Regular-Strength-2mg-Classic-105-Chewing-Gum"," Nicorette Regular Strength (2mg) Classic 105 Chewing Gum")</f>
        <v xml:space="preserve"> Nicorette Regular Strength (2mg) Classic 105 Chewing Gum</v>
      </c>
      <c r="C11080" t="s">
        <v>111</v>
      </c>
      <c r="D11080" t="s">
        <v>217</v>
      </c>
    </row>
    <row r="11081" spans="2:4" x14ac:dyDescent="0.25">
      <c r="B11081" t="str">
        <f>HYPERLINK("https://www.chemistwarehouse.com.au/buy/49246/Nicorette-Extra-Strength-4mg-Freshmint-30-Chewing-Gum"," Nicorette Extra Strength (4mg) Freshmint 30 Chewing Gum")</f>
        <v xml:space="preserve"> Nicorette Extra Strength (4mg) Freshmint 30 Chewing Gum</v>
      </c>
      <c r="C11081" t="s">
        <v>80</v>
      </c>
      <c r="D11081" t="s">
        <v>104</v>
      </c>
    </row>
    <row r="11082" spans="2:4" x14ac:dyDescent="0.25">
      <c r="B11082" t="str">
        <f>HYPERLINK("https://www.chemistwarehouse.com.au/buy/49247/Nicorette-Extra-Strength-4mg-Freshmint-105-Chewing-Gum"," Nicorette Extra Strength (4mg) Freshmint 105 Chewing Gum")</f>
        <v xml:space="preserve"> Nicorette Extra Strength (4mg) Freshmint 105 Chewing Gum</v>
      </c>
      <c r="C11082" t="s">
        <v>111</v>
      </c>
      <c r="D11082" t="s">
        <v>217</v>
      </c>
    </row>
    <row r="11083" spans="2:4" x14ac:dyDescent="0.25">
      <c r="B11083" t="str">
        <f>HYPERLINK("https://www.chemistwarehouse.com.au/buy/58584/Nicorette-Gum-2mg-Fresh-Fruit-30-Pieces"," Nicorette Gum 2mg Fresh Fruit 30 Pieces")</f>
        <v xml:space="preserve"> Nicorette Gum 2mg Fresh Fruit 30 Pieces</v>
      </c>
      <c r="C11083" t="s">
        <v>80</v>
      </c>
      <c r="D11083" t="s">
        <v>104</v>
      </c>
    </row>
    <row r="11084" spans="2:4" x14ac:dyDescent="0.25">
      <c r="B11084" t="str">
        <f>HYPERLINK("https://www.chemistwarehouse.com.au/buy/58585/Nicorette-Gum-2mg-Fresh-Fruit-105-Pieces"," Nicorette Gum 2mg Fresh Fruit 105 Pieces")</f>
        <v xml:space="preserve"> Nicorette Gum 2mg Fresh Fruit 105 Pieces</v>
      </c>
      <c r="C11084" t="s">
        <v>111</v>
      </c>
      <c r="D11084" t="s">
        <v>217</v>
      </c>
    </row>
    <row r="11085" spans="2:4" x14ac:dyDescent="0.25">
      <c r="B11085" t="str">
        <f>HYPERLINK("https://www.chemistwarehouse.com.au/buy/58587/Nicorette-Gum-4mg-Fresh-Fruit-105-Pieces"," Nicorette Gum 4mg Fresh Fruit 105 Pieces")</f>
        <v xml:space="preserve"> Nicorette Gum 4mg Fresh Fruit 105 Pieces</v>
      </c>
      <c r="C11085" t="s">
        <v>111</v>
      </c>
      <c r="D11085" t="s">
        <v>217</v>
      </c>
    </row>
    <row r="11086" spans="2:4" x14ac:dyDescent="0.25">
      <c r="B11086" t="str">
        <f>HYPERLINK("https://www.chemistwarehouse.com.au/buy/60238/Nicorette-Icy-Mint-Gum-4mg-105"," Nicorette Icy Mint Gum 4mg 105")</f>
        <v xml:space="preserve"> Nicorette Icy Mint Gum 4mg 105</v>
      </c>
      <c r="C11086" t="s">
        <v>111</v>
      </c>
      <c r="D11086" t="s">
        <v>217</v>
      </c>
    </row>
    <row r="11087" spans="2:4" x14ac:dyDescent="0.25">
      <c r="B11087" t="str">
        <f>HYPERLINK("https://www.chemistwarehouse.com.au/buy/40957/QuitX-Gum-2mg-Classic-100"," QuitX Gum 2mg Classic 100")</f>
        <v xml:space="preserve"> QuitX Gum 2mg Classic 100</v>
      </c>
      <c r="C11087" t="s">
        <v>8</v>
      </c>
      <c r="D11087" t="s">
        <v>64</v>
      </c>
    </row>
    <row r="11088" spans="2:4" x14ac:dyDescent="0.25">
      <c r="B11088" t="str">
        <f>HYPERLINK("https://www.chemistwarehouse.com.au/buy/40943/QuitX-Gum-4mg-Mint-100"," QuitX Gum 4mg Mint 100")</f>
        <v xml:space="preserve"> QuitX Gum 4mg Mint 100</v>
      </c>
      <c r="C11088" t="s">
        <v>173</v>
      </c>
      <c r="D11088" t="s">
        <v>159</v>
      </c>
    </row>
    <row r="11089" spans="1:4" x14ac:dyDescent="0.25">
      <c r="A11089" t="s">
        <v>2279</v>
      </c>
    </row>
    <row r="11090" spans="1:4" x14ac:dyDescent="0.25">
      <c r="B11090" t="str">
        <f>HYPERLINK("https://www.chemistwarehouse.com.au/buy/65714/Nicabate-P-Patch-21mg-Patches-28"," Nicabate P Patch 21mg Patches 28")</f>
        <v xml:space="preserve"> Nicabate P Patch 21mg Patches 28</v>
      </c>
      <c r="C11090" t="s">
        <v>514</v>
      </c>
      <c r="D11090" t="s">
        <v>162</v>
      </c>
    </row>
    <row r="11091" spans="1:4" x14ac:dyDescent="0.25">
      <c r="B11091" t="str">
        <f>HYPERLINK("https://www.chemistwarehouse.com.au/buy/31777/Nicabate-Patch-Clear-21mg-14-Value-Pack"," Nicabate Patch Clear 21mg 14 Value Pack")</f>
        <v xml:space="preserve"> Nicabate Patch Clear 21mg 14 Value Pack</v>
      </c>
      <c r="C11091" t="s">
        <v>1187</v>
      </c>
      <c r="D11091" t="s">
        <v>104</v>
      </c>
    </row>
    <row r="11092" spans="1:4" x14ac:dyDescent="0.25">
      <c r="B11092" t="str">
        <f>HYPERLINK("https://www.chemistwarehouse.com.au/buy/39999/Nicabate-Patch-Clear-14mg-7"," Nicabate Patch Clear 14mg 7")</f>
        <v xml:space="preserve"> Nicabate Patch Clear 14mg 7</v>
      </c>
      <c r="C11092" t="s">
        <v>667</v>
      </c>
      <c r="D11092" t="s">
        <v>104</v>
      </c>
    </row>
    <row r="11093" spans="1:4" x14ac:dyDescent="0.25">
      <c r="B11093" t="str">
        <f>HYPERLINK("https://www.chemistwarehouse.com.au/buy/72287/Nicorette-Invispatch-25mg-28-Pack"," Nicorette Invispatch 25mg 28 Pack")</f>
        <v xml:space="preserve"> Nicorette Invispatch 25mg 28 Pack</v>
      </c>
      <c r="C11093" t="s">
        <v>345</v>
      </c>
      <c r="D11093">
        <v>0</v>
      </c>
    </row>
    <row r="11094" spans="1:4" x14ac:dyDescent="0.25">
      <c r="B11094" t="str">
        <f>HYPERLINK("https://www.chemistwarehouse.com.au/buy/68717/Nicorette-Invispatch-25mg-14-Pack"," Nicorette Invispatch 25mg 14 Pack")</f>
        <v xml:space="preserve"> Nicorette Invispatch 25mg 14 Pack</v>
      </c>
      <c r="C11094" t="s">
        <v>258</v>
      </c>
      <c r="D11094" t="s">
        <v>167</v>
      </c>
    </row>
    <row r="11095" spans="1:4" x14ac:dyDescent="0.25">
      <c r="B11095" t="str">
        <f>HYPERLINK("https://www.chemistwarehouse.com.au/buy/68090/Nicorette-Invispatch-15mg-7-Pack"," Nicorette Invispatch 15mg 7 Pack")</f>
        <v xml:space="preserve"> Nicorette Invispatch 15mg 7 Pack</v>
      </c>
      <c r="C11095" t="s">
        <v>109</v>
      </c>
      <c r="D11095" t="s">
        <v>283</v>
      </c>
    </row>
    <row r="11096" spans="1:4" x14ac:dyDescent="0.25">
      <c r="B11096" t="str">
        <f>HYPERLINK("https://www.chemistwarehouse.com.au/buy/68091/Nicorette-Invispatch-10mg-7-Pack"," Nicorette Invispatch 10mg 7 Pack")</f>
        <v xml:space="preserve"> Nicorette Invispatch 10mg 7 Pack</v>
      </c>
      <c r="C11096" t="s">
        <v>109</v>
      </c>
      <c r="D11096" t="s">
        <v>283</v>
      </c>
    </row>
    <row r="11097" spans="1:4" x14ac:dyDescent="0.25">
      <c r="B11097" t="str">
        <f>HYPERLINK("https://www.chemistwarehouse.com.au/buy/68092/Nicorette-Invispatch-25mg-7-Pack"," Nicorette Invispatch 25mg 7 Pack")</f>
        <v xml:space="preserve"> Nicorette Invispatch 25mg 7 Pack</v>
      </c>
      <c r="C11097" t="s">
        <v>109</v>
      </c>
      <c r="D11097" t="s">
        <v>283</v>
      </c>
    </row>
    <row r="11098" spans="1:4" x14ac:dyDescent="0.25">
      <c r="B11098" t="str">
        <f>HYPERLINK("https://www.chemistwarehouse.com.au/buy/40923/QuitX-Patches-Step-3-7x-24hr-7mg-patch"," QuitX Patches Step 3 - 7x 24hr 7mg patch")</f>
        <v xml:space="preserve"> QuitX Patches Step 3 - 7x 24hr 7mg patch</v>
      </c>
      <c r="C11098" t="s">
        <v>58</v>
      </c>
      <c r="D11098" t="s">
        <v>145</v>
      </c>
    </row>
    <row r="11099" spans="1:4" x14ac:dyDescent="0.25">
      <c r="B11099" t="str">
        <f>HYPERLINK("https://www.chemistwarehouse.com.au/buy/39829/Nicabate-Patch-Clear-21mg-7"," Nicabate Patch Clear 21mg 7")</f>
        <v xml:space="preserve"> Nicabate Patch Clear 21mg 7</v>
      </c>
      <c r="C11099" t="s">
        <v>667</v>
      </c>
      <c r="D11099" t="s">
        <v>104</v>
      </c>
    </row>
    <row r="11100" spans="1:4" x14ac:dyDescent="0.25">
      <c r="B11100" t="str">
        <f>HYPERLINK("https://www.chemistwarehouse.com.au/buy/39998/Nicabate-Patch-Clear-7mg-7"," Nicabate Patch Clear 7mg 7")</f>
        <v xml:space="preserve"> Nicabate Patch Clear 7mg 7</v>
      </c>
      <c r="C11100" t="s">
        <v>667</v>
      </c>
      <c r="D11100" t="s">
        <v>104</v>
      </c>
    </row>
    <row r="11101" spans="1:4" x14ac:dyDescent="0.25">
      <c r="B11101" t="str">
        <f>HYPERLINK("https://www.chemistwarehouse.com.au/buy/40925/QuitX-Patches-Step-1-7x-24hr-21mg-patch"," QuitX Patches Step 1 - 7x 24hr 21mg patch")</f>
        <v xml:space="preserve"> QuitX Patches Step 1 - 7x 24hr 21mg patch</v>
      </c>
      <c r="C11101" t="s">
        <v>1</v>
      </c>
      <c r="D11101" t="s">
        <v>165</v>
      </c>
    </row>
    <row r="11102" spans="1:4" x14ac:dyDescent="0.25">
      <c r="B11102" t="str">
        <f>HYPERLINK("https://www.chemistwarehouse.com.au/buy/54257/Nicotinell-Patch-21mg-7-Patches"," Nicotinell Patch 21mg 7 Patches")</f>
        <v xml:space="preserve"> Nicotinell Patch 21mg 7 Patches</v>
      </c>
      <c r="C11102" t="s">
        <v>1</v>
      </c>
      <c r="D11102" t="s">
        <v>46</v>
      </c>
    </row>
    <row r="11103" spans="1:4" x14ac:dyDescent="0.25">
      <c r="B11103" t="str">
        <f>HYPERLINK("https://www.chemistwarehouse.com.au/buy/60735/Nicotinell-10-7mg-Patches-7"," Nicotinell 10 7mg Patches 7")</f>
        <v xml:space="preserve"> Nicotinell 10 7mg Patches 7</v>
      </c>
      <c r="C11103" t="s">
        <v>61</v>
      </c>
      <c r="D11103" t="s">
        <v>283</v>
      </c>
    </row>
    <row r="11104" spans="1:4" x14ac:dyDescent="0.25">
      <c r="B11104" t="str">
        <f>HYPERLINK("https://www.chemistwarehouse.com.au/buy/60736/Nicotinell-20-14mg-Patches-7"," Nicotinell 20 14mg Patches 7")</f>
        <v xml:space="preserve"> Nicotinell 20 14mg Patches 7</v>
      </c>
      <c r="C11104" t="s">
        <v>63</v>
      </c>
      <c r="D11104" t="s">
        <v>283</v>
      </c>
    </row>
    <row r="11105" spans="1:4" x14ac:dyDescent="0.25">
      <c r="B11105" t="str">
        <f>HYPERLINK("https://www.chemistwarehouse.com.au/buy/65516/Nicotinell-Patch-14mg-28day"," Nicotinell Patch 14mg 28day")</f>
        <v xml:space="preserve"> Nicotinell Patch 14mg 28day</v>
      </c>
      <c r="C11105" t="s">
        <v>514</v>
      </c>
      <c r="D11105" t="s">
        <v>162</v>
      </c>
    </row>
    <row r="11106" spans="1:4" x14ac:dyDescent="0.25">
      <c r="B11106" t="str">
        <f>HYPERLINK("https://www.chemistwarehouse.com.au/buy/65517/Nicotinell-Patch-7mg-28-Day"," Nicotinell Patch 7mg 28 Day")</f>
        <v xml:space="preserve"> Nicotinell Patch 7mg 28 Day</v>
      </c>
      <c r="C11106" t="s">
        <v>514</v>
      </c>
      <c r="D11106" t="s">
        <v>162</v>
      </c>
    </row>
    <row r="11107" spans="1:4" x14ac:dyDescent="0.25">
      <c r="B11107" t="str">
        <f>HYPERLINK("https://www.chemistwarehouse.com.au/buy/40924/QuitX-Patches-Step-2-7x-24hr-14mg-patch"," QuitX Patches Step 2 - 7x 24hr 14mg patch")</f>
        <v xml:space="preserve"> QuitX Patches Step 2 - 7x 24hr 14mg patch</v>
      </c>
      <c r="C11107" t="s">
        <v>8</v>
      </c>
      <c r="D11107" t="s">
        <v>165</v>
      </c>
    </row>
    <row r="11108" spans="1:4" x14ac:dyDescent="0.25">
      <c r="A11108" t="s">
        <v>2280</v>
      </c>
    </row>
    <row r="11109" spans="1:4" x14ac:dyDescent="0.25">
      <c r="B11109" t="str">
        <f>HYPERLINK("https://www.chemistwarehouse.com.au/buy/71846/Optislim-Garcinia-Cambogia-60-Tablets"," Optislim Garcinia Cambogia 60 Tablets")</f>
        <v xml:space="preserve"> Optislim Garcinia Cambogia 60 Tablets</v>
      </c>
      <c r="C11109" t="s">
        <v>1</v>
      </c>
      <c r="D11109">
        <v>0</v>
      </c>
    </row>
    <row r="11110" spans="1:4" x14ac:dyDescent="0.25">
      <c r="B11110" t="str">
        <f>HYPERLINK("https://www.chemistwarehouse.com.au/buy/71851/Healthy-Care-Garcinia-Cambogia-Rapid-Diet-Shake-375g"," Healthy Care Garcinia Cambogia Rapid Diet Shake 375g")</f>
        <v xml:space="preserve"> Healthy Care Garcinia Cambogia Rapid Diet Shake 375g</v>
      </c>
      <c r="C11110" t="s">
        <v>187</v>
      </c>
      <c r="D11110">
        <v>0</v>
      </c>
    </row>
    <row r="11111" spans="1:4" x14ac:dyDescent="0.25">
      <c r="B11111" t="str">
        <f>HYPERLINK("https://www.chemistwarehouse.com.au/buy/71930/Naturopathica-Fatblaster-Garcinia-MAX-60-Capsules"," Naturopathica Fatblaster Garcinia MAX 60 Capsules")</f>
        <v xml:space="preserve"> Naturopathica Fatblaster Garcinia MAX 60 Capsules</v>
      </c>
      <c r="C11111" t="s">
        <v>173</v>
      </c>
      <c r="D11111" t="s">
        <v>283</v>
      </c>
    </row>
    <row r="11112" spans="1:4" x14ac:dyDescent="0.25">
      <c r="A11112" t="s">
        <v>2281</v>
      </c>
    </row>
    <row r="11113" spans="1:4" x14ac:dyDescent="0.25">
      <c r="B11113" t="str">
        <f>HYPERLINK("https://www.chemistwarehouse.com.au/buy/8147/Trifeme-Tablets-4-x-28"," Trifeme Tablets 4 x 28")</f>
        <v xml:space="preserve"> Trifeme Tablets 4 x 28</v>
      </c>
      <c r="C11113" t="s">
        <v>257</v>
      </c>
      <c r="D11113">
        <v>0</v>
      </c>
    </row>
    <row r="11114" spans="1:4" x14ac:dyDescent="0.25">
      <c r="B11114" t="str">
        <f>HYPERLINK("https://www.chemistwarehouse.com.au/buy/6254/Microlut-Tablets-4x28"," Microlut Tablets 4x28")</f>
        <v xml:space="preserve"> Microlut Tablets 4x28</v>
      </c>
      <c r="C11114" t="s">
        <v>696</v>
      </c>
      <c r="D11114">
        <v>0</v>
      </c>
    </row>
    <row r="11115" spans="1:4" x14ac:dyDescent="0.25">
      <c r="B11115" t="str">
        <f>HYPERLINK("https://www.chemistwarehouse.com.au/buy/6318/Monofeme-Tablets-4-x-28"," Monofeme Tablets 4 x 28")</f>
        <v xml:space="preserve"> Monofeme Tablets 4 x 28</v>
      </c>
      <c r="C11115" t="s">
        <v>98</v>
      </c>
      <c r="D11115">
        <v>0</v>
      </c>
    </row>
    <row r="11116" spans="1:4" x14ac:dyDescent="0.25">
      <c r="B11116" t="str">
        <f>HYPERLINK("https://www.chemistwarehouse.com.au/buy/6662/Nordette-28-Tablets-4x28"," Nordette 28 Tablets 4x28")</f>
        <v xml:space="preserve"> Nordette 28 Tablets 4x28</v>
      </c>
      <c r="C11116" t="s">
        <v>445</v>
      </c>
      <c r="D11116">
        <v>0</v>
      </c>
    </row>
    <row r="11117" spans="1:4" x14ac:dyDescent="0.25">
      <c r="B11117" t="str">
        <f>HYPERLINK("https://www.chemistwarehouse.com.au/buy/8150/Triphasil-Tablets-4-x-28"," Triphasil Tablets 4 x 28")</f>
        <v xml:space="preserve"> Triphasil Tablets 4 x 28</v>
      </c>
      <c r="C11117" t="s">
        <v>316</v>
      </c>
      <c r="D11117">
        <v>0</v>
      </c>
    </row>
    <row r="11118" spans="1:4" x14ac:dyDescent="0.25">
      <c r="B11118" t="str">
        <f>HYPERLINK("https://www.chemistwarehouse.com.au/buy/31028/Microgynon-30-ED-Tablets-12-x-28"," Microgynon 30 ED Tablets 12 x 28")</f>
        <v xml:space="preserve"> Microgynon 30 ED Tablets 12 x 28</v>
      </c>
      <c r="C11118" t="s">
        <v>2282</v>
      </c>
      <c r="D11118">
        <v>0</v>
      </c>
    </row>
    <row r="11119" spans="1:4" x14ac:dyDescent="0.25">
      <c r="B11119" t="str">
        <f>HYPERLINK("https://www.chemistwarehouse.com.au/buy/39815/Mirena-IUD"," Mirena IUD")</f>
        <v xml:space="preserve"> Mirena IUD</v>
      </c>
      <c r="C11119" t="s">
        <v>2283</v>
      </c>
      <c r="D11119">
        <v>0</v>
      </c>
    </row>
    <row r="11120" spans="1:4" x14ac:dyDescent="0.25">
      <c r="B11120" t="str">
        <f>HYPERLINK("https://www.chemistwarehouse.com.au/buy/48926/Microgynon-50ED-Tablets-12-x-28"," Microgynon 50ED Tablets 12 x 28")</f>
        <v xml:space="preserve"> Microgynon 50ED Tablets 12 x 28</v>
      </c>
      <c r="C11120" t="s">
        <v>2284</v>
      </c>
      <c r="D11120">
        <v>0</v>
      </c>
    </row>
    <row r="11121" spans="1:4" x14ac:dyDescent="0.25">
      <c r="B11121" t="str">
        <f>HYPERLINK("https://www.chemistwarehouse.com.au/buy/54484/Triquilar-Ed-Tablets-4x28-Generic-drug-name-Levonorgestrel-with-Ethinyloestradiol"," Triquilar Ed Tablets 4x28 (Generic drug name Levonorgestrel  with Ethinyloestradiol )")</f>
        <v xml:space="preserve"> Triquilar Ed Tablets 4x28 (Generic drug name Levonorgestrel  with Ethinyloestradiol )</v>
      </c>
      <c r="C11121" t="s">
        <v>125</v>
      </c>
      <c r="D11121">
        <v>0</v>
      </c>
    </row>
    <row r="11122" spans="1:4" x14ac:dyDescent="0.25">
      <c r="B11122" t="str">
        <f>HYPERLINK("https://www.chemistwarehouse.com.au/buy/5951/Levlen-ED-Tablets-4-x-28"," Levlen ED Tablets 4 x 28")</f>
        <v xml:space="preserve"> Levlen ED Tablets 4 x 28</v>
      </c>
      <c r="C11122" t="s">
        <v>237</v>
      </c>
      <c r="D11122">
        <v>0</v>
      </c>
    </row>
    <row r="11123" spans="1:4" x14ac:dyDescent="0.25">
      <c r="B11123" t="str">
        <f>HYPERLINK("https://www.chemistwarehouse.com.au/buy/6249/Microgynon-30-ED-Tablets-4-x-28"," Microgynon 30 ED Tablets 4 x 28")</f>
        <v xml:space="preserve"> Microgynon 30 ED Tablets 4 x 28</v>
      </c>
      <c r="C11123" t="s">
        <v>153</v>
      </c>
      <c r="D11123">
        <v>0</v>
      </c>
    </row>
    <row r="11124" spans="1:4" x14ac:dyDescent="0.25">
      <c r="B11124" t="str">
        <f>HYPERLINK("https://www.chemistwarehouse.com.au/buy/6251/Microgynon-50-ED-Tablets-4-x-28"," Microgynon 50 ED Tablets 4 x 28")</f>
        <v xml:space="preserve"> Microgynon 50 ED Tablets 4 x 28</v>
      </c>
      <c r="C11124" t="s">
        <v>257</v>
      </c>
      <c r="D11124">
        <v>0</v>
      </c>
    </row>
    <row r="11125" spans="1:4" x14ac:dyDescent="0.25">
      <c r="B11125" t="str">
        <f>HYPERLINK("https://www.chemistwarehouse.com.au/buy/6248/Microgynon-30-Tablets-4-x-21"," Microgynon 30 Tablets 4 x 21")</f>
        <v xml:space="preserve"> Microgynon 30 Tablets 4 x 21</v>
      </c>
      <c r="C11125" t="s">
        <v>262</v>
      </c>
      <c r="D11125">
        <v>0</v>
      </c>
    </row>
    <row r="11126" spans="1:4" x14ac:dyDescent="0.25">
      <c r="B11126" t="str">
        <f>HYPERLINK("https://www.chemistwarehouse.com.au/buy/56691/Postinor-1-1-Tablet"," Postinor-1 1 Tablet")</f>
        <v xml:space="preserve"> Postinor-1 1 Tablet</v>
      </c>
      <c r="C11126" t="s">
        <v>1</v>
      </c>
      <c r="D11126">
        <v>0</v>
      </c>
    </row>
    <row r="11127" spans="1:4" x14ac:dyDescent="0.25">
      <c r="A11127" t="s">
        <v>2285</v>
      </c>
    </row>
    <row r="11128" spans="1:4" x14ac:dyDescent="0.25">
      <c r="B11128" t="str">
        <f>HYPERLINK("https://www.chemistwarehouse.com.au/buy/54423/Scholl-Eulactol-Foot-Heel-Balm-Gold-120ml-Rough-Dry-or-Cracked-Skin"," Scholl Eulactol Foot Heel Balm Gold 120ml - Rough Dry or Cracked Skin")</f>
        <v xml:space="preserve"> Scholl Eulactol Foot Heel Balm Gold 120ml - Rough Dry or Cracked Skin</v>
      </c>
      <c r="C11128" t="s">
        <v>202</v>
      </c>
      <c r="D11128" t="s">
        <v>1183</v>
      </c>
    </row>
    <row r="11129" spans="1:4" x14ac:dyDescent="0.25">
      <c r="B11129" t="str">
        <f>HYPERLINK("https://www.chemistwarehouse.com.au/buy/40732/Scholl-Eulactol-Foot-Heel-Balm-200g-Rough-Dry-or-Cracked-Skin"," Scholl Eulactol Foot Heel Balm 200g - Rough Dry or Cracked Skin")</f>
        <v xml:space="preserve"> Scholl Eulactol Foot Heel Balm 200g - Rough Dry or Cracked Skin</v>
      </c>
      <c r="C11129" t="s">
        <v>61</v>
      </c>
      <c r="D11129" t="s">
        <v>93</v>
      </c>
    </row>
    <row r="11130" spans="1:4" x14ac:dyDescent="0.25">
      <c r="B11130" t="str">
        <f>HYPERLINK("https://www.chemistwarehouse.com.au/buy/55651/Eulactol-Heel-Balm-Gold-60ml"," Eulactol Heel Balm Gold 60ml")</f>
        <v xml:space="preserve"> Eulactol Heel Balm Gold 60ml</v>
      </c>
      <c r="C11130" t="s">
        <v>32</v>
      </c>
      <c r="D11130" t="s">
        <v>718</v>
      </c>
    </row>
    <row r="11131" spans="1:4" x14ac:dyDescent="0.25">
      <c r="B11131" t="str">
        <f>HYPERLINK("https://www.chemistwarehouse.com.au/buy/4501/Scholl-Eulactol-Foot-Heel-Balm-100g-Rough-Dry-or-Cracked-Skin"," Scholl Eulactol Foot Heel Balm 100g - Rough Dry or Cracked Skin")</f>
        <v xml:space="preserve"> Scholl Eulactol Foot Heel Balm 100g - Rough Dry or Cracked Skin</v>
      </c>
      <c r="C11131" t="s">
        <v>237</v>
      </c>
      <c r="D11131" t="s">
        <v>800</v>
      </c>
    </row>
    <row r="11132" spans="1:4" x14ac:dyDescent="0.25">
      <c r="B11132" t="str">
        <f>HYPERLINK("https://www.chemistwarehouse.com.au/buy/58969/Accu-Chek-Performa-Blood-Glucose-Strips-100"," Accu-Chek Performa Blood Glucose Strips 100")</f>
        <v xml:space="preserve"> Accu-Chek Performa Blood Glucose Strips 100</v>
      </c>
      <c r="C11132" t="s">
        <v>331</v>
      </c>
      <c r="D11132">
        <v>0</v>
      </c>
    </row>
    <row r="11133" spans="1:4" x14ac:dyDescent="0.25">
      <c r="B11133" t="str">
        <f>HYPERLINK("https://www.chemistwarehouse.com.au/buy/55524/Neat-Feat-Diabetic-Self-Moulding-Insole-Medium"," Neat Feat Diabetic Self Moulding Insole Medium")</f>
        <v xml:space="preserve"> Neat Feat Diabetic Self Moulding Insole Medium</v>
      </c>
      <c r="C11133" t="s">
        <v>125</v>
      </c>
      <c r="D11133" t="s">
        <v>446</v>
      </c>
    </row>
    <row r="11134" spans="1:4" x14ac:dyDescent="0.25">
      <c r="B11134" t="str">
        <f>HYPERLINK("https://www.chemistwarehouse.com.au/buy/51055/Eulactol-Heel-Balm-Gold-60mL"," Eulactol Heel Balm Gold 60mL")</f>
        <v xml:space="preserve"> Eulactol Heel Balm Gold 60mL</v>
      </c>
      <c r="C11134" t="s">
        <v>32</v>
      </c>
      <c r="D11134" t="s">
        <v>718</v>
      </c>
    </row>
    <row r="11135" spans="1:4" x14ac:dyDescent="0.25">
      <c r="B11135" t="str">
        <f>HYPERLINK("https://www.chemistwarehouse.com.au/buy/51551/Accu-Chek-Performa-Blood-Glucose-Meter-No-Test-Strips-Included"," Accu-Chek Performa Blood Glucose Meter (No Test Strips Included)")</f>
        <v xml:space="preserve"> Accu-Chek Performa Blood Glucose Meter (No Test Strips Included)</v>
      </c>
      <c r="C11135" t="s">
        <v>113</v>
      </c>
      <c r="D11135" t="s">
        <v>419</v>
      </c>
    </row>
    <row r="11136" spans="1:4" x14ac:dyDescent="0.25">
      <c r="B11136" t="str">
        <f>HYPERLINK("https://www.chemistwarehouse.com.au/buy/54038/Accu-Chek-Multiclix-Lancet-102"," Accu-Chek Multiclix Lancet 102")</f>
        <v xml:space="preserve"> Accu-Chek Multiclix Lancet 102</v>
      </c>
      <c r="C11136" t="s">
        <v>401</v>
      </c>
      <c r="D11136" t="s">
        <v>2200</v>
      </c>
    </row>
    <row r="11137" spans="1:4" x14ac:dyDescent="0.25">
      <c r="B11137" t="str">
        <f>HYPERLINK("https://www.chemistwarehouse.com.au/buy/60469/Accu-Chek-Go-Glucose-Control-Solution"," Accu-Chek Go Glucose Control Solution")</f>
        <v xml:space="preserve"> Accu-Chek Go Glucose Control Solution</v>
      </c>
      <c r="C11137" t="s">
        <v>404</v>
      </c>
      <c r="D11137">
        <v>0</v>
      </c>
    </row>
    <row r="11138" spans="1:4" x14ac:dyDescent="0.25">
      <c r="B11138" t="str">
        <f>HYPERLINK("https://www.chemistwarehouse.com.au/buy/60944/Accu-Chek-FastClix-102"," Accu-Chek FastClix 102")</f>
        <v xml:space="preserve"> Accu-Chek FastClix 102</v>
      </c>
      <c r="C11138" t="s">
        <v>63</v>
      </c>
      <c r="D11138" t="s">
        <v>371</v>
      </c>
    </row>
    <row r="11139" spans="1:4" x14ac:dyDescent="0.25">
      <c r="B11139" t="str">
        <f>HYPERLINK("https://www.chemistwarehouse.com.au/buy/61009/Accu-Chek-Softclix-Lancing-Device"," Accu-Chek Softclix Lancing Device ")</f>
        <v xml:space="preserve"> Accu-Chek Softclix Lancing Device </v>
      </c>
      <c r="C11139" t="s">
        <v>1</v>
      </c>
      <c r="D11139" t="s">
        <v>312</v>
      </c>
    </row>
    <row r="11140" spans="1:4" x14ac:dyDescent="0.25">
      <c r="B11140" t="str">
        <f>HYPERLINK("https://www.chemistwarehouse.com.au/buy/61736/Accu-Chek-FastClix-Lancets-24"," Accu-Chek FastClix Lancets 24")</f>
        <v xml:space="preserve"> Accu-Chek FastClix Lancets 24</v>
      </c>
      <c r="C11140" t="s">
        <v>610</v>
      </c>
      <c r="D11140" t="s">
        <v>327</v>
      </c>
    </row>
    <row r="11141" spans="1:4" x14ac:dyDescent="0.25">
      <c r="B11141" t="str">
        <f>HYPERLINK("https://www.chemistwarehouse.com.au/buy/61739/Accu-Chek-Multiclix-Lancet-24"," Accu-Chek Multiclix Lancet 24")</f>
        <v xml:space="preserve"> Accu-Chek Multiclix Lancet 24</v>
      </c>
      <c r="C11141" t="s">
        <v>610</v>
      </c>
      <c r="D11141" t="s">
        <v>1640</v>
      </c>
    </row>
    <row r="11142" spans="1:4" x14ac:dyDescent="0.25">
      <c r="B11142" t="str">
        <f>HYPERLINK("https://www.chemistwarehouse.com.au/buy/63459/Accu-Chek-Active-Strips-100"," Accu-Chek Active Strips 100")</f>
        <v xml:space="preserve"> Accu-Chek Active Strips 100</v>
      </c>
      <c r="C11142" t="s">
        <v>331</v>
      </c>
      <c r="D11142">
        <v>0</v>
      </c>
    </row>
    <row r="11143" spans="1:4" x14ac:dyDescent="0.25">
      <c r="B11143" t="str">
        <f>HYPERLINK("https://www.chemistwarehouse.com.au/buy/64181/Neat-Feat-Orthotics-Footcare-Diabetic-Self-Moulding-Insole-Small"," Neat Feat Orthotics Footcare Diabetic Self Moulding Insole Small")</f>
        <v xml:space="preserve"> Neat Feat Orthotics Footcare Diabetic Self Moulding Insole Small</v>
      </c>
      <c r="C11143" t="s">
        <v>125</v>
      </c>
      <c r="D11143" t="s">
        <v>446</v>
      </c>
    </row>
    <row r="11144" spans="1:4" x14ac:dyDescent="0.25">
      <c r="B11144" t="str">
        <f>HYPERLINK("https://www.chemistwarehouse.com.au/buy/64182/Neat-Feat-Orthotics-Footcare-Diabetic-Self-Moulding-Insole-Large"," Neat Feat Orthotics Footcare Diabetic Self Moulding Insole Large")</f>
        <v xml:space="preserve"> Neat Feat Orthotics Footcare Diabetic Self Moulding Insole Large</v>
      </c>
      <c r="C11144" t="s">
        <v>125</v>
      </c>
      <c r="D11144" t="s">
        <v>446</v>
      </c>
    </row>
    <row r="11145" spans="1:4" x14ac:dyDescent="0.25">
      <c r="B11145" t="str">
        <f>HYPERLINK("https://www.chemistwarehouse.com.au/buy/66103/Accu-Chek-Mobile-Blood-Glucose-Meter-Kit"," Accu-Chek Mobile Blood Glucose Meter Kit")</f>
        <v xml:space="preserve"> Accu-Chek Mobile Blood Glucose Meter Kit</v>
      </c>
      <c r="C11145" t="s">
        <v>514</v>
      </c>
      <c r="D11145" t="s">
        <v>1105</v>
      </c>
    </row>
    <row r="11146" spans="1:4" x14ac:dyDescent="0.25">
      <c r="B11146" t="str">
        <f>HYPERLINK("https://www.chemistwarehouse.com.au/buy/61735/Accu-Chek-Advantage-Comfort-Sensor-Strip-100"," Accu-Chek Advantage (Comfort Sensor) Strip 100")</f>
        <v xml:space="preserve"> Accu-Chek Advantage (Comfort Sensor) Strip 100</v>
      </c>
      <c r="C11146" t="s">
        <v>331</v>
      </c>
      <c r="D11146">
        <v>0</v>
      </c>
    </row>
    <row r="11147" spans="1:4" x14ac:dyDescent="0.25">
      <c r="B11147" t="str">
        <f>HYPERLINK("https://www.chemistwarehouse.com.au/buy/47952/Accu-Chek-Softclix-Lancets-200"," Accu-Chek Softclix Lancets 200")</f>
        <v xml:space="preserve"> Accu-Chek Softclix Lancets 200</v>
      </c>
      <c r="C11147" t="s">
        <v>445</v>
      </c>
      <c r="D11147" t="s">
        <v>108</v>
      </c>
    </row>
    <row r="11148" spans="1:4" x14ac:dyDescent="0.25">
      <c r="B11148" t="str">
        <f>HYPERLINK("https://www.chemistwarehouse.com.au/buy/48906/Accu-Chek-Go-Blood-Glucose-Test-Strips-50"," Accu-Chek Go Blood Glucose Test Strips 50")</f>
        <v xml:space="preserve"> Accu-Chek Go Blood Glucose Test Strips 50</v>
      </c>
      <c r="C11148" t="s">
        <v>109</v>
      </c>
      <c r="D11148">
        <v>0</v>
      </c>
    </row>
    <row r="11149" spans="1:4" x14ac:dyDescent="0.25">
      <c r="B11149" t="str">
        <f>HYPERLINK("https://www.chemistwarehouse.com.au/buy/60468/Accu-Chek-Mobile-Test-Cassette-100"," Accu-Chek Mobile Test Cassette 100")</f>
        <v xml:space="preserve"> Accu-Chek Mobile Test Cassette 100</v>
      </c>
      <c r="C11149" t="s">
        <v>331</v>
      </c>
      <c r="D11149">
        <v>0</v>
      </c>
    </row>
    <row r="11150" spans="1:4" x14ac:dyDescent="0.25">
      <c r="A11150" t="s">
        <v>2286</v>
      </c>
    </row>
    <row r="11151" spans="1:4" x14ac:dyDescent="0.25">
      <c r="B11151" t="str">
        <f>HYPERLINK("https://www.chemistwarehouse.com.au/buy/53988/Bio-Organics-Brahmi-6000-Optimal-40-Capsules"," Bio-Organics Brahmi 6000 Optimal 40 Capsules")</f>
        <v xml:space="preserve"> Bio-Organics Brahmi 6000 Optimal 40 Capsules</v>
      </c>
      <c r="C11151" t="s">
        <v>96</v>
      </c>
      <c r="D11151" t="s">
        <v>97</v>
      </c>
    </row>
    <row r="11152" spans="1:4" x14ac:dyDescent="0.25">
      <c r="B11152" t="str">
        <f>HYPERLINK("https://www.chemistwarehouse.com.au/buy/43002/Bioglan-Brahmi-PS-Ginkgo-Focus-50-Capsules"," Bioglan Brahmi + PS + Ginkgo Focus 50 Capsules")</f>
        <v xml:space="preserve"> Bioglan Brahmi + PS + Ginkgo Focus 50 Capsules</v>
      </c>
      <c r="C11152" t="s">
        <v>10</v>
      </c>
      <c r="D11152" t="s">
        <v>390</v>
      </c>
    </row>
    <row r="11153" spans="1:4" x14ac:dyDescent="0.25">
      <c r="B11153" t="str">
        <f>HYPERLINK("https://www.chemistwarehouse.com.au/buy/43177/Blackmores-Ginkgo-Brahmi-40-Tablets"," Blackmores Ginkgo Brahmi 40 Tablets")</f>
        <v xml:space="preserve"> Blackmores Ginkgo Brahmi 40 Tablets</v>
      </c>
      <c r="C11153" t="s">
        <v>153</v>
      </c>
      <c r="D11153" t="s">
        <v>223</v>
      </c>
    </row>
    <row r="11154" spans="1:4" x14ac:dyDescent="0.25">
      <c r="A11154" t="s">
        <v>2287</v>
      </c>
    </row>
    <row r="11155" spans="1:4" x14ac:dyDescent="0.25">
      <c r="B11155" t="str">
        <f>HYPERLINK("https://www.chemistwarehouse.com.au/buy/50395/Codral-PE-Cold-amp-Flu-Tablets-48"," Codral PE Cold &amp; Flu Tablets 48")</f>
        <v xml:space="preserve"> Codral PE Cold &amp; Flu Tablets 48</v>
      </c>
      <c r="C11155" t="s">
        <v>187</v>
      </c>
      <c r="D11155">
        <v>0</v>
      </c>
    </row>
    <row r="11156" spans="1:4" x14ac:dyDescent="0.25">
      <c r="B11156" t="str">
        <f>HYPERLINK("https://www.chemistwarehouse.com.au/buy/51666/Codral-PE-Cold-amp-Flu-Day-amp-Night-48-Tablets"," Codral PE Cold &amp; Flu Day &amp; Night 48 Tablets")</f>
        <v xml:space="preserve"> Codral PE Cold &amp; Flu Day &amp; Night 48 Tablets</v>
      </c>
      <c r="C11156" t="s">
        <v>202</v>
      </c>
      <c r="D11156">
        <v>0</v>
      </c>
    </row>
    <row r="11157" spans="1:4" x14ac:dyDescent="0.25">
      <c r="B11157" t="str">
        <f>HYPERLINK("https://www.chemistwarehouse.com.au/buy/54254/Codral-PE-Night-Time-24-Tablets"," Codral PE Night Time 24 Tablets")</f>
        <v xml:space="preserve"> Codral PE Night Time 24 Tablets</v>
      </c>
      <c r="C11157" t="s">
        <v>244</v>
      </c>
      <c r="D11157">
        <v>0</v>
      </c>
    </row>
    <row r="11158" spans="1:4" x14ac:dyDescent="0.25">
      <c r="B11158" t="str">
        <f>HYPERLINK("https://www.chemistwarehouse.com.au/buy/49942/Codral-PE-Cold-amp-Flu-Cough-Day-amp-Night-48-Capsules"," Codral PE Cold &amp; Flu + Cough Day &amp; Night 48 Capsules")</f>
        <v xml:space="preserve"> Codral PE Cold &amp; Flu + Cough Day &amp; Night 48 Capsules</v>
      </c>
      <c r="C11158" t="s">
        <v>187</v>
      </c>
      <c r="D11158">
        <v>0</v>
      </c>
    </row>
    <row r="11159" spans="1:4" x14ac:dyDescent="0.25">
      <c r="B11159" t="str">
        <f>HYPERLINK("https://www.chemistwarehouse.com.au/buy/49882/Sudafed-PE-Sinus-and-Nasal-Decongestant-48-Tablets"," Sudafed PE Sinus and Nasal Decongestant 48 Tablets")</f>
        <v xml:space="preserve"> Sudafed PE Sinus and Nasal Decongestant 48 Tablets</v>
      </c>
      <c r="C11159" t="s">
        <v>237</v>
      </c>
      <c r="D11159">
        <v>0</v>
      </c>
    </row>
    <row r="11160" spans="1:4" x14ac:dyDescent="0.25">
      <c r="B11160" t="str">
        <f>HYPERLINK("https://www.chemistwarehouse.com.au/buy/49885/Sudafed-PE-Sinus-and-Allergy-Pain-Relief-48-Tablets"," Sudafed PE Sinus and Allergy Pain Relief 48 Tablets")</f>
        <v xml:space="preserve"> Sudafed PE Sinus and Allergy Pain Relief 48 Tablets</v>
      </c>
      <c r="C11160" t="s">
        <v>61</v>
      </c>
      <c r="D11160">
        <v>0</v>
      </c>
    </row>
    <row r="11161" spans="1:4" x14ac:dyDescent="0.25">
      <c r="B11161" t="str">
        <f>HYPERLINK("https://www.chemistwarehouse.com.au/buy/64652/Sudafed-Nasal-Spray-Refill-20ml"," Sudafed Nasal Spray Refill 20ml")</f>
        <v xml:space="preserve"> Sudafed Nasal Spray Refill 20ml</v>
      </c>
      <c r="C11161" t="s">
        <v>92</v>
      </c>
      <c r="D11161">
        <v>0</v>
      </c>
    </row>
    <row r="11162" spans="1:4" x14ac:dyDescent="0.25">
      <c r="B11162" t="str">
        <f>HYPERLINK("https://www.chemistwarehouse.com.au/buy/50099/Codral-PE-Cold-amp-Flu-Day-amp-Night-24-Tablets"," Codral PE Cold &amp; Flu Day &amp; Night 24 Tablets")</f>
        <v xml:space="preserve"> Codral PE Cold &amp; Flu Day &amp; Night 24 Tablets</v>
      </c>
      <c r="C11162" t="s">
        <v>244</v>
      </c>
      <c r="D11162">
        <v>0</v>
      </c>
    </row>
    <row r="11163" spans="1:4" x14ac:dyDescent="0.25">
      <c r="B11163" t="str">
        <f>HYPERLINK("https://www.chemistwarehouse.com.au/buy/51548/Codral-PE-Cold-amp-Flu-Non-Drowsy-24-Tablets"," Codral PE Cold &amp; Flu Non Drowsy 24 Tablets")</f>
        <v xml:space="preserve"> Codral PE Cold &amp; Flu Non Drowsy 24 Tablets</v>
      </c>
      <c r="C11163" t="s">
        <v>244</v>
      </c>
      <c r="D11163">
        <v>0</v>
      </c>
    </row>
    <row r="11164" spans="1:4" x14ac:dyDescent="0.25">
      <c r="B11164" t="str">
        <f>HYPERLINK("https://www.chemistwarehouse.com.au/buy/49886/Sudafed-PE-Sinus-and-Pain-Relief-24-Tablets"," Sudafed PE Sinus and Pain Relief 24 Tablets")</f>
        <v xml:space="preserve"> Sudafed PE Sinus and Pain Relief 24 Tablets</v>
      </c>
      <c r="C11164" t="s">
        <v>98</v>
      </c>
      <c r="D11164">
        <v>0</v>
      </c>
    </row>
    <row r="11165" spans="1:4" x14ac:dyDescent="0.25">
      <c r="B11165" t="str">
        <f>HYPERLINK("https://www.chemistwarehouse.com.au/buy/49887/Sudafed-PE-Sinus-and-Pain-Relief-48-Tablets"," Sudafed PE Sinus and Pain Relief 48 Tablets")</f>
        <v xml:space="preserve"> Sudafed PE Sinus and Pain Relief 48 Tablets</v>
      </c>
      <c r="C11165" t="s">
        <v>202</v>
      </c>
      <c r="D11165">
        <v>0</v>
      </c>
    </row>
    <row r="11166" spans="1:4" x14ac:dyDescent="0.25">
      <c r="B11166" t="str">
        <f>HYPERLINK("https://www.chemistwarehouse.com.au/buy/49883/Sudafed-PE-Sinus-Day-and-Night-Relief-24-Tablets"," Sudafed PE Sinus Day and Night Relief 24 Tablets")</f>
        <v xml:space="preserve"> Sudafed PE Sinus Day and Night Relief 24 Tablets</v>
      </c>
      <c r="C11166" t="s">
        <v>237</v>
      </c>
      <c r="D11166">
        <v>0</v>
      </c>
    </row>
    <row r="11167" spans="1:4" x14ac:dyDescent="0.25">
      <c r="B11167" t="str">
        <f>HYPERLINK("https://www.chemistwarehouse.com.au/buy/49884/Sudafed-PE-Sinus-and-Allergy-Pain-Relief-24-Tablets"," Sudafed PE Sinus and Allergy Pain Relief 24 Tablets")</f>
        <v xml:space="preserve"> Sudafed PE Sinus and Allergy Pain Relief 24 Tablets</v>
      </c>
      <c r="C11167" t="s">
        <v>187</v>
      </c>
      <c r="D11167">
        <v>0</v>
      </c>
    </row>
    <row r="11168" spans="1:4" x14ac:dyDescent="0.25">
      <c r="B11168" t="str">
        <f>HYPERLINK("https://www.chemistwarehouse.com.au/buy/39495/Codral-PE-Cold-amp-Flu-Cough-Day-amp-Night-24-Capsules"," Codral PE Cold &amp; Flu + Cough Day &amp; Night 24 Capsules")</f>
        <v xml:space="preserve"> Codral PE Cold &amp; Flu + Cough Day &amp; Night 24 Capsules</v>
      </c>
      <c r="C11168" t="s">
        <v>244</v>
      </c>
      <c r="D11168">
        <v>0</v>
      </c>
    </row>
    <row r="11169" spans="1:4" x14ac:dyDescent="0.25">
      <c r="B11169" t="str">
        <f>HYPERLINK("https://www.chemistwarehouse.com.au/buy/49368/Sudafed-PE-Nasal-Decongestant-24-Tablets"," Sudafed PE Nasal Decongestant 24 Tablets")</f>
        <v xml:space="preserve"> Sudafed PE Nasal Decongestant 24 Tablets</v>
      </c>
      <c r="C11169" t="s">
        <v>45</v>
      </c>
      <c r="D11169">
        <v>0</v>
      </c>
    </row>
    <row r="11170" spans="1:4" x14ac:dyDescent="0.25">
      <c r="B11170" t="str">
        <f>HYPERLINK("https://www.chemistwarehouse.com.au/buy/49825/Benadryl-Chesty-Forte-Cough-200ml"," Benadryl Chesty Forte Cough 200ml")</f>
        <v xml:space="preserve"> Benadryl Chesty Forte Cough 200ml</v>
      </c>
      <c r="C11170" t="s">
        <v>237</v>
      </c>
      <c r="D11170">
        <v>0</v>
      </c>
    </row>
    <row r="11171" spans="1:4" x14ac:dyDescent="0.25">
      <c r="B11171" t="str">
        <f>HYPERLINK("https://www.chemistwarehouse.com.au/buy/49876/Sudafed-PE-Sinus-Day-and-Night-Relief-48-Tablets"," Sudafed PE Sinus Day and Night Relief 48 Tablets")</f>
        <v xml:space="preserve"> Sudafed PE Sinus Day and Night Relief 48 Tablets</v>
      </c>
      <c r="C11171" t="s">
        <v>61</v>
      </c>
      <c r="D11171">
        <v>0</v>
      </c>
    </row>
    <row r="11172" spans="1:4" x14ac:dyDescent="0.25">
      <c r="B11172" t="str">
        <f>HYPERLINK("https://www.chemistwarehouse.com.au/buy/54742/Benadryl-PE-Dry-Cough-amp-Nasal-Congestion-200ml"," Benadryl PE Dry Cough &amp; Nasal Congestion 200ml")</f>
        <v xml:space="preserve"> Benadryl PE Dry Cough &amp; Nasal Congestion 200ml</v>
      </c>
      <c r="C11172" t="s">
        <v>237</v>
      </c>
      <c r="D11172">
        <v>0</v>
      </c>
    </row>
    <row r="11173" spans="1:4" x14ac:dyDescent="0.25">
      <c r="B11173" t="str">
        <f>HYPERLINK("https://www.chemistwarehouse.com.au/buy/54743/Benadryl-PE-Chesty-Cough-amp-Nasal-Congestion-200ml"," Benadryl PE Chesty Cough &amp; Nasal Congestion 200ml")</f>
        <v xml:space="preserve"> Benadryl PE Chesty Cough &amp; Nasal Congestion 200ml</v>
      </c>
      <c r="C11173" t="s">
        <v>237</v>
      </c>
      <c r="D11173">
        <v>0</v>
      </c>
    </row>
    <row r="11174" spans="1:4" x14ac:dyDescent="0.25">
      <c r="B11174" t="str">
        <f>HYPERLINK("https://www.chemistwarehouse.com.au/buy/54963/Sudafed-Nasal-Decongestant-Spray-20ml"," Sudafed Nasal Decongestant Spray 20ml")</f>
        <v xml:space="preserve"> Sudafed Nasal Decongestant Spray 20ml</v>
      </c>
      <c r="C11174" t="s">
        <v>32</v>
      </c>
      <c r="D11174">
        <v>0</v>
      </c>
    </row>
    <row r="11175" spans="1:4" x14ac:dyDescent="0.25">
      <c r="B11175" t="str">
        <f>HYPERLINK("https://www.chemistwarehouse.com.au/buy/59963/Benadryl-Mucus-Relief-200mL"," Benadryl Mucus Relief 200mL")</f>
        <v xml:space="preserve"> Benadryl Mucus Relief 200mL</v>
      </c>
      <c r="C11175" t="s">
        <v>237</v>
      </c>
      <c r="D11175">
        <v>0</v>
      </c>
    </row>
    <row r="11176" spans="1:4" x14ac:dyDescent="0.25">
      <c r="B11176" t="str">
        <f>HYPERLINK("https://www.chemistwarehouse.com.au/buy/61178/Sudafed-PE-Sinus-Anti-Inflammatory-48-Tablets"," Sudafed PE Sinus Anti-Inflammatory 48 Tablets")</f>
        <v xml:space="preserve"> Sudafed PE Sinus Anti-Inflammatory 48 Tablets</v>
      </c>
      <c r="C11176" t="s">
        <v>61</v>
      </c>
      <c r="D11176">
        <v>0</v>
      </c>
    </row>
    <row r="11177" spans="1:4" x14ac:dyDescent="0.25">
      <c r="B11177" t="str">
        <f>HYPERLINK("https://www.chemistwarehouse.com.au/buy/63281/Benadryl-Mucus-Relief-Plus-Decongestant-200ml"," Benadryl Mucus Relief Plus Decongestant 200ml")</f>
        <v xml:space="preserve"> Benadryl Mucus Relief Plus Decongestant 200ml</v>
      </c>
      <c r="C11177" t="s">
        <v>237</v>
      </c>
      <c r="D11177">
        <v>0</v>
      </c>
    </row>
    <row r="11178" spans="1:4" x14ac:dyDescent="0.25">
      <c r="B11178" t="str">
        <f>HYPERLINK("https://www.chemistwarehouse.com.au/buy/64504/Sudafed-PE-Sinus-Anti-Inflammatory-Tablets-24"," Sudafed PE Sinus/Anti-Inflammatory Tablets 24")</f>
        <v xml:space="preserve"> Sudafed PE Sinus/Anti-Inflammatory Tablets 24</v>
      </c>
      <c r="C11178" t="s">
        <v>187</v>
      </c>
      <c r="D11178">
        <v>0</v>
      </c>
    </row>
    <row r="11179" spans="1:4" x14ac:dyDescent="0.25">
      <c r="A11179" t="s">
        <v>2288</v>
      </c>
    </row>
    <row r="11180" spans="1:4" x14ac:dyDescent="0.25">
      <c r="B11180" t="str">
        <f>HYPERLINK("https://www.chemistwarehouse.com.au/buy/67783/Gillette-Fusion-Pro-Glide-Manual-Cartridges-8-Pack"," Gillette Fusion Pro Glide Manual Cartridges 8 Pack")</f>
        <v xml:space="preserve"> Gillette Fusion Pro Glide Manual Cartridges 8 Pack</v>
      </c>
      <c r="C11180" t="s">
        <v>479</v>
      </c>
      <c r="D11180" t="s">
        <v>261</v>
      </c>
    </row>
    <row r="11181" spans="1:4" x14ac:dyDescent="0.25">
      <c r="B11181" t="str">
        <f>HYPERLINK("https://www.chemistwarehouse.com.au/buy/43107/Gillette-Mach-3-Turbo-Cartridges-8"," Gillette Mach 3 Turbo Cartridges 8")</f>
        <v xml:space="preserve"> Gillette Mach 3 Turbo Cartridges 8</v>
      </c>
      <c r="C11181" t="s">
        <v>109</v>
      </c>
      <c r="D11181" t="s">
        <v>1935</v>
      </c>
    </row>
    <row r="11182" spans="1:4" x14ac:dyDescent="0.25">
      <c r="B11182" t="str">
        <f>HYPERLINK("https://www.chemistwarehouse.com.au/buy/59299/Gillette-Fusion-HydraGel-Pure-amp-Sensitive-195g"," Gillette Fusion HydraGel Pure &amp; Sensitive 195g")</f>
        <v xml:space="preserve"> Gillette Fusion HydraGel Pure &amp; Sensitive 195g</v>
      </c>
      <c r="C11182" t="s">
        <v>326</v>
      </c>
      <c r="D11182" t="s">
        <v>318</v>
      </c>
    </row>
    <row r="11183" spans="1:4" x14ac:dyDescent="0.25">
      <c r="B11183" t="str">
        <f>HYPERLINK("https://www.chemistwarehouse.com.au/buy/59899/Gillette-Fusion-Power-Cartridge-4-Pack"," Gillette Fusion Power Cartridge 4 Pack")</f>
        <v xml:space="preserve"> Gillette Fusion Power Cartridge 4 Pack</v>
      </c>
      <c r="C11183" t="s">
        <v>890</v>
      </c>
      <c r="D11183" t="s">
        <v>1954</v>
      </c>
    </row>
    <row r="11184" spans="1:4" x14ac:dyDescent="0.25">
      <c r="B11184" t="str">
        <f>HYPERLINK("https://www.chemistwarehouse.com.au/buy/43105/Gillette-Mach-3-Turbo-Razor-2-Up"," Gillette Mach 3 Turbo Razor 2 Up")</f>
        <v xml:space="preserve"> Gillette Mach 3 Turbo Razor 2 Up</v>
      </c>
      <c r="C11184" t="s">
        <v>244</v>
      </c>
      <c r="D11184" t="s">
        <v>612</v>
      </c>
    </row>
    <row r="11185" spans="1:4" x14ac:dyDescent="0.25">
      <c r="B11185" t="str">
        <f>HYPERLINK("https://www.chemistwarehouse.com.au/buy/67314/Gillette-Fusion-ProGlide-Styler-Trimmer"," Gillette Fusion ProGlide Styler Trimmer")</f>
        <v xml:space="preserve"> Gillette Fusion ProGlide Styler Trimmer</v>
      </c>
      <c r="C11185" t="s">
        <v>173</v>
      </c>
      <c r="D11185" t="s">
        <v>283</v>
      </c>
    </row>
    <row r="11186" spans="1:4" x14ac:dyDescent="0.25">
      <c r="B11186" t="str">
        <f>HYPERLINK("https://www.chemistwarehouse.com.au/buy/43106/Gillette-Mach-3-Turbo-Cartridges-4"," Gillette Mach 3 Turbo Cartridges 4")</f>
        <v xml:space="preserve"> Gillette Mach 3 Turbo Cartridges 4</v>
      </c>
      <c r="C11186" t="s">
        <v>151</v>
      </c>
      <c r="D11186" t="s">
        <v>397</v>
      </c>
    </row>
    <row r="11187" spans="1:4" x14ac:dyDescent="0.25">
      <c r="B11187" t="str">
        <f>HYPERLINK("https://www.chemistwarehouse.com.au/buy/67784/Gillette-Fusion-Power-Cartridge-8-Pack"," Gillette Fusion Power Cartridge 8 Pack")</f>
        <v xml:space="preserve"> Gillette Fusion Power Cartridge 8 Pack</v>
      </c>
      <c r="C11187" t="s">
        <v>267</v>
      </c>
      <c r="D11187" t="s">
        <v>402</v>
      </c>
    </row>
    <row r="11188" spans="1:4" x14ac:dyDescent="0.25">
      <c r="B11188" t="str">
        <f>HYPERLINK("https://www.chemistwarehouse.com.au/buy/67786/Gillette-Fusion-Pro-Glide-Power-Cartridges-8-Pack"," Gillette Fusion Pro Glide Power Cartridges 8 Pack")</f>
        <v xml:space="preserve"> Gillette Fusion Pro Glide Power Cartridges 8 Pack</v>
      </c>
      <c r="C11188" t="s">
        <v>1942</v>
      </c>
      <c r="D11188" t="s">
        <v>1956</v>
      </c>
    </row>
    <row r="11189" spans="1:4" x14ac:dyDescent="0.25">
      <c r="B11189" t="str">
        <f>HYPERLINK("https://www.chemistwarehouse.com.au/buy/63830/Gillette-Fusion-Pro-Glide-Power-Cartridges-4-Pack"," Gillette Fusion Pro Glide Power Cartridges 4 Pack")</f>
        <v xml:space="preserve"> Gillette Fusion Pro Glide Power Cartridges 4 Pack</v>
      </c>
      <c r="C11189" t="s">
        <v>286</v>
      </c>
      <c r="D11189" t="s">
        <v>518</v>
      </c>
    </row>
    <row r="11190" spans="1:4" x14ac:dyDescent="0.25">
      <c r="B11190" t="str">
        <f>HYPERLINK("https://www.chemistwarehouse.com.au/buy/63831/Gillette-Fusion-Pro-Glide-Manual-Cartridge-4-Pack"," Gillette Fusion Pro Glide Manual Cartridge 4 Pack")</f>
        <v xml:space="preserve"> Gillette Fusion Pro Glide Manual Cartridge 4 Pack</v>
      </c>
      <c r="C11190" t="s">
        <v>125</v>
      </c>
      <c r="D11190" t="s">
        <v>1419</v>
      </c>
    </row>
    <row r="11191" spans="1:4" x14ac:dyDescent="0.25">
      <c r="A11191" t="s">
        <v>2289</v>
      </c>
    </row>
    <row r="11192" spans="1:4" x14ac:dyDescent="0.25">
      <c r="B11192" t="str">
        <f>HYPERLINK("https://www.chemistwarehouse.com.au/buy/31051/Bioglan-Melatonin-90-Tablets-Homeopathic-Formula"," Bioglan Melatonin 90 Tablets (Homeopathic Formula)")</f>
        <v xml:space="preserve"> Bioglan Melatonin 90 Tablets (Homeopathic Formula)</v>
      </c>
      <c r="C11192" t="s">
        <v>202</v>
      </c>
      <c r="D11192" t="s">
        <v>385</v>
      </c>
    </row>
    <row r="11193" spans="1:4" x14ac:dyDescent="0.25">
      <c r="A11193" t="s">
        <v>2290</v>
      </c>
    </row>
    <row r="11194" spans="1:4" x14ac:dyDescent="0.25">
      <c r="B11194" t="str">
        <f>HYPERLINK("https://www.chemistwarehouse.com.au/buy/57462/Healthy-Care-Super-Flaxseed-Oil-1000mg-200-Capsules"," Healthy Care Super Flaxseed Oil 1000mg 200 Capsules")</f>
        <v xml:space="preserve"> Healthy Care Super Flaxseed Oil 1000mg 200 Capsules</v>
      </c>
      <c r="C11194" t="s">
        <v>58</v>
      </c>
      <c r="D11194">
        <v>0</v>
      </c>
    </row>
    <row r="11195" spans="1:4" x14ac:dyDescent="0.25">
      <c r="B11195" t="str">
        <f>HYPERLINK("https://www.chemistwarehouse.com.au/buy/48420/Nature-39-s-Own-Flaxseed-Oil-125-Capsules"," Nature's Own Flaxseed Oil 125 Capsules")</f>
        <v xml:space="preserve"> Nature's Own Flaxseed Oil 125 Capsules</v>
      </c>
      <c r="C11195" t="s">
        <v>19</v>
      </c>
      <c r="D11195" t="s">
        <v>20</v>
      </c>
    </row>
    <row r="11196" spans="1:4" x14ac:dyDescent="0.25">
      <c r="B11196" t="str">
        <f>HYPERLINK("https://www.chemistwarehouse.com.au/buy/51330/Melrose-Organic-Flaxseed-Oil-1000mg-250-Softgel-Capsules"," Melrose Organic Flaxseed Oil 1000mg 250 Softgel Capsules")</f>
        <v xml:space="preserve"> Melrose Organic Flaxseed Oil 1000mg 250 Softgel Capsules</v>
      </c>
      <c r="C11196" t="s">
        <v>125</v>
      </c>
      <c r="D11196" t="s">
        <v>574</v>
      </c>
    </row>
    <row r="11197" spans="1:4" x14ac:dyDescent="0.25">
      <c r="B11197" t="str">
        <f>HYPERLINK("https://www.chemistwarehouse.com.au/buy/49704/Blackmores-Flaxseed-Oil-1000mg-100-Vegetarian-Capsules"," Blackmores Flaxseed Oil 1000mg 100 Vegetarian Capsules")</f>
        <v xml:space="preserve"> Blackmores Flaxseed Oil 1000mg 100 Vegetarian Capsules</v>
      </c>
      <c r="C11197" t="s">
        <v>269</v>
      </c>
      <c r="D11197" t="s">
        <v>206</v>
      </c>
    </row>
    <row r="11198" spans="1:4" x14ac:dyDescent="0.25">
      <c r="B11198" t="str">
        <f>HYPERLINK("https://www.chemistwarehouse.com.au/buy/64650/Melrose-Flaxseed-Oil-500mL-Fridge-Line-Available-in-Store-Only"," Melrose Flaxseed Oil 500mL - Fridge Line - Available in Store Only")</f>
        <v xml:space="preserve"> Melrose Flaxseed Oil 500mL - Fridge Line - Available in Store Only</v>
      </c>
      <c r="C11198" t="s">
        <v>1</v>
      </c>
      <c r="D11198" t="s">
        <v>575</v>
      </c>
    </row>
    <row r="11199" spans="1:4" x14ac:dyDescent="0.25">
      <c r="B11199" t="str">
        <f>HYPERLINK("https://www.chemistwarehouse.com.au/buy/53501/Melrose-Flaxseed-Oil-1g-100-Capsules"," Melrose Flaxseed Oil 1g 100 Capsules")</f>
        <v xml:space="preserve"> Melrose Flaxseed Oil 1g 100 Capsules</v>
      </c>
      <c r="C11199" t="s">
        <v>244</v>
      </c>
      <c r="D11199" t="s">
        <v>350</v>
      </c>
    </row>
    <row r="11200" spans="1:4" x14ac:dyDescent="0.25">
      <c r="B11200" t="str">
        <f>HYPERLINK("https://www.chemistwarehouse.com.au/buy/53500/Melrose-Flaxseed-Oil-250mL"," Melrose Flaxseed Oil 250mL")</f>
        <v xml:space="preserve"> Melrose Flaxseed Oil 250mL</v>
      </c>
      <c r="C11200" t="s">
        <v>80</v>
      </c>
      <c r="D11200" t="s">
        <v>371</v>
      </c>
    </row>
    <row r="11201" spans="1:4" x14ac:dyDescent="0.25">
      <c r="A11201" t="s">
        <v>2291</v>
      </c>
    </row>
    <row r="11202" spans="1:4" x14ac:dyDescent="0.25">
      <c r="B11202" t="str">
        <f>HYPERLINK("https://www.chemistwarehouse.com.au/buy/61149/Hydralyte-Electrolyte-Effervescent-Orange-20-Tablets"," Hydralyte Electrolyte Effervescent Orange 20 Tablets")</f>
        <v xml:space="preserve"> Hydralyte Electrolyte Effervescent Orange 20 Tablets</v>
      </c>
      <c r="C11202" t="s">
        <v>45</v>
      </c>
      <c r="D11202" t="s">
        <v>64</v>
      </c>
    </row>
    <row r="11203" spans="1:4" x14ac:dyDescent="0.25">
      <c r="B11203" t="str">
        <f>HYPERLINK("https://www.chemistwarehouse.com.au/buy/71859/Hydralyte-Effervescent-Lemon-Lime-Electolyte-Tablets-20-Pack"," Hydralyte Effervescent Lemon Lime Electolyte Tablets 20 Pack")</f>
        <v xml:space="preserve"> Hydralyte Effervescent Lemon Lime Electolyte Tablets 20 Pack</v>
      </c>
      <c r="C11203" t="s">
        <v>45</v>
      </c>
      <c r="D11203" t="s">
        <v>64</v>
      </c>
    </row>
    <row r="11204" spans="1:4" x14ac:dyDescent="0.25">
      <c r="B11204" t="str">
        <f>HYPERLINK("https://www.chemistwarehouse.com.au/buy/75448/Hydralyte-Apple-Blackcurrant-Sachets-4-9g-x-24"," Hydralyte Apple Blackcurrant Sachets 4.9g x 24")</f>
        <v xml:space="preserve"> Hydralyte Apple Blackcurrant Sachets 4.9g x 24</v>
      </c>
      <c r="C11204" t="s">
        <v>58</v>
      </c>
      <c r="D11204" t="s">
        <v>164</v>
      </c>
    </row>
    <row r="11205" spans="1:4" x14ac:dyDescent="0.25">
      <c r="B11205" t="str">
        <f>HYPERLINK("https://www.chemistwarehouse.com.au/buy/75449/Hydralyte-Orange-Sachets-Value-Pack-4-9g-x-24"," Hydralyte Orange Sachets Value Pack 4.9g x 24")</f>
        <v xml:space="preserve"> Hydralyte Orange Sachets Value Pack 4.9g x 24</v>
      </c>
      <c r="C11205" t="s">
        <v>58</v>
      </c>
      <c r="D11205" t="s">
        <v>164</v>
      </c>
    </row>
    <row r="11206" spans="1:4" x14ac:dyDescent="0.25">
      <c r="B11206" t="str">
        <f>HYPERLINK("https://www.chemistwarehouse.com.au/buy/77913/Hydralyte-Sports-Lemon-Lime-Effervescent-24-Tablets"," Hydralyte Sports Lemon Lime Effervescent 24 Tablets")</f>
        <v xml:space="preserve"> Hydralyte Sports Lemon Lime Effervescent 24 Tablets</v>
      </c>
      <c r="C11206" t="s">
        <v>237</v>
      </c>
      <c r="D11206" t="s">
        <v>64</v>
      </c>
    </row>
    <row r="11207" spans="1:4" x14ac:dyDescent="0.25">
      <c r="B11207" t="str">
        <f>HYPERLINK("https://www.chemistwarehouse.com.au/buy/70117/Hydralyte-Rehydration-Ice-blocks-Colour-Free-Lemonade-Flavoured-16-Pack"," Hydralyte Rehydration Ice blocks Colour Free Lemonade Flavoured 16 Pack")</f>
        <v xml:space="preserve"> Hydralyte Rehydration Ice blocks Colour Free Lemonade Flavoured 16 Pack</v>
      </c>
      <c r="C11207" t="s">
        <v>45</v>
      </c>
      <c r="D11207" t="s">
        <v>162</v>
      </c>
    </row>
    <row r="11208" spans="1:4" x14ac:dyDescent="0.25">
      <c r="B11208" t="str">
        <f>HYPERLINK("https://www.chemistwarehouse.com.au/buy/77912/Hydralyte-Sports-Berry-Effervescent-24-Tablets"," Hydralyte Sports Berry Effervescent 24 Tablets")</f>
        <v xml:space="preserve"> Hydralyte Sports Berry Effervescent 24 Tablets</v>
      </c>
      <c r="C11208" t="s">
        <v>237</v>
      </c>
      <c r="D11208" t="s">
        <v>64</v>
      </c>
    </row>
    <row r="11209" spans="1:4" x14ac:dyDescent="0.25">
      <c r="B11209" t="str">
        <f>HYPERLINK("https://www.chemistwarehouse.com.au/buy/81827/Hydralyte-Electrolyte-Strawberry-and-Kiwi-4x250ml-Solution"," Hydralyte Electrolyte Strawberry and Kiwi 4x250ml Solution")</f>
        <v xml:space="preserve"> Hydralyte Electrolyte Strawberry and Kiwi 4x250ml Solution</v>
      </c>
      <c r="C11209" t="s">
        <v>45</v>
      </c>
      <c r="D11209" t="s">
        <v>64</v>
      </c>
    </row>
    <row r="11210" spans="1:4" x14ac:dyDescent="0.25">
      <c r="B11210" t="str">
        <f>HYPERLINK("https://www.chemistwarehouse.com.au/buy/77646/Hydralyte-Electrolyte-Kids-Apple-Blackcurrant-4x250ml-Solution"," Hydralyte Electrolyte Kids Apple Blackcurrant 4x250ml Solution ")</f>
        <v xml:space="preserve"> Hydralyte Electrolyte Kids Apple Blackcurrant 4x250ml Solution </v>
      </c>
      <c r="C11210" t="s">
        <v>45</v>
      </c>
      <c r="D11210" t="s">
        <v>64</v>
      </c>
    </row>
    <row r="11211" spans="1:4" x14ac:dyDescent="0.25">
      <c r="B11211" t="str">
        <f>HYPERLINK("https://www.chemistwarehouse.com.au/buy/72133/Hydralyte-Liquid-Colour-Free-Lemonade-Flavoured-4x250ml-Solution"," Hydralyte Liquid Colour Free Lemonade Flavoured (4x250ml) Solution")</f>
        <v xml:space="preserve"> Hydralyte Liquid Colour Free Lemonade Flavoured (4x250ml) Solution</v>
      </c>
      <c r="C11211" t="s">
        <v>45</v>
      </c>
      <c r="D11211" t="s">
        <v>64</v>
      </c>
    </row>
    <row r="11212" spans="1:4" x14ac:dyDescent="0.25">
      <c r="B11212" t="str">
        <f>HYPERLINK("https://www.chemistwarehouse.com.au/buy/72134/Hydralyte-Liquid-Colour-Free-Lemonade-Flavoured-1-Litre"," Hydralyte Liquid Colour Free Lemonade Flavoured 1 Litre")</f>
        <v xml:space="preserve"> Hydralyte Liquid Colour Free Lemonade Flavoured 1 Litre</v>
      </c>
      <c r="C11212" t="s">
        <v>45</v>
      </c>
      <c r="D11212" t="s">
        <v>104</v>
      </c>
    </row>
    <row r="11213" spans="1:4" x14ac:dyDescent="0.25">
      <c r="B11213" t="str">
        <f>HYPERLINK("https://www.chemistwarehouse.com.au/buy/63604/Hydralyte-Electrolyte-Orange-4-Pack-4x250ml-Solution"," Hydralyte Electrolyte Orange 4 Pack (4x250ml) Solution")</f>
        <v xml:space="preserve"> Hydralyte Electrolyte Orange 4 Pack (4x250ml) Solution</v>
      </c>
      <c r="C11213" t="s">
        <v>45</v>
      </c>
      <c r="D11213" t="s">
        <v>64</v>
      </c>
    </row>
    <row r="11214" spans="1:4" x14ac:dyDescent="0.25">
      <c r="B11214" t="str">
        <f>HYPERLINK("https://www.chemistwarehouse.com.au/buy/63605/Hydralyte-Electrolyte-Apple-Blackcurrant-4-Pack-4x250ml-Solution"," Hydralyte Electrolyte Apple Blackcurrant 4 Pack (4x250ml) Solution")</f>
        <v xml:space="preserve"> Hydralyte Electrolyte Apple Blackcurrant 4 Pack (4x250ml) Solution</v>
      </c>
      <c r="C11214" t="s">
        <v>45</v>
      </c>
      <c r="D11214" t="s">
        <v>64</v>
      </c>
    </row>
    <row r="11215" spans="1:4" x14ac:dyDescent="0.25">
      <c r="B11215" t="str">
        <f>HYPERLINK("https://www.chemistwarehouse.com.au/buy/68064/Hydralyte-Sports-Lemon-Lime-12-Sachet"," Hydralyte Sports Lemon/Lime 12 Sachet")</f>
        <v xml:space="preserve"> Hydralyte Sports Lemon/Lime 12 Sachet</v>
      </c>
      <c r="C11215" t="s">
        <v>316</v>
      </c>
      <c r="D11215" t="s">
        <v>253</v>
      </c>
    </row>
    <row r="11216" spans="1:4" x14ac:dyDescent="0.25">
      <c r="B11216" t="str">
        <f>HYPERLINK("https://www.chemistwarehouse.com.au/buy/68066/Hydralyte-Sports-Orange-12-Sachet"," Hydralyte Sports Orange 12 Sachet")</f>
        <v xml:space="preserve"> Hydralyte Sports Orange 12 Sachet</v>
      </c>
      <c r="C11216" t="s">
        <v>1</v>
      </c>
      <c r="D11216" t="s">
        <v>46</v>
      </c>
    </row>
    <row r="11217" spans="1:4" x14ac:dyDescent="0.25">
      <c r="B11217" t="str">
        <f>HYPERLINK("https://www.chemistwarehouse.com.au/buy/5455/Hydralyte-Rehydration-Orange-Flavoured-Ice-Blocks-16-Pack"," Hydralyte Rehydration Orange Flavoured Ice Blocks 16 Pack")</f>
        <v xml:space="preserve"> Hydralyte Rehydration Orange Flavoured Ice Blocks 16 Pack</v>
      </c>
      <c r="C11217" t="s">
        <v>45</v>
      </c>
      <c r="D11217" t="s">
        <v>162</v>
      </c>
    </row>
    <row r="11218" spans="1:4" x14ac:dyDescent="0.25">
      <c r="B11218" t="str">
        <f>HYPERLINK("https://www.chemistwarehouse.com.au/buy/41757/Hydralyte-Liquid-Orange-1Litre"," Hydralyte Liquid Orange 1Litre")</f>
        <v xml:space="preserve"> Hydralyte Liquid Orange 1Litre</v>
      </c>
      <c r="C11218" t="s">
        <v>45</v>
      </c>
      <c r="D11218" t="s">
        <v>104</v>
      </c>
    </row>
    <row r="11219" spans="1:4" x14ac:dyDescent="0.25">
      <c r="B11219" t="str">
        <f>HYPERLINK("https://www.chemistwarehouse.com.au/buy/51589/Hydralyte-Rehydration-Ice-Blocks-Apple-Blackcurrant-16-Pack"," Hydralyte Rehydration Ice Blocks Apple Blackcurrant 16 Pack")</f>
        <v xml:space="preserve"> Hydralyte Rehydration Ice Blocks Apple Blackcurrant 16 Pack</v>
      </c>
      <c r="C11219" t="s">
        <v>45</v>
      </c>
      <c r="D11219" t="s">
        <v>162</v>
      </c>
    </row>
    <row r="11220" spans="1:4" x14ac:dyDescent="0.25">
      <c r="B11220" t="str">
        <f>HYPERLINK("https://www.chemistwarehouse.com.au/buy/52134/Hydralyte-Powder-Apple-Blackcurrant-5g-X-10"," Hydralyte Powder Apple Blackcurrant 5g X 10")</f>
        <v xml:space="preserve"> Hydralyte Powder Apple Blackcurrant 5g X 10</v>
      </c>
      <c r="C11220" t="s">
        <v>45</v>
      </c>
      <c r="D11220" t="s">
        <v>162</v>
      </c>
    </row>
    <row r="11221" spans="1:4" x14ac:dyDescent="0.25">
      <c r="B11221" t="str">
        <f>HYPERLINK("https://www.chemistwarehouse.com.au/buy/53173/Hydralyte-Liquid-Apple-Blackcurrant-1-Litre"," Hydralyte Liquid Apple Blackcurrant 1 Litre")</f>
        <v xml:space="preserve"> Hydralyte Liquid Apple Blackcurrant 1 Litre</v>
      </c>
      <c r="C11221" t="s">
        <v>45</v>
      </c>
      <c r="D11221" t="s">
        <v>104</v>
      </c>
    </row>
    <row r="11222" spans="1:4" x14ac:dyDescent="0.25">
      <c r="B11222" t="str">
        <f>HYPERLINK("https://www.chemistwarehouse.com.au/buy/53174/Hydralyte-Powder-Orange-5G-X-10"," Hydralyte Powder Orange 5G X 10")</f>
        <v xml:space="preserve"> Hydralyte Powder Orange 5G X 10</v>
      </c>
      <c r="C11222" t="s">
        <v>45</v>
      </c>
      <c r="D11222" t="s">
        <v>162</v>
      </c>
    </row>
    <row r="11223" spans="1:4" x14ac:dyDescent="0.25">
      <c r="B11223" t="str">
        <f>HYPERLINK("https://www.chemistwarehouse.com.au/buy/61148/Hydralyte-Electrolyte-Effervescent-Apple-Blackcurrent-20-Tablets"," Hydralyte Electrolyte Effervescent Apple Blackcurrent 20 Tablets")</f>
        <v xml:space="preserve"> Hydralyte Electrolyte Effervescent Apple Blackcurrent 20 Tablets</v>
      </c>
      <c r="C11223" t="s">
        <v>45</v>
      </c>
      <c r="D11223" t="s">
        <v>64</v>
      </c>
    </row>
    <row r="11224" spans="1:4" x14ac:dyDescent="0.25">
      <c r="A11224" t="s">
        <v>2292</v>
      </c>
    </row>
    <row r="11225" spans="1:4" x14ac:dyDescent="0.25">
      <c r="B11225" t="str">
        <f>HYPERLINK("https://www.chemistwarehouse.com.au/buy/39712/Neat-Effect-3B-Action-Cream-100g"," Neat Effect 3B Action Cream 100g")</f>
        <v xml:space="preserve"> Neat Effect 3B Action Cream 100g</v>
      </c>
      <c r="C11225" t="s">
        <v>202</v>
      </c>
      <c r="D11225" t="s">
        <v>157</v>
      </c>
    </row>
    <row r="11226" spans="1:4" x14ac:dyDescent="0.25">
      <c r="B11226" t="str">
        <f>HYPERLINK("https://www.chemistwarehouse.com.au/buy/68106/No-More-Sweat-Total-Body-50ml"," No More Sweat Total Body 50ml")</f>
        <v xml:space="preserve"> No More Sweat Total Body 50ml</v>
      </c>
      <c r="C11226" t="s">
        <v>212</v>
      </c>
      <c r="D11226" t="s">
        <v>2159</v>
      </c>
    </row>
    <row r="11227" spans="1:4" x14ac:dyDescent="0.25">
      <c r="B11227" t="str">
        <f>HYPERLINK("https://www.chemistwarehouse.com.au/buy/36831/Prickly-Heat-Powder-150g"," Prickly Heat Powder 150g")</f>
        <v xml:space="preserve"> Prickly Heat Powder 150g</v>
      </c>
      <c r="C11227" t="s">
        <v>92</v>
      </c>
      <c r="D11227" t="s">
        <v>371</v>
      </c>
    </row>
    <row r="11228" spans="1:4" x14ac:dyDescent="0.25">
      <c r="B11228" t="str">
        <f>HYPERLINK("https://www.chemistwarehouse.com.au/buy/68105/No-More-Sweat-Hands-And-Feet-50ml"," No More Sweat Hands And Feet 50ml")</f>
        <v xml:space="preserve"> No More Sweat Hands And Feet 50ml</v>
      </c>
      <c r="C11228" t="s">
        <v>212</v>
      </c>
      <c r="D11228" t="s">
        <v>2159</v>
      </c>
    </row>
    <row r="11229" spans="1:4" x14ac:dyDescent="0.25">
      <c r="B11229" t="str">
        <f>HYPERLINK("https://www.chemistwarehouse.com.au/buy/59779/Rexona-for-Men-Clinical-Protection-Antiperspirant-Deodorant-Cream-45ml"," Rexona for Men Clinical Protection Antiperspirant Deodorant Cream 45ml")</f>
        <v xml:space="preserve"> Rexona for Men Clinical Protection Antiperspirant Deodorant Cream 45ml</v>
      </c>
      <c r="C11229" t="s">
        <v>45</v>
      </c>
      <c r="D11229" t="s">
        <v>720</v>
      </c>
    </row>
    <row r="11230" spans="1:4" x14ac:dyDescent="0.25">
      <c r="B11230" t="str">
        <f>HYPERLINK("https://www.chemistwarehouse.com.au/buy/63528/Driclor-Men-Deodorant-60mL"," Driclor Men Deodorant 60mL")</f>
        <v xml:space="preserve"> Driclor Men Deodorant 60mL</v>
      </c>
      <c r="C11230" t="s">
        <v>292</v>
      </c>
      <c r="D11230" t="s">
        <v>329</v>
      </c>
    </row>
    <row r="11231" spans="1:4" x14ac:dyDescent="0.25">
      <c r="B11231" t="str">
        <f>HYPERLINK("https://www.chemistwarehouse.com.au/buy/63529/Driclor-Women-Deodorant-60ml"," Driclor Women Deodorant 60ml")</f>
        <v xml:space="preserve"> Driclor Women Deodorant 60ml</v>
      </c>
      <c r="C11231" t="s">
        <v>295</v>
      </c>
      <c r="D11231" t="s">
        <v>482</v>
      </c>
    </row>
    <row r="11232" spans="1:4" x14ac:dyDescent="0.25">
      <c r="B11232" t="str">
        <f>HYPERLINK("https://www.chemistwarehouse.com.au/buy/4044/Ego-Soov-Prickly-Heat-Powder-50g"," Ego Soov Prickly Heat Powder 50g")</f>
        <v xml:space="preserve"> Ego Soov Prickly Heat Powder 50g</v>
      </c>
      <c r="C11232" t="s">
        <v>107</v>
      </c>
      <c r="D11232" t="s">
        <v>1029</v>
      </c>
    </row>
    <row r="11233" spans="1:4" x14ac:dyDescent="0.25">
      <c r="A11233" t="s">
        <v>2293</v>
      </c>
    </row>
    <row r="11234" spans="1:4" x14ac:dyDescent="0.25">
      <c r="B11234" t="str">
        <f>HYPERLINK("https://www.chemistwarehouse.com.au/buy/69008/Old-Spice-Body-Wash-Swagger-473ml"," Old Spice Body Wash Swagger 473ml")</f>
        <v xml:space="preserve"> Old Spice Body Wash Swagger 473ml</v>
      </c>
      <c r="C11234" t="s">
        <v>610</v>
      </c>
      <c r="D11234" t="s">
        <v>781</v>
      </c>
    </row>
    <row r="11235" spans="1:4" x14ac:dyDescent="0.25">
      <c r="B11235" t="str">
        <f>HYPERLINK("https://www.chemistwarehouse.com.au/buy/69009/Old-Spice-Body-Wash-Champion-473ml"," Old Spice Body Wash Champion 473ml")</f>
        <v xml:space="preserve"> Old Spice Body Wash Champion 473ml</v>
      </c>
      <c r="C11235" t="s">
        <v>610</v>
      </c>
      <c r="D11235" t="s">
        <v>781</v>
      </c>
    </row>
    <row r="11236" spans="1:4" x14ac:dyDescent="0.25">
      <c r="B11236" t="str">
        <f>HYPERLINK("https://www.chemistwarehouse.com.au/buy/55166/Old-Spice-Aftershave-188ml"," Old Spice Aftershave 188ml")</f>
        <v xml:space="preserve"> Old Spice Aftershave 188ml</v>
      </c>
      <c r="C11236" t="s">
        <v>32</v>
      </c>
      <c r="D11236" t="s">
        <v>836</v>
      </c>
    </row>
    <row r="11237" spans="1:4" x14ac:dyDescent="0.25">
      <c r="A11237" t="s">
        <v>2294</v>
      </c>
    </row>
    <row r="11238" spans="1:4" x14ac:dyDescent="0.25">
      <c r="B11238" t="str">
        <f>HYPERLINK("https://www.chemistwarehouse.com.au/buy/41820/Lucas-Papaw-Ointment-25g"," Lucas Papaw Ointment 25g")</f>
        <v xml:space="preserve"> Lucas Papaw Ointment 25g</v>
      </c>
      <c r="C11238" t="s">
        <v>556</v>
      </c>
      <c r="D11238" t="s">
        <v>624</v>
      </c>
    </row>
    <row r="11239" spans="1:4" x14ac:dyDescent="0.25">
      <c r="B11239" t="str">
        <f>HYPERLINK("https://www.chemistwarehouse.com.au/buy/31207/Lucas-Papaw-Ointment-75g"," Lucas Papaw Ointment 75g")</f>
        <v xml:space="preserve"> Lucas Papaw Ointment 75g</v>
      </c>
      <c r="C11239" t="s">
        <v>45</v>
      </c>
      <c r="D11239" t="s">
        <v>1356</v>
      </c>
    </row>
    <row r="11240" spans="1:4" x14ac:dyDescent="0.25">
      <c r="B11240" t="str">
        <f>HYPERLINK("https://www.chemistwarehouse.com.au/buy/31206/Lucas-Papaw-Ointment-200g"," Lucas Papaw Ointment 200g")</f>
        <v xml:space="preserve"> Lucas Papaw Ointment 200g</v>
      </c>
      <c r="C11240" t="s">
        <v>10</v>
      </c>
      <c r="D11240" t="s">
        <v>899</v>
      </c>
    </row>
    <row r="11241" spans="1:4" x14ac:dyDescent="0.25">
      <c r="B11241" t="str">
        <f>HYPERLINK("https://www.chemistwarehouse.com.au/buy/63921/Healthy-Care-Paw-Paw-Lip-Balm-10g"," Healthy Care Paw Paw Lip Balm 10g")</f>
        <v xml:space="preserve"> Healthy Care Paw Paw Lip Balm 10g</v>
      </c>
      <c r="C11241" t="s">
        <v>691</v>
      </c>
      <c r="D11241">
        <v>0</v>
      </c>
    </row>
    <row r="11242" spans="1:4" x14ac:dyDescent="0.25">
      <c r="B11242" t="str">
        <f>HYPERLINK("https://www.chemistwarehouse.com.au/buy/68509/Healthy-Care-All-Natural-Paw-Paw-Baby-Shampoo-Wash-500ml"," Healthy Care All Natural Paw Paw Baby Shampoo Wash 500ml")</f>
        <v xml:space="preserve"> Healthy Care All Natural Paw Paw Baby Shampoo Wash 500ml</v>
      </c>
      <c r="C11242" t="s">
        <v>103</v>
      </c>
      <c r="D11242">
        <v>0</v>
      </c>
    </row>
    <row r="11243" spans="1:4" x14ac:dyDescent="0.25">
      <c r="B11243" t="str">
        <f>HYPERLINK("https://www.chemistwarehouse.com.au/buy/69338/Pure-Paw-Paw-Ointment-25g"," Pure Paw Paw Ointment 25g")</f>
        <v xml:space="preserve"> Pure Paw Paw Ointment 25g</v>
      </c>
      <c r="C11243" t="s">
        <v>1357</v>
      </c>
      <c r="D11243" t="s">
        <v>1358</v>
      </c>
    </row>
    <row r="11244" spans="1:4" x14ac:dyDescent="0.25">
      <c r="B11244" t="str">
        <f>HYPERLINK("https://www.chemistwarehouse.com.au/buy/55883/Healthy-Care-Paw-Paw-Balm-100g"," Healthy Care Paw Paw Balm 100g")</f>
        <v xml:space="preserve"> Healthy Care Paw Paw Balm 100g</v>
      </c>
      <c r="C11244" t="s">
        <v>103</v>
      </c>
      <c r="D11244">
        <v>0</v>
      </c>
    </row>
    <row r="11245" spans="1:4" x14ac:dyDescent="0.25">
      <c r="B11245" t="str">
        <f>HYPERLINK("https://www.chemistwarehouse.com.au/buy/55884/Healthy-Care-Paw-Paw-Balm-30g"," Healthy Care Paw Paw Balm 30g")</f>
        <v xml:space="preserve"> Healthy Care Paw Paw Balm 30g</v>
      </c>
      <c r="C11245" t="s">
        <v>775</v>
      </c>
      <c r="D11245">
        <v>0</v>
      </c>
    </row>
    <row r="11246" spans="1:4" x14ac:dyDescent="0.25">
      <c r="B11246" t="str">
        <f>HYPERLINK("https://www.chemistwarehouse.com.au/buy/68508/Healthy-Care-All-Natural-Paw-Paw-Baby-Balm-100g"," Healthy Care All Natural Paw Paw Baby Balm 100g")</f>
        <v xml:space="preserve"> Healthy Care All Natural Paw Paw Baby Balm 100g</v>
      </c>
      <c r="C11246" t="s">
        <v>116</v>
      </c>
      <c r="D11246">
        <v>0</v>
      </c>
    </row>
    <row r="11247" spans="1:4" x14ac:dyDescent="0.25">
      <c r="A11247" t="s">
        <v>2295</v>
      </c>
    </row>
    <row r="11248" spans="1:4" x14ac:dyDescent="0.25">
      <c r="B11248" t="str">
        <f>HYPERLINK("https://www.chemistwarehouse.com.au/buy/66770/Bioglan-Organic-Chia-Seeds-250g"," Bioglan Organic Chia Seeds 250g")</f>
        <v xml:space="preserve"> Bioglan Organic Chia Seeds 250g</v>
      </c>
      <c r="C11248" t="s">
        <v>116</v>
      </c>
      <c r="D11248" t="s">
        <v>155</v>
      </c>
    </row>
    <row r="11249" spans="1:4" x14ac:dyDescent="0.25">
      <c r="B11249" t="str">
        <f>HYPERLINK("https://www.chemistwarehouse.com.au/buy/69398/Bioglan-Organic-Chia-Seeds-500g"," Bioglan Organic Chia Seeds 500g")</f>
        <v xml:space="preserve"> Bioglan Organic Chia Seeds 500g</v>
      </c>
      <c r="C11249" t="s">
        <v>45</v>
      </c>
      <c r="D11249">
        <v>0</v>
      </c>
    </row>
    <row r="11250" spans="1:4" x14ac:dyDescent="0.25">
      <c r="A11250" t="s">
        <v>2296</v>
      </c>
    </row>
    <row r="11251" spans="1:4" x14ac:dyDescent="0.25">
      <c r="B11251" t="str">
        <f>HYPERLINK("https://www.chemistwarehouse.com.au/buy/64419/Sukin-Facial-Moisturiser-Pump-125ml"," Sukin Facial Moisturiser Pump 125ml")</f>
        <v xml:space="preserve"> Sukin Facial Moisturiser Pump 125ml</v>
      </c>
      <c r="C11251" t="s">
        <v>554</v>
      </c>
      <c r="D11251" t="s">
        <v>376</v>
      </c>
    </row>
    <row r="11252" spans="1:4" x14ac:dyDescent="0.25">
      <c r="B11252" t="str">
        <f>HYPERLINK("https://www.chemistwarehouse.com.au/buy/66385/Sukin-Sensitive-Facial-Moisturiser-125ml-Pump"," Sukin Sensitive Facial Moisturiser 125ml Pump")</f>
        <v xml:space="preserve"> Sukin Sensitive Facial Moisturiser 125ml Pump</v>
      </c>
      <c r="C11252" t="s">
        <v>554</v>
      </c>
      <c r="D11252" t="s">
        <v>376</v>
      </c>
    </row>
    <row r="11253" spans="1:4" x14ac:dyDescent="0.25">
      <c r="B11253" t="str">
        <f>HYPERLINK("https://www.chemistwarehouse.com.au/buy/64420/Sukin-Facial-Moisturiser-Cap-125ml"," Sukin Facial Moisturiser Cap 125ml")</f>
        <v xml:space="preserve"> Sukin Facial Moisturiser Cap 125ml</v>
      </c>
      <c r="C11253" t="s">
        <v>554</v>
      </c>
      <c r="D11253" t="s">
        <v>376</v>
      </c>
    </row>
    <row r="11254" spans="1:4" x14ac:dyDescent="0.25">
      <c r="A11254" t="s">
        <v>2297</v>
      </c>
    </row>
    <row r="11255" spans="1:4" x14ac:dyDescent="0.25">
      <c r="B11255" t="str">
        <f>HYPERLINK("https://www.chemistwarehouse.com.au/buy/62292/Naturopathica-Fatblaster-Reducta-500mg-40-Tablets"," Naturopathica Fatblaster Reducta 500mg 40 Tablets")</f>
        <v xml:space="preserve"> Naturopathica Fatblaster Reducta 500mg 40 Tablets</v>
      </c>
      <c r="C11255" t="s">
        <v>166</v>
      </c>
      <c r="D11255" t="s">
        <v>167</v>
      </c>
    </row>
    <row r="11256" spans="1:4" x14ac:dyDescent="0.25">
      <c r="B11256" t="str">
        <f>HYPERLINK("https://www.chemistwarehouse.com.au/buy/68254/Naturopathica-Reducta-Chewing-Gum-30-Pack"," Naturopathica Reducta Chewing Gum 30 Pack")</f>
        <v xml:space="preserve"> Naturopathica Reducta Chewing Gum 30 Pack</v>
      </c>
      <c r="C11256" t="s">
        <v>1</v>
      </c>
      <c r="D11256" t="s">
        <v>165</v>
      </c>
    </row>
    <row r="11257" spans="1:4" x14ac:dyDescent="0.25">
      <c r="A11257" t="s">
        <v>2298</v>
      </c>
    </row>
    <row r="11258" spans="1:4" x14ac:dyDescent="0.25">
      <c r="B11258" t="str">
        <f>HYPERLINK("https://www.chemistwarehouse.com.au/buy/66546/Healthy-Care-Propolis-amp-Olive-Leaf-180-Capsules"," Healthy Care Propolis &amp; Olive Leaf 180 Capsules")</f>
        <v xml:space="preserve"> Healthy Care Propolis &amp; Olive Leaf 180 Capsules</v>
      </c>
      <c r="C11258" t="s">
        <v>279</v>
      </c>
      <c r="D11258">
        <v>0</v>
      </c>
    </row>
    <row r="11259" spans="1:4" x14ac:dyDescent="0.25">
      <c r="B11259" t="str">
        <f>HYPERLINK("https://www.chemistwarehouse.com.au/buy/57322/Healthy-Care-Olive-Leaf-Extract-3000mg-100-Capsules"," Healthy Care Olive Leaf Extract 3000mg 100 Capsules")</f>
        <v xml:space="preserve"> Healthy Care Olive Leaf Extract 3000mg 100 Capsules</v>
      </c>
      <c r="C11259" t="s">
        <v>63</v>
      </c>
      <c r="D11259">
        <v>0</v>
      </c>
    </row>
    <row r="11260" spans="1:4" x14ac:dyDescent="0.25">
      <c r="B11260" t="str">
        <f>HYPERLINK("https://www.chemistwarehouse.com.au/buy/55752/Comvita-Olive-Leaf-Extract-Natural-500mL"," Comvita Olive Leaf Extract Natural 500mL")</f>
        <v xml:space="preserve"> Comvita Olive Leaf Extract Natural 500mL</v>
      </c>
      <c r="C11260" t="s">
        <v>6</v>
      </c>
      <c r="D11260" t="s">
        <v>385</v>
      </c>
    </row>
    <row r="11261" spans="1:4" x14ac:dyDescent="0.25">
      <c r="B11261" t="str">
        <f>HYPERLINK("https://www.chemistwarehouse.com.au/buy/57240/Healthy-Care-Olive-Leaf-Extract-500mL"," Healthy Care Olive Leaf Extract 500mL")</f>
        <v xml:space="preserve"> Healthy Care Olive Leaf Extract 500mL</v>
      </c>
      <c r="C11261" t="s">
        <v>63</v>
      </c>
      <c r="D11261">
        <v>0</v>
      </c>
    </row>
    <row r="11262" spans="1:4" x14ac:dyDescent="0.25">
      <c r="B11262" t="str">
        <f>HYPERLINK("https://www.chemistwarehouse.com.au/buy/64104/Comvita-Olive-Leaf-Extract-Mixed-Berry-500mL"," Comvita Olive Leaf Extract Mixed Berry 500mL")</f>
        <v xml:space="preserve"> Comvita Olive Leaf Extract Mixed Berry 500mL</v>
      </c>
      <c r="C11262" t="s">
        <v>6</v>
      </c>
      <c r="D11262" t="s">
        <v>385</v>
      </c>
    </row>
    <row r="11263" spans="1:4" x14ac:dyDescent="0.25">
      <c r="B11263" t="str">
        <f>HYPERLINK("https://www.chemistwarehouse.com.au/buy/64124/Comvita-Olive-Leaf-Extract-Children-39-s-Mixed-Berry-200mL"," Comvita Olive Leaf Extract Children's Mixed Berry 200mL")</f>
        <v xml:space="preserve"> Comvita Olive Leaf Extract Children's Mixed Berry 200mL</v>
      </c>
      <c r="C11263" t="s">
        <v>279</v>
      </c>
      <c r="D11263" t="s">
        <v>234</v>
      </c>
    </row>
    <row r="11264" spans="1:4" x14ac:dyDescent="0.25">
      <c r="B11264" t="str">
        <f>HYPERLINK("https://www.chemistwarehouse.com.au/buy/63353/Thompson-39-s-One-A-Day-Organic-Olive-Leaf-5000mg-60-Capsules"," Thompson's One-A-Day Organic Olive Leaf 5000mg 60 Capsules")</f>
        <v xml:space="preserve"> Thompson's One-A-Day Organic Olive Leaf 5000mg 60 Capsules</v>
      </c>
      <c r="C11264" t="s">
        <v>6</v>
      </c>
      <c r="D11264" t="s">
        <v>341</v>
      </c>
    </row>
    <row r="11265" spans="1:4" x14ac:dyDescent="0.25">
      <c r="B11265" t="str">
        <f>HYPERLINK("https://www.chemistwarehouse.com.au/buy/64094/Comvita-Olive-Leaf-Extract-Peppermint-500mL"," Comvita Olive Leaf Extract Peppermint 500mL")</f>
        <v xml:space="preserve"> Comvita Olive Leaf Extract Peppermint 500mL</v>
      </c>
      <c r="C11265" t="s">
        <v>6</v>
      </c>
      <c r="D11265" t="s">
        <v>385</v>
      </c>
    </row>
    <row r="11266" spans="1:4" x14ac:dyDescent="0.25">
      <c r="A11266" t="s">
        <v>2299</v>
      </c>
    </row>
    <row r="11267" spans="1:4" x14ac:dyDescent="0.25">
      <c r="B11267" t="str">
        <f>HYPERLINK("https://www.chemistwarehouse.com.au/buy/54814/Rose-Hip-Vital-250-Capsules"," Rose-Hip Vital 250 Capsules")</f>
        <v xml:space="preserve"> Rose-Hip Vital 250 Capsules</v>
      </c>
      <c r="C11267" t="s">
        <v>243</v>
      </c>
      <c r="D11267" t="s">
        <v>369</v>
      </c>
    </row>
    <row r="11268" spans="1:4" x14ac:dyDescent="0.25">
      <c r="B11268" t="str">
        <f>HYPERLINK("https://www.chemistwarehouse.com.au/buy/63199/Trilogy-Rosehip-Oil-45ml"," Trilogy Rosehip Oil 45ml")</f>
        <v xml:space="preserve"> Trilogy Rosehip Oil 45ml</v>
      </c>
      <c r="C11268" t="s">
        <v>266</v>
      </c>
      <c r="D11268" t="s">
        <v>159</v>
      </c>
    </row>
    <row r="11269" spans="1:4" x14ac:dyDescent="0.25">
      <c r="B11269" t="str">
        <f>HYPERLINK("https://www.chemistwarehouse.com.au/buy/66097/Trilogy-Rosehip-Oil-Antioxidant-30ml"," Trilogy Rosehip Oil Antioxidant + 30ml")</f>
        <v xml:space="preserve"> Trilogy Rosehip Oil Antioxidant + 30ml</v>
      </c>
      <c r="C11269" t="s">
        <v>313</v>
      </c>
      <c r="D11269" t="s">
        <v>437</v>
      </c>
    </row>
    <row r="11270" spans="1:4" x14ac:dyDescent="0.25">
      <c r="B11270" t="str">
        <f>HYPERLINK("https://www.chemistwarehouse.com.au/buy/66508/RosehipPLUS-Rosehip-Oil-30ml"," RosehipPLUS Rosehip Oil 30ml")</f>
        <v xml:space="preserve"> RosehipPLUS Rosehip Oil 30ml</v>
      </c>
      <c r="C11270" t="s">
        <v>324</v>
      </c>
      <c r="D11270" t="s">
        <v>437</v>
      </c>
    </row>
    <row r="11271" spans="1:4" x14ac:dyDescent="0.25">
      <c r="B11271" t="str">
        <f>HYPERLINK("https://www.chemistwarehouse.com.au/buy/66725/RosehipPLUS-Rosehip-Oil-50ml"," RosehipPLUS Rosehip Oil 50ml")</f>
        <v xml:space="preserve"> RosehipPLUS Rosehip Oil 50ml</v>
      </c>
      <c r="C11271" t="s">
        <v>301</v>
      </c>
      <c r="D11271" t="s">
        <v>1346</v>
      </c>
    </row>
    <row r="11272" spans="1:4" x14ac:dyDescent="0.25">
      <c r="B11272" t="str">
        <f>HYPERLINK("https://www.chemistwarehouse.com.au/buy/63200/Trilogy-Rosehip-Oil-20ml"," Trilogy Rosehip Oil 20ml")</f>
        <v xml:space="preserve"> Trilogy Rosehip Oil 20ml</v>
      </c>
      <c r="C11272" t="s">
        <v>404</v>
      </c>
      <c r="D11272" t="s">
        <v>496</v>
      </c>
    </row>
    <row r="11273" spans="1:4" x14ac:dyDescent="0.25">
      <c r="B11273" t="str">
        <f>HYPERLINK("https://www.chemistwarehouse.com.au/buy/60332/Rose-Hip-Vital™-125g-Powder"," Rose-Hip Vital™ 125g Powder")</f>
        <v xml:space="preserve"> Rose-Hip Vital™ 125g Powder</v>
      </c>
      <c r="C11273" t="s">
        <v>113</v>
      </c>
      <c r="D11273" t="s">
        <v>81</v>
      </c>
    </row>
    <row r="11274" spans="1:4" x14ac:dyDescent="0.25">
      <c r="B11274" t="str">
        <f>HYPERLINK("https://www.chemistwarehouse.com.au/buy/62770/Palmers-Rosehip-Skin-Therapy-Oil-60mL"," Palmers Rosehip Skin Therapy Oil 60mL")</f>
        <v xml:space="preserve"> Palmers Rosehip Skin Therapy Oil 60mL</v>
      </c>
      <c r="C11274" t="s">
        <v>45</v>
      </c>
      <c r="D11274" t="s">
        <v>312</v>
      </c>
    </row>
    <row r="11275" spans="1:4" x14ac:dyDescent="0.25">
      <c r="B11275" t="str">
        <f>HYPERLINK("https://www.chemistwarehouse.com.au/buy/64416/Sukin-Rose-Hip-Oil-25ml"," Sukin Rose Hip Oil 25ml")</f>
        <v xml:space="preserve"> Sukin Rose Hip Oil 25ml</v>
      </c>
      <c r="C11275" t="s">
        <v>551</v>
      </c>
      <c r="D11275" t="s">
        <v>867</v>
      </c>
    </row>
    <row r="11276" spans="1:4" x14ac:dyDescent="0.25">
      <c r="B11276" t="str">
        <f>HYPERLINK("https://www.chemistwarehouse.com.au/buy/66027/Oil-Garden-Rose-Hip-Oil-25ml"," Oil Garden Rose Hip Oil 25ml")</f>
        <v xml:space="preserve"> Oil Garden Rose Hip Oil 25ml</v>
      </c>
      <c r="C11276" t="s">
        <v>237</v>
      </c>
      <c r="D11276" t="s">
        <v>64</v>
      </c>
    </row>
    <row r="11277" spans="1:4" x14ac:dyDescent="0.25">
      <c r="B11277" t="str">
        <f>HYPERLINK("https://www.chemistwarehouse.com.au/buy/67946/Swisse-Skincare-Rose-Hip-Oil-20ml"," Swisse Skincare Rose Hip Oil 20ml")</f>
        <v xml:space="preserve"> Swisse Skincare Rose Hip Oil 20ml</v>
      </c>
      <c r="C11277" t="s">
        <v>290</v>
      </c>
      <c r="D11277" t="s">
        <v>408</v>
      </c>
    </row>
    <row r="11278" spans="1:4" x14ac:dyDescent="0.25">
      <c r="B11278" t="str">
        <f>HYPERLINK("https://www.chemistwarehouse.com.au/buy/68133/Thursday-Plantation-Certified-Organic-Rosehip-Oil-25ml"," Thursday Plantation Certified Organic Rosehip Oil 25ml")</f>
        <v xml:space="preserve"> Thursday Plantation Certified Organic Rosehip Oil 25ml</v>
      </c>
      <c r="C11278" t="s">
        <v>244</v>
      </c>
      <c r="D11278" t="s">
        <v>1375</v>
      </c>
    </row>
    <row r="11279" spans="1:4" x14ac:dyDescent="0.25">
      <c r="B11279" t="str">
        <f>HYPERLINK("https://www.chemistwarehouse.com.au/buy/68134/RosehipPLUS-Rosehip-Oil-Skin-Boost-Roll-On-15ml"," RosehipPLUS Rosehip Oil Skin Boost Roll-On 15ml")</f>
        <v xml:space="preserve"> RosehipPLUS Rosehip Oil Skin Boost Roll-On 15ml</v>
      </c>
      <c r="C11279" t="s">
        <v>45</v>
      </c>
      <c r="D11279" t="s">
        <v>165</v>
      </c>
    </row>
    <row r="11280" spans="1:4" x14ac:dyDescent="0.25">
      <c r="A11280" t="s">
        <v>2300</v>
      </c>
    </row>
    <row r="11281" spans="1:4" x14ac:dyDescent="0.25">
      <c r="B11281" t="str">
        <f>HYPERLINK("https://www.chemistwarehouse.com.au/buy/64119/Comvita-Active-10-Manuka-Honey-500g-Not-Available-in-WA"," Comvita Active 10+ Manuka Honey 500g (Not Available in WA)")</f>
        <v xml:space="preserve"> Comvita Active 10+ Manuka Honey 500g (Not Available in WA)</v>
      </c>
      <c r="C11281" t="s">
        <v>564</v>
      </c>
      <c r="D11281" t="s">
        <v>373</v>
      </c>
    </row>
    <row r="11282" spans="1:4" x14ac:dyDescent="0.25">
      <c r="B11282" t="str">
        <f>HYPERLINK("https://www.chemistwarehouse.com.au/buy/64186/Comvita-UMF-15-Manuka-Honey-250g-Not-Available-in-WA"," Comvita UMF 15+ Manuka Honey 250g (Not Available in WA)")</f>
        <v xml:space="preserve"> Comvita UMF 15+ Manuka Honey 250g (Not Available in WA)</v>
      </c>
      <c r="C11282" t="s">
        <v>564</v>
      </c>
      <c r="D11282" t="s">
        <v>373</v>
      </c>
    </row>
    <row r="11283" spans="1:4" x14ac:dyDescent="0.25">
      <c r="B11283" t="str">
        <f>HYPERLINK("https://www.chemistwarehouse.com.au/buy/63835/Comvita-Active-5-Manuka-Honey-1kg-Not-Available-in-WA"," Comvita Active 5+ Manuka Honey 1kg (Not Available in WA)")</f>
        <v xml:space="preserve"> Comvita Active 5+ Manuka Honey 1kg (Not Available in WA)</v>
      </c>
      <c r="C11283" t="s">
        <v>565</v>
      </c>
      <c r="D11283" t="s">
        <v>391</v>
      </c>
    </row>
    <row r="11284" spans="1:4" x14ac:dyDescent="0.25">
      <c r="B11284" t="str">
        <f>HYPERLINK("https://www.chemistwarehouse.com.au/buy/64120/Comvita-Active-10-Manuka-Honey-250g-Not-Available-in-WA"," Comvita Active 10+ Manuka Honey 250g (Not Available in WA)")</f>
        <v xml:space="preserve"> Comvita Active 10+ Manuka Honey 250g (Not Available in WA)</v>
      </c>
      <c r="C11284" t="s">
        <v>566</v>
      </c>
      <c r="D11284" t="s">
        <v>435</v>
      </c>
    </row>
    <row r="11285" spans="1:4" x14ac:dyDescent="0.25">
      <c r="B11285" t="str">
        <f>HYPERLINK("https://www.chemistwarehouse.com.au/buy/63958/Comvita-Propolis-Elixir-200ml"," Comvita Propolis Elixir 200ml")</f>
        <v xml:space="preserve"> Comvita Propolis Elixir 200ml</v>
      </c>
      <c r="C11285" t="s">
        <v>61</v>
      </c>
      <c r="D11285" t="s">
        <v>155</v>
      </c>
    </row>
    <row r="11286" spans="1:4" x14ac:dyDescent="0.25">
      <c r="B11286" t="str">
        <f>HYPERLINK("https://www.chemistwarehouse.com.au/buy/64122/Comvita-Active-5-Manuka-Honey-500g-Not-Available-in-WA"," Comvita Active 5+ Manuka Honey 500g (Not Available in WA)")</f>
        <v xml:space="preserve"> Comvita Active 5+ Manuka Honey 500g (Not Available in WA)</v>
      </c>
      <c r="C11286" t="s">
        <v>258</v>
      </c>
      <c r="D11286" t="s">
        <v>341</v>
      </c>
    </row>
    <row r="11287" spans="1:4" x14ac:dyDescent="0.25">
      <c r="B11287" t="str">
        <f>HYPERLINK("https://www.chemistwarehouse.com.au/buy/64136/Comvita-Propolis-Extract-Alcohol-Free-25ml"," Comvita Propolis Extract Alcohol Free 25ml")</f>
        <v xml:space="preserve"> Comvita Propolis Extract Alcohol Free 25ml</v>
      </c>
      <c r="C11287" t="s">
        <v>125</v>
      </c>
      <c r="D11287" t="s">
        <v>93</v>
      </c>
    </row>
    <row r="11288" spans="1:4" x14ac:dyDescent="0.25">
      <c r="B11288" t="str">
        <f>HYPERLINK("https://www.chemistwarehouse.com.au/buy/63786/Comvita-Active-5-Manuka-Honey-250g-Not-Available-in-WA"," Comvita Active 5+ Manuka Honey 250g (Not Available in WA)")</f>
        <v xml:space="preserve"> Comvita Active 5+ Manuka Honey 250g (Not Available in WA)</v>
      </c>
      <c r="C11288" t="s">
        <v>10</v>
      </c>
      <c r="D11288" t="s">
        <v>154</v>
      </c>
    </row>
    <row r="11289" spans="1:4" x14ac:dyDescent="0.25">
      <c r="A11289" t="s">
        <v>2301</v>
      </c>
    </row>
    <row r="11290" spans="1:4" x14ac:dyDescent="0.25">
      <c r="B11290" t="str">
        <f>HYPERLINK("https://www.chemistwarehouse.com.au/buy/41820/Lucas-Papaw-Ointment-25g"," Lucas Papaw Ointment 25g")</f>
        <v xml:space="preserve"> Lucas Papaw Ointment 25g</v>
      </c>
      <c r="C11290" t="s">
        <v>556</v>
      </c>
      <c r="D11290" t="s">
        <v>624</v>
      </c>
    </row>
    <row r="11291" spans="1:4" x14ac:dyDescent="0.25">
      <c r="B11291" t="str">
        <f>HYPERLINK("https://www.chemistwarehouse.com.au/buy/31207/Lucas-Papaw-Ointment-75g"," Lucas Papaw Ointment 75g")</f>
        <v xml:space="preserve"> Lucas Papaw Ointment 75g</v>
      </c>
      <c r="C11291" t="s">
        <v>45</v>
      </c>
      <c r="D11291" t="s">
        <v>1356</v>
      </c>
    </row>
    <row r="11292" spans="1:4" x14ac:dyDescent="0.25">
      <c r="B11292" t="str">
        <f>HYPERLINK("https://www.chemistwarehouse.com.au/buy/31206/Lucas-Papaw-Ointment-200g"," Lucas Papaw Ointment 200g")</f>
        <v xml:space="preserve"> Lucas Papaw Ointment 200g</v>
      </c>
      <c r="C11292" t="s">
        <v>10</v>
      </c>
      <c r="D11292" t="s">
        <v>899</v>
      </c>
    </row>
    <row r="11293" spans="1:4" x14ac:dyDescent="0.25">
      <c r="B11293" t="str">
        <f>HYPERLINK("https://www.chemistwarehouse.com.au/buy/63921/Healthy-Care-Paw-Paw-Lip-Balm-10g"," Healthy Care Paw Paw Lip Balm 10g")</f>
        <v xml:space="preserve"> Healthy Care Paw Paw Lip Balm 10g</v>
      </c>
      <c r="C11293" t="s">
        <v>691</v>
      </c>
      <c r="D11293">
        <v>0</v>
      </c>
    </row>
    <row r="11294" spans="1:4" x14ac:dyDescent="0.25">
      <c r="B11294" t="str">
        <f>HYPERLINK("https://www.chemistwarehouse.com.au/buy/68509/Healthy-Care-All-Natural-Paw-Paw-Baby-Shampoo-Wash-500ml"," Healthy Care All Natural Paw Paw Baby Shampoo Wash 500ml")</f>
        <v xml:space="preserve"> Healthy Care All Natural Paw Paw Baby Shampoo Wash 500ml</v>
      </c>
      <c r="C11294" t="s">
        <v>103</v>
      </c>
      <c r="D11294">
        <v>0</v>
      </c>
    </row>
    <row r="11295" spans="1:4" x14ac:dyDescent="0.25">
      <c r="B11295" t="str">
        <f>HYPERLINK("https://www.chemistwarehouse.com.au/buy/69338/Pure-Paw-Paw-Ointment-25g"," Pure Paw Paw Ointment 25g")</f>
        <v xml:space="preserve"> Pure Paw Paw Ointment 25g</v>
      </c>
      <c r="C11295" t="s">
        <v>1357</v>
      </c>
      <c r="D11295" t="s">
        <v>1358</v>
      </c>
    </row>
    <row r="11296" spans="1:4" x14ac:dyDescent="0.25">
      <c r="B11296" t="str">
        <f>HYPERLINK("https://www.chemistwarehouse.com.au/buy/55883/Healthy-Care-Paw-Paw-Balm-100g"," Healthy Care Paw Paw Balm 100g")</f>
        <v xml:space="preserve"> Healthy Care Paw Paw Balm 100g</v>
      </c>
      <c r="C11296" t="s">
        <v>103</v>
      </c>
      <c r="D11296">
        <v>0</v>
      </c>
    </row>
    <row r="11297" spans="1:4" x14ac:dyDescent="0.25">
      <c r="B11297" t="str">
        <f>HYPERLINK("https://www.chemistwarehouse.com.au/buy/55884/Healthy-Care-Paw-Paw-Balm-30g"," Healthy Care Paw Paw Balm 30g")</f>
        <v xml:space="preserve"> Healthy Care Paw Paw Balm 30g</v>
      </c>
      <c r="C11297" t="s">
        <v>775</v>
      </c>
      <c r="D11297">
        <v>0</v>
      </c>
    </row>
    <row r="11298" spans="1:4" x14ac:dyDescent="0.25">
      <c r="B11298" t="str">
        <f>HYPERLINK("https://www.chemistwarehouse.com.au/buy/68508/Healthy-Care-All-Natural-Paw-Paw-Baby-Balm-100g"," Healthy Care All Natural Paw Paw Baby Balm 100g")</f>
        <v xml:space="preserve"> Healthy Care All Natural Paw Paw Baby Balm 100g</v>
      </c>
      <c r="C11298" t="s">
        <v>116</v>
      </c>
      <c r="D11298">
        <v>0</v>
      </c>
    </row>
    <row r="11299" spans="1:4" x14ac:dyDescent="0.25">
      <c r="A11299" t="s">
        <v>2302</v>
      </c>
    </row>
    <row r="11300" spans="1:4" x14ac:dyDescent="0.25">
      <c r="B11300" t="str">
        <f>HYPERLINK("https://www.chemistwarehouse.com.au/buy/58348/Swisse-Ultiboost-Hair-Skin-Nails-100-Tablets"," Swisse Ultiboost Hair Skin Nails+ 100 Tablets")</f>
        <v xml:space="preserve"> Swisse Ultiboost Hair Skin Nails+ 100 Tablets</v>
      </c>
      <c r="C11300" t="s">
        <v>1</v>
      </c>
      <c r="D11300" t="s">
        <v>81</v>
      </c>
    </row>
    <row r="11301" spans="1:4" x14ac:dyDescent="0.25">
      <c r="B11301" t="str">
        <f>HYPERLINK("https://www.chemistwarehouse.com.au/buy/57048/Swisse-Ultiboost-Hair-Skin-Nails-60-Tablets"," Swisse Ultiboost Hair Skin Nails+ 60 Tablets")</f>
        <v xml:space="preserve"> Swisse Ultiboost Hair Skin Nails+ 60 Tablets</v>
      </c>
      <c r="C11301" t="s">
        <v>8</v>
      </c>
      <c r="D11301" t="s">
        <v>93</v>
      </c>
    </row>
    <row r="11302" spans="1:4" x14ac:dyDescent="0.25">
      <c r="A11302" t="s">
        <v>2303</v>
      </c>
    </row>
    <row r="11303" spans="1:4" x14ac:dyDescent="0.25">
      <c r="B11303" t="str">
        <f>HYPERLINK("https://www.chemistwarehouse.com.au/buy/63753/Goat-Soap-100g"," Goat Soap 100g")</f>
        <v xml:space="preserve"> Goat Soap 100g</v>
      </c>
      <c r="C11303" t="s">
        <v>146</v>
      </c>
      <c r="D11303">
        <v>0</v>
      </c>
    </row>
    <row r="11304" spans="1:4" x14ac:dyDescent="0.25">
      <c r="B11304" t="str">
        <f>HYPERLINK("https://www.chemistwarehouse.com.au/buy/66074/Goat-Soap-with-Lemon-Myrtle-100g"," Goat Soap with Lemon Myrtle 100g")</f>
        <v xml:space="preserve"> Goat Soap with Lemon Myrtle 100g</v>
      </c>
      <c r="C11304" t="s">
        <v>146</v>
      </c>
      <c r="D11304">
        <v>0</v>
      </c>
    </row>
    <row r="11305" spans="1:4" x14ac:dyDescent="0.25">
      <c r="B11305" t="str">
        <f>HYPERLINK("https://www.chemistwarehouse.com.au/buy/64313/Goat-Moisturising-Body-Wash-500ml"," Goat Moisturising Body Wash 500ml")</f>
        <v xml:space="preserve"> Goat Moisturising Body Wash 500ml</v>
      </c>
      <c r="C11305" t="s">
        <v>103</v>
      </c>
      <c r="D11305">
        <v>0</v>
      </c>
    </row>
    <row r="11306" spans="1:4" x14ac:dyDescent="0.25">
      <c r="B11306" t="str">
        <f>HYPERLINK("https://www.chemistwarehouse.com.au/buy/67628/Goat-Body-Wash-with-Lemon-Myrtle-500ml"," Goat Body Wash with Lemon Myrtle 500ml")</f>
        <v xml:space="preserve"> Goat Body Wash with Lemon Myrtle 500ml</v>
      </c>
      <c r="C11306" t="s">
        <v>103</v>
      </c>
      <c r="D11306">
        <v>0</v>
      </c>
    </row>
    <row r="11307" spans="1:4" x14ac:dyDescent="0.25">
      <c r="B11307" t="str">
        <f>HYPERLINK("https://www.chemistwarehouse.com.au/buy/69348/Goat-Soap-Oatmeal-100g"," Goat Soap Oatmeal 100g")</f>
        <v xml:space="preserve"> Goat Soap Oatmeal 100g</v>
      </c>
      <c r="C11307" t="s">
        <v>146</v>
      </c>
      <c r="D11307">
        <v>0</v>
      </c>
    </row>
    <row r="11308" spans="1:4" x14ac:dyDescent="0.25">
      <c r="A11308" t="s">
        <v>2304</v>
      </c>
    </row>
    <row r="11309" spans="1:4" x14ac:dyDescent="0.25">
      <c r="B11309" t="str">
        <f>HYPERLINK("https://www.chemistwarehouse.com.au/buy/41820/Lucas-Papaw-Ointment-25g"," Lucas Papaw Ointment 25g")</f>
        <v xml:space="preserve"> Lucas Papaw Ointment 25g</v>
      </c>
      <c r="C11309" t="s">
        <v>556</v>
      </c>
      <c r="D11309" t="s">
        <v>624</v>
      </c>
    </row>
    <row r="11310" spans="1:4" x14ac:dyDescent="0.25">
      <c r="B11310" t="str">
        <f>HYPERLINK("https://www.chemistwarehouse.com.au/buy/31207/Lucas-Papaw-Ointment-75g"," Lucas Papaw Ointment 75g")</f>
        <v xml:space="preserve"> Lucas Papaw Ointment 75g</v>
      </c>
      <c r="C11310" t="s">
        <v>45</v>
      </c>
      <c r="D11310" t="s">
        <v>1356</v>
      </c>
    </row>
    <row r="11311" spans="1:4" x14ac:dyDescent="0.25">
      <c r="B11311" t="str">
        <f>HYPERLINK("https://www.chemistwarehouse.com.au/buy/66546/Healthy-Care-Propolis-amp-Olive-Leaf-180-Capsules"," Healthy Care Propolis &amp; Olive Leaf 180 Capsules")</f>
        <v xml:space="preserve"> Healthy Care Propolis &amp; Olive Leaf 180 Capsules</v>
      </c>
      <c r="C11311" t="s">
        <v>279</v>
      </c>
      <c r="D11311">
        <v>0</v>
      </c>
    </row>
    <row r="11312" spans="1:4" x14ac:dyDescent="0.25">
      <c r="B11312" t="str">
        <f>HYPERLINK("https://www.chemistwarehouse.com.au/buy/58348/Swisse-Ultiboost-Hair-Skin-Nails-100-Tablets"," Swisse Ultiboost Hair Skin Nails+ 100 Tablets")</f>
        <v xml:space="preserve"> Swisse Ultiboost Hair Skin Nails+ 100 Tablets</v>
      </c>
      <c r="C11312" t="s">
        <v>1</v>
      </c>
      <c r="D11312" t="s">
        <v>81</v>
      </c>
    </row>
    <row r="11313" spans="2:4" x14ac:dyDescent="0.25">
      <c r="B11313" t="str">
        <f>HYPERLINK("https://www.chemistwarehouse.com.au/buy/63753/Goat-Soap-100g"," Goat Soap 100g")</f>
        <v xml:space="preserve"> Goat Soap 100g</v>
      </c>
      <c r="C11313" t="s">
        <v>146</v>
      </c>
      <c r="D11313">
        <v>0</v>
      </c>
    </row>
    <row r="11314" spans="2:4" x14ac:dyDescent="0.25">
      <c r="B11314" t="str">
        <f>HYPERLINK("https://www.chemistwarehouse.com.au/buy/31206/Lucas-Papaw-Ointment-200g"," Lucas Papaw Ointment 200g")</f>
        <v xml:space="preserve"> Lucas Papaw Ointment 200g</v>
      </c>
      <c r="C11314" t="s">
        <v>10</v>
      </c>
      <c r="D11314" t="s">
        <v>899</v>
      </c>
    </row>
    <row r="11315" spans="2:4" x14ac:dyDescent="0.25">
      <c r="B11315" t="str">
        <f>HYPERLINK("https://www.chemistwarehouse.com.au/buy/62712/Nature-39-s-Way-Kids-Smart-Vita-Gummies-Omega-3-Fish-Oil-60"," Nature's Way Kids Smart Vita Gummies Omega 3 Fish Oil 60")</f>
        <v xml:space="preserve"> Nature's Way Kids Smart Vita Gummies Omega 3 Fish Oil 60</v>
      </c>
      <c r="C11315" t="s">
        <v>32</v>
      </c>
      <c r="D11315" t="s">
        <v>349</v>
      </c>
    </row>
    <row r="11316" spans="2:4" x14ac:dyDescent="0.25">
      <c r="B11316" t="str">
        <f>HYPERLINK("https://www.chemistwarehouse.com.au/buy/65545/Healthy-Care-Gummy-Omega-3-250-Gummies"," Healthy Care Gummy Omega 3 250 Gummies")</f>
        <v xml:space="preserve"> Healthy Care Gummy Omega 3 250 Gummies</v>
      </c>
      <c r="C11316" t="s">
        <v>187</v>
      </c>
      <c r="D11316">
        <v>0</v>
      </c>
    </row>
    <row r="11317" spans="2:4" x14ac:dyDescent="0.25">
      <c r="B11317" t="str">
        <f>HYPERLINK("https://www.chemistwarehouse.com.au/buy/63921/Healthy-Care-Paw-Paw-Lip-Balm-10g"," Healthy Care Paw Paw Lip Balm 10g")</f>
        <v xml:space="preserve"> Healthy Care Paw Paw Lip Balm 10g</v>
      </c>
      <c r="C11317" t="s">
        <v>691</v>
      </c>
      <c r="D11317">
        <v>0</v>
      </c>
    </row>
    <row r="11318" spans="2:4" x14ac:dyDescent="0.25">
      <c r="B11318" t="str">
        <f>HYPERLINK("https://www.chemistwarehouse.com.au/buy/44654/Blackmores-Garlic-Odourless-200-Tablets"," Blackmores Garlic Odourless 200 Tablets")</f>
        <v xml:space="preserve"> Blackmores Garlic Odourless 200 Tablets</v>
      </c>
      <c r="C11318" t="s">
        <v>228</v>
      </c>
      <c r="D11318" t="s">
        <v>229</v>
      </c>
    </row>
    <row r="11319" spans="2:4" x14ac:dyDescent="0.25">
      <c r="B11319" t="str">
        <f>HYPERLINK("https://www.chemistwarehouse.com.au/buy/66074/Goat-Soap-with-Lemon-Myrtle-100g"," Goat Soap with Lemon Myrtle 100g")</f>
        <v xml:space="preserve"> Goat Soap with Lemon Myrtle 100g</v>
      </c>
      <c r="C11319" t="s">
        <v>146</v>
      </c>
      <c r="D11319">
        <v>0</v>
      </c>
    </row>
    <row r="11320" spans="2:4" x14ac:dyDescent="0.25">
      <c r="B11320" t="str">
        <f>HYPERLINK("https://www.chemistwarehouse.com.au/buy/54814/Rose-Hip-Vital-250-Capsules"," Rose-Hip Vital 250 Capsules")</f>
        <v xml:space="preserve"> Rose-Hip Vital 250 Capsules</v>
      </c>
      <c r="C11320" t="s">
        <v>243</v>
      </c>
      <c r="D11320" t="s">
        <v>369</v>
      </c>
    </row>
    <row r="11321" spans="2:4" x14ac:dyDescent="0.25">
      <c r="B11321" t="str">
        <f>HYPERLINK("https://www.chemistwarehouse.com.au/buy/68509/Healthy-Care-All-Natural-Paw-Paw-Baby-Shampoo-Wash-500ml"," Healthy Care All Natural Paw Paw Baby Shampoo Wash 500ml")</f>
        <v xml:space="preserve"> Healthy Care All Natural Paw Paw Baby Shampoo Wash 500ml</v>
      </c>
      <c r="C11321" t="s">
        <v>103</v>
      </c>
      <c r="D11321">
        <v>0</v>
      </c>
    </row>
    <row r="11322" spans="2:4" x14ac:dyDescent="0.25">
      <c r="B11322" t="str">
        <f>HYPERLINK("https://www.chemistwarehouse.com.au/buy/69338/Pure-Paw-Paw-Ointment-25g"," Pure Paw Paw Ointment 25g")</f>
        <v xml:space="preserve"> Pure Paw Paw Ointment 25g</v>
      </c>
      <c r="C11322" t="s">
        <v>1357</v>
      </c>
      <c r="D11322" t="s">
        <v>1358</v>
      </c>
    </row>
    <row r="11323" spans="2:4" x14ac:dyDescent="0.25">
      <c r="B11323" t="str">
        <f>HYPERLINK("https://www.chemistwarehouse.com.au/buy/59657/Nature-39-s-Way-Kids-Smart-Omega-3-Fish-Oil-Trio-180-Capsules"," Nature's Way Kids Smart Omega 3 Fish Oil Trio 180 Capsules")</f>
        <v xml:space="preserve"> Nature's Way Kids Smart Omega 3 Fish Oil Trio 180 Capsules</v>
      </c>
      <c r="C11323" t="s">
        <v>469</v>
      </c>
      <c r="D11323" t="s">
        <v>425</v>
      </c>
    </row>
    <row r="11324" spans="2:4" x14ac:dyDescent="0.25">
      <c r="B11324" t="str">
        <f>HYPERLINK("https://www.chemistwarehouse.com.au/buy/63199/Trilogy-Rosehip-Oil-45ml"," Trilogy Rosehip Oil 45ml")</f>
        <v xml:space="preserve"> Trilogy Rosehip Oil 45ml</v>
      </c>
      <c r="C11324" t="s">
        <v>266</v>
      </c>
      <c r="D11324" t="s">
        <v>159</v>
      </c>
    </row>
    <row r="11325" spans="2:4" x14ac:dyDescent="0.25">
      <c r="B11325" t="str">
        <f>HYPERLINK("https://www.chemistwarehouse.com.au/buy/66097/Trilogy-Rosehip-Oil-Antioxidant-30ml"," Trilogy Rosehip Oil Antioxidant + 30ml")</f>
        <v xml:space="preserve"> Trilogy Rosehip Oil Antioxidant + 30ml</v>
      </c>
      <c r="C11325" t="s">
        <v>313</v>
      </c>
      <c r="D11325" t="s">
        <v>437</v>
      </c>
    </row>
    <row r="11326" spans="2:4" x14ac:dyDescent="0.25">
      <c r="B11326" t="str">
        <f>HYPERLINK("https://www.chemistwarehouse.com.au/buy/57322/Healthy-Care-Olive-Leaf-Extract-3000mg-100-Capsules"," Healthy Care Olive Leaf Extract 3000mg 100 Capsules")</f>
        <v xml:space="preserve"> Healthy Care Olive Leaf Extract 3000mg 100 Capsules</v>
      </c>
      <c r="C11326" t="s">
        <v>63</v>
      </c>
      <c r="D11326">
        <v>0</v>
      </c>
    </row>
    <row r="11327" spans="2:4" x14ac:dyDescent="0.25">
      <c r="B11327" t="str">
        <f>HYPERLINK("https://www.chemistwarehouse.com.au/buy/57980/Blackmores-Cholesterol-Health-60-Capsules"," Blackmores Cholesterol Health 60 Capsules")</f>
        <v xml:space="preserve"> Blackmores Cholesterol Health 60 Capsules</v>
      </c>
      <c r="C11327" t="s">
        <v>123</v>
      </c>
      <c r="D11327" t="s">
        <v>46</v>
      </c>
    </row>
    <row r="11328" spans="2:4" x14ac:dyDescent="0.25">
      <c r="B11328" t="str">
        <f>HYPERLINK("https://www.chemistwarehouse.com.au/buy/57581/Blackmores-Super-Strength-Horseradish-Garlic-C-90-Tablets"," Blackmores Super Strength Horseradish Garlic + C 90 Tablets")</f>
        <v xml:space="preserve"> Blackmores Super Strength Horseradish Garlic + C 90 Tablets</v>
      </c>
      <c r="C11328" t="s">
        <v>173</v>
      </c>
      <c r="D11328" t="s">
        <v>232</v>
      </c>
    </row>
    <row r="11329" spans="1:4" x14ac:dyDescent="0.25">
      <c r="B11329" t="str">
        <f>HYPERLINK("https://www.chemistwarehouse.com.au/buy/64313/Goat-Moisturising-Body-Wash-500ml"," Goat Moisturising Body Wash 500ml")</f>
        <v xml:space="preserve"> Goat Moisturising Body Wash 500ml</v>
      </c>
      <c r="C11329" t="s">
        <v>103</v>
      </c>
      <c r="D11329">
        <v>0</v>
      </c>
    </row>
    <row r="11330" spans="1:4" x14ac:dyDescent="0.25">
      <c r="B11330" t="str">
        <f>HYPERLINK("https://www.chemistwarehouse.com.au/buy/65051/Bioglan-Gummies-Omega-3-Fish-Oil-60-Gummies"," Bioglan Gummies Omega 3 Fish Oil 60 Gummies")</f>
        <v xml:space="preserve"> Bioglan Gummies Omega 3 Fish Oil 60 Gummies</v>
      </c>
      <c r="C11330" t="s">
        <v>80</v>
      </c>
      <c r="D11330" t="s">
        <v>397</v>
      </c>
    </row>
    <row r="11331" spans="1:4" x14ac:dyDescent="0.25">
      <c r="B11331" t="str">
        <f>HYPERLINK("https://www.chemistwarehouse.com.au/buy/64186/Comvita-UMF-15-Manuka-Honey-250g-Not-Available-in-WA"," Comvita UMF 15+ Manuka Honey 250g (Not Available in WA)")</f>
        <v xml:space="preserve"> Comvita UMF 15+ Manuka Honey 250g (Not Available in WA)</v>
      </c>
      <c r="C11331" t="s">
        <v>564</v>
      </c>
      <c r="D11331" t="s">
        <v>373</v>
      </c>
    </row>
    <row r="11332" spans="1:4" x14ac:dyDescent="0.25">
      <c r="B11332" t="str">
        <f>HYPERLINK("https://www.chemistwarehouse.com.au/buy/64119/Comvita-Active-10-Manuka-Honey-500g-Not-Available-in-WA"," Comvita Active 10+ Manuka Honey 500g (Not Available in WA)")</f>
        <v xml:space="preserve"> Comvita Active 10+ Manuka Honey 500g (Not Available in WA)</v>
      </c>
      <c r="C11332" t="s">
        <v>564</v>
      </c>
      <c r="D11332" t="s">
        <v>373</v>
      </c>
    </row>
    <row r="11333" spans="1:4" x14ac:dyDescent="0.25">
      <c r="A11333" t="s">
        <v>2305</v>
      </c>
    </row>
    <row r="11334" spans="1:4" x14ac:dyDescent="0.25">
      <c r="B11334" t="str">
        <f>HYPERLINK("https://www.chemistwarehouse.com.au/buy/10006/Lyclear-Scabies-Cream-30g"," Lyclear Scabies Cream 30g")</f>
        <v xml:space="preserve"> Lyclear Scabies Cream 30g</v>
      </c>
      <c r="C11334" t="s">
        <v>443</v>
      </c>
      <c r="D11334" t="s">
        <v>312</v>
      </c>
    </row>
    <row r="11335" spans="1:4" x14ac:dyDescent="0.25">
      <c r="B11335" t="str">
        <f>HYPERLINK("https://www.chemistwarehouse.com.au/buy/62775/Quellada-Scabies-Treatment-Lotion-100ml"," Quellada Scabies Treatment Lotion 100ml")</f>
        <v xml:space="preserve"> Quellada Scabies Treatment Lotion 100ml</v>
      </c>
      <c r="C11335" t="s">
        <v>10</v>
      </c>
      <c r="D11335" t="s">
        <v>2306</v>
      </c>
    </row>
    <row r="11336" spans="1:4" x14ac:dyDescent="0.25">
      <c r="A11336" t="s">
        <v>2307</v>
      </c>
    </row>
    <row r="11337" spans="1:4" x14ac:dyDescent="0.25">
      <c r="B11337" t="str">
        <f>HYPERLINK("https://www.chemistwarehouse.com.au/buy/51305/Bonjela-Mouth-Ulcer-Gel-15g"," Bonjela Mouth Ulcer Gel 15g")</f>
        <v xml:space="preserve"> Bonjela Mouth Ulcer Gel 15g</v>
      </c>
      <c r="C11337" t="s">
        <v>103</v>
      </c>
      <c r="D11337" t="s">
        <v>371</v>
      </c>
    </row>
    <row r="11338" spans="1:4" x14ac:dyDescent="0.25">
      <c r="B11338" t="str">
        <f>HYPERLINK("https://www.chemistwarehouse.com.au/buy/64805/Mouth-Ulcer-212-Capsules-4-Pack"," Mouth Ulcer 212 Capsules 4 Pack")</f>
        <v xml:space="preserve"> Mouth Ulcer 212 Capsules 4 Pack</v>
      </c>
      <c r="C11338" t="s">
        <v>554</v>
      </c>
      <c r="D11338" t="s">
        <v>611</v>
      </c>
    </row>
    <row r="11339" spans="1:4" x14ac:dyDescent="0.25">
      <c r="B11339" t="str">
        <f>HYPERLINK("https://www.chemistwarehouse.com.au/buy/5737/Kenalog-in-Orabase-for-Mouth-Ulcers-5g"," Kenalog in Orabase for Mouth Ulcers 5g")</f>
        <v xml:space="preserve"> Kenalog in Orabase for Mouth Ulcers 5g</v>
      </c>
      <c r="C11339" t="s">
        <v>212</v>
      </c>
      <c r="D11339">
        <v>0</v>
      </c>
    </row>
    <row r="11340" spans="1:4" x14ac:dyDescent="0.25">
      <c r="A11340" t="s">
        <v>2308</v>
      </c>
    </row>
    <row r="11341" spans="1:4" x14ac:dyDescent="0.25">
      <c r="B11341" t="str">
        <f>HYPERLINK("https://www.chemistwarehouse.com.au/buy/72969/Rexona-for-Women-Clinical-Protection-Antiperspirant-Deodorant-Shower-Clean-45ml"," Rexona for Women Clinical Protection Antiperspirant Deodorant Shower Clean 45ml")</f>
        <v xml:space="preserve"> Rexona for Women Clinical Protection Antiperspirant Deodorant Shower Clean 45ml</v>
      </c>
      <c r="C11341" t="s">
        <v>45</v>
      </c>
      <c r="D11341" t="s">
        <v>720</v>
      </c>
    </row>
    <row r="11342" spans="1:4" x14ac:dyDescent="0.25">
      <c r="B11342" t="str">
        <f>HYPERLINK("https://www.chemistwarehouse.com.au/buy/72965/Rexona-for-Men-Clinical-Protection-Antiperspirant-Deodorant-Sport-45ml"," Rexona for Men Clinical Protection Antiperspirant Deodorant Sport 45ml ")</f>
        <v xml:space="preserve"> Rexona for Men Clinical Protection Antiperspirant Deodorant Sport 45ml </v>
      </c>
      <c r="C11342" t="s">
        <v>45</v>
      </c>
      <c r="D11342" t="s">
        <v>720</v>
      </c>
    </row>
    <row r="11343" spans="1:4" x14ac:dyDescent="0.25">
      <c r="B11343" t="str">
        <f>HYPERLINK("https://www.chemistwarehouse.com.au/buy/72968/Rexona-for-Women-Clinical-Protection-Antiperspirant-Deodorant-Gentle-Dry-45ml"," Rexona for Women Clinical Protection Antiperspirant Deodorant Gentle Dry 45ml")</f>
        <v xml:space="preserve"> Rexona for Women Clinical Protection Antiperspirant Deodorant Gentle Dry 45ml</v>
      </c>
      <c r="C11343" t="s">
        <v>45</v>
      </c>
      <c r="D11343" t="s">
        <v>720</v>
      </c>
    </row>
    <row r="11344" spans="1:4" x14ac:dyDescent="0.25">
      <c r="B11344" t="str">
        <f>HYPERLINK("https://www.chemistwarehouse.com.au/buy/59779/Rexona-for-Men-Clinical-Protection-Antiperspirant-Deodorant-Cream-45ml"," Rexona for Men Clinical Protection Antiperspirant Deodorant Cream 45ml")</f>
        <v xml:space="preserve"> Rexona for Men Clinical Protection Antiperspirant Deodorant Cream 45ml</v>
      </c>
      <c r="C11344" t="s">
        <v>45</v>
      </c>
      <c r="D11344" t="s">
        <v>720</v>
      </c>
    </row>
    <row r="11345" spans="1:4" x14ac:dyDescent="0.25">
      <c r="B11345" t="str">
        <f>HYPERLINK("https://www.chemistwarehouse.com.au/buy/72966/Rexona-for-Women-Clinical-Protection-Antiperspirant-Deodorant-Summer-Strength-45ml"," Rexona for Women Clinical Protection Antiperspirant Deodorant Summer Strength 45ml")</f>
        <v xml:space="preserve"> Rexona for Women Clinical Protection Antiperspirant Deodorant Summer Strength 45ml</v>
      </c>
      <c r="C11345" t="s">
        <v>45</v>
      </c>
      <c r="D11345" t="s">
        <v>720</v>
      </c>
    </row>
    <row r="11346" spans="1:4" x14ac:dyDescent="0.25">
      <c r="A11346" t="s">
        <v>2309</v>
      </c>
    </row>
    <row r="11347" spans="1:4" x14ac:dyDescent="0.25">
      <c r="B11347" t="str">
        <f>HYPERLINK("https://www.chemistwarehouse.com.au/buy/44904/Remifemin-Menopause-Symptom-Relief-200-Tablets"," Remifemin Menopause Symptom Relief 200 Tablets")</f>
        <v xml:space="preserve"> Remifemin Menopause Symptom Relief 200 Tablets</v>
      </c>
      <c r="C11347" t="s">
        <v>655</v>
      </c>
      <c r="D11347" t="s">
        <v>402</v>
      </c>
    </row>
    <row r="11348" spans="1:4" x14ac:dyDescent="0.25">
      <c r="B11348" t="str">
        <f>HYPERLINK("https://www.chemistwarehouse.com.au/buy/37065/Remifemin-Menopause-Symptom-Relief-100-Tablets"," Remifemin Menopause Symptom Relief 100 Tablets")</f>
        <v xml:space="preserve"> Remifemin Menopause Symptom Relief 100 Tablets</v>
      </c>
      <c r="C11348" t="s">
        <v>153</v>
      </c>
      <c r="D11348" t="s">
        <v>164</v>
      </c>
    </row>
    <row r="11349" spans="1:4" x14ac:dyDescent="0.25">
      <c r="A11349" t="s">
        <v>2310</v>
      </c>
    </row>
    <row r="11350" spans="1:4" x14ac:dyDescent="0.25">
      <c r="B11350" t="str">
        <f>HYPERLINK("https://www.chemistwarehouse.com.au/buy/58283/Nad-39-s-For-Men-Hair-Removal-Cream-200ml"," Nad's For Men Hair Removal Cream 200ml")</f>
        <v xml:space="preserve"> Nad's For Men Hair Removal Cream 200ml</v>
      </c>
      <c r="C11350" t="s">
        <v>103</v>
      </c>
      <c r="D11350" t="s">
        <v>397</v>
      </c>
    </row>
    <row r="11351" spans="1:4" x14ac:dyDescent="0.25">
      <c r="B11351" t="str">
        <f>HYPERLINK("https://www.chemistwarehouse.com.au/buy/8277/Veet-Warm-Wax-375g"," Veet Warm Wax 375g")</f>
        <v xml:space="preserve"> Veet Warm Wax 375g</v>
      </c>
      <c r="C11351" t="s">
        <v>290</v>
      </c>
      <c r="D11351" t="s">
        <v>318</v>
      </c>
    </row>
    <row r="11352" spans="1:4" x14ac:dyDescent="0.25">
      <c r="A11352" t="s">
        <v>2311</v>
      </c>
    </row>
    <row r="11353" spans="1:4" x14ac:dyDescent="0.25">
      <c r="B11353" t="str">
        <f>HYPERLINK("https://www.chemistwarehouse.com.au/buy/53030/Blackmores-Evening-Primrose-Oil-190-Capsules"," Blackmores Evening Primrose Oil 190 Capsules")</f>
        <v xml:space="preserve"> Blackmores Evening Primrose Oil 190 Capsules</v>
      </c>
      <c r="C11353" t="s">
        <v>8</v>
      </c>
      <c r="D11353" t="s">
        <v>309</v>
      </c>
    </row>
    <row r="11354" spans="1:4" x14ac:dyDescent="0.25">
      <c r="B11354" t="str">
        <f>HYPERLINK("https://www.chemistwarehouse.com.au/buy/58044/Healthy-Care-Super-Bio-Magnesium-100-Capsules"," Healthy Care Super Bio Magnesium 100 Capsules")</f>
        <v xml:space="preserve"> Healthy Care Super Bio Magnesium 100 Capsules</v>
      </c>
      <c r="C11354" t="s">
        <v>80</v>
      </c>
      <c r="D11354">
        <v>0</v>
      </c>
    </row>
    <row r="11355" spans="1:4" x14ac:dyDescent="0.25">
      <c r="B11355" t="str">
        <f>HYPERLINK("https://www.chemistwarehouse.com.au/buy/54496/Healthy-Care-Super-Calcium-Vitamin-D-400-Tablets"," Healthy Care Super Calcium + Vitamin D 400 Tablets")</f>
        <v xml:space="preserve"> Healthy Care Super Calcium + Vitamin D 400 Tablets</v>
      </c>
      <c r="C11355" t="s">
        <v>279</v>
      </c>
      <c r="D11355">
        <v>0</v>
      </c>
    </row>
    <row r="11356" spans="1:4" x14ac:dyDescent="0.25">
      <c r="B11356" t="str">
        <f>HYPERLINK("https://www.chemistwarehouse.com.au/buy/57024/Harmony-Menopause-120-Tablets"," Harmony Menopause 120 Tablets")</f>
        <v xml:space="preserve"> Harmony Menopause 120 Tablets</v>
      </c>
      <c r="C11356" t="s">
        <v>273</v>
      </c>
      <c r="D11356" t="s">
        <v>435</v>
      </c>
    </row>
    <row r="11357" spans="1:4" x14ac:dyDescent="0.25">
      <c r="B11357" t="str">
        <f>HYPERLINK("https://www.chemistwarehouse.com.au/buy/63339/Thompson-39-s-One-A-Day-Vitex-1000mg-60-Capsules"," Thompson's One-A-Day Vitex 1000mg 60 Capsules")</f>
        <v xml:space="preserve"> Thompson's One-A-Day Vitex 1000mg 60 Capsules</v>
      </c>
      <c r="C11357" t="s">
        <v>45</v>
      </c>
      <c r="D11357" t="s">
        <v>341</v>
      </c>
    </row>
    <row r="11358" spans="1:4" x14ac:dyDescent="0.25">
      <c r="B11358" t="str">
        <f>HYPERLINK("https://www.chemistwarehouse.com.au/buy/50345/Voltaren-Rapid-12-5mg-Tablets-20"," Voltaren Rapid 12.5mg Tablets 20")</f>
        <v xml:space="preserve"> Voltaren Rapid 12.5mg Tablets 20</v>
      </c>
      <c r="C11358" t="s">
        <v>32</v>
      </c>
      <c r="D11358">
        <v>0</v>
      </c>
    </row>
    <row r="11359" spans="1:4" x14ac:dyDescent="0.25">
      <c r="B11359" t="str">
        <f>HYPERLINK("https://www.chemistwarehouse.com.au/buy/31767/Naprogesic-275mg-Tablets-24"," Naprogesic 275mg Tablets 24")</f>
        <v xml:space="preserve"> Naprogesic 275mg Tablets 24</v>
      </c>
      <c r="C11359" t="s">
        <v>98</v>
      </c>
      <c r="D11359">
        <v>0</v>
      </c>
    </row>
    <row r="11360" spans="1:4" x14ac:dyDescent="0.25">
      <c r="B11360" t="str">
        <f>HYPERLINK("https://www.chemistwarehouse.com.au/buy/60194/Healthy-Care-Ultimate-Omega-3-6-9-200-Capsules"," Healthy Care Ultimate Omega 3-6-9 200 Capsules")</f>
        <v xml:space="preserve"> Healthy Care Ultimate Omega 3-6-9 200 Capsules</v>
      </c>
      <c r="C11360" t="s">
        <v>1</v>
      </c>
      <c r="D11360">
        <v>0</v>
      </c>
    </row>
    <row r="11361" spans="1:4" x14ac:dyDescent="0.25">
      <c r="B11361" t="str">
        <f>HYPERLINK("https://www.chemistwarehouse.com.au/buy/44786/Blackmores-Vitex-Angus-Castus-40-Tablets"," Blackmores Vitex Angus Castus 40 Tablets")</f>
        <v xml:space="preserve"> Blackmores Vitex Angus Castus 40 Tablets</v>
      </c>
      <c r="C11361" t="s">
        <v>58</v>
      </c>
      <c r="D11361" t="s">
        <v>104</v>
      </c>
    </row>
    <row r="11362" spans="1:4" x14ac:dyDescent="0.25">
      <c r="B11362" t="str">
        <f>HYPERLINK("https://www.chemistwarehouse.com.au/buy/52039/Swisse-Teenage-Ultivite-Women-39-s-60-Tablets"," Swisse Teenage Ultivite Women's 60 Tablets")</f>
        <v xml:space="preserve"> Swisse Teenage Ultivite Women's 60 Tablets</v>
      </c>
      <c r="C11362" t="s">
        <v>298</v>
      </c>
      <c r="D11362" t="s">
        <v>429</v>
      </c>
    </row>
    <row r="11363" spans="1:4" x14ac:dyDescent="0.25">
      <c r="B11363" t="str">
        <f>HYPERLINK("https://www.chemistwarehouse.com.au/buy/48035/Blackmores-PMS-Support-Vitamin-B6-240mg-42-Tablets"," Blackmores PMS Support Vitamin B6 240mg 42 Tablets")</f>
        <v xml:space="preserve"> Blackmores PMS Support Vitamin B6 240mg 42 Tablets</v>
      </c>
      <c r="C11363" t="s">
        <v>98</v>
      </c>
      <c r="D11363" t="s">
        <v>314</v>
      </c>
    </row>
    <row r="11364" spans="1:4" x14ac:dyDescent="0.25">
      <c r="B11364" t="str">
        <f>HYPERLINK("https://www.chemistwarehouse.com.au/buy/6460/Naprogesic-275mg-Tablets-12"," Naprogesic 275mg Tablets 12")</f>
        <v xml:space="preserve"> Naprogesic 275mg Tablets 12</v>
      </c>
      <c r="C11364" t="s">
        <v>610</v>
      </c>
      <c r="D11364">
        <v>0</v>
      </c>
    </row>
    <row r="11365" spans="1:4" x14ac:dyDescent="0.25">
      <c r="B11365" t="str">
        <f>HYPERLINK("https://www.chemistwarehouse.com.au/buy/31753/Meno-Eze-Forte-90-Tablets"," Meno Eze Forte 90 Tablets")</f>
        <v xml:space="preserve"> Meno Eze Forte 90 Tablets</v>
      </c>
      <c r="C11365" t="s">
        <v>472</v>
      </c>
      <c r="D11365" t="s">
        <v>227</v>
      </c>
    </row>
    <row r="11366" spans="1:4" x14ac:dyDescent="0.25">
      <c r="B11366" t="str">
        <f>HYPERLINK("https://www.chemistwarehouse.com.au/buy/31754/Meno-Eze-Forte-30-Tablets"," Meno Eze Forte 30 Tablets")</f>
        <v xml:space="preserve"> Meno Eze Forte 30 Tablets</v>
      </c>
      <c r="C11366" t="s">
        <v>10</v>
      </c>
      <c r="D11366" t="s">
        <v>712</v>
      </c>
    </row>
    <row r="11367" spans="1:4" x14ac:dyDescent="0.25">
      <c r="B11367" t="str">
        <f>HYPERLINK("https://www.chemistwarehouse.com.au/buy/63343/Thompson-39-s-One-A-Day-Hawthorn-2000mg-60-Capsules"," Thompson's One-A-Day Hawthorn 2000mg 60 Capsules")</f>
        <v xml:space="preserve"> Thompson's One-A-Day Hawthorn 2000mg 60 Capsules</v>
      </c>
      <c r="C11367" t="s">
        <v>667</v>
      </c>
      <c r="D11367" t="s">
        <v>159</v>
      </c>
    </row>
    <row r="11368" spans="1:4" x14ac:dyDescent="0.25">
      <c r="A11368" t="s">
        <v>2312</v>
      </c>
    </row>
    <row r="11369" spans="1:4" x14ac:dyDescent="0.25">
      <c r="A11369" t="s">
        <v>1341</v>
      </c>
    </row>
    <row r="11370" spans="1:4" x14ac:dyDescent="0.25">
      <c r="B11370" t="str">
        <f>HYPERLINK("https://www.chemistwarehouse.com.au/buy/6562/Neutrogena-T-Gel-Shampoo-200mL"," Neutrogena T-Gel Shampoo 200mL")</f>
        <v xml:space="preserve"> Neutrogena T-Gel Shampoo 200mL</v>
      </c>
      <c r="C11370" t="s">
        <v>98</v>
      </c>
      <c r="D11370" t="s">
        <v>1342</v>
      </c>
    </row>
    <row r="11371" spans="1:4" x14ac:dyDescent="0.25">
      <c r="B11371" t="str">
        <f>HYPERLINK("https://www.chemistwarehouse.com.au/buy/20425/Neutrogena-T-Gel-Conditioner-130mL"," Neutrogena T-Gel Conditioner 130mL")</f>
        <v xml:space="preserve"> Neutrogena T-Gel Conditioner 130mL</v>
      </c>
      <c r="C11371" t="s">
        <v>92</v>
      </c>
      <c r="D11371" t="s">
        <v>611</v>
      </c>
    </row>
    <row r="11372" spans="1:4" x14ac:dyDescent="0.25">
      <c r="A11372" t="s">
        <v>2313</v>
      </c>
    </row>
    <row r="11373" spans="1:4" x14ac:dyDescent="0.25">
      <c r="A11373" t="s">
        <v>2314</v>
      </c>
    </row>
    <row r="11374" spans="1:4" x14ac:dyDescent="0.25">
      <c r="B11374" t="str">
        <f>HYPERLINK("https://www.chemistwarehouse.com.au/buy/67492/Swisse-High-Strength-Chlorophyll-1000mg-200-Tablets"," Swisse High Strength Chlorophyll+ 1000mg 200 Tablets")</f>
        <v xml:space="preserve"> Swisse High Strength Chlorophyll+ 1000mg 200 Tablets</v>
      </c>
      <c r="C11374" t="s">
        <v>279</v>
      </c>
      <c r="D11374" t="s">
        <v>11</v>
      </c>
    </row>
    <row r="11375" spans="1:4" x14ac:dyDescent="0.25">
      <c r="B11375" t="str">
        <f>HYPERLINK("https://www.chemistwarehouse.com.au/buy/67493/Swisse-Chlorophyll-Mixed-Berry-500ml"," Swisse Chlorophyll Mixed Berry 500ml")</f>
        <v xml:space="preserve"> Swisse Chlorophyll Mixed Berry 500ml</v>
      </c>
      <c r="C11375" t="s">
        <v>58</v>
      </c>
      <c r="D11375" t="s">
        <v>283</v>
      </c>
    </row>
    <row r="11376" spans="1:4" x14ac:dyDescent="0.25">
      <c r="B11376" t="str">
        <f>HYPERLINK("https://www.chemistwarehouse.com.au/buy/58504/Swisse-Chlorophyll-Spearmint-500ml"," Swisse Chlorophyll Spearmint 500ml")</f>
        <v xml:space="preserve"> Swisse Chlorophyll Spearmint 500ml</v>
      </c>
      <c r="C11376" t="s">
        <v>58</v>
      </c>
      <c r="D11376" t="s">
        <v>283</v>
      </c>
    </row>
    <row r="11377" spans="1:4" x14ac:dyDescent="0.25">
      <c r="B11377" t="str">
        <f>HYPERLINK("https://www.chemistwarehouse.com.au/buy/62949/Healthy-Care-Liquid-Chlorophyll-Detox-Drink-Spearmint-500mL"," Healthy Care Liquid Chlorophyll Detox Drink Spearmint 500mL")</f>
        <v xml:space="preserve"> Healthy Care Liquid Chlorophyll Detox Drink Spearmint 500mL</v>
      </c>
      <c r="C11377" t="s">
        <v>237</v>
      </c>
      <c r="D11377">
        <v>0</v>
      </c>
    </row>
    <row r="11378" spans="1:4" x14ac:dyDescent="0.25">
      <c r="B11378" t="str">
        <f>HYPERLINK("https://www.chemistwarehouse.com.au/buy/63448/Swisse-Chlorophyll-100-Tablets"," Swisse Chlorophyll+ 100 Tablets ")</f>
        <v xml:space="preserve"> Swisse Chlorophyll+ 100 Tablets </v>
      </c>
      <c r="C11378" t="s">
        <v>63</v>
      </c>
      <c r="D11378" t="s">
        <v>423</v>
      </c>
    </row>
    <row r="11379" spans="1:4" x14ac:dyDescent="0.25">
      <c r="A11379" t="s">
        <v>2315</v>
      </c>
    </row>
    <row r="11380" spans="1:4" x14ac:dyDescent="0.25">
      <c r="B11380" t="str">
        <f>HYPERLINK("https://www.chemistwarehouse.com.au/buy/66545/Healthy-Care-Green-Coffee-Bean-60-Capsules"," Healthy Care Green Coffee Bean 60 Capsules")</f>
        <v xml:space="preserve"> Healthy Care Green Coffee Bean 60 Capsules</v>
      </c>
      <c r="C11380" t="s">
        <v>187</v>
      </c>
      <c r="D11380">
        <v>0</v>
      </c>
    </row>
    <row r="11381" spans="1:4" x14ac:dyDescent="0.25">
      <c r="A11381" t="s">
        <v>2316</v>
      </c>
    </row>
    <row r="11382" spans="1:4" x14ac:dyDescent="0.25">
      <c r="B11382" t="str">
        <f>HYPERLINK("https://www.chemistwarehouse.com.au/buy/57024/Harmony-Menopause-120-Tablets"," Harmony Menopause 120 Tablets")</f>
        <v xml:space="preserve"> Harmony Menopause 120 Tablets</v>
      </c>
      <c r="C11382" t="s">
        <v>273</v>
      </c>
      <c r="D11382" t="s">
        <v>435</v>
      </c>
    </row>
    <row r="11383" spans="1:4" x14ac:dyDescent="0.25">
      <c r="B11383" t="str">
        <f>HYPERLINK("https://www.chemistwarehouse.com.au/buy/70153/Swisse-Ultiboost-Menopause-Balance-60-Tablets"," Swisse Ultiboost Menopause Balance 60 Tablets")</f>
        <v xml:space="preserve"> Swisse Ultiboost Menopause Balance 60 Tablets</v>
      </c>
      <c r="C11383" t="s">
        <v>279</v>
      </c>
      <c r="D11383" t="s">
        <v>280</v>
      </c>
    </row>
    <row r="11384" spans="1:4" x14ac:dyDescent="0.25">
      <c r="B11384" t="str">
        <f>HYPERLINK("https://www.chemistwarehouse.com.au/buy/44904/Remifemin-Menopause-Symptom-Relief-200-Tablets"," Remifemin Menopause Symptom Relief 200 Tablets")</f>
        <v xml:space="preserve"> Remifemin Menopause Symptom Relief 200 Tablets</v>
      </c>
      <c r="C11384" t="s">
        <v>655</v>
      </c>
      <c r="D11384" t="s">
        <v>402</v>
      </c>
    </row>
    <row r="11385" spans="1:4" x14ac:dyDescent="0.25">
      <c r="B11385" t="str">
        <f>HYPERLINK("https://www.chemistwarehouse.com.au/buy/31005/Promensil-Menopause-90-Tablets"," Promensil Menopause 90 Tablets")</f>
        <v xml:space="preserve"> Promensil Menopause 90 Tablets</v>
      </c>
      <c r="C11385" t="s">
        <v>711</v>
      </c>
      <c r="D11385" t="s">
        <v>369</v>
      </c>
    </row>
    <row r="11386" spans="1:4" x14ac:dyDescent="0.25">
      <c r="B11386" t="str">
        <f>HYPERLINK("https://www.chemistwarehouse.com.au/buy/31753/Meno-Eze-Forte-90-Tablets"," Meno Eze Forte 90 Tablets")</f>
        <v xml:space="preserve"> Meno Eze Forte 90 Tablets</v>
      </c>
      <c r="C11386" t="s">
        <v>472</v>
      </c>
      <c r="D11386" t="s">
        <v>227</v>
      </c>
    </row>
    <row r="11387" spans="1:4" x14ac:dyDescent="0.25">
      <c r="B11387" t="str">
        <f>HYPERLINK("https://www.chemistwarehouse.com.au/buy/31754/Meno-Eze-Forte-30-Tablets"," Meno Eze Forte 30 Tablets")</f>
        <v xml:space="preserve"> Meno Eze Forte 30 Tablets</v>
      </c>
      <c r="C11387" t="s">
        <v>10</v>
      </c>
      <c r="D11387" t="s">
        <v>712</v>
      </c>
    </row>
    <row r="11388" spans="1:4" x14ac:dyDescent="0.25">
      <c r="B11388" t="str">
        <f>HYPERLINK("https://www.chemistwarehouse.com.au/buy/37065/Remifemin-Menopause-Symptom-Relief-100-Tablets"," Remifemin Menopause Symptom Relief 100 Tablets")</f>
        <v xml:space="preserve"> Remifemin Menopause Symptom Relief 100 Tablets</v>
      </c>
      <c r="C11388" t="s">
        <v>153</v>
      </c>
      <c r="D11388" t="s">
        <v>164</v>
      </c>
    </row>
    <row r="11389" spans="1:4" x14ac:dyDescent="0.25">
      <c r="B11389" t="str">
        <f>HYPERLINK("https://www.chemistwarehouse.com.au/buy/56461/Promensil-Menopause-Double-Strength-30-Tablets"," Promensil Menopause Double Strength 30 Tablets")</f>
        <v xml:space="preserve"> Promensil Menopause Double Strength 30 Tablets</v>
      </c>
      <c r="C11389" t="s">
        <v>113</v>
      </c>
      <c r="D11389" t="s">
        <v>341</v>
      </c>
    </row>
    <row r="11390" spans="1:4" x14ac:dyDescent="0.25">
      <c r="B11390" t="str">
        <f>HYPERLINK("https://www.chemistwarehouse.com.au/buy/68671/Promensil-Menopause-Double-Strength-60-Tablets"," Promensil Menopause Double Strength 60 Tablets")</f>
        <v xml:space="preserve"> Promensil Menopause Double Strength 60 Tablets</v>
      </c>
      <c r="C11390" t="s">
        <v>614</v>
      </c>
      <c r="D11390" t="s">
        <v>347</v>
      </c>
    </row>
    <row r="11391" spans="1:4" x14ac:dyDescent="0.25">
      <c r="B11391" t="str">
        <f>HYPERLINK("https://www.chemistwarehouse.com.au/buy/31004/Promensil-Menopause-30-Tablets"," Promensil Menopause 30 Tablets")</f>
        <v xml:space="preserve"> Promensil Menopause 30 Tablets</v>
      </c>
      <c r="C11391" t="s">
        <v>10</v>
      </c>
      <c r="D11391" t="s">
        <v>155</v>
      </c>
    </row>
    <row r="11392" spans="1:4" x14ac:dyDescent="0.25">
      <c r="A11392" t="s">
        <v>2317</v>
      </c>
    </row>
    <row r="11393" spans="2:4" x14ac:dyDescent="0.25">
      <c r="B11393" t="str">
        <f>HYPERLINK("https://www.chemistwarehouse.com.au/buy/64807/Ostelin-Vitamin-D-Kids-Liquid-20ml"," Ostelin Vitamin D Kids Liquid 20ml")</f>
        <v xml:space="preserve"> Ostelin Vitamin D Kids Liquid 20ml</v>
      </c>
      <c r="C11393" t="s">
        <v>116</v>
      </c>
      <c r="D11393" t="s">
        <v>46</v>
      </c>
    </row>
    <row r="11394" spans="2:4" x14ac:dyDescent="0.25">
      <c r="B11394" t="str">
        <f>HYPERLINK("https://www.chemistwarehouse.com.au/buy/67901/Nature-39-s-Way-Kids-Smart-Vita-Gummies-Immunity-60-Pastilles"," Nature's Way Kids Smart Vita Gummies Immunity 60 Pastilles")</f>
        <v xml:space="preserve"> Nature's Way Kids Smart Vita Gummies Immunity 60 Pastilles</v>
      </c>
      <c r="C11394" t="s">
        <v>32</v>
      </c>
      <c r="D11394" t="s">
        <v>349</v>
      </c>
    </row>
    <row r="11395" spans="2:4" x14ac:dyDescent="0.25">
      <c r="B11395" t="str">
        <f>HYPERLINK("https://www.chemistwarehouse.com.au/buy/67844/Cenovis-Kids-Vita-Tingles-Multivitamin-60-Tablets"," Cenovis Kids Vita Tingles Multivitamin 60 Tablets")</f>
        <v xml:space="preserve"> Cenovis Kids Vita Tingles Multivitamin 60 Tablets</v>
      </c>
      <c r="C11395" t="s">
        <v>41</v>
      </c>
      <c r="D11395" t="s">
        <v>42</v>
      </c>
    </row>
    <row r="11396" spans="2:4" x14ac:dyDescent="0.25">
      <c r="B11396" t="str">
        <f>HYPERLINK("https://www.chemistwarehouse.com.au/buy/64965/Nature-39-s-Way-Kids-Smart-Vita-Gummies-Calcium-60-Pastilles"," Nature's Way Kids Smart Vita Gummies Calcium 60 Pastilles")</f>
        <v xml:space="preserve"> Nature's Way Kids Smart Vita Gummies Calcium 60 Pastilles</v>
      </c>
      <c r="C11396" t="s">
        <v>32</v>
      </c>
      <c r="D11396" t="s">
        <v>349</v>
      </c>
    </row>
    <row r="11397" spans="2:4" x14ac:dyDescent="0.25">
      <c r="B11397" t="str">
        <f>HYPERLINK("https://www.chemistwarehouse.com.au/buy/62714/Nature-39-s-Way-Kids-Smart-Vita-Gummies-Multi-Vitamin-amp-Vegies-60-Gummies"," Nature's Way Kids Smart Vita Gummies Multi Vitamin &amp; Vegies 60 Gummies")</f>
        <v xml:space="preserve"> Nature's Way Kids Smart Vita Gummies Multi Vitamin &amp; Vegies 60 Gummies</v>
      </c>
      <c r="C11397" t="s">
        <v>32</v>
      </c>
      <c r="D11397" t="s">
        <v>349</v>
      </c>
    </row>
    <row r="11398" spans="2:4" x14ac:dyDescent="0.25">
      <c r="B11398" t="str">
        <f>HYPERLINK("https://www.chemistwarehouse.com.au/buy/62713/Nature-39-s-Way-Kids-Smart-Vita-Gummies-Vitamin-C-60-Gummies"," Nature's Way Kids Smart Vita Gummies Vitamin C 60 Gummies")</f>
        <v xml:space="preserve"> Nature's Way Kids Smart Vita Gummies Vitamin C 60 Gummies</v>
      </c>
      <c r="C11398" t="s">
        <v>32</v>
      </c>
      <c r="D11398" t="s">
        <v>349</v>
      </c>
    </row>
    <row r="11399" spans="2:4" x14ac:dyDescent="0.25">
      <c r="B11399" t="str">
        <f>HYPERLINK("https://www.chemistwarehouse.com.au/buy/62712/Nature-39-s-Way-Kids-Smart-Vita-Gummies-Omega-3-Fish-Oil-60"," Nature's Way Kids Smart Vita Gummies Omega 3 Fish Oil 60")</f>
        <v xml:space="preserve"> Nature's Way Kids Smart Vita Gummies Omega 3 Fish Oil 60</v>
      </c>
      <c r="C11399" t="s">
        <v>32</v>
      </c>
      <c r="D11399" t="s">
        <v>349</v>
      </c>
    </row>
    <row r="11400" spans="2:4" x14ac:dyDescent="0.25">
      <c r="B11400" t="str">
        <f>HYPERLINK("https://www.chemistwarehouse.com.au/buy/66553/Swisse-Children-39-s-Ultivite-120-Tablets"," Swisse Children's Ultivite 120 Tablets")</f>
        <v xml:space="preserve"> Swisse Children's Ultivite 120 Tablets</v>
      </c>
      <c r="C11400" t="s">
        <v>45</v>
      </c>
      <c r="D11400" t="s">
        <v>428</v>
      </c>
    </row>
    <row r="11401" spans="2:4" x14ac:dyDescent="0.25">
      <c r="B11401" t="str">
        <f>HYPERLINK("https://www.chemistwarehouse.com.au/buy/64966/Nature-39-s-Way-Kids-Smart-Vita-Gummies-Multi-Vitamin-for-Fussy-Eaters-60-Pastilles"," Nature's Way Kids Smart Vita Gummies Multi Vitamin for Fussy Eaters 60 Pastilles")</f>
        <v xml:space="preserve"> Nature's Way Kids Smart Vita Gummies Multi Vitamin for Fussy Eaters 60 Pastilles</v>
      </c>
      <c r="C11401" t="s">
        <v>32</v>
      </c>
      <c r="D11401" t="s">
        <v>349</v>
      </c>
    </row>
    <row r="11402" spans="2:4" x14ac:dyDescent="0.25">
      <c r="B11402" t="str">
        <f>HYPERLINK("https://www.chemistwarehouse.com.au/buy/52588/Nature-39-s-Way-Kids-Calcium-Strawberry-Milkshake-Burstlets-50"," Nature's Way Kids Calcium Strawberry Milkshake Burstlets 50")</f>
        <v xml:space="preserve"> Nature's Way Kids Calcium Strawberry Milkshake Burstlets 50</v>
      </c>
      <c r="C11402" t="s">
        <v>98</v>
      </c>
      <c r="D11402" t="s">
        <v>165</v>
      </c>
    </row>
    <row r="11403" spans="2:4" x14ac:dyDescent="0.25">
      <c r="B11403" t="str">
        <f>HYPERLINK("https://www.chemistwarehouse.com.au/buy/59657/Nature-39-s-Way-Kids-Smart-Omega-3-Fish-Oil-Trio-180-Capsules"," Nature's Way Kids Smart Omega 3 Fish Oil Trio 180 Capsules")</f>
        <v xml:space="preserve"> Nature's Way Kids Smart Omega 3 Fish Oil Trio 180 Capsules</v>
      </c>
      <c r="C11403" t="s">
        <v>469</v>
      </c>
      <c r="D11403" t="s">
        <v>425</v>
      </c>
    </row>
    <row r="11404" spans="2:4" x14ac:dyDescent="0.25">
      <c r="B11404" t="str">
        <f>HYPERLINK("https://www.chemistwarehouse.com.au/buy/64363/Ostevit-D-Children-39-s-Oral-Drops-15ml"," Ostevit-D Children's Oral Drops 15ml")</f>
        <v xml:space="preserve"> Ostevit-D Children's Oral Drops 15ml</v>
      </c>
      <c r="C11404" t="s">
        <v>240</v>
      </c>
      <c r="D11404" t="s">
        <v>329</v>
      </c>
    </row>
    <row r="11405" spans="2:4" x14ac:dyDescent="0.25">
      <c r="B11405" t="str">
        <f>HYPERLINK("https://www.chemistwarehouse.com.au/buy/66542/Nature-39-s-Way-Kids-Probiotic-Balls-50"," Nature's Way Kids Probiotic Balls 50")</f>
        <v xml:space="preserve"> Nature's Way Kids Probiotic Balls 50</v>
      </c>
      <c r="C11405" t="s">
        <v>202</v>
      </c>
      <c r="D11405" t="s">
        <v>150</v>
      </c>
    </row>
    <row r="11406" spans="2:4" x14ac:dyDescent="0.25">
      <c r="B11406" t="str">
        <f>HYPERLINK("https://www.chemistwarehouse.com.au/buy/40585/Centrum-Kids-Multi-Vitamin-60-Strawberry-Tablets"," Centrum Kids Multi Vitamin 60 Strawberry Tablets")</f>
        <v xml:space="preserve"> Centrum Kids Multi Vitamin 60 Strawberry Tablets</v>
      </c>
      <c r="C11406" t="s">
        <v>80</v>
      </c>
      <c r="D11406" t="s">
        <v>371</v>
      </c>
    </row>
    <row r="11407" spans="2:4" x14ac:dyDescent="0.25">
      <c r="B11407" t="str">
        <f>HYPERLINK("https://www.chemistwarehouse.com.au/buy/64643/Pentavite-Infant-Drops-30ml"," Pentavite Infant Drops 30ml")</f>
        <v xml:space="preserve"> Pentavite Infant Drops 30ml</v>
      </c>
      <c r="C11407" t="s">
        <v>551</v>
      </c>
      <c r="D11407" t="s">
        <v>177</v>
      </c>
    </row>
    <row r="11408" spans="2:4" x14ac:dyDescent="0.25">
      <c r="B11408" t="str">
        <f>HYPERLINK("https://www.chemistwarehouse.com.au/buy/64646/Pentavite-Children-39-s-Liquid-200ml"," Pentavite Children's Liquid 200ml")</f>
        <v xml:space="preserve"> Pentavite Children's Liquid 200ml</v>
      </c>
      <c r="C11408" t="s">
        <v>1</v>
      </c>
      <c r="D11408" t="s">
        <v>158</v>
      </c>
    </row>
    <row r="11409" spans="1:4" x14ac:dyDescent="0.25">
      <c r="B11409" t="str">
        <f>HYPERLINK("https://www.chemistwarehouse.com.au/buy/65702/Swisse-Ultiboost-Children-39-s-Smart-Fish-Oil-90-Capsules"," Swisse Ultiboost Children's Smart Fish Oil 90 Capsules")</f>
        <v xml:space="preserve"> Swisse Ultiboost Children's Smart Fish Oil 90 Capsules</v>
      </c>
      <c r="C11409" t="s">
        <v>212</v>
      </c>
      <c r="D11409" t="s">
        <v>332</v>
      </c>
    </row>
    <row r="11410" spans="1:4" x14ac:dyDescent="0.25">
      <c r="B11410" t="str">
        <f>HYPERLINK("https://www.chemistwarehouse.com.au/buy/60191/Blackmores-Kids-Immunities-60-Capsules"," Blackmores Kids Immunities 60 Capsules")</f>
        <v xml:space="preserve"> Blackmores Kids Immunities 60 Capsules</v>
      </c>
      <c r="C11410" t="s">
        <v>211</v>
      </c>
      <c r="D11410" t="s">
        <v>119</v>
      </c>
    </row>
    <row r="11411" spans="1:4" x14ac:dyDescent="0.25">
      <c r="B11411" t="str">
        <f>HYPERLINK("https://www.chemistwarehouse.com.au/buy/50970/Herron-Vita-Minis-Multi-Vitamin-amp-Mineral-Raspberry-100-Tablets"," Herron Vita Minis Multi Vitamin &amp; Mineral Raspberry 100 Tablets")</f>
        <v xml:space="preserve"> Herron Vita Minis Multi Vitamin &amp; Mineral Raspberry 100 Tablets</v>
      </c>
      <c r="C11411" t="s">
        <v>98</v>
      </c>
      <c r="D11411" t="s">
        <v>416</v>
      </c>
    </row>
    <row r="11412" spans="1:4" x14ac:dyDescent="0.25">
      <c r="B11412" t="str">
        <f>HYPERLINK("https://www.chemistwarehouse.com.au/buy/56197/Blackmores-Kids-Multi-60-Tablets"," Blackmores Kids Multi 60 Tablets")</f>
        <v xml:space="preserve"> Blackmores Kids Multi 60 Tablets</v>
      </c>
      <c r="C11412" t="s">
        <v>211</v>
      </c>
      <c r="D11412" t="s">
        <v>119</v>
      </c>
    </row>
    <row r="11413" spans="1:4" x14ac:dyDescent="0.25">
      <c r="B11413" t="str">
        <f>HYPERLINK("https://www.chemistwarehouse.com.au/buy/62967/Nature-39-s-Way-Kids-Smart-Complete-Multi-Vitamin-amp-Fish-Oil-100-Capsules"," Nature's Way Kids Smart Complete Multi Vitamin &amp; Fish Oil 100 Capsules")</f>
        <v xml:space="preserve"> Nature's Way Kids Smart Complete Multi Vitamin &amp; Fish Oil 100 Capsules</v>
      </c>
      <c r="C11413" t="s">
        <v>123</v>
      </c>
      <c r="D11413" t="s">
        <v>154</v>
      </c>
    </row>
    <row r="11414" spans="1:4" x14ac:dyDescent="0.25">
      <c r="B11414" t="str">
        <f>HYPERLINK("https://www.chemistwarehouse.com.au/buy/64124/Comvita-Olive-Leaf-Extract-Children-39-s-Mixed-Berry-200mL"," Comvita Olive Leaf Extract Children's Mixed Berry 200mL")</f>
        <v xml:space="preserve"> Comvita Olive Leaf Extract Children's Mixed Berry 200mL</v>
      </c>
      <c r="C11414" t="s">
        <v>279</v>
      </c>
      <c r="D11414" t="s">
        <v>234</v>
      </c>
    </row>
    <row r="11415" spans="1:4" x14ac:dyDescent="0.25">
      <c r="B11415" t="str">
        <f>HYPERLINK("https://www.chemistwarehouse.com.au/buy/64165/Ethical-Nutrients-Inner-Health-Plus-for-Kids-Powder-100g"," Ethical Nutrients Inner Health Plus for Kids Powder 100g ")</f>
        <v xml:space="preserve"> Ethical Nutrients Inner Health Plus for Kids Powder 100g </v>
      </c>
      <c r="C11415" t="s">
        <v>111</v>
      </c>
      <c r="D11415" t="s">
        <v>367</v>
      </c>
    </row>
    <row r="11416" spans="1:4" x14ac:dyDescent="0.25">
      <c r="B11416" t="str">
        <f>HYPERLINK("https://www.chemistwarehouse.com.au/buy/60196/Swisse-Children-39-s-Ultivite-60-Tablets"," Swisse Children's Ultivite 60 Tablets")</f>
        <v xml:space="preserve"> Swisse Children's Ultivite 60 Tablets</v>
      </c>
      <c r="C11416" t="s">
        <v>430</v>
      </c>
      <c r="D11416" t="s">
        <v>376</v>
      </c>
    </row>
    <row r="11417" spans="1:4" x14ac:dyDescent="0.25">
      <c r="A11417" t="s">
        <v>2318</v>
      </c>
    </row>
    <row r="11418" spans="1:4" x14ac:dyDescent="0.25">
      <c r="B11418" t="str">
        <f>HYPERLINK("https://www.chemistwarehouse.com.au/buy/64639/Claratyne-Children-39-s-Chewable-10-Tablets"," Claratyne Children's Chewable 10 Tablets")</f>
        <v xml:space="preserve"> Claratyne Children's Chewable 10 Tablets</v>
      </c>
      <c r="C11418" t="s">
        <v>98</v>
      </c>
      <c r="D11418">
        <v>0</v>
      </c>
    </row>
    <row r="11419" spans="1:4" x14ac:dyDescent="0.25">
      <c r="B11419" t="str">
        <f>HYPERLINK("https://www.chemistwarehouse.com.au/buy/66104/Flo-Kids-Saline-Spray-15ml"," Flo Kids Saline Spray 15ml")</f>
        <v xml:space="preserve"> Flo Kids Saline Spray 15ml</v>
      </c>
      <c r="C11419" t="s">
        <v>32</v>
      </c>
      <c r="D11419" t="s">
        <v>397</v>
      </c>
    </row>
    <row r="11420" spans="1:4" x14ac:dyDescent="0.25">
      <c r="B11420" t="str">
        <f>HYPERLINK("https://www.chemistwarehouse.com.au/buy/58106/Telfast-Children-39-s-Elixir-150mL"," Telfast Children's Elixir 150mL")</f>
        <v xml:space="preserve"> Telfast Children's Elixir 150mL</v>
      </c>
      <c r="C11420" t="s">
        <v>32</v>
      </c>
      <c r="D11420">
        <v>0</v>
      </c>
    </row>
    <row r="11421" spans="1:4" x14ac:dyDescent="0.25">
      <c r="B11421" t="str">
        <f>HYPERLINK("https://www.chemistwarehouse.com.au/buy/58280/Zyrtec-Kids-Oral-Liquid-200mL"," Zyrtec Kids Oral Liquid 200mL")</f>
        <v xml:space="preserve"> Zyrtec Kids Oral Liquid 200mL</v>
      </c>
      <c r="C11421" t="s">
        <v>58</v>
      </c>
      <c r="D11421">
        <v>0</v>
      </c>
    </row>
    <row r="11422" spans="1:4" x14ac:dyDescent="0.25">
      <c r="B11422" t="str">
        <f>HYPERLINK("https://www.chemistwarehouse.com.au/buy/63687/Fess-Children-39-s-Nasal-Spray-20ml"," Fess Children's Nasal Spray 20ml")</f>
        <v xml:space="preserve"> Fess Children's Nasal Spray 20ml</v>
      </c>
      <c r="C11422" t="s">
        <v>103</v>
      </c>
      <c r="D11422" t="s">
        <v>145</v>
      </c>
    </row>
    <row r="11423" spans="1:4" x14ac:dyDescent="0.25">
      <c r="B11423" t="str">
        <f>HYPERLINK("https://www.chemistwarehouse.com.au/buy/69697/Zyrtec-Kids-Oral-Drops-20ml"," Zyrtec Kids Oral Drops 20ml ")</f>
        <v xml:space="preserve"> Zyrtec Kids Oral Drops 20ml </v>
      </c>
      <c r="C11423" t="s">
        <v>202</v>
      </c>
      <c r="D11423">
        <v>0</v>
      </c>
    </row>
    <row r="11424" spans="1:4" x14ac:dyDescent="0.25">
      <c r="B11424" t="str">
        <f>HYPERLINK("https://www.chemistwarehouse.com.au/buy/6924/Otrivin-Nasal-Drops-Child-10mL"," Otrivin Nasal Drops Child 10mL")</f>
        <v xml:space="preserve"> Otrivin Nasal Drops Child 10mL</v>
      </c>
      <c r="C11424" t="s">
        <v>782</v>
      </c>
      <c r="D11424">
        <v>0</v>
      </c>
    </row>
    <row r="11425" spans="1:4" x14ac:dyDescent="0.25">
      <c r="A11425" t="s">
        <v>2319</v>
      </c>
    </row>
    <row r="11426" spans="1:4" x14ac:dyDescent="0.25">
      <c r="B11426" t="str">
        <f>HYPERLINK("https://www.chemistwarehouse.com.au/buy/63663/Ease-a-Cold-Kids-Cough-Cold-amp-Flu-Liquid-120ml"," Ease a Cold Kids Cough Cold &amp; Flu Liquid 120ml")</f>
        <v xml:space="preserve"> Ease a Cold Kids Cough Cold &amp; Flu Liquid 120ml</v>
      </c>
      <c r="C11426" t="s">
        <v>202</v>
      </c>
      <c r="D11426" t="s">
        <v>397</v>
      </c>
    </row>
    <row r="11427" spans="1:4" x14ac:dyDescent="0.25">
      <c r="B11427" t="str">
        <f>HYPERLINK("https://www.chemistwarehouse.com.au/buy/64640/Zyrtec-Kids-Oral-Liquid-75mL"," Zyrtec Kids Oral Liquid 75mL")</f>
        <v xml:space="preserve"> Zyrtec Kids Oral Liquid 75mL</v>
      </c>
      <c r="C11427" t="s">
        <v>32</v>
      </c>
      <c r="D11427">
        <v>0</v>
      </c>
    </row>
    <row r="11428" spans="1:4" x14ac:dyDescent="0.25">
      <c r="B11428" t="str">
        <f>HYPERLINK("https://www.chemistwarehouse.com.au/buy/66014/Bisolvon-Chesty-Kids-Strawberry-200mL-6-Years-and-Older"," Bisolvon Chesty Kids Strawberry 200mL 6 Years and Older")</f>
        <v xml:space="preserve"> Bisolvon Chesty Kids Strawberry 200mL 6 Years and Older</v>
      </c>
      <c r="C11428" t="s">
        <v>237</v>
      </c>
      <c r="D11428">
        <v>0</v>
      </c>
    </row>
    <row r="11429" spans="1:4" x14ac:dyDescent="0.25">
      <c r="B11429" t="str">
        <f>HYPERLINK("https://www.chemistwarehouse.com.au/buy/68748/Sambucol-Cold-amp-Flu-Kids-Liquid-120ml"," Sambucol Cold &amp; Flu Kids Liquid 120ml")</f>
        <v xml:space="preserve"> Sambucol Cold &amp; Flu Kids Liquid 120ml</v>
      </c>
      <c r="C11429" t="s">
        <v>58</v>
      </c>
      <c r="D11429" t="s">
        <v>147</v>
      </c>
    </row>
    <row r="11430" spans="1:4" x14ac:dyDescent="0.25">
      <c r="B11430" t="str">
        <f>HYPERLINK("https://www.chemistwarehouse.com.au/buy/68865/Strepsils-Children-6-Orange-16-Lozenges"," Strepsils Children 6+ Orange 16 Lozenges")</f>
        <v xml:space="preserve"> Strepsils Children 6+ Orange 16 Lozenges</v>
      </c>
      <c r="C11430" t="s">
        <v>556</v>
      </c>
      <c r="D11430" t="s">
        <v>611</v>
      </c>
    </row>
    <row r="11431" spans="1:4" x14ac:dyDescent="0.25">
      <c r="B11431" t="str">
        <f>HYPERLINK("https://www.chemistwarehouse.com.au/buy/68866/Strepsils-Children-6-Strawberry-16-Lozenges"," Strepsils Children 6+ Strawberry 16 Lozenges")</f>
        <v xml:space="preserve"> Strepsils Children 6+ Strawberry 16 Lozenges</v>
      </c>
      <c r="C11431" t="s">
        <v>556</v>
      </c>
      <c r="D11431" t="s">
        <v>611</v>
      </c>
    </row>
    <row r="11432" spans="1:4" x14ac:dyDescent="0.25">
      <c r="A11432" t="s">
        <v>2320</v>
      </c>
    </row>
    <row r="11433" spans="1:4" x14ac:dyDescent="0.25">
      <c r="B11433" t="str">
        <f>HYPERLINK("https://www.chemistwarehouse.com.au/buy/60608/Colgate-Toothbrush-Kids-Character-Power"," Colgate Toothbrush Kids Character Power")</f>
        <v xml:space="preserve"> Colgate Toothbrush Kids Character Power</v>
      </c>
      <c r="C11433" t="s">
        <v>2321</v>
      </c>
      <c r="D11433" t="s">
        <v>722</v>
      </c>
    </row>
    <row r="11434" spans="1:4" x14ac:dyDescent="0.25">
      <c r="B11434" t="str">
        <f>HYPERLINK("https://www.chemistwarehouse.com.au/buy/69946/Colgate-Kids-Toothbrush-My-World"," Colgate Kids Toothbrush My World")</f>
        <v xml:space="preserve"> Colgate Kids Toothbrush My World</v>
      </c>
      <c r="C11434" t="s">
        <v>371</v>
      </c>
      <c r="D11434" t="s">
        <v>635</v>
      </c>
    </row>
    <row r="11435" spans="1:4" x14ac:dyDescent="0.25">
      <c r="A11435" t="s">
        <v>2322</v>
      </c>
    </row>
    <row r="11436" spans="1:4" x14ac:dyDescent="0.25">
      <c r="B11436" t="str">
        <f>HYPERLINK("https://www.chemistwarehouse.com.au/buy/50207/Glycerol-Suppositories-for-Children"," Glycerol Suppositories for Children")</f>
        <v xml:space="preserve"> Glycerol Suppositories for Children</v>
      </c>
      <c r="C11436" t="s">
        <v>375</v>
      </c>
      <c r="D11436" t="s">
        <v>822</v>
      </c>
    </row>
    <row r="11437" spans="1:4" x14ac:dyDescent="0.25">
      <c r="A11437" t="s">
        <v>2323</v>
      </c>
    </row>
    <row r="11438" spans="1:4" x14ac:dyDescent="0.25">
      <c r="B11438" t="str">
        <f>HYPERLINK("https://www.chemistwarehouse.com.au/buy/65047/Wild-Child-Quit-Nits-Rapid-200ml"," Wild Child Quit Nits Rapid 200ml")</f>
        <v xml:space="preserve"> Wild Child Quit Nits Rapid 200ml</v>
      </c>
      <c r="C11438" t="s">
        <v>292</v>
      </c>
      <c r="D11438" t="s">
        <v>121</v>
      </c>
    </row>
    <row r="11439" spans="1:4" x14ac:dyDescent="0.25">
      <c r="B11439" t="str">
        <f>HYPERLINK("https://www.chemistwarehouse.com.au/buy/65044/Wild-Child-Quit-Nits-Complete-Lice-Kit-200ml-amp-125ml"," Wild Child Quit Nits Complete Lice Kit 200ml &amp; 125ml")</f>
        <v xml:space="preserve"> Wild Child Quit Nits Complete Lice Kit 200ml &amp; 125ml</v>
      </c>
      <c r="C11439" t="s">
        <v>404</v>
      </c>
      <c r="D11439" t="s">
        <v>108</v>
      </c>
    </row>
    <row r="11440" spans="1:4" x14ac:dyDescent="0.25">
      <c r="B11440" t="str">
        <f>HYPERLINK("https://www.chemistwarehouse.com.au/buy/65046/Wild-Child-Quit-Nits-One-200ml"," Wild Child Quit Nits One 200ml")</f>
        <v xml:space="preserve"> Wild Child Quit Nits One 200ml</v>
      </c>
      <c r="C11440" t="s">
        <v>58</v>
      </c>
      <c r="D11440" t="s">
        <v>115</v>
      </c>
    </row>
    <row r="11441" spans="1:4" x14ac:dyDescent="0.25">
      <c r="A11441" t="s">
        <v>2324</v>
      </c>
    </row>
    <row r="11442" spans="1:4" x14ac:dyDescent="0.25">
      <c r="B11442" t="str">
        <f>HYPERLINK("https://www.chemistwarehouse.com.au/buy/65424/Mosquito-Band-Kids-Size-2-Pack"," Mosquito Band Kids Size 2 Pack")</f>
        <v xml:space="preserve"> Mosquito Band Kids Size 2 Pack</v>
      </c>
      <c r="C11442" t="s">
        <v>554</v>
      </c>
      <c r="D11442" t="s">
        <v>325</v>
      </c>
    </row>
    <row r="11443" spans="1:4" x14ac:dyDescent="0.25">
      <c r="A11443" t="s">
        <v>2325</v>
      </c>
    </row>
    <row r="11444" spans="1:4" x14ac:dyDescent="0.25">
      <c r="B11444" t="str">
        <f>HYPERLINK("https://www.chemistwarehouse.com.au/buy/43073/Ego-QV-Kids-Cream-100g"," Ego QV Kids Cream 100g")</f>
        <v xml:space="preserve"> Ego QV Kids Cream 100g</v>
      </c>
      <c r="C11444" t="s">
        <v>92</v>
      </c>
      <c r="D11444" t="s">
        <v>312</v>
      </c>
    </row>
    <row r="11445" spans="1:4" x14ac:dyDescent="0.25">
      <c r="B11445" t="str">
        <f>HYPERLINK("https://www.chemistwarehouse.com.au/buy/64185/Ego-QV-Kids-Wash-350mL"," Ego QV Kids Wash 350mL")</f>
        <v xml:space="preserve"> Ego QV Kids Wash 350mL</v>
      </c>
      <c r="C11445" t="s">
        <v>80</v>
      </c>
      <c r="D11445" t="s">
        <v>1322</v>
      </c>
    </row>
    <row r="11446" spans="1:4" x14ac:dyDescent="0.25">
      <c r="B11446" t="str">
        <f>HYPERLINK("https://www.chemistwarehouse.com.au/buy/43074/Ego-QV-Kids-Balm-100g"," Ego QV Kids Balm 100g")</f>
        <v xml:space="preserve"> Ego QV Kids Balm 100g</v>
      </c>
      <c r="C11446" t="s">
        <v>103</v>
      </c>
      <c r="D11446" t="s">
        <v>1714</v>
      </c>
    </row>
    <row r="11447" spans="1:4" x14ac:dyDescent="0.25">
      <c r="A11447" t="s">
        <v>2326</v>
      </c>
    </row>
    <row r="11448" spans="1:4" x14ac:dyDescent="0.25">
      <c r="B11448" t="str">
        <f>HYPERLINK("https://www.chemistwarehouse.com.au/buy/1634/Breath-a-Tech-Child-Mask"," Breath-a-Tech Child Mask")</f>
        <v xml:space="preserve"> Breath-a-Tech Child Mask</v>
      </c>
      <c r="C11448" t="s">
        <v>782</v>
      </c>
      <c r="D11448" t="s">
        <v>325</v>
      </c>
    </row>
    <row r="11449" spans="1:4" x14ac:dyDescent="0.25">
      <c r="B11449" t="str">
        <f>HYPERLINK("https://www.chemistwarehouse.com.au/buy/57251/Earplanes-Children-Pair"," Earplanes Children Pair")</f>
        <v xml:space="preserve"> Earplanes Children Pair</v>
      </c>
      <c r="C11449" t="s">
        <v>202</v>
      </c>
      <c r="D11449" t="s">
        <v>312</v>
      </c>
    </row>
    <row r="11450" spans="1:4" x14ac:dyDescent="0.25">
      <c r="A11450" t="s">
        <v>2327</v>
      </c>
    </row>
    <row r="11451" spans="1:4" x14ac:dyDescent="0.25">
      <c r="B11451" t="str">
        <f>HYPERLINK("https://www.chemistwarehouse.com.au/buy/68222/Panadol-Children-39-s-1-5-Years-Orange-200ml"," Panadol Children's 1-5 Years Orange 200ml")</f>
        <v xml:space="preserve"> Panadol Children's 1-5 Years Orange 200ml</v>
      </c>
      <c r="C11451" t="s">
        <v>80</v>
      </c>
      <c r="D11451">
        <v>0</v>
      </c>
    </row>
    <row r="11452" spans="1:4" x14ac:dyDescent="0.25">
      <c r="B11452" t="str">
        <f>HYPERLINK("https://www.chemistwarehouse.com.au/buy/68225/Panadol-Children-39-s-5-12-Years-Strawberry-200ml"," Panadol Children's 5-12 Years Strawberry 200ml")</f>
        <v xml:space="preserve"> Panadol Children's 5-12 Years Strawberry 200ml</v>
      </c>
      <c r="C11452" t="s">
        <v>187</v>
      </c>
      <c r="D11452">
        <v>0</v>
      </c>
    </row>
    <row r="11453" spans="1:4" x14ac:dyDescent="0.25">
      <c r="B11453" t="str">
        <f>HYPERLINK("https://www.chemistwarehouse.com.au/buy/59911/Nurofen-for-Children-1-5-Years-Strawberry-200mL"," Nurofen for Children 1-5 Years Strawberry 200mL")</f>
        <v xml:space="preserve"> Nurofen for Children 1-5 Years Strawberry 200mL</v>
      </c>
      <c r="C11453" t="s">
        <v>187</v>
      </c>
      <c r="D11453">
        <v>0</v>
      </c>
    </row>
    <row r="11454" spans="1:4" x14ac:dyDescent="0.25">
      <c r="B11454" t="str">
        <f>HYPERLINK("https://www.chemistwarehouse.com.au/buy/65511/Nurofen-for-Children-5-12-Years-Orange-200mL"," Nurofen for Children 5-12 Years Orange 200mL")</f>
        <v xml:space="preserve"> Nurofen for Children 5-12 Years Orange 200mL</v>
      </c>
      <c r="C11454" t="s">
        <v>63</v>
      </c>
      <c r="D11454">
        <v>0</v>
      </c>
    </row>
    <row r="11455" spans="1:4" x14ac:dyDescent="0.25">
      <c r="B11455" t="str">
        <f>HYPERLINK("https://www.chemistwarehouse.com.au/buy/68223/Panadol-Children-39-s-1-5-Years-Strawberry-200ml"," Panadol Children's 1-5 Years Strawberry 200ml")</f>
        <v xml:space="preserve"> Panadol Children's 1-5 Years Strawberry 200ml</v>
      </c>
      <c r="C11455" t="s">
        <v>80</v>
      </c>
      <c r="D11455">
        <v>0</v>
      </c>
    </row>
    <row r="11456" spans="1:4" x14ac:dyDescent="0.25">
      <c r="B11456" t="str">
        <f>HYPERLINK("https://www.chemistwarehouse.com.au/buy/59910/Nurofen-for-Children-1-5-Years-Orange-200mL"," Nurofen for Children 1-5 Years Orange 200mL")</f>
        <v xml:space="preserve"> Nurofen for Children 1-5 Years Orange 200mL</v>
      </c>
      <c r="C11456" t="s">
        <v>187</v>
      </c>
      <c r="D11456">
        <v>0</v>
      </c>
    </row>
    <row r="11457" spans="1:4" x14ac:dyDescent="0.25">
      <c r="B11457" t="str">
        <f>HYPERLINK("https://www.chemistwarehouse.com.au/buy/20256/Dymadon-Pain-amp-Fever-Relief-for-Kids-Ages-2-years-12-years-200mL"," Dymadon Pain &amp; Fever Relief for Kids Ages 2 years - 12 years 200mL")</f>
        <v xml:space="preserve"> Dymadon Pain &amp; Fever Relief for Kids Ages 2 years - 12 years 200mL</v>
      </c>
      <c r="C11457" t="s">
        <v>212</v>
      </c>
      <c r="D11457">
        <v>0</v>
      </c>
    </row>
    <row r="11458" spans="1:4" x14ac:dyDescent="0.25">
      <c r="B11458" t="str">
        <f>HYPERLINK("https://www.chemistwarehouse.com.au/buy/65512/Nurofen-for-Children-5-12-Years-Strawberry-200mL"," Nurofen for Children 5-12 Years Strawberry 200mL")</f>
        <v xml:space="preserve"> Nurofen for Children 5-12 Years Strawberry 200mL</v>
      </c>
      <c r="C11458" t="s">
        <v>63</v>
      </c>
      <c r="D11458">
        <v>0</v>
      </c>
    </row>
    <row r="11459" spans="1:4" x14ac:dyDescent="0.25">
      <c r="B11459" t="str">
        <f>HYPERLINK("https://www.chemistwarehouse.com.au/buy/50463/Panadol-Children-39-s-7-Years-Soluble-Colourfree16-Tablets"," Panadol Children's 7+ Years Soluble Colourfree16 Tablets")</f>
        <v xml:space="preserve"> Panadol Children's 7+ Years Soluble Colourfree16 Tablets</v>
      </c>
      <c r="C11459" t="s">
        <v>483</v>
      </c>
      <c r="D11459">
        <v>0</v>
      </c>
    </row>
    <row r="11460" spans="1:4" x14ac:dyDescent="0.25">
      <c r="B11460" t="str">
        <f>HYPERLINK("https://www.chemistwarehouse.com.au/buy/68224/Panadol-Children-39-s-5-12-Years-Orange-200ml"," Panadol Children's 5-12 Years Orange 200ml")</f>
        <v xml:space="preserve"> Panadol Children's 5-12 Years Orange 200ml</v>
      </c>
      <c r="C11460" t="s">
        <v>187</v>
      </c>
      <c r="D11460">
        <v>0</v>
      </c>
    </row>
    <row r="11461" spans="1:4" x14ac:dyDescent="0.25">
      <c r="B11461" t="str">
        <f>HYPERLINK("https://www.chemistwarehouse.com.au/buy/59915/Nurofen-for-Children-Baby-3-Months-50mL"," Nurofen for Children Baby 3 Months+ 50mL")</f>
        <v xml:space="preserve"> Nurofen for Children Baby 3 Months+ 50mL</v>
      </c>
      <c r="C11461" t="s">
        <v>290</v>
      </c>
      <c r="D11461">
        <v>0</v>
      </c>
    </row>
    <row r="11462" spans="1:4" x14ac:dyDescent="0.25">
      <c r="B11462" t="str">
        <f>HYPERLINK("https://www.chemistwarehouse.com.au/buy/6002/Painstop-Day-Time-Pain-Reliever-for-children-200mL"," Painstop Day-Time Pain Reliever for children 200mL")</f>
        <v xml:space="preserve"> Painstop Day-Time Pain Reliever for children 200mL</v>
      </c>
      <c r="C11462" t="s">
        <v>269</v>
      </c>
      <c r="D11462">
        <v>0</v>
      </c>
    </row>
    <row r="11463" spans="1:4" x14ac:dyDescent="0.25">
      <c r="B11463" t="str">
        <f>HYPERLINK("https://www.chemistwarehouse.com.au/buy/60447/Kool-n-Soothe-Kids-Fever-Relief"," Kool n Soothe Kids Fever Relief")</f>
        <v xml:space="preserve"> Kool n Soothe Kids Fever Relief</v>
      </c>
      <c r="C11463" t="s">
        <v>92</v>
      </c>
      <c r="D11463" t="s">
        <v>147</v>
      </c>
    </row>
    <row r="11464" spans="1:4" x14ac:dyDescent="0.25">
      <c r="A11464" t="s">
        <v>2328</v>
      </c>
    </row>
    <row r="11465" spans="1:4" x14ac:dyDescent="0.25">
      <c r="B11465" t="str">
        <f>HYPERLINK("https://www.chemistwarehouse.com.au/buy/67660/Banana-Boat-SPF-50-Kids-75ml-Roll-On"," Banana Boat SPF 50+ Kids 75ml Roll On")</f>
        <v xml:space="preserve"> Banana Boat SPF 50+ Kids 75ml Roll On</v>
      </c>
      <c r="C11465" t="s">
        <v>430</v>
      </c>
      <c r="D11465" t="s">
        <v>785</v>
      </c>
    </row>
    <row r="11466" spans="1:4" x14ac:dyDescent="0.25">
      <c r="B11466" t="str">
        <f>HYPERLINK("https://www.chemistwarehouse.com.au/buy/68915/Cancer-Council-SPF-50-Kids-110ml-Tube"," Cancer Council SPF 50+ Kids 110ml Tube")</f>
        <v xml:space="preserve"> Cancer Council SPF 50+ Kids 110ml Tube</v>
      </c>
      <c r="C11466" t="s">
        <v>317</v>
      </c>
      <c r="D11466" t="s">
        <v>406</v>
      </c>
    </row>
    <row r="11467" spans="1:4" x14ac:dyDescent="0.25">
      <c r="B11467" t="str">
        <f>HYPERLINK("https://www.chemistwarehouse.com.au/buy/69625/Banana-Boat-SPF-50-Kids-Clear-175g"," Banana Boat SPF 50+ Kids Clear 175g")</f>
        <v xml:space="preserve"> Banana Boat SPF 50+ Kids Clear 175g</v>
      </c>
      <c r="C11467" t="s">
        <v>202</v>
      </c>
      <c r="D11467" t="s">
        <v>281</v>
      </c>
    </row>
    <row r="11468" spans="1:4" x14ac:dyDescent="0.25">
      <c r="B11468" t="str">
        <f>HYPERLINK("https://www.chemistwarehouse.com.au/buy/69624/Banana-Boat-SPF-50-Kids-400g-Pump"," Banana Boat SPF 50+ Kids 400g Pump")</f>
        <v xml:space="preserve"> Banana Boat SPF 50+ Kids 400g Pump</v>
      </c>
      <c r="C11468" t="s">
        <v>401</v>
      </c>
      <c r="D11468" t="s">
        <v>291</v>
      </c>
    </row>
    <row r="11469" spans="1:4" x14ac:dyDescent="0.25">
      <c r="B11469" t="str">
        <f>HYPERLINK("https://www.chemistwarehouse.com.au/buy/66818/Neutrogena-Wet-Skin-Kids-Sun-Mist-SPF30-140g"," Neutrogena Wet Skin Kids Sun Mist SPF30 140g")</f>
        <v xml:space="preserve"> Neutrogena Wet Skin Kids Sun Mist SPF30 140g</v>
      </c>
      <c r="C11469" t="s">
        <v>98</v>
      </c>
      <c r="D11469" t="s">
        <v>104</v>
      </c>
    </row>
    <row r="11470" spans="1:4" x14ac:dyDescent="0.25">
      <c r="B11470" t="str">
        <f>HYPERLINK("https://www.chemistwarehouse.com.au/buy/69636/Nivea-Sun-SPF50-Kids-Roll-On-65ml"," Nivea Sun SPF50+ Kids Roll On 65ml")</f>
        <v xml:space="preserve"> Nivea Sun SPF50+ Kids Roll On 65ml</v>
      </c>
      <c r="C11470" t="s">
        <v>782</v>
      </c>
      <c r="D11470" t="s">
        <v>291</v>
      </c>
    </row>
    <row r="11471" spans="1:4" x14ac:dyDescent="0.25">
      <c r="B11471" t="str">
        <f>HYPERLINK("https://www.chemistwarehouse.com.au/buy/69637/Nivea-Sun-SPF50-Kids-Spray-200ml"," Nivea Sun SPF50+ Kids Spray 200ml ")</f>
        <v xml:space="preserve"> Nivea Sun SPF50+ Kids Spray 200ml </v>
      </c>
      <c r="C11471" t="s">
        <v>551</v>
      </c>
      <c r="D11471" t="s">
        <v>270</v>
      </c>
    </row>
    <row r="11472" spans="1:4" x14ac:dyDescent="0.25">
      <c r="B11472" t="str">
        <f>HYPERLINK("https://www.chemistwarehouse.com.au/buy/69638/Nivea-Sun-SPF50-Kids-Swim-amp-Play-Lotion-150ml"," Nivea Sun SPF50+ Kids Swim &amp; Play Lotion 150ml")</f>
        <v xml:space="preserve"> Nivea Sun SPF50+ Kids Swim &amp; Play Lotion 150ml</v>
      </c>
      <c r="C11472" t="s">
        <v>211</v>
      </c>
      <c r="D11472" t="s">
        <v>119</v>
      </c>
    </row>
    <row r="11473" spans="1:4" x14ac:dyDescent="0.25">
      <c r="A11473" t="s">
        <v>2329</v>
      </c>
    </row>
    <row r="11474" spans="1:4" x14ac:dyDescent="0.25">
      <c r="B11474" t="str">
        <f>HYPERLINK("https://www.chemistwarehouse.com.au/buy/64807/Ostelin-Vitamin-D-Kids-Liquid-20ml"," Ostelin Vitamin D Kids Liquid 20ml")</f>
        <v xml:space="preserve"> Ostelin Vitamin D Kids Liquid 20ml</v>
      </c>
      <c r="C11474" t="s">
        <v>116</v>
      </c>
      <c r="D11474" t="s">
        <v>46</v>
      </c>
    </row>
    <row r="11475" spans="1:4" x14ac:dyDescent="0.25">
      <c r="B11475" t="str">
        <f>HYPERLINK("https://www.chemistwarehouse.com.au/buy/67901/Nature-39-s-Way-Kids-Smart-Vita-Gummies-Immunity-60-Pastilles"," Nature's Way Kids Smart Vita Gummies Immunity 60 Pastilles")</f>
        <v xml:space="preserve"> Nature's Way Kids Smart Vita Gummies Immunity 60 Pastilles</v>
      </c>
      <c r="C11475" t="s">
        <v>32</v>
      </c>
      <c r="D11475" t="s">
        <v>349</v>
      </c>
    </row>
    <row r="11476" spans="1:4" x14ac:dyDescent="0.25">
      <c r="B11476" t="str">
        <f>HYPERLINK("https://www.chemistwarehouse.com.au/buy/67844/Cenovis-Kids-Vita-Tingles-Multivitamin-60-Tablets"," Cenovis Kids Vita Tingles Multivitamin 60 Tablets")</f>
        <v xml:space="preserve"> Cenovis Kids Vita Tingles Multivitamin 60 Tablets</v>
      </c>
      <c r="C11476" t="s">
        <v>41</v>
      </c>
      <c r="D11476" t="s">
        <v>42</v>
      </c>
    </row>
    <row r="11477" spans="1:4" x14ac:dyDescent="0.25">
      <c r="B11477" t="str">
        <f>HYPERLINK("https://www.chemistwarehouse.com.au/buy/64965/Nature-39-s-Way-Kids-Smart-Vita-Gummies-Calcium-60-Pastilles"," Nature's Way Kids Smart Vita Gummies Calcium 60 Pastilles")</f>
        <v xml:space="preserve"> Nature's Way Kids Smart Vita Gummies Calcium 60 Pastilles</v>
      </c>
      <c r="C11477" t="s">
        <v>32</v>
      </c>
      <c r="D11477" t="s">
        <v>349</v>
      </c>
    </row>
    <row r="11478" spans="1:4" x14ac:dyDescent="0.25">
      <c r="B11478" t="str">
        <f>HYPERLINK("https://www.chemistwarehouse.com.au/buy/62714/Nature-39-s-Way-Kids-Smart-Vita-Gummies-Multi-Vitamin-amp-Vegies-60-Gummies"," Nature's Way Kids Smart Vita Gummies Multi Vitamin &amp; Vegies 60 Gummies")</f>
        <v xml:space="preserve"> Nature's Way Kids Smart Vita Gummies Multi Vitamin &amp; Vegies 60 Gummies</v>
      </c>
      <c r="C11478" t="s">
        <v>32</v>
      </c>
      <c r="D11478" t="s">
        <v>349</v>
      </c>
    </row>
    <row r="11479" spans="1:4" x14ac:dyDescent="0.25">
      <c r="B11479" t="str">
        <f>HYPERLINK("https://www.chemistwarehouse.com.au/buy/43073/Ego-QV-Kids-Cream-100g"," Ego QV Kids Cream 100g")</f>
        <v xml:space="preserve"> Ego QV Kids Cream 100g</v>
      </c>
      <c r="C11479" t="s">
        <v>92</v>
      </c>
      <c r="D11479" t="s">
        <v>312</v>
      </c>
    </row>
    <row r="11480" spans="1:4" x14ac:dyDescent="0.25">
      <c r="B11480" t="str">
        <f>HYPERLINK("https://www.chemistwarehouse.com.au/buy/62713/Nature-39-s-Way-Kids-Smart-Vita-Gummies-Vitamin-C-60-Gummies"," Nature's Way Kids Smart Vita Gummies Vitamin C 60 Gummies")</f>
        <v xml:space="preserve"> Nature's Way Kids Smart Vita Gummies Vitamin C 60 Gummies</v>
      </c>
      <c r="C11480" t="s">
        <v>32</v>
      </c>
      <c r="D11480" t="s">
        <v>349</v>
      </c>
    </row>
    <row r="11481" spans="1:4" x14ac:dyDescent="0.25">
      <c r="B11481" t="str">
        <f>HYPERLINK("https://www.chemistwarehouse.com.au/buy/62712/Nature-39-s-Way-Kids-Smart-Vita-Gummies-Omega-3-Fish-Oil-60"," Nature's Way Kids Smart Vita Gummies Omega 3 Fish Oil 60")</f>
        <v xml:space="preserve"> Nature's Way Kids Smart Vita Gummies Omega 3 Fish Oil 60</v>
      </c>
      <c r="C11481" t="s">
        <v>32</v>
      </c>
      <c r="D11481" t="s">
        <v>349</v>
      </c>
    </row>
    <row r="11482" spans="1:4" x14ac:dyDescent="0.25">
      <c r="B11482" t="str">
        <f>HYPERLINK("https://www.chemistwarehouse.com.au/buy/66553/Swisse-Children-39-s-Ultivite-120-Tablets"," Swisse Children's Ultivite 120 Tablets")</f>
        <v xml:space="preserve"> Swisse Children's Ultivite 120 Tablets</v>
      </c>
      <c r="C11482" t="s">
        <v>45</v>
      </c>
      <c r="D11482" t="s">
        <v>428</v>
      </c>
    </row>
    <row r="11483" spans="1:4" x14ac:dyDescent="0.25">
      <c r="B11483" t="str">
        <f>HYPERLINK("https://www.chemistwarehouse.com.au/buy/67660/Banana-Boat-SPF-50-Kids-75ml-Roll-On"," Banana Boat SPF 50+ Kids 75ml Roll On")</f>
        <v xml:space="preserve"> Banana Boat SPF 50+ Kids 75ml Roll On</v>
      </c>
      <c r="C11483" t="s">
        <v>430</v>
      </c>
      <c r="D11483" t="s">
        <v>785</v>
      </c>
    </row>
    <row r="11484" spans="1:4" x14ac:dyDescent="0.25">
      <c r="B11484" t="str">
        <f>HYPERLINK("https://www.chemistwarehouse.com.au/buy/5566/Centrum-Kids-Incremin-Iron-Mixture-Cherry-Flavour-200ml"," Centrum Kids Incremin Iron Mixture Cherry Flavour 200ml")</f>
        <v xml:space="preserve"> Centrum Kids Incremin Iron Mixture Cherry Flavour 200ml</v>
      </c>
      <c r="C11484" t="s">
        <v>58</v>
      </c>
      <c r="D11484" t="s">
        <v>169</v>
      </c>
    </row>
    <row r="11485" spans="1:4" x14ac:dyDescent="0.25">
      <c r="B11485" t="str">
        <f>HYPERLINK("https://www.chemistwarehouse.com.au/buy/52588/Nature-39-s-Way-Kids-Calcium-Strawberry-Milkshake-Burstlets-50"," Nature's Way Kids Calcium Strawberry Milkshake Burstlets 50")</f>
        <v xml:space="preserve"> Nature's Way Kids Calcium Strawberry Milkshake Burstlets 50</v>
      </c>
      <c r="C11485" t="s">
        <v>98</v>
      </c>
      <c r="D11485" t="s">
        <v>165</v>
      </c>
    </row>
    <row r="11486" spans="1:4" x14ac:dyDescent="0.25">
      <c r="B11486" t="str">
        <f>HYPERLINK("https://www.chemistwarehouse.com.au/buy/64966/Nature-39-s-Way-Kids-Smart-Vita-Gummies-Multi-Vitamin-for-Fussy-Eaters-60-Pastilles"," Nature's Way Kids Smart Vita Gummies Multi Vitamin for Fussy Eaters 60 Pastilles")</f>
        <v xml:space="preserve"> Nature's Way Kids Smart Vita Gummies Multi Vitamin for Fussy Eaters 60 Pastilles</v>
      </c>
      <c r="C11486" t="s">
        <v>32</v>
      </c>
      <c r="D11486" t="s">
        <v>349</v>
      </c>
    </row>
    <row r="11487" spans="1:4" x14ac:dyDescent="0.25">
      <c r="B11487" t="str">
        <f>HYPERLINK("https://www.chemistwarehouse.com.au/buy/68915/Cancer-Council-SPF-50-Kids-110ml-Tube"," Cancer Council SPF 50+ Kids 110ml Tube")</f>
        <v xml:space="preserve"> Cancer Council SPF 50+ Kids 110ml Tube</v>
      </c>
      <c r="C11487" t="s">
        <v>317</v>
      </c>
      <c r="D11487" t="s">
        <v>406</v>
      </c>
    </row>
    <row r="11488" spans="1:4" x14ac:dyDescent="0.25">
      <c r="B11488" t="str">
        <f>HYPERLINK("https://www.chemistwarehouse.com.au/buy/64363/Ostevit-D-Children-39-s-Oral-Drops-15ml"," Ostevit-D Children's Oral Drops 15ml")</f>
        <v xml:space="preserve"> Ostevit-D Children's Oral Drops 15ml</v>
      </c>
      <c r="C11488" t="s">
        <v>240</v>
      </c>
      <c r="D11488" t="s">
        <v>329</v>
      </c>
    </row>
    <row r="11489" spans="1:4" x14ac:dyDescent="0.25">
      <c r="B11489" t="str">
        <f>HYPERLINK("https://www.chemistwarehouse.com.au/buy/59657/Nature-39-s-Way-Kids-Smart-Omega-3-Fish-Oil-Trio-180-Capsules"," Nature's Way Kids Smart Omega 3 Fish Oil Trio 180 Capsules")</f>
        <v xml:space="preserve"> Nature's Way Kids Smart Omega 3 Fish Oil Trio 180 Capsules</v>
      </c>
      <c r="C11489" t="s">
        <v>469</v>
      </c>
      <c r="D11489" t="s">
        <v>425</v>
      </c>
    </row>
    <row r="11490" spans="1:4" x14ac:dyDescent="0.25">
      <c r="B11490" t="str">
        <f>HYPERLINK("https://www.chemistwarehouse.com.au/buy/68222/Panadol-Children-39-s-1-5-Years-Orange-200ml"," Panadol Children's 1-5 Years Orange 200ml")</f>
        <v xml:space="preserve"> Panadol Children's 1-5 Years Orange 200ml</v>
      </c>
      <c r="C11490" t="s">
        <v>80</v>
      </c>
      <c r="D11490">
        <v>0</v>
      </c>
    </row>
    <row r="11491" spans="1:4" x14ac:dyDescent="0.25">
      <c r="B11491" t="str">
        <f>HYPERLINK("https://www.chemistwarehouse.com.au/buy/68225/Panadol-Children-39-s-5-12-Years-Strawberry-200ml"," Panadol Children's 5-12 Years Strawberry 200ml")</f>
        <v xml:space="preserve"> Panadol Children's 5-12 Years Strawberry 200ml</v>
      </c>
      <c r="C11491" t="s">
        <v>187</v>
      </c>
      <c r="D11491">
        <v>0</v>
      </c>
    </row>
    <row r="11492" spans="1:4" x14ac:dyDescent="0.25">
      <c r="B11492" t="str">
        <f>HYPERLINK("https://www.chemistwarehouse.com.au/buy/66542/Nature-39-s-Way-Kids-Probiotic-Balls-50"," Nature's Way Kids Probiotic Balls 50")</f>
        <v xml:space="preserve"> Nature's Way Kids Probiotic Balls 50</v>
      </c>
      <c r="C11492" t="s">
        <v>202</v>
      </c>
      <c r="D11492" t="s">
        <v>150</v>
      </c>
    </row>
    <row r="11493" spans="1:4" x14ac:dyDescent="0.25">
      <c r="B11493" t="str">
        <f>HYPERLINK("https://www.chemistwarehouse.com.au/buy/65511/Nurofen-for-Children-5-12-Years-Orange-200mL"," Nurofen for Children 5-12 Years Orange 200mL")</f>
        <v xml:space="preserve"> Nurofen for Children 5-12 Years Orange 200mL</v>
      </c>
      <c r="C11493" t="s">
        <v>63</v>
      </c>
      <c r="D11493">
        <v>0</v>
      </c>
    </row>
    <row r="11494" spans="1:4" x14ac:dyDescent="0.25">
      <c r="B11494" t="str">
        <f>HYPERLINK("https://www.chemistwarehouse.com.au/buy/59911/Nurofen-for-Children-1-5-Years-Strawberry-200mL"," Nurofen for Children 1-5 Years Strawberry 200mL")</f>
        <v xml:space="preserve"> Nurofen for Children 1-5 Years Strawberry 200mL</v>
      </c>
      <c r="C11494" t="s">
        <v>187</v>
      </c>
      <c r="D11494">
        <v>0</v>
      </c>
    </row>
    <row r="11495" spans="1:4" x14ac:dyDescent="0.25">
      <c r="B11495" t="str">
        <f>HYPERLINK("https://www.chemistwarehouse.com.au/buy/68223/Panadol-Children-39-s-1-5-Years-Strawberry-200ml"," Panadol Children's 1-5 Years Strawberry 200ml")</f>
        <v xml:space="preserve"> Panadol Children's 1-5 Years Strawberry 200ml</v>
      </c>
      <c r="C11495" t="s">
        <v>80</v>
      </c>
      <c r="D11495">
        <v>0</v>
      </c>
    </row>
    <row r="11496" spans="1:4" x14ac:dyDescent="0.25">
      <c r="B11496" t="str">
        <f>HYPERLINK("https://www.chemistwarehouse.com.au/buy/65050/Bioglan-Gummies-Girls-Multivitamins-60-Gummies"," Bioglan Gummies Girls Multivitamins 60 Gummies")</f>
        <v xml:space="preserve"> Bioglan Gummies Girls Multivitamins 60 Gummies</v>
      </c>
      <c r="C11496" t="s">
        <v>80</v>
      </c>
      <c r="D11496" t="s">
        <v>397</v>
      </c>
    </row>
    <row r="11497" spans="1:4" x14ac:dyDescent="0.25">
      <c r="B11497" t="str">
        <f>HYPERLINK("https://www.chemistwarehouse.com.au/buy/69625/Banana-Boat-SPF-50-Kids-Clear-175g"," Banana Boat SPF 50+ Kids Clear 175g")</f>
        <v xml:space="preserve"> Banana Boat SPF 50+ Kids Clear 175g</v>
      </c>
      <c r="C11497" t="s">
        <v>202</v>
      </c>
      <c r="D11497" t="s">
        <v>281</v>
      </c>
    </row>
    <row r="11498" spans="1:4" x14ac:dyDescent="0.25">
      <c r="A11498" t="s">
        <v>2330</v>
      </c>
    </row>
    <row r="11499" spans="1:4" x14ac:dyDescent="0.25">
      <c r="B11499" t="str">
        <f>HYPERLINK("https://www.chemistwarehouse.com.au/buy/31334/Blackmores-Vitamin-B12-Cyanocobalamin-100mcg-75-Tablets"," Blackmores Vitamin B12 (Cyanocobalamin) 100mcg 75 Tablets")</f>
        <v xml:space="preserve"> Blackmores Vitamin B12 (Cyanocobalamin) 100mcg 75 Tablets</v>
      </c>
      <c r="C11499" t="s">
        <v>32</v>
      </c>
      <c r="D11499" t="s">
        <v>238</v>
      </c>
    </row>
    <row r="11500" spans="1:4" x14ac:dyDescent="0.25">
      <c r="B11500" t="str">
        <f>HYPERLINK("https://www.chemistwarehouse.com.au/buy/20621/Nature-39-s-Own-Vitamin-B12-1000mcg-60-Tablets"," Nature's Own Vitamin B12 1000mcg 60 Tablets")</f>
        <v xml:space="preserve"> Nature's Own Vitamin B12 1000mcg 60 Tablets</v>
      </c>
      <c r="C11500" t="s">
        <v>47</v>
      </c>
      <c r="D11500" t="s">
        <v>47</v>
      </c>
    </row>
    <row r="11501" spans="1:4" x14ac:dyDescent="0.25">
      <c r="B11501" t="str">
        <f>HYPERLINK("https://www.chemistwarehouse.com.au/buy/63317/Thompson-39-s-Ultra-B12-1000mcg-100-Tablets"," Thompson's Ultra B12 1000mcg 100 Tablets")</f>
        <v xml:space="preserve"> Thompson's Ultra B12 1000mcg 100 Tablets</v>
      </c>
      <c r="C11501" t="s">
        <v>8</v>
      </c>
      <c r="D11501" t="s">
        <v>154</v>
      </c>
    </row>
    <row r="11502" spans="1:4" x14ac:dyDescent="0.25">
      <c r="B11502" t="str">
        <f>HYPERLINK("https://www.chemistwarehouse.com.au/buy/20629/Nature-39-s-Own-Vitamin-B12-250mcg-75-Tablets"," Nature's Own Vitamin B12 250mcg 75 Tablets")</f>
        <v xml:space="preserve"> Nature's Own Vitamin B12 250mcg 75 Tablets</v>
      </c>
      <c r="C11502" t="s">
        <v>54</v>
      </c>
      <c r="D11502" t="s">
        <v>54</v>
      </c>
    </row>
    <row r="11503" spans="1:4" x14ac:dyDescent="0.25">
      <c r="A11503" t="s">
        <v>2331</v>
      </c>
    </row>
    <row r="11504" spans="1:4" x14ac:dyDescent="0.25">
      <c r="B11504" t="str">
        <f>HYPERLINK("https://www.chemistwarehouse.com.au/buy/71277/Oral-B-3D-White-Whitestrips-28-Treatments"," Oral B 3D White Whitestrips 28 Treatments")</f>
        <v xml:space="preserve"> Oral B 3D White Whitestrips 28 Treatments</v>
      </c>
      <c r="C11504" t="s">
        <v>279</v>
      </c>
      <c r="D11504" t="s">
        <v>112</v>
      </c>
    </row>
    <row r="11505" spans="1:4" x14ac:dyDescent="0.25">
      <c r="B11505" t="str">
        <f>HYPERLINK("https://www.chemistwarehouse.com.au/buy/74885/Oral-B-3D-White-Luxe-Paste-Glamorous-White-95g"," Oral B 3D White Luxe Paste Glamorous White 95g")</f>
        <v xml:space="preserve"> Oral B 3D White Luxe Paste Glamorous White 95g</v>
      </c>
      <c r="C11505" t="s">
        <v>1618</v>
      </c>
      <c r="D11505" t="s">
        <v>808</v>
      </c>
    </row>
    <row r="11506" spans="1:4" x14ac:dyDescent="0.25">
      <c r="B11506" t="str">
        <f>HYPERLINK("https://www.chemistwarehouse.com.au/buy/71350/Oral-B-3D-White-Brilliant-Mint-130g"," Oral B 3D White Brilliant Mint 130g")</f>
        <v xml:space="preserve"> Oral B 3D White Brilliant Mint 130g</v>
      </c>
      <c r="C11506" t="s">
        <v>64</v>
      </c>
      <c r="D11506" t="s">
        <v>1264</v>
      </c>
    </row>
    <row r="11507" spans="1:4" x14ac:dyDescent="0.25">
      <c r="B11507" t="str">
        <f>HYPERLINK("https://www.chemistwarehouse.com.au/buy/71322/Oral-B-3D-White-Rinse-Freshmint-473ml"," Oral B 3D White Rinse Freshmint 473ml")</f>
        <v xml:space="preserve"> Oral B 3D White Rinse Freshmint 473ml</v>
      </c>
      <c r="C11507" t="s">
        <v>2046</v>
      </c>
      <c r="D11507" t="s">
        <v>121</v>
      </c>
    </row>
    <row r="11508" spans="1:4" x14ac:dyDescent="0.25">
      <c r="A11508" t="s">
        <v>2332</v>
      </c>
    </row>
    <row r="11509" spans="1:4" x14ac:dyDescent="0.25">
      <c r="B11509" t="str">
        <f>HYPERLINK("https://www.chemistwarehouse.com.au/buy/71694/Herbal-Essences-Naked-Volume-Shampoo-300ml"," Herbal Essences Naked Volume Shampoo 300ml")</f>
        <v xml:space="preserve"> Herbal Essences Naked Volume Shampoo 300ml</v>
      </c>
      <c r="C11509" t="s">
        <v>691</v>
      </c>
      <c r="D11509" t="s">
        <v>806</v>
      </c>
    </row>
    <row r="11510" spans="1:4" x14ac:dyDescent="0.25">
      <c r="B11510" t="str">
        <f>HYPERLINK("https://www.chemistwarehouse.com.au/buy/71689/Herbal-Essences-Naked-Moisture-Conditioner-300ml"," Herbal Essences Naked Moisture Conditioner 300ml")</f>
        <v xml:space="preserve"> Herbal Essences Naked Moisture Conditioner 300ml</v>
      </c>
      <c r="C11510" t="s">
        <v>691</v>
      </c>
      <c r="D11510" t="s">
        <v>806</v>
      </c>
    </row>
    <row r="11511" spans="1:4" x14ac:dyDescent="0.25">
      <c r="B11511" t="str">
        <f>HYPERLINK("https://www.chemistwarehouse.com.au/buy/71690/Herbal-Essences-Naked-Shine-Conditioner-300ml"," Herbal Essences Naked Shine Conditioner 300ml")</f>
        <v xml:space="preserve"> Herbal Essences Naked Shine Conditioner 300ml</v>
      </c>
      <c r="C11511" t="s">
        <v>691</v>
      </c>
      <c r="D11511" t="s">
        <v>806</v>
      </c>
    </row>
    <row r="11512" spans="1:4" x14ac:dyDescent="0.25">
      <c r="B11512" t="str">
        <f>HYPERLINK("https://www.chemistwarehouse.com.au/buy/71691/Herbal-Essences-Naked-Volume-Conditioner-300ml"," Herbal Essences Naked Volume Conditioner 300ml")</f>
        <v xml:space="preserve"> Herbal Essences Naked Volume Conditioner 300ml</v>
      </c>
      <c r="C11512" t="s">
        <v>691</v>
      </c>
      <c r="D11512" t="s">
        <v>806</v>
      </c>
    </row>
    <row r="11513" spans="1:4" x14ac:dyDescent="0.25">
      <c r="B11513" t="str">
        <f>HYPERLINK("https://www.chemistwarehouse.com.au/buy/71692/Herbal-Essences-Naked-Moisture-Shampoo-300ml"," Herbal Essences Naked Moisture Shampoo 300ml")</f>
        <v xml:space="preserve"> Herbal Essences Naked Moisture Shampoo 300ml</v>
      </c>
      <c r="C11513" t="s">
        <v>691</v>
      </c>
      <c r="D11513" t="s">
        <v>806</v>
      </c>
    </row>
    <row r="11514" spans="1:4" x14ac:dyDescent="0.25">
      <c r="B11514" t="str">
        <f>HYPERLINK("https://www.chemistwarehouse.com.au/buy/71693/Herbal-Essences-Naked-Shine-Shampoo-300ml"," Herbal Essences Naked Shine Shampoo 300ml")</f>
        <v xml:space="preserve"> Herbal Essences Naked Shine Shampoo 300ml</v>
      </c>
      <c r="C11514" t="s">
        <v>691</v>
      </c>
      <c r="D11514" t="s">
        <v>806</v>
      </c>
    </row>
    <row r="11515" spans="1:4" x14ac:dyDescent="0.25">
      <c r="A11515" t="s">
        <v>2333</v>
      </c>
    </row>
    <row r="11516" spans="1:4" x14ac:dyDescent="0.25">
      <c r="B11516" t="str">
        <f>HYPERLINK("https://www.chemistwarehouse.com.au/buy/71392/Cenovis-Kids-Vita-Sprinkles-Multivitamin-Plain-90g"," Cenovis Kids Vita Sprinkles Multivitamin Plain 90g")</f>
        <v xml:space="preserve"> Cenovis Kids Vita Sprinkles Multivitamin Plain 90g</v>
      </c>
      <c r="C11516" t="s">
        <v>41</v>
      </c>
      <c r="D11516" t="s">
        <v>42</v>
      </c>
    </row>
    <row r="11517" spans="1:4" x14ac:dyDescent="0.25">
      <c r="A11517" t="s">
        <v>2334</v>
      </c>
    </row>
    <row r="11518" spans="1:4" x14ac:dyDescent="0.25">
      <c r="B11518" t="str">
        <f>HYPERLINK("https://www.chemistwarehouse.com.au/buy/69707/Bioglan-Red-Krill-Oil-1000mg-60-Capsules"," Bioglan Red Krill Oil 1000mg 60 Capsules")</f>
        <v xml:space="preserve"> Bioglan Red Krill Oil 1000mg 60 Capsules</v>
      </c>
      <c r="C11518" t="s">
        <v>6</v>
      </c>
      <c r="D11518" t="s">
        <v>382</v>
      </c>
    </row>
    <row r="11519" spans="1:4" x14ac:dyDescent="0.25">
      <c r="B11519" t="str">
        <f>HYPERLINK("https://www.chemistwarehouse.com.au/buy/67393/Cenovis-Krill-Oil-Glucosamine-60-Capsules"," Cenovis Krill Oil + Glucosamine 60 Capsules")</f>
        <v xml:space="preserve"> Cenovis Krill Oil + Glucosamine 60 Capsules</v>
      </c>
      <c r="C11519" t="s">
        <v>17</v>
      </c>
      <c r="D11519" t="s">
        <v>18</v>
      </c>
    </row>
    <row r="11520" spans="1:4" x14ac:dyDescent="0.25">
      <c r="B11520" t="str">
        <f>HYPERLINK("https://www.chemistwarehouse.com.au/buy/67494/Swisse-Ultiboost-High-Strength-Deep-Sea-Krill-Oil-1000mg-60-Capsules-Exclusive-Size"," Swisse Ultiboost High Strength Deep Sea Krill Oil 1000mg 60 Capsules Exclusive Size")</f>
        <v xml:space="preserve"> Swisse Ultiboost High Strength Deep Sea Krill Oil 1000mg 60 Capsules Exclusive Size</v>
      </c>
      <c r="C11520" t="s">
        <v>6</v>
      </c>
      <c r="D11520">
        <v>0</v>
      </c>
    </row>
    <row r="11521" spans="2:4" x14ac:dyDescent="0.25">
      <c r="B11521" t="str">
        <f>HYPERLINK("https://www.chemistwarehouse.com.au/buy/66369/Healthy-Care-Wild-Krill-Oil-500mg-100-Capsules"," Healthy Care Wild Krill Oil 500mg 100 Capsules")</f>
        <v xml:space="preserve"> Healthy Care Wild Krill Oil 500mg 100 Capsules</v>
      </c>
      <c r="C11521" t="s">
        <v>297</v>
      </c>
      <c r="D11521">
        <v>0</v>
      </c>
    </row>
    <row r="11522" spans="2:4" x14ac:dyDescent="0.25">
      <c r="B11522" t="str">
        <f>HYPERLINK("https://www.chemistwarehouse.com.au/buy/69893/Nature-39-s-Own-Mega-Krill-Oil-2000mg-30-Capsules"," Nature's Own Mega Krill Oil 2000mg 30 Capsules")</f>
        <v xml:space="preserve"> Nature's Own Mega Krill Oil 2000mg 30 Capsules</v>
      </c>
      <c r="C11522" t="s">
        <v>1</v>
      </c>
      <c r="D11522" t="s">
        <v>76</v>
      </c>
    </row>
    <row r="11523" spans="2:4" x14ac:dyDescent="0.25">
      <c r="B11523" t="str">
        <f>HYPERLINK("https://www.chemistwarehouse.com.au/buy/66521/Swisse-Ultiboost-Deep-Sea-Krill-Oil-500mg-60-Capsules"," Swisse Ultiboost Deep Sea Krill Oil 500mg 60 Capsules")</f>
        <v xml:space="preserve"> Swisse Ultiboost Deep Sea Krill Oil 500mg 60 Capsules</v>
      </c>
      <c r="C11523" t="s">
        <v>173</v>
      </c>
      <c r="D11523" t="s">
        <v>391</v>
      </c>
    </row>
    <row r="11524" spans="2:4" x14ac:dyDescent="0.25">
      <c r="B11524" t="str">
        <f>HYPERLINK("https://www.chemistwarehouse.com.au/buy/69708/Bioglan-Red-Krill-Oil-500mg-120-Capsules"," Bioglan Red Krill Oil 500mg 120 Capsules")</f>
        <v xml:space="preserve"> Bioglan Red Krill Oil 500mg 120 Capsules</v>
      </c>
      <c r="C11524" t="s">
        <v>123</v>
      </c>
      <c r="D11524" t="s">
        <v>383</v>
      </c>
    </row>
    <row r="11525" spans="2:4" x14ac:dyDescent="0.25">
      <c r="B11525" t="str">
        <f>HYPERLINK("https://www.chemistwarehouse.com.au/buy/66829/Carusos-Natural-Health-King-Krill-1000MG-60-Capsules"," Carusos Natural Health King Krill 1000MG 60 Capsules")</f>
        <v xml:space="preserve"> Carusos Natural Health King Krill 1000MG 60 Capsules</v>
      </c>
      <c r="C11525" t="s">
        <v>282</v>
      </c>
      <c r="D11525" t="s">
        <v>486</v>
      </c>
    </row>
    <row r="11526" spans="2:4" x14ac:dyDescent="0.25">
      <c r="B11526" t="str">
        <f>HYPERLINK("https://www.chemistwarehouse.com.au/buy/67036/Nature-39-s-Own-Ultra-Krill-Oil-1000mg-30-Capsules"," Nature's Own Ultra Krill Oil 1000mg 30 Capsules")</f>
        <v xml:space="preserve"> Nature's Own Ultra Krill Oil 1000mg 30 Capsules</v>
      </c>
      <c r="C11526" t="s">
        <v>77</v>
      </c>
      <c r="D11526" t="s">
        <v>78</v>
      </c>
    </row>
    <row r="11527" spans="2:4" x14ac:dyDescent="0.25">
      <c r="B11527" t="str">
        <f>HYPERLINK("https://www.chemistwarehouse.com.au/buy/67392/Bio-Organics-Krill-Oil-Glucosamine-60-Capsules"," Bio-Organics Krill Oil + Glucosamine 60 Capsules")</f>
        <v xml:space="preserve"> Bio-Organics Krill Oil + Glucosamine 60 Capsules</v>
      </c>
      <c r="C11527" t="s">
        <v>126</v>
      </c>
      <c r="D11527" t="s">
        <v>127</v>
      </c>
    </row>
    <row r="11528" spans="2:4" x14ac:dyDescent="0.25">
      <c r="B11528" t="str">
        <f>HYPERLINK("https://www.chemistwarehouse.com.au/buy/66667/Healthy-Care-Wild-Krill-1000mg-30-Capsules"," Healthy Care Wild Krill 1000mg 30 Capsules")</f>
        <v xml:space="preserve"> Healthy Care Wild Krill 1000mg 30 Capsules</v>
      </c>
      <c r="C11528" t="s">
        <v>61</v>
      </c>
      <c r="D11528">
        <v>0</v>
      </c>
    </row>
    <row r="11529" spans="2:4" x14ac:dyDescent="0.25">
      <c r="B11529" t="str">
        <f>HYPERLINK("https://www.chemistwarehouse.com.au/buy/67897/Nature-39-s-Way-Super-Krill-Oil-Plus-500mg-Krill-330mg-Fish-Oil-30-Capsules"," Nature's Way Super Krill Oil Plus 500mg Krill + 330mg Fish Oil 30 Capsules")</f>
        <v xml:space="preserve"> Nature's Way Super Krill Oil Plus 500mg Krill + 330mg Fish Oil 30 Capsules</v>
      </c>
      <c r="C11529" t="s">
        <v>237</v>
      </c>
      <c r="D11529" t="s">
        <v>169</v>
      </c>
    </row>
    <row r="11530" spans="2:4" x14ac:dyDescent="0.25">
      <c r="B11530" t="str">
        <f>HYPERLINK("https://www.chemistwarehouse.com.au/buy/68148/Healthy-Care-Wild-Krill-1500mg-30-Capsules"," Healthy Care Wild Krill 1500mg 30 Capsules")</f>
        <v xml:space="preserve"> Healthy Care Wild Krill 1500mg 30 Capsules</v>
      </c>
      <c r="C11530" t="s">
        <v>10</v>
      </c>
      <c r="D11530">
        <v>0</v>
      </c>
    </row>
    <row r="11531" spans="2:4" x14ac:dyDescent="0.25">
      <c r="B11531" t="str">
        <f>HYPERLINK("https://www.chemistwarehouse.com.au/buy/67679/Carusos-Natural-Health-King-Krill-1500mg-60-Capsules"," Carusos Natural Health King Krill 1500mg 60 Capsules")</f>
        <v xml:space="preserve"> Carusos Natural Health King Krill 1500mg 60 Capsules</v>
      </c>
      <c r="C11531" t="s">
        <v>491</v>
      </c>
      <c r="D11531" t="s">
        <v>492</v>
      </c>
    </row>
    <row r="11532" spans="2:4" x14ac:dyDescent="0.25">
      <c r="B11532" t="str">
        <f>HYPERLINK("https://www.chemistwarehouse.com.au/buy/67396/Healthy-Care-Fish-Oil-1000mg-amp-Krill-400-Capsules"," Healthy Care Fish Oil 1000mg &amp; Krill 400 Capsules")</f>
        <v xml:space="preserve"> Healthy Care Fish Oil 1000mg &amp; Krill 400 Capsules</v>
      </c>
      <c r="C11532" t="s">
        <v>10</v>
      </c>
      <c r="D11532">
        <v>0</v>
      </c>
    </row>
    <row r="11533" spans="2:4" x14ac:dyDescent="0.25">
      <c r="B11533" t="str">
        <f>HYPERLINK("https://www.chemistwarehouse.com.au/buy/66517/Nature-39-s-Way-Joint-Restore-Osteo-Krill-50caps"," Nature's Way Joint Restore Osteo Krill 50caps ")</f>
        <v xml:space="preserve"> Nature's Way Joint Restore Osteo Krill 50caps </v>
      </c>
      <c r="C11533" t="s">
        <v>161</v>
      </c>
      <c r="D11533" t="s">
        <v>169</v>
      </c>
    </row>
    <row r="11534" spans="2:4" x14ac:dyDescent="0.25">
      <c r="B11534" t="str">
        <f>HYPERLINK("https://www.chemistwarehouse.com.au/buy/67204/Cenovis-Krill-Oil-Fish-Oil-60-Capsules"," Cenovis Krill Oil + Fish Oil 60 Capsules")</f>
        <v xml:space="preserve"> Cenovis Krill Oil + Fish Oil 60 Capsules</v>
      </c>
      <c r="C11534" t="s">
        <v>24</v>
      </c>
      <c r="D11534" t="s">
        <v>25</v>
      </c>
    </row>
    <row r="11535" spans="2:4" x14ac:dyDescent="0.25">
      <c r="B11535" t="str">
        <f>HYPERLINK("https://www.chemistwarehouse.com.au/buy/67845/Cenovis-Once-Daily-Multivitamin-Krill-amp-Fish-Oil-50-Capsules"," Cenovis Once Daily Multivitamin + Krill &amp; Fish Oil 50 Capsules")</f>
        <v xml:space="preserve"> Cenovis Once Daily Multivitamin + Krill &amp; Fish Oil 50 Capsules</v>
      </c>
      <c r="C11535" t="s">
        <v>197</v>
      </c>
      <c r="D11535" t="s">
        <v>198</v>
      </c>
    </row>
    <row r="11536" spans="2:4" x14ac:dyDescent="0.25">
      <c r="B11536" t="str">
        <f>HYPERLINK("https://www.chemistwarehouse.com.au/buy/69780/Carusos-Natural-Health-King-Krill-2000mg-Vitamin-D3-30-Capsules"," Carusos Natural Health King Krill 2000mg + Vitamin D3 30 Capsules")</f>
        <v xml:space="preserve"> Carusos Natural Health King Krill 2000mg + Vitamin D3 30 Capsules</v>
      </c>
      <c r="C11536" t="s">
        <v>493</v>
      </c>
      <c r="D11536" t="s">
        <v>494</v>
      </c>
    </row>
    <row r="11537" spans="1:4" x14ac:dyDescent="0.25">
      <c r="B11537" t="str">
        <f>HYPERLINK("https://www.chemistwarehouse.com.au/buy/67391/Bioglan-Red-Krill-Oil-Active-Joints-60-Soft-Capsules"," Bioglan Red Krill Oil Active Joints 60 Soft Capsules")</f>
        <v xml:space="preserve"> Bioglan Red Krill Oil Active Joints 60 Soft Capsules</v>
      </c>
      <c r="C11537" t="s">
        <v>387</v>
      </c>
      <c r="D11537" t="s">
        <v>388</v>
      </c>
    </row>
    <row r="11538" spans="1:4" x14ac:dyDescent="0.25">
      <c r="A11538" t="s">
        <v>2335</v>
      </c>
    </row>
    <row r="11539" spans="1:4" x14ac:dyDescent="0.25">
      <c r="B11539" t="str">
        <f>HYPERLINK("https://www.chemistwarehouse.com.au/buy/47951/Vicks-Vaporub-Baby-Balsam-50g"," Vicks Vaporub Baby Balsam 50g")</f>
        <v xml:space="preserve"> Vicks Vaporub Baby Balsam 50g</v>
      </c>
      <c r="C11539" t="s">
        <v>32</v>
      </c>
      <c r="D11539" t="s">
        <v>371</v>
      </c>
    </row>
    <row r="11540" spans="1:4" x14ac:dyDescent="0.25">
      <c r="B11540" t="str">
        <f>HYPERLINK("https://www.chemistwarehouse.com.au/buy/68659/Vicks-Insight-Thermometer"," Vicks Insight Thermometer")</f>
        <v xml:space="preserve"> Vicks Insight Thermometer</v>
      </c>
      <c r="C11540" t="s">
        <v>1</v>
      </c>
      <c r="D11540" t="s">
        <v>165</v>
      </c>
    </row>
    <row r="11541" spans="1:4" x14ac:dyDescent="0.25">
      <c r="B11541" t="str">
        <f>HYPERLINK("https://www.chemistwarehouse.com.au/buy/63279/Vicks-Vapodrops-Buttermenthol-24"," Vicks Vapodrops Buttermenthol 24")</f>
        <v xml:space="preserve"> Vicks Vapodrops Buttermenthol 24</v>
      </c>
      <c r="C11541" t="s">
        <v>775</v>
      </c>
      <c r="D11541" t="s">
        <v>727</v>
      </c>
    </row>
    <row r="11542" spans="1:4" x14ac:dyDescent="0.25">
      <c r="B11542" t="str">
        <f>HYPERLINK("https://www.chemistwarehouse.com.au/buy/63067/Vicks-Sinex-Aloe-Nasal-Spray-15mL"," Vicks Sinex Aloe Nasal Spray 15mL")</f>
        <v xml:space="preserve"> Vicks Sinex Aloe Nasal Spray 15mL</v>
      </c>
      <c r="C11542" t="s">
        <v>98</v>
      </c>
      <c r="D11542">
        <v>0</v>
      </c>
    </row>
    <row r="11543" spans="1:4" x14ac:dyDescent="0.25">
      <c r="B11543" t="str">
        <f>HYPERLINK("https://www.chemistwarehouse.com.au/buy/63068/Vicks-Sinex-Extra-Fresh-Menthol-Nasal-Spray-15mL"," Vicks Sinex Extra Fresh Menthol Nasal Spray 15mL")</f>
        <v xml:space="preserve"> Vicks Sinex Extra Fresh Menthol Nasal Spray 15mL</v>
      </c>
      <c r="C11543" t="s">
        <v>98</v>
      </c>
      <c r="D11543">
        <v>0</v>
      </c>
    </row>
    <row r="11544" spans="1:4" x14ac:dyDescent="0.25">
      <c r="B11544" t="str">
        <f>HYPERLINK("https://www.chemistwarehouse.com.au/buy/8313/Vicks-Vaporub-Jar-50g"," Vicks Vaporub Jar 50g")</f>
        <v xml:space="preserve"> Vicks Vaporub Jar 50g</v>
      </c>
      <c r="C11544" t="s">
        <v>242</v>
      </c>
      <c r="D11544" t="s">
        <v>327</v>
      </c>
    </row>
    <row r="11545" spans="1:4" x14ac:dyDescent="0.25">
      <c r="B11545" t="str">
        <f>HYPERLINK("https://www.chemistwarehouse.com.au/buy/63277/Vicks-Vapodrops-Blue-Cooling-Peppermint-Lozenges-24"," Vicks Vapodrops Blue Cooling Peppermint Lozenges 24")</f>
        <v xml:space="preserve"> Vicks Vapodrops Blue Cooling Peppermint Lozenges 24</v>
      </c>
      <c r="C11545" t="s">
        <v>775</v>
      </c>
      <c r="D11545" t="s">
        <v>727</v>
      </c>
    </row>
    <row r="11546" spans="1:4" x14ac:dyDescent="0.25">
      <c r="B11546" t="str">
        <f>HYPERLINK("https://www.chemistwarehouse.com.au/buy/63278/Vicks-Vapodrops-Original-24"," Vicks Vapodrops Original 24")</f>
        <v xml:space="preserve"> Vicks Vapodrops Original 24</v>
      </c>
      <c r="C11546" t="s">
        <v>775</v>
      </c>
      <c r="D11546" t="s">
        <v>727</v>
      </c>
    </row>
    <row r="11547" spans="1:4" x14ac:dyDescent="0.25">
      <c r="B11547" t="str">
        <f>HYPERLINK("https://www.chemistwarehouse.com.au/buy/8314/Vicks-Vaporub-Vapourising-Ointment-Jar-100g"," Vicks Vaporub Vapourising Ointment Jar 100g")</f>
        <v xml:space="preserve"> Vicks Vaporub Vapourising Ointment Jar 100g</v>
      </c>
      <c r="C11547" t="s">
        <v>80</v>
      </c>
      <c r="D11547" t="s">
        <v>1640</v>
      </c>
    </row>
    <row r="11548" spans="1:4" x14ac:dyDescent="0.25">
      <c r="B11548" t="str">
        <f>HYPERLINK("https://www.chemistwarehouse.com.au/buy/63275/Vicks-Vapodrops-Liquicentre-22"," Vicks Vapodrops Liquicentre 22")</f>
        <v xml:space="preserve"> Vicks Vapodrops Liquicentre 22</v>
      </c>
      <c r="C11548" t="s">
        <v>775</v>
      </c>
      <c r="D11548" t="s">
        <v>727</v>
      </c>
    </row>
    <row r="11549" spans="1:4" x14ac:dyDescent="0.25">
      <c r="B11549" t="str">
        <f>HYPERLINK("https://www.chemistwarehouse.com.au/buy/65956/Vicks-Thermometer-Forehead"," Vicks Thermometer Forehead")</f>
        <v xml:space="preserve"> Vicks Thermometer Forehead</v>
      </c>
      <c r="C11549" t="s">
        <v>334</v>
      </c>
      <c r="D11549" t="s">
        <v>295</v>
      </c>
    </row>
    <row r="11550" spans="1:4" x14ac:dyDescent="0.25">
      <c r="B11550" t="str">
        <f>HYPERLINK("https://www.chemistwarehouse.com.au/buy/67890/Vicks-VapoNaturals-Cherry-Menthol-Re-seal-Bag-19"," Vicks VapoNaturals Cherry Menthol Re-seal Bag 19")</f>
        <v xml:space="preserve"> Vicks VapoNaturals Cherry Menthol Re-seal Bag 19</v>
      </c>
      <c r="C11550" t="s">
        <v>728</v>
      </c>
      <c r="D11550" t="s">
        <v>731</v>
      </c>
    </row>
    <row r="11551" spans="1:4" x14ac:dyDescent="0.25">
      <c r="B11551" t="str">
        <f>HYPERLINK("https://www.chemistwarehouse.com.au/buy/67891/Vicks-VapoNaturals-Lemon-Menthol-Re-seal-Bag-19"," Vicks VapoNaturals Lemon Menthol Re-seal Bag 19")</f>
        <v xml:space="preserve"> Vicks VapoNaturals Lemon Menthol Re-seal Bag 19</v>
      </c>
      <c r="C11551" t="s">
        <v>728</v>
      </c>
      <c r="D11551" t="s">
        <v>731</v>
      </c>
    </row>
    <row r="11552" spans="1:4" x14ac:dyDescent="0.25">
      <c r="B11552" t="str">
        <f>HYPERLINK("https://www.chemistwarehouse.com.au/buy/67892/Vicks-VapoNaturals-Honey-Fresh-Re-seal-Bag-19"," Vicks VapoNaturals Honey Fresh Re-seal Bag 19")</f>
        <v xml:space="preserve"> Vicks VapoNaturals Honey Fresh Re-seal Bag 19</v>
      </c>
      <c r="C11552" t="s">
        <v>728</v>
      </c>
      <c r="D11552" t="s">
        <v>731</v>
      </c>
    </row>
    <row r="11553" spans="1:4" x14ac:dyDescent="0.25">
      <c r="B11553" t="str">
        <f>HYPERLINK("https://www.chemistwarehouse.com.au/buy/71423/Vicks-VapoSteam-Double-Strength-100ml"," Vicks VapoSteam Double Strength 100ml")</f>
        <v xml:space="preserve"> Vicks VapoSteam Double Strength 100ml</v>
      </c>
      <c r="C11553" t="s">
        <v>103</v>
      </c>
      <c r="D11553" t="s">
        <v>397</v>
      </c>
    </row>
    <row r="11554" spans="1:4" x14ac:dyDescent="0.25">
      <c r="B11554" t="str">
        <f>HYPERLINK("https://www.chemistwarehouse.com.au/buy/8310/Vicks-Inhaler-Pocket-Pack"," Vicks Inhaler Pocket Pack")</f>
        <v xml:space="preserve"> Vicks Inhaler Pocket Pack</v>
      </c>
      <c r="C11554" t="s">
        <v>782</v>
      </c>
      <c r="D11554" t="s">
        <v>643</v>
      </c>
    </row>
    <row r="11555" spans="1:4" x14ac:dyDescent="0.25">
      <c r="A11555" t="s">
        <v>2336</v>
      </c>
    </row>
    <row r="11556" spans="1:4" x14ac:dyDescent="0.25">
      <c r="B11556" t="str">
        <f>HYPERLINK("https://www.chemistwarehouse.com.au/buy/71399/Heinz-Little-Kids-Honey-Oat-Bikkies-10-Pack"," Heinz Little Kids Honey Oat Bikkies 10 Pack")</f>
        <v xml:space="preserve"> Heinz Little Kids Honey Oat Bikkies 10 Pack</v>
      </c>
      <c r="C11556" t="s">
        <v>120</v>
      </c>
      <c r="D11556" t="s">
        <v>643</v>
      </c>
    </row>
    <row r="11557" spans="1:4" x14ac:dyDescent="0.25">
      <c r="B11557" t="str">
        <f>HYPERLINK("https://www.chemistwarehouse.com.au/buy/34362/Heinz-Nurture-Original-Follow-On-Formula-900g"," Heinz Nurture Original Follow-On Formula 900g")</f>
        <v xml:space="preserve"> Heinz Nurture Original Follow-On Formula 900g</v>
      </c>
      <c r="C11557" t="s">
        <v>105</v>
      </c>
      <c r="D11557" t="s">
        <v>611</v>
      </c>
    </row>
    <row r="11558" spans="1:4" x14ac:dyDescent="0.25">
      <c r="B11558" t="str">
        <f>HYPERLINK("https://www.chemistwarehouse.com.au/buy/71398/Heinz-Little-Kids-Corn-Cakes-Tomato-40g"," Heinz Little Kids Corn Cakes Tomato 40g")</f>
        <v xml:space="preserve"> Heinz Little Kids Corn Cakes Tomato 40g</v>
      </c>
      <c r="C11558" t="s">
        <v>728</v>
      </c>
      <c r="D11558" t="s">
        <v>643</v>
      </c>
    </row>
    <row r="11559" spans="1:4" x14ac:dyDescent="0.25">
      <c r="B11559" t="str">
        <f>HYPERLINK("https://www.chemistwarehouse.com.au/buy/71403/Heinz-Little-Kids-Whole-Grain-Cereal-Bars-Apple-Blueberry-6-Pack"," Heinz Little Kids Whole Grain Cereal Bars Apple Blueberry 6 Pack")</f>
        <v xml:space="preserve"> Heinz Little Kids Whole Grain Cereal Bars Apple Blueberry 6 Pack</v>
      </c>
      <c r="C11559" t="s">
        <v>483</v>
      </c>
      <c r="D11559" t="s">
        <v>1283</v>
      </c>
    </row>
    <row r="11560" spans="1:4" x14ac:dyDescent="0.25">
      <c r="B11560" t="str">
        <f>HYPERLINK("https://www.chemistwarehouse.com.au/buy/71406/Heinz-Organic-Rice-Cakes-40g"," Heinz Organic Rice Cakes 40g")</f>
        <v xml:space="preserve"> Heinz Organic Rice Cakes 40g</v>
      </c>
      <c r="C11560" t="s">
        <v>775</v>
      </c>
      <c r="D11560" t="s">
        <v>776</v>
      </c>
    </row>
    <row r="11561" spans="1:4" x14ac:dyDescent="0.25">
      <c r="B11561" t="str">
        <f>HYPERLINK("https://www.chemistwarehouse.com.au/buy/71400/Heinz-Little-Kids-Muesli-Fingers-Fruit-Salad-6-Pack"," Heinz Little Kids Muesli Fingers Fruit Salad 6 Pack")</f>
        <v xml:space="preserve"> Heinz Little Kids Muesli Fingers Fruit Salad 6 Pack</v>
      </c>
      <c r="C11561" t="s">
        <v>775</v>
      </c>
      <c r="D11561" t="s">
        <v>1257</v>
      </c>
    </row>
    <row r="11562" spans="1:4" x14ac:dyDescent="0.25">
      <c r="B11562" t="str">
        <f>HYPERLINK("https://www.chemistwarehouse.com.au/buy/71404/Heinz-Little-Kids-Whole-Grain-Cereal-Bars-Apple-amp-Strawberry-Yoghurt-6-Pack"," Heinz Little Kids Whole Grain Cereal Bars Apple &amp; Strawberry Yoghurt 6 Pack")</f>
        <v xml:space="preserve"> Heinz Little Kids Whole Grain Cereal Bars Apple &amp; Strawberry Yoghurt 6 Pack</v>
      </c>
      <c r="C11562" t="s">
        <v>483</v>
      </c>
      <c r="D11562" t="s">
        <v>1283</v>
      </c>
    </row>
    <row r="11563" spans="1:4" x14ac:dyDescent="0.25">
      <c r="B11563" t="str">
        <f>HYPERLINK("https://www.chemistwarehouse.com.au/buy/41738/Heinz-Nurture-Gold-Starter-Formula-900g"," Heinz Nurture Gold Starter Formula 900g")</f>
        <v xml:space="preserve"> Heinz Nurture Gold Starter Formula 900g</v>
      </c>
      <c r="C11563" t="s">
        <v>61</v>
      </c>
      <c r="D11563" t="s">
        <v>281</v>
      </c>
    </row>
    <row r="11564" spans="1:4" x14ac:dyDescent="0.25">
      <c r="B11564" t="str">
        <f>HYPERLINK("https://www.chemistwarehouse.com.au/buy/55276/Heinz-Nurture-Original-Infant-Formula-900g"," Heinz Nurture Original Infant Formula 900g")</f>
        <v xml:space="preserve"> Heinz Nurture Original Infant Formula 900g</v>
      </c>
      <c r="C11564" t="s">
        <v>105</v>
      </c>
      <c r="D11564" t="s">
        <v>611</v>
      </c>
    </row>
    <row r="11565" spans="1:4" x14ac:dyDescent="0.25">
      <c r="B11565" t="str">
        <f>HYPERLINK("https://www.chemistwarehouse.com.au/buy/57002/Heinz-Nurture-Gold-Toddler-Formula-900g"," Heinz Nurture Gold Toddler Formula 900g")</f>
        <v xml:space="preserve"> Heinz Nurture Gold Toddler Formula 900g</v>
      </c>
      <c r="C11565" t="s">
        <v>202</v>
      </c>
      <c r="D11565" t="s">
        <v>115</v>
      </c>
    </row>
    <row r="11566" spans="1:4" x14ac:dyDescent="0.25">
      <c r="B11566" t="str">
        <f>HYPERLINK("https://www.chemistwarehouse.com.au/buy/58045/Heinz-Nurture-Gold-Follow-On-Formula-900g"," Heinz Nurture Gold Follow On Formula 900g")</f>
        <v xml:space="preserve"> Heinz Nurture Gold Follow On Formula 900g</v>
      </c>
      <c r="C11566" t="s">
        <v>61</v>
      </c>
      <c r="D11566" t="s">
        <v>281</v>
      </c>
    </row>
    <row r="11567" spans="1:4" x14ac:dyDescent="0.25">
      <c r="B11567" t="str">
        <f>HYPERLINK("https://www.chemistwarehouse.com.au/buy/58612/Heinz-Nurture-Original-Toddler-Formula-900g"," Heinz Nurture Original Toddler Formula 900g")</f>
        <v xml:space="preserve"> Heinz Nurture Original Toddler Formula 900g</v>
      </c>
      <c r="C11567" t="s">
        <v>443</v>
      </c>
      <c r="D11567" t="s">
        <v>611</v>
      </c>
    </row>
    <row r="11568" spans="1:4" x14ac:dyDescent="0.25">
      <c r="B11568" t="str">
        <f>HYPERLINK("https://www.chemistwarehouse.com.au/buy/63314/Heinz-Teething-Rusks-100g"," Heinz Teething Rusks 100g")</f>
        <v xml:space="preserve"> Heinz Teething Rusks 100g</v>
      </c>
      <c r="C11568" t="s">
        <v>728</v>
      </c>
      <c r="D11568" t="s">
        <v>754</v>
      </c>
    </row>
    <row r="11569" spans="1:4" x14ac:dyDescent="0.25">
      <c r="A11569" t="s">
        <v>2337</v>
      </c>
    </row>
    <row r="11570" spans="1:4" x14ac:dyDescent="0.25">
      <c r="B11570" t="str">
        <f>HYPERLINK("https://www.chemistwarehouse.com.au/buy/58598/Colgate-Travel-Pack"," Colgate Travel Pack")</f>
        <v xml:space="preserve"> Colgate Travel Pack</v>
      </c>
      <c r="C11570" t="s">
        <v>116</v>
      </c>
      <c r="D11570" t="s">
        <v>371</v>
      </c>
    </row>
    <row r="11571" spans="1:4" x14ac:dyDescent="0.25">
      <c r="B11571" t="str">
        <f>HYPERLINK("https://www.chemistwarehouse.com.au/buy/65257/Wet-Ones-Be-Gentle-15-Travel-Pack"," Wet Ones Be Gentle 15 Travel Pack ")</f>
        <v xml:space="preserve"> Wet Ones Be Gentle 15 Travel Pack </v>
      </c>
      <c r="C11571" t="s">
        <v>635</v>
      </c>
      <c r="D11571">
        <v>0</v>
      </c>
    </row>
    <row r="11572" spans="1:4" x14ac:dyDescent="0.25">
      <c r="B11572" t="str">
        <f>HYPERLINK("https://www.chemistwarehouse.com.au/buy/71864/Travelan-30-Caplets"," Travelan 30 Caplets")</f>
        <v xml:space="preserve"> Travelan 30 Caplets</v>
      </c>
      <c r="C11572" t="s">
        <v>279</v>
      </c>
      <c r="D11572" t="s">
        <v>162</v>
      </c>
    </row>
    <row r="11573" spans="1:4" x14ac:dyDescent="0.25">
      <c r="B11573" t="str">
        <f>HYPERLINK("https://www.chemistwarehouse.com.au/buy/7673/Sea-Band-for-Travel-Sickness-Band-1-Pair"," Sea-Band for Travel Sickness Band 1 Pair")</f>
        <v xml:space="preserve"> Sea-Band for Travel Sickness Band 1 Pair</v>
      </c>
      <c r="C11573" t="s">
        <v>301</v>
      </c>
      <c r="D11573" t="s">
        <v>558</v>
      </c>
    </row>
    <row r="11574" spans="1:4" x14ac:dyDescent="0.25">
      <c r="B11574" t="str">
        <f>HYPERLINK("https://www.chemistwarehouse.com.au/buy/31330/Blackmores-Travel-Calm-Ginger-45-Tablets"," Blackmores Travel Calm Ginger 45 Tablets")</f>
        <v xml:space="preserve"> Blackmores Travel Calm Ginger 45 Tablets</v>
      </c>
      <c r="C11574" t="s">
        <v>211</v>
      </c>
      <c r="D11574" t="s">
        <v>108</v>
      </c>
    </row>
    <row r="11575" spans="1:4" x14ac:dyDescent="0.25">
      <c r="B11575" t="str">
        <f>HYPERLINK("https://www.chemistwarehouse.com.au/buy/65260/Wet-Ones-Grubby-Fingers-15-Travel-Pack"," Wet Ones Grubby Fingers 15 Travel Pack")</f>
        <v xml:space="preserve"> Wet Ones Grubby Fingers 15 Travel Pack</v>
      </c>
      <c r="C11575" t="s">
        <v>635</v>
      </c>
      <c r="D11575">
        <v>0</v>
      </c>
    </row>
    <row r="11576" spans="1:4" x14ac:dyDescent="0.25">
      <c r="B11576" t="str">
        <f>HYPERLINK("https://www.chemistwarehouse.com.au/buy/68844/Health-amp-Beauty-Baby-Wipes-3x30-Travel-Pack"," Health &amp; Beauty Baby Wipes 3x30 Travel Pack")</f>
        <v xml:space="preserve"> Health &amp; Beauty Baby Wipes 3x30 Travel Pack</v>
      </c>
      <c r="C11576" t="s">
        <v>146</v>
      </c>
      <c r="D11576">
        <v>0</v>
      </c>
    </row>
    <row r="11577" spans="1:4" x14ac:dyDescent="0.25">
      <c r="B11577" t="str">
        <f>HYPERLINK("https://www.chemistwarehouse.com.au/buy/70077/Cancer-Council-SPF-30-35ml-Traveller"," Cancer Council SPF 30+ 35ml Traveller")</f>
        <v xml:space="preserve"> Cancer Council SPF 30+ 35ml Traveller</v>
      </c>
      <c r="C11577" t="s">
        <v>483</v>
      </c>
      <c r="D11577" t="s">
        <v>158</v>
      </c>
    </row>
    <row r="11578" spans="1:4" x14ac:dyDescent="0.25">
      <c r="B11578" t="str">
        <f>HYPERLINK("https://www.chemistwarehouse.com.au/buy/59638/Manicare-Travel-Boarding-Set"," Manicare Travel Boarding Set")</f>
        <v xml:space="preserve"> Manicare Travel Boarding Set</v>
      </c>
      <c r="C11578" t="s">
        <v>212</v>
      </c>
      <c r="D11578" t="s">
        <v>318</v>
      </c>
    </row>
    <row r="11579" spans="1:4" x14ac:dyDescent="0.25">
      <c r="B11579" t="str">
        <f>HYPERLINK("https://www.chemistwarehouse.com.au/buy/59639/Manicare-Travel-Cosmetic-Jars-Pack-2"," Manicare Travel Cosmetic Jars Pack 2 ")</f>
        <v xml:space="preserve"> Manicare Travel Cosmetic Jars Pack 2 </v>
      </c>
      <c r="C11579" t="s">
        <v>556</v>
      </c>
      <c r="D11579" t="s">
        <v>371</v>
      </c>
    </row>
    <row r="11580" spans="1:4" x14ac:dyDescent="0.25">
      <c r="B11580" t="str">
        <f>HYPERLINK("https://www.chemistwarehouse.com.au/buy/59640/Manicare-Travel-Tubes-2-Pck"," Manicare Travel Tubes 2 Pck")</f>
        <v xml:space="preserve"> Manicare Travel Tubes 2 Pck</v>
      </c>
      <c r="C11580" t="s">
        <v>92</v>
      </c>
      <c r="D11580" t="s">
        <v>593</v>
      </c>
    </row>
    <row r="11581" spans="1:4" x14ac:dyDescent="0.25">
      <c r="B11581" t="str">
        <f>HYPERLINK("https://www.chemistwarehouse.com.au/buy/59641/Manicare-Travel-Bottles-2-Pack"," Manicare Travel Bottles 2 Pack")</f>
        <v xml:space="preserve"> Manicare Travel Bottles 2 Pack</v>
      </c>
      <c r="C11581" t="s">
        <v>556</v>
      </c>
      <c r="D11581" t="s">
        <v>371</v>
      </c>
    </row>
    <row r="11582" spans="1:4" x14ac:dyDescent="0.25">
      <c r="B11582" t="str">
        <f>HYPERLINK("https://www.chemistwarehouse.com.au/buy/62433/Lady-Jayne-Travel-Brush"," Lady Jayne Travel Brush")</f>
        <v xml:space="preserve"> Lady Jayne Travel Brush</v>
      </c>
      <c r="C11582" t="s">
        <v>326</v>
      </c>
      <c r="D11582" t="s">
        <v>318</v>
      </c>
    </row>
    <row r="11583" spans="1:4" x14ac:dyDescent="0.25">
      <c r="B11583" t="str">
        <f>HYPERLINK("https://www.chemistwarehouse.com.au/buy/64174/Ethical-Nutrients-Travel-Bug-30-Capsules"," Ethical Nutrients Travel Bug 30 Capsules")</f>
        <v xml:space="preserve"> Ethical Nutrients Travel Bug 30 Capsules</v>
      </c>
      <c r="C11583" t="s">
        <v>161</v>
      </c>
      <c r="D11583" t="s">
        <v>93</v>
      </c>
    </row>
    <row r="11584" spans="1:4" x14ac:dyDescent="0.25">
      <c r="B11584" t="str">
        <f>HYPERLINK("https://www.chemistwarehouse.com.au/buy/49853/Oapl-Travel-Socks-Medium-Beige"," Oapl Travel Socks Medium Beige")</f>
        <v xml:space="preserve"> Oapl Travel Socks Medium Beige</v>
      </c>
      <c r="C11584" t="s">
        <v>1</v>
      </c>
      <c r="D11584" t="s">
        <v>2167</v>
      </c>
    </row>
    <row r="11585" spans="1:4" x14ac:dyDescent="0.25">
      <c r="B11585" t="str">
        <f>HYPERLINK("https://www.chemistwarehouse.com.au/buy/49854/Oapl-Travel-Socks-Small-Beige"," Oapl Travel Socks Small Beige")</f>
        <v xml:space="preserve"> Oapl Travel Socks Small Beige</v>
      </c>
      <c r="C11585" t="s">
        <v>1</v>
      </c>
      <c r="D11585" t="s">
        <v>2167</v>
      </c>
    </row>
    <row r="11586" spans="1:4" x14ac:dyDescent="0.25">
      <c r="B11586" t="str">
        <f>HYPERLINK("https://www.chemistwarehouse.com.au/buy/55192/Travacalm-Travel-Band-2-Pack"," Travacalm Travel Band 2 Pack")</f>
        <v xml:space="preserve"> Travacalm Travel Band 2 Pack</v>
      </c>
      <c r="C11586" t="s">
        <v>187</v>
      </c>
      <c r="D11586" t="s">
        <v>397</v>
      </c>
    </row>
    <row r="11587" spans="1:4" x14ac:dyDescent="0.25">
      <c r="B11587" t="str">
        <f>HYPERLINK("https://www.chemistwarehouse.com.au/buy/56711/Travel-Minis-For-Men-4-Piece"," Travel Minis For Men 4 Piece")</f>
        <v xml:space="preserve"> Travel Minis For Men 4 Piece</v>
      </c>
      <c r="C11587" t="s">
        <v>45</v>
      </c>
      <c r="D11587" t="s">
        <v>312</v>
      </c>
    </row>
    <row r="11588" spans="1:4" x14ac:dyDescent="0.25">
      <c r="B11588" t="str">
        <f>HYPERLINK("https://www.chemistwarehouse.com.au/buy/56712/Travel-Minis-For-Women-5-Piece"," Travel Minis For Women 5 Piece")</f>
        <v xml:space="preserve"> Travel Minis For Women 5 Piece</v>
      </c>
      <c r="C11588" t="s">
        <v>45</v>
      </c>
      <c r="D11588" t="s">
        <v>312</v>
      </c>
    </row>
    <row r="11589" spans="1:4" x14ac:dyDescent="0.25">
      <c r="B11589" t="str">
        <f>HYPERLINK("https://www.chemistwarehouse.com.au/buy/58292/Oapl-41032-Travel-Stockings-Black-Small"," Oapl 41032 Travel Stockings Black Small")</f>
        <v xml:space="preserve"> Oapl 41032 Travel Stockings Black Small</v>
      </c>
      <c r="C11589" t="s">
        <v>1</v>
      </c>
      <c r="D11589" t="s">
        <v>2167</v>
      </c>
    </row>
    <row r="11590" spans="1:4" x14ac:dyDescent="0.25">
      <c r="B11590" t="str">
        <f>HYPERLINK("https://www.chemistwarehouse.com.au/buy/58293/Oapl-41034-Travel-Stockings-Black-Large"," Oapl 41034 Travel Stockings Black Large")</f>
        <v xml:space="preserve"> Oapl 41034 Travel Stockings Black Large</v>
      </c>
      <c r="C11590" t="s">
        <v>1</v>
      </c>
      <c r="D11590" t="s">
        <v>2167</v>
      </c>
    </row>
    <row r="11591" spans="1:4" x14ac:dyDescent="0.25">
      <c r="B11591" t="str">
        <f>HYPERLINK("https://www.chemistwarehouse.com.au/buy/58294/Oapl-41035-Travel-Stockings-Black-Extra-Large"," Oapl 41035 Travel Stockings Black Extra Large")</f>
        <v xml:space="preserve"> Oapl 41035 Travel Stockings Black Extra Large</v>
      </c>
      <c r="C11591" t="s">
        <v>1</v>
      </c>
      <c r="D11591" t="s">
        <v>2167</v>
      </c>
    </row>
    <row r="11592" spans="1:4" x14ac:dyDescent="0.25">
      <c r="B11592" t="str">
        <f>HYPERLINK("https://www.chemistwarehouse.com.au/buy/58295/Oapl-41038-Travel-Stockings-Beige-Large"," Oapl 41038 Travel Stockings Beige Large")</f>
        <v xml:space="preserve"> Oapl 41038 Travel Stockings Beige Large</v>
      </c>
      <c r="C11592" t="s">
        <v>1</v>
      </c>
      <c r="D11592" t="s">
        <v>2167</v>
      </c>
    </row>
    <row r="11593" spans="1:4" x14ac:dyDescent="0.25">
      <c r="B11593" t="str">
        <f>HYPERLINK("https://www.chemistwarehouse.com.au/buy/58296/Oapl-41039-Travel-Stockings-Beige-Extra-Large"," Oapl 41039 Travel Stockings Beige Extra Large")</f>
        <v xml:space="preserve"> Oapl 41039 Travel Stockings Beige Extra Large</v>
      </c>
      <c r="C11593" t="s">
        <v>1</v>
      </c>
      <c r="D11593" t="s">
        <v>2167</v>
      </c>
    </row>
    <row r="11594" spans="1:4" x14ac:dyDescent="0.25">
      <c r="A11594" t="s">
        <v>2338</v>
      </c>
    </row>
    <row r="11595" spans="1:4" x14ac:dyDescent="0.25">
      <c r="B11595" t="str">
        <f>HYPERLINK("https://www.chemistwarehouse.com.au/buy/71581/BodyAssist-Cotton-Arthritis-Gloves-Large-1-Pair"," BodyAssist Cotton Arthritis Gloves Large 1 Pair")</f>
        <v xml:space="preserve"> BodyAssist Cotton Arthritis Gloves Large 1 Pair</v>
      </c>
      <c r="C11595" t="s">
        <v>1</v>
      </c>
      <c r="D11595" t="s">
        <v>160</v>
      </c>
    </row>
    <row r="11596" spans="1:4" x14ac:dyDescent="0.25">
      <c r="B11596" t="str">
        <f>HYPERLINK("https://www.chemistwarehouse.com.au/buy/71582/BodyAssist-Cotton-Arthritis-Gloves-Medium-1-Pair"," BodyAssist Cotton Arthritis Gloves Medium 1 Pair")</f>
        <v xml:space="preserve"> BodyAssist Cotton Arthritis Gloves Medium 1 Pair</v>
      </c>
      <c r="C11596" t="s">
        <v>1</v>
      </c>
      <c r="D11596" t="s">
        <v>160</v>
      </c>
    </row>
    <row r="11597" spans="1:4" x14ac:dyDescent="0.25">
      <c r="B11597" t="str">
        <f>HYPERLINK("https://www.chemistwarehouse.com.au/buy/71583/BodyAssist-Cotton-Arthritis-Gloves-Small-1-Pair"," BodyAssist Cotton Arthritis Gloves Small 1 Pair")</f>
        <v xml:space="preserve"> BodyAssist Cotton Arthritis Gloves Small 1 Pair</v>
      </c>
      <c r="C11597" t="s">
        <v>1</v>
      </c>
      <c r="D11597" t="s">
        <v>160</v>
      </c>
    </row>
    <row r="11598" spans="1:4" x14ac:dyDescent="0.25">
      <c r="A11598" t="s">
        <v>2339</v>
      </c>
    </row>
    <row r="11599" spans="1:4" x14ac:dyDescent="0.25">
      <c r="B11599" t="str">
        <f>HYPERLINK("https://www.chemistwarehouse.com.au/buy/67499/Swisse-High-Strength-Organic-Spirulina-1000mg-200-Tablets"," Swisse High Strength Organic Spirulina 1000mg 200 Tablets")</f>
        <v xml:space="preserve"> Swisse High Strength Organic Spirulina 1000mg 200 Tablets</v>
      </c>
      <c r="C11599" t="s">
        <v>216</v>
      </c>
      <c r="D11599" t="s">
        <v>422</v>
      </c>
    </row>
    <row r="11600" spans="1:4" x14ac:dyDescent="0.25">
      <c r="B11600" t="str">
        <f>HYPERLINK("https://www.chemistwarehouse.com.au/buy/67492/Swisse-High-Strength-Chlorophyll-1000mg-200-Tablets"," Swisse High Strength Chlorophyll+ 1000mg 200 Tablets")</f>
        <v xml:space="preserve"> Swisse High Strength Chlorophyll+ 1000mg 200 Tablets</v>
      </c>
      <c r="C11600" t="s">
        <v>279</v>
      </c>
      <c r="D11600" t="s">
        <v>11</v>
      </c>
    </row>
    <row r="11601" spans="2:4" x14ac:dyDescent="0.25">
      <c r="B11601" t="str">
        <f>HYPERLINK("https://www.chemistwarehouse.com.au/buy/57462/Healthy-Care-Super-Flaxseed-Oil-1000mg-200-Capsules"," Healthy Care Super Flaxseed Oil 1000mg 200 Capsules")</f>
        <v xml:space="preserve"> Healthy Care Super Flaxseed Oil 1000mg 200 Capsules</v>
      </c>
      <c r="C11601" t="s">
        <v>58</v>
      </c>
      <c r="D11601">
        <v>0</v>
      </c>
    </row>
    <row r="11602" spans="2:4" x14ac:dyDescent="0.25">
      <c r="B11602" t="str">
        <f>HYPERLINK("https://www.chemistwarehouse.com.au/buy/54827/Healthy-Care-Super-Spirulina-400"," Healthy Care Super Spirulina 400")</f>
        <v xml:space="preserve"> Healthy Care Super Spirulina 400</v>
      </c>
      <c r="C11602" t="s">
        <v>6</v>
      </c>
      <c r="D11602">
        <v>0</v>
      </c>
    </row>
    <row r="11603" spans="2:4" x14ac:dyDescent="0.25">
      <c r="B11603" t="str">
        <f>HYPERLINK("https://www.chemistwarehouse.com.au/buy/48420/Nature-39-s-Own-Flaxseed-Oil-125-Capsules"," Nature's Own Flaxseed Oil 125 Capsules")</f>
        <v xml:space="preserve"> Nature's Own Flaxseed Oil 125 Capsules</v>
      </c>
      <c r="C11603" t="s">
        <v>19</v>
      </c>
      <c r="D11603" t="s">
        <v>20</v>
      </c>
    </row>
    <row r="11604" spans="2:4" x14ac:dyDescent="0.25">
      <c r="B11604" t="str">
        <f>HYPERLINK("https://www.chemistwarehouse.com.au/buy/51330/Melrose-Organic-Flaxseed-Oil-1000mg-250-Softgel-Capsules"," Melrose Organic Flaxseed Oil 1000mg 250 Softgel Capsules")</f>
        <v xml:space="preserve"> Melrose Organic Flaxseed Oil 1000mg 250 Softgel Capsules</v>
      </c>
      <c r="C11604" t="s">
        <v>125</v>
      </c>
      <c r="D11604" t="s">
        <v>574</v>
      </c>
    </row>
    <row r="11605" spans="2:4" x14ac:dyDescent="0.25">
      <c r="B11605" t="str">
        <f>HYPERLINK("https://www.chemistwarehouse.com.au/buy/66770/Bioglan-Organic-Chia-Seeds-250g"," Bioglan Organic Chia Seeds 250g")</f>
        <v xml:space="preserve"> Bioglan Organic Chia Seeds 250g</v>
      </c>
      <c r="C11605" t="s">
        <v>116</v>
      </c>
      <c r="D11605" t="s">
        <v>155</v>
      </c>
    </row>
    <row r="11606" spans="2:4" x14ac:dyDescent="0.25">
      <c r="B11606" t="str">
        <f>HYPERLINK("https://www.chemistwarehouse.com.au/buy/67493/Swisse-Chlorophyll-Mixed-Berry-500ml"," Swisse Chlorophyll Mixed Berry 500ml")</f>
        <v xml:space="preserve"> Swisse Chlorophyll Mixed Berry 500ml</v>
      </c>
      <c r="C11606" t="s">
        <v>58</v>
      </c>
      <c r="D11606" t="s">
        <v>283</v>
      </c>
    </row>
    <row r="11607" spans="2:4" x14ac:dyDescent="0.25">
      <c r="B11607" t="str">
        <f>HYPERLINK("https://www.chemistwarehouse.com.au/buy/72899/Bioglan-Superfoods-Maca-100-Tablets"," Bioglan Superfoods Maca 100 Tablets")</f>
        <v xml:space="preserve"> Bioglan Superfoods Maca 100 Tablets</v>
      </c>
      <c r="C11607" t="s">
        <v>173</v>
      </c>
      <c r="D11607" t="s">
        <v>93</v>
      </c>
    </row>
    <row r="11608" spans="2:4" x14ac:dyDescent="0.25">
      <c r="B11608" t="str">
        <f>HYPERLINK("https://www.chemistwarehouse.com.au/buy/72584/Nature-39-s-Way-Super-Foods-Maca-100g"," Nature's Way Super Foods Maca 100g")</f>
        <v xml:space="preserve"> Nature's Way Super Foods Maca 100g</v>
      </c>
      <c r="C11608" t="s">
        <v>92</v>
      </c>
      <c r="D11608" t="s">
        <v>115</v>
      </c>
    </row>
    <row r="11609" spans="2:4" x14ac:dyDescent="0.25">
      <c r="B11609" t="str">
        <f>HYPERLINK("https://www.chemistwarehouse.com.au/buy/72585/Nature-39-s-Way-Super-Greens-Boost-300g"," Nature's Way Super Greens Boost 300g")</f>
        <v xml:space="preserve"> Nature's Way Super Greens Boost 300g</v>
      </c>
      <c r="C11609" t="s">
        <v>166</v>
      </c>
      <c r="D11609" t="s">
        <v>227</v>
      </c>
    </row>
    <row r="11610" spans="2:4" x14ac:dyDescent="0.25">
      <c r="B11610" t="str">
        <f>HYPERLINK("https://www.chemistwarehouse.com.au/buy/72136/Healthy-Way-Black-Chia-500g"," Healthy Way Black Chia 500g")</f>
        <v xml:space="preserve"> Healthy Way Black Chia 500g</v>
      </c>
      <c r="C11610" t="s">
        <v>32</v>
      </c>
      <c r="D11610">
        <v>0</v>
      </c>
    </row>
    <row r="11611" spans="2:4" x14ac:dyDescent="0.25">
      <c r="B11611" t="str">
        <f>HYPERLINK("https://www.chemistwarehouse.com.au/buy/69398/Bioglan-Organic-Chia-Seeds-500g"," Bioglan Organic Chia Seeds 500g")</f>
        <v xml:space="preserve"> Bioglan Organic Chia Seeds 500g</v>
      </c>
      <c r="C11611" t="s">
        <v>45</v>
      </c>
      <c r="D11611">
        <v>0</v>
      </c>
    </row>
    <row r="11612" spans="2:4" x14ac:dyDescent="0.25">
      <c r="B11612" t="str">
        <f>HYPERLINK("https://www.chemistwarehouse.com.au/buy/58504/Swisse-Chlorophyll-Spearmint-500ml"," Swisse Chlorophyll Spearmint 500ml")</f>
        <v xml:space="preserve"> Swisse Chlorophyll Spearmint 500ml</v>
      </c>
      <c r="C11612" t="s">
        <v>58</v>
      </c>
      <c r="D11612" t="s">
        <v>283</v>
      </c>
    </row>
    <row r="11613" spans="2:4" x14ac:dyDescent="0.25">
      <c r="B11613" t="str">
        <f>HYPERLINK("https://www.chemistwarehouse.com.au/buy/62949/Healthy-Care-Liquid-Chlorophyll-Detox-Drink-Spearmint-500mL"," Healthy Care Liquid Chlorophyll Detox Drink Spearmint 500mL")</f>
        <v xml:space="preserve"> Healthy Care Liquid Chlorophyll Detox Drink Spearmint 500mL</v>
      </c>
      <c r="C11613" t="s">
        <v>237</v>
      </c>
      <c r="D11613">
        <v>0</v>
      </c>
    </row>
    <row r="11614" spans="2:4" x14ac:dyDescent="0.25">
      <c r="B11614" t="str">
        <f>HYPERLINK("https://www.chemistwarehouse.com.au/buy/63081/Swisse-Organic-Spirulina-100-Tablets"," Swisse Organic Spirulina 100 Tablets ")</f>
        <v xml:space="preserve"> Swisse Organic Spirulina 100 Tablets </v>
      </c>
      <c r="C11614" t="s">
        <v>202</v>
      </c>
      <c r="D11614" t="s">
        <v>157</v>
      </c>
    </row>
    <row r="11615" spans="2:4" x14ac:dyDescent="0.25">
      <c r="B11615" t="str">
        <f>HYPERLINK("https://www.chemistwarehouse.com.au/buy/63599/Thompson-39-s-Gel-Free-Flaxseed-Oil-1000mg-400-Capsules"," Thompson's Gel-Free Flaxseed Oil 1000mg 400 Capsules")</f>
        <v xml:space="preserve"> Thompson's Gel-Free Flaxseed Oil 1000mg 400 Capsules</v>
      </c>
      <c r="C11615" t="s">
        <v>216</v>
      </c>
      <c r="D11615" t="s">
        <v>524</v>
      </c>
    </row>
    <row r="11616" spans="2:4" x14ac:dyDescent="0.25">
      <c r="B11616" t="str">
        <f>HYPERLINK("https://www.chemistwarehouse.com.au/buy/49704/Blackmores-Flaxseed-Oil-1000mg-100-Vegetarian-Capsules"," Blackmores Flaxseed Oil 1000mg 100 Vegetarian Capsules")</f>
        <v xml:space="preserve"> Blackmores Flaxseed Oil 1000mg 100 Vegetarian Capsules</v>
      </c>
      <c r="C11616" t="s">
        <v>269</v>
      </c>
      <c r="D11616" t="s">
        <v>206</v>
      </c>
    </row>
    <row r="11617" spans="1:4" x14ac:dyDescent="0.25">
      <c r="B11617" t="str">
        <f>HYPERLINK("https://www.chemistwarehouse.com.au/buy/72902/Bioglan-Superfoods-Beetroot-100-Tablets"," Bioglan Superfoods Beetroot 100 Tablets")</f>
        <v xml:space="preserve"> Bioglan Superfoods Beetroot 100 Tablets</v>
      </c>
      <c r="C11617" t="s">
        <v>167</v>
      </c>
      <c r="D11617" t="s">
        <v>340</v>
      </c>
    </row>
    <row r="11618" spans="1:4" x14ac:dyDescent="0.25">
      <c r="B11618" t="str">
        <f>HYPERLINK("https://www.chemistwarehouse.com.au/buy/72900/Bioglan-Superfoods-Coconut-Oil-100-Capsules"," Bioglan Superfoods Coconut Oil 100 Capsules")</f>
        <v xml:space="preserve"> Bioglan Superfoods Coconut Oil 100 Capsules</v>
      </c>
      <c r="C11618" t="s">
        <v>173</v>
      </c>
      <c r="D11618" t="s">
        <v>93</v>
      </c>
    </row>
    <row r="11619" spans="1:4" x14ac:dyDescent="0.25">
      <c r="B11619" t="str">
        <f>HYPERLINK("https://www.chemistwarehouse.com.au/buy/72845/Nature-39-s-Way-Super-Greens-Plus-Reds-100g"," Nature's Way Super Greens Plus Reds 100g")</f>
        <v xml:space="preserve"> Nature's Way Super Greens Plus Reds 100g</v>
      </c>
      <c r="C11619" t="s">
        <v>61</v>
      </c>
      <c r="D11619" t="s">
        <v>64</v>
      </c>
    </row>
    <row r="11620" spans="1:4" x14ac:dyDescent="0.25">
      <c r="B11620" t="str">
        <f>HYPERLINK("https://www.chemistwarehouse.com.au/buy/63448/Swisse-Chlorophyll-100-Tablets"," Swisse Chlorophyll+ 100 Tablets ")</f>
        <v xml:space="preserve"> Swisse Chlorophyll+ 100 Tablets </v>
      </c>
      <c r="C11620" t="s">
        <v>63</v>
      </c>
      <c r="D11620" t="s">
        <v>423</v>
      </c>
    </row>
    <row r="11621" spans="1:4" x14ac:dyDescent="0.25">
      <c r="B11621" t="str">
        <f>HYPERLINK("https://www.chemistwarehouse.com.au/buy/61062/Lifestream-Aloe-Vera-Juice-1-25L"," Lifestream Aloe Vera Juice 1.25L")</f>
        <v xml:space="preserve"> Lifestream Aloe Vera Juice 1.25L</v>
      </c>
      <c r="C11621" t="s">
        <v>10</v>
      </c>
      <c r="D11621" t="s">
        <v>600</v>
      </c>
    </row>
    <row r="11622" spans="1:4" x14ac:dyDescent="0.25">
      <c r="B11622" t="str">
        <f>HYPERLINK("https://www.chemistwarehouse.com.au/buy/68932/Bioglan-Organic-Coconut-Oil-300g"," Bioglan Organic Coconut Oil 300g")</f>
        <v xml:space="preserve"> Bioglan Organic Coconut Oil 300g</v>
      </c>
      <c r="C11622" t="s">
        <v>32</v>
      </c>
      <c r="D11622" t="s">
        <v>403</v>
      </c>
    </row>
    <row r="11623" spans="1:4" x14ac:dyDescent="0.25">
      <c r="A11623" t="s">
        <v>2340</v>
      </c>
    </row>
    <row r="11624" spans="1:4" x14ac:dyDescent="0.25">
      <c r="B11624" t="str">
        <f>HYPERLINK("https://www.chemistwarehouse.com.au/buy/68932/Bioglan-Organic-Coconut-Oil-300g"," Bioglan Organic Coconut Oil 300g")</f>
        <v xml:space="preserve"> Bioglan Organic Coconut Oil 300g</v>
      </c>
      <c r="C11624" t="s">
        <v>32</v>
      </c>
      <c r="D11624" t="s">
        <v>403</v>
      </c>
    </row>
    <row r="11625" spans="1:4" x14ac:dyDescent="0.25">
      <c r="B11625" t="str">
        <f>HYPERLINK("https://www.chemistwarehouse.com.au/buy/65969/Melrose-Organic-Unrefined-Coconut-Oil-300g"," Melrose Organic Unrefined Coconut Oil 300g")</f>
        <v xml:space="preserve"> Melrose Organic Unrefined Coconut Oil 300g</v>
      </c>
      <c r="C11625" t="s">
        <v>92</v>
      </c>
      <c r="D11625" t="s">
        <v>147</v>
      </c>
    </row>
    <row r="11626" spans="1:4" x14ac:dyDescent="0.25">
      <c r="B11626" t="str">
        <f>HYPERLINK("https://www.chemistwarehouse.com.au/buy/66265/Melrose-Organic-Refined-Coconut-Oil-300g"," Melrose Organic Refined Coconut Oil 300g")</f>
        <v xml:space="preserve"> Melrose Organic Refined Coconut Oil 300g</v>
      </c>
      <c r="C11626" t="s">
        <v>556</v>
      </c>
      <c r="D11626" t="s">
        <v>147</v>
      </c>
    </row>
    <row r="11627" spans="1:4" x14ac:dyDescent="0.25">
      <c r="A11627" t="s">
        <v>2341</v>
      </c>
    </row>
    <row r="11628" spans="1:4" x14ac:dyDescent="0.25">
      <c r="B11628" t="str">
        <f>HYPERLINK("https://www.chemistwarehouse.com.au/buy/72761/Berocca-Boost-10-Effervescent-Tablets"," Berocca Boost 10 Effervescent Tablets")</f>
        <v xml:space="preserve"> Berocca Boost 10 Effervescent Tablets</v>
      </c>
      <c r="C11628" t="s">
        <v>430</v>
      </c>
      <c r="D11628" t="s">
        <v>611</v>
      </c>
    </row>
    <row r="11629" spans="1:4" x14ac:dyDescent="0.25">
      <c r="B11629" t="str">
        <f>HYPERLINK("https://www.chemistwarehouse.com.au/buy/72864/Berocca-Boost-20-Effervescent-Tablets"," Berocca Boost 20 Effervescent Tablets")</f>
        <v xml:space="preserve"> Berocca Boost 20 Effervescent Tablets</v>
      </c>
      <c r="C11629" t="s">
        <v>443</v>
      </c>
      <c r="D11629" t="s">
        <v>318</v>
      </c>
    </row>
    <row r="11630" spans="1:4" x14ac:dyDescent="0.25">
      <c r="A11630" t="s">
        <v>2342</v>
      </c>
    </row>
    <row r="11631" spans="1:4" x14ac:dyDescent="0.25">
      <c r="A11631" t="s">
        <v>2343</v>
      </c>
    </row>
    <row r="11632" spans="1:4" x14ac:dyDescent="0.25">
      <c r="B11632" t="str">
        <f>HYPERLINK("https://www.chemistwarehouse.com.au/buy/53030/Blackmores-Evening-Primrose-Oil-190-Capsules"," Blackmores Evening Primrose Oil 190 Capsules")</f>
        <v xml:space="preserve"> Blackmores Evening Primrose Oil 190 Capsules</v>
      </c>
      <c r="C11632" t="s">
        <v>8</v>
      </c>
      <c r="D11632" t="s">
        <v>309</v>
      </c>
    </row>
    <row r="11633" spans="2:4" x14ac:dyDescent="0.25">
      <c r="B11633" t="str">
        <f>HYPERLINK("https://www.chemistwarehouse.com.au/buy/63753/Goat-Soap-100g"," Goat Soap 100g")</f>
        <v xml:space="preserve"> Goat Soap 100g</v>
      </c>
      <c r="C11633" t="s">
        <v>146</v>
      </c>
      <c r="D11633">
        <v>0</v>
      </c>
    </row>
    <row r="11634" spans="2:4" x14ac:dyDescent="0.25">
      <c r="B11634" t="str">
        <f>HYPERLINK("https://www.chemistwarehouse.com.au/buy/46349/Sudocrem-Healing-Cream-125g-for-Nappy-Rash"," Sudocrem Healing Cream 125g for Nappy Rash")</f>
        <v xml:space="preserve"> Sudocrem Healing Cream 125g for Nappy Rash</v>
      </c>
      <c r="C11634" t="s">
        <v>32</v>
      </c>
      <c r="D11634" t="s">
        <v>312</v>
      </c>
    </row>
    <row r="11635" spans="2:4" x14ac:dyDescent="0.25">
      <c r="B11635" t="str">
        <f>HYPERLINK("https://www.chemistwarehouse.com.au/buy/66074/Goat-Soap-with-Lemon-Myrtle-100g"," Goat Soap with Lemon Myrtle 100g")</f>
        <v xml:space="preserve"> Goat Soap with Lemon Myrtle 100g</v>
      </c>
      <c r="C11635" t="s">
        <v>146</v>
      </c>
      <c r="D11635">
        <v>0</v>
      </c>
    </row>
    <row r="11636" spans="2:4" x14ac:dyDescent="0.25">
      <c r="B11636" t="str">
        <f>HYPERLINK("https://www.chemistwarehouse.com.au/buy/64313/Goat-Moisturising-Body-Wash-500ml"," Goat Moisturising Body Wash 500ml")</f>
        <v xml:space="preserve"> Goat Moisturising Body Wash 500ml</v>
      </c>
      <c r="C11636" t="s">
        <v>103</v>
      </c>
      <c r="D11636">
        <v>0</v>
      </c>
    </row>
    <row r="11637" spans="2:4" x14ac:dyDescent="0.25">
      <c r="B11637" t="str">
        <f>HYPERLINK("https://www.chemistwarehouse.com.au/buy/47501/Alpha-Keri-Skin-Moisture-Boost-Lotion-1-Litre"," Alpha Keri Skin Moisture Boost Lotion 1 Litre")</f>
        <v xml:space="preserve"> Alpha Keri Skin Moisture Boost Lotion 1 Litre</v>
      </c>
      <c r="C11637" t="s">
        <v>407</v>
      </c>
      <c r="D11637" t="s">
        <v>376</v>
      </c>
    </row>
    <row r="11638" spans="2:4" x14ac:dyDescent="0.25">
      <c r="B11638" t="str">
        <f>HYPERLINK("https://www.chemistwarehouse.com.au/buy/6562/Neutrogena-T-Gel-Shampoo-200mL"," Neutrogena T-Gel Shampoo 200mL")</f>
        <v xml:space="preserve"> Neutrogena T-Gel Shampoo 200mL</v>
      </c>
      <c r="C11638" t="s">
        <v>98</v>
      </c>
      <c r="D11638" t="s">
        <v>1342</v>
      </c>
    </row>
    <row r="11639" spans="2:4" x14ac:dyDescent="0.25">
      <c r="B11639" t="str">
        <f>HYPERLINK("https://www.chemistwarehouse.com.au/buy/60194/Healthy-Care-Ultimate-Omega-3-6-9-200-Capsules"," Healthy Care Ultimate Omega 3-6-9 200 Capsules")</f>
        <v xml:space="preserve"> Healthy Care Ultimate Omega 3-6-9 200 Capsules</v>
      </c>
      <c r="C11639" t="s">
        <v>1</v>
      </c>
      <c r="D11639">
        <v>0</v>
      </c>
    </row>
    <row r="11640" spans="2:4" x14ac:dyDescent="0.25">
      <c r="B11640" t="str">
        <f>HYPERLINK("https://www.chemistwarehouse.com.au/buy/54642/Gaia-Natural-Baby-Bath-amp-Body-Wash-500ml-Pump"," Gaia Natural Baby Bath &amp; Body Wash 500ml Pump")</f>
        <v xml:space="preserve"> Gaia Natural Baby Bath &amp; Body Wash 500ml Pump</v>
      </c>
      <c r="C11640" t="s">
        <v>187</v>
      </c>
      <c r="D11640" t="s">
        <v>397</v>
      </c>
    </row>
    <row r="11641" spans="2:4" x14ac:dyDescent="0.25">
      <c r="B11641" t="str">
        <f>HYPERLINK("https://www.chemistwarehouse.com.au/buy/57168/DermaVeen-Eczema-Cream-100ml"," DermaVeen Eczema Cream 100ml")</f>
        <v xml:space="preserve"> DermaVeen Eczema Cream 100ml</v>
      </c>
      <c r="C11641" t="s">
        <v>240</v>
      </c>
      <c r="D11641" t="s">
        <v>561</v>
      </c>
    </row>
    <row r="11642" spans="2:4" x14ac:dyDescent="0.25">
      <c r="B11642" t="str">
        <f>HYPERLINK("https://www.chemistwarehouse.com.au/buy/57235/DermaVeen-Eczema-Lotion-250mL"," DermaVeen Eczema Lotion 250mL")</f>
        <v xml:space="preserve"> DermaVeen Eczema Lotion 250mL</v>
      </c>
      <c r="C11642" t="s">
        <v>212</v>
      </c>
      <c r="D11642" t="s">
        <v>318</v>
      </c>
    </row>
    <row r="11643" spans="2:4" x14ac:dyDescent="0.25">
      <c r="B11643" t="str">
        <f>HYPERLINK("https://www.chemistwarehouse.com.au/buy/70242/Healthy-Care-Evening-Primrose-Oil-1000mg-400-Capsules"," Healthy Care Evening Primrose Oil 1000mg 400 Capsules")</f>
        <v xml:space="preserve"> Healthy Care Evening Primrose Oil 1000mg 400 Capsules</v>
      </c>
      <c r="C11643" t="s">
        <v>10</v>
      </c>
      <c r="D11643">
        <v>0</v>
      </c>
    </row>
    <row r="11644" spans="2:4" x14ac:dyDescent="0.25">
      <c r="B11644" t="str">
        <f>HYPERLINK("https://www.chemistwarehouse.com.au/buy/8185/Ungvita-Ointment-50g-tube"," Ungvita Ointment 50g tube")</f>
        <v xml:space="preserve"> Ungvita Ointment 50g tube</v>
      </c>
      <c r="C11644" t="s">
        <v>45</v>
      </c>
      <c r="D11644" t="s">
        <v>147</v>
      </c>
    </row>
    <row r="11645" spans="2:4" x14ac:dyDescent="0.25">
      <c r="B11645" t="str">
        <f>HYPERLINK("https://www.chemistwarehouse.com.au/buy/38567/Urederm-Cream-10-100g"," Urederm Cream 10% 100g")</f>
        <v xml:space="preserve"> Urederm Cream 10% 100g</v>
      </c>
      <c r="C11645" t="s">
        <v>240</v>
      </c>
      <c r="D11645" t="s">
        <v>400</v>
      </c>
    </row>
    <row r="11646" spans="2:4" x14ac:dyDescent="0.25">
      <c r="B11646" t="str">
        <f>HYPERLINK("https://www.chemistwarehouse.com.au/buy/50487/Sudocrem-Healing-Cream-250g-for-Nappy-Rash"," Sudocrem Healing Cream 250g for Nappy Rash")</f>
        <v xml:space="preserve"> Sudocrem Healing Cream 250g for Nappy Rash</v>
      </c>
      <c r="C11646" t="s">
        <v>151</v>
      </c>
      <c r="D11646" t="s">
        <v>121</v>
      </c>
    </row>
    <row r="11647" spans="2:4" x14ac:dyDescent="0.25">
      <c r="B11647" t="str">
        <f>HYPERLINK("https://www.chemistwarehouse.com.au/buy/54313/Ego-QV-Cleansing-Bar-100g-x-2"," Ego QV Cleansing Bar 100g x 2")</f>
        <v xml:space="preserve"> Ego QV Cleansing Bar 100g x 2</v>
      </c>
      <c r="C11647" t="s">
        <v>202</v>
      </c>
      <c r="D11647" t="s">
        <v>2344</v>
      </c>
    </row>
    <row r="11648" spans="2:4" x14ac:dyDescent="0.25">
      <c r="B11648" t="str">
        <f>HYPERLINK("https://www.chemistwarehouse.com.au/buy/54477/Gaia-Natural-Baby-Bath-amp-Body-Wash-250ml"," Gaia Natural Baby Bath &amp; Body Wash 250ml")</f>
        <v xml:space="preserve"> Gaia Natural Baby Bath &amp; Body Wash 250ml</v>
      </c>
      <c r="C11648" t="s">
        <v>32</v>
      </c>
      <c r="D11648" t="s">
        <v>465</v>
      </c>
    </row>
    <row r="11649" spans="1:4" x14ac:dyDescent="0.25">
      <c r="B11649" t="str">
        <f>HYPERLINK("https://www.chemistwarehouse.com.au/buy/5452/Hydraderm-Cream-Pump-Pack-300g"," Hydraderm Cream Pump Pack 300g")</f>
        <v xml:space="preserve"> Hydraderm Cream Pump Pack 300g</v>
      </c>
      <c r="C11649" t="s">
        <v>375</v>
      </c>
      <c r="D11649" t="s">
        <v>611</v>
      </c>
    </row>
    <row r="11650" spans="1:4" x14ac:dyDescent="0.25">
      <c r="B11650" t="str">
        <f>HYPERLINK("https://www.chemistwarehouse.com.au/buy/5448/Hydraderm-Cream-Jar-500g"," Hydraderm Cream Jar 500g")</f>
        <v xml:space="preserve"> Hydraderm Cream Jar 500g</v>
      </c>
      <c r="C11650" t="s">
        <v>32</v>
      </c>
      <c r="D11650" t="s">
        <v>312</v>
      </c>
    </row>
    <row r="11651" spans="1:4" x14ac:dyDescent="0.25">
      <c r="B11651" t="str">
        <f>HYPERLINK("https://www.chemistwarehouse.com.au/buy/65059/Ethical-Nutrients-Eczema-Relief-60-Capsules"," Ethical Nutrients Eczema Relief 60 Capsules")</f>
        <v xml:space="preserve"> Ethical Nutrients Eczema Relief 60 Capsules</v>
      </c>
      <c r="C11651" t="s">
        <v>163</v>
      </c>
      <c r="D11651" t="s">
        <v>341</v>
      </c>
    </row>
    <row r="11652" spans="1:4" x14ac:dyDescent="0.25">
      <c r="B11652" t="str">
        <f>HYPERLINK("https://www.chemistwarehouse.com.au/buy/60575/Ethical-Nutrients-Eczema-Shield-100g-Powder"," Ethical Nutrients Eczema Shield 100g Powder")</f>
        <v xml:space="preserve"> Ethical Nutrients Eczema Shield 100g Powder</v>
      </c>
      <c r="C11652" t="s">
        <v>6</v>
      </c>
      <c r="D11652" t="s">
        <v>343</v>
      </c>
    </row>
    <row r="11653" spans="1:4" x14ac:dyDescent="0.25">
      <c r="A11653" t="s">
        <v>2345</v>
      </c>
    </row>
    <row r="11654" spans="1:4" x14ac:dyDescent="0.25">
      <c r="B11654" t="str">
        <f>HYPERLINK("https://www.chemistwarehouse.com.au/buy/74325/Healthy-Care-Emu-Heat-Oil-100mL"," Healthy Care Emu Heat Oil 100mL")</f>
        <v xml:space="preserve"> Healthy Care Emu Heat Oil 100mL</v>
      </c>
      <c r="C11654" t="s">
        <v>45</v>
      </c>
      <c r="D11654">
        <v>0</v>
      </c>
    </row>
    <row r="11655" spans="1:4" x14ac:dyDescent="0.25">
      <c r="B11655" t="str">
        <f>HYPERLINK("https://www.chemistwarehouse.com.au/buy/74324/Healthy-Care-Emu-Arthritis-amp-Muscle-Rub-50g"," Healthy Care Emu Arthritis &amp; Muscle Rub 50g")</f>
        <v xml:space="preserve"> Healthy Care Emu Arthritis &amp; Muscle Rub 50g</v>
      </c>
      <c r="C11655" t="s">
        <v>45</v>
      </c>
      <c r="D11655">
        <v>0</v>
      </c>
    </row>
    <row r="11656" spans="1:4" x14ac:dyDescent="0.25">
      <c r="B11656" t="str">
        <f>HYPERLINK("https://www.chemistwarehouse.com.au/buy/65544/Healthy-Care-Emu-Oil-750mg-300-Capsules"," Healthy Care Emu Oil 750mg 300 Capsules")</f>
        <v xml:space="preserve"> Healthy Care Emu Oil 750mg 300 Capsules</v>
      </c>
      <c r="C11656" t="s">
        <v>258</v>
      </c>
      <c r="D11656">
        <v>0</v>
      </c>
    </row>
    <row r="11657" spans="1:4" x14ac:dyDescent="0.25">
      <c r="B11657" t="str">
        <f>HYPERLINK("https://www.chemistwarehouse.com.au/buy/72914/Enya-Emu-Oil-Lotion-1-Litre"," Enya Emu Oil Lotion 1 Litre")</f>
        <v xml:space="preserve"> Enya Emu Oil Lotion 1 Litre</v>
      </c>
      <c r="C11657" t="s">
        <v>483</v>
      </c>
      <c r="D11657" t="s">
        <v>371</v>
      </c>
    </row>
    <row r="11658" spans="1:4" x14ac:dyDescent="0.25">
      <c r="B11658" t="str">
        <f>HYPERLINK("https://www.chemistwarehouse.com.au/buy/65081/Enya-Emu-Oil-Lotion-500ml"," Enya Emu Oil Lotion 500ml")</f>
        <v xml:space="preserve"> Enya Emu Oil Lotion 500ml</v>
      </c>
      <c r="C11658" t="s">
        <v>146</v>
      </c>
      <c r="D11658">
        <v>0</v>
      </c>
    </row>
    <row r="11659" spans="1:4" x14ac:dyDescent="0.25">
      <c r="A11659" t="s">
        <v>2288</v>
      </c>
    </row>
    <row r="11660" spans="1:4" x14ac:dyDescent="0.25">
      <c r="B11660" t="str">
        <f>HYPERLINK("https://www.chemistwarehouse.com.au/buy/67785/Gillette-Fusion-Shaving-Blades-Refill-8-Pack"," Gillette Fusion Shaving Blades Refill 8 Pack")</f>
        <v xml:space="preserve"> Gillette Fusion Shaving Blades Refill 8 Pack</v>
      </c>
      <c r="C11660" t="s">
        <v>282</v>
      </c>
      <c r="D11660" t="s">
        <v>270</v>
      </c>
    </row>
    <row r="11661" spans="1:4" x14ac:dyDescent="0.25">
      <c r="B11661" t="str">
        <f>HYPERLINK("https://www.chemistwarehouse.com.au/buy/44397/Gillette-Foam-Lemon-Lime-250g"," Gillette Foam - Lemon/Lime 250g")</f>
        <v xml:space="preserve"> Gillette Foam - Lemon/Lime 250g</v>
      </c>
      <c r="C11661" t="s">
        <v>1495</v>
      </c>
      <c r="D11661" t="s">
        <v>611</v>
      </c>
    </row>
    <row r="11662" spans="1:4" x14ac:dyDescent="0.25">
      <c r="B11662" t="str">
        <f>HYPERLINK("https://www.chemistwarehouse.com.au/buy/63435/Gillette-Disposable-Razors-Blue-II-10-Pack"," Gillette Disposable Razors Blue II 10 Pack")</f>
        <v xml:space="preserve"> Gillette Disposable Razors Blue II 10 Pack</v>
      </c>
      <c r="C11662" t="s">
        <v>92</v>
      </c>
      <c r="D11662" t="s">
        <v>738</v>
      </c>
    </row>
    <row r="11663" spans="1:4" x14ac:dyDescent="0.25">
      <c r="B11663" t="str">
        <f>HYPERLINK("https://www.chemistwarehouse.com.au/buy/59870/Gillette-Disposable-Razors-Blue-II-Plus-5-Pack-Pivot"," Gillette Disposable Razors Blue II Plus 5 Pack Pivot")</f>
        <v xml:space="preserve"> Gillette Disposable Razors Blue II Plus 5 Pack Pivot</v>
      </c>
      <c r="C11663" t="s">
        <v>786</v>
      </c>
      <c r="D11663" t="s">
        <v>1320</v>
      </c>
    </row>
    <row r="11664" spans="1:4" x14ac:dyDescent="0.25">
      <c r="B11664" t="str">
        <f>HYPERLINK("https://www.chemistwarehouse.com.au/buy/67783/Gillette-Fusion-Pro-Glide-Manual-Cartridges-8-Pack"," Gillette Fusion Pro Glide Manual Cartridges 8 Pack")</f>
        <v xml:space="preserve"> Gillette Fusion Pro Glide Manual Cartridges 8 Pack</v>
      </c>
      <c r="C11664" t="s">
        <v>479</v>
      </c>
      <c r="D11664" t="s">
        <v>261</v>
      </c>
    </row>
    <row r="11665" spans="2:4" x14ac:dyDescent="0.25">
      <c r="B11665" t="str">
        <f>HYPERLINK("https://www.chemistwarehouse.com.au/buy/63444/Gillette-Venus-Spa-Shaving-Blades-Refill-4-Pack"," Gillette Venus Spa Shaving Blades Refill 4 Pack")</f>
        <v xml:space="preserve"> Gillette Venus Spa Shaving Blades Refill 4 Pack</v>
      </c>
      <c r="C11665" t="s">
        <v>61</v>
      </c>
      <c r="D11665" t="s">
        <v>115</v>
      </c>
    </row>
    <row r="11666" spans="2:4" x14ac:dyDescent="0.25">
      <c r="B11666" t="str">
        <f>HYPERLINK("https://www.chemistwarehouse.com.au/buy/72659/Gillette-Fusion-Hydra-Gel-Sensitive-Skin-75ml"," Gillette Fusion Hydra Gel Sensitive Skin 75ml")</f>
        <v xml:space="preserve"> Gillette Fusion Hydra Gel Sensitive Skin 75ml</v>
      </c>
      <c r="C11666" t="s">
        <v>146</v>
      </c>
      <c r="D11666" t="s">
        <v>738</v>
      </c>
    </row>
    <row r="11667" spans="2:4" x14ac:dyDescent="0.25">
      <c r="B11667" t="str">
        <f>HYPERLINK("https://www.chemistwarehouse.com.au/buy/73611/Gillette-Venus-Embrace-Sensitive-Cartridge-4-Pack"," Gillette Venus Embrace Sensitive Cartridge 4 Pack")</f>
        <v xml:space="preserve"> Gillette Venus Embrace Sensitive Cartridge 4 Pack</v>
      </c>
      <c r="C11667" t="s">
        <v>495</v>
      </c>
      <c r="D11667" t="s">
        <v>152</v>
      </c>
    </row>
    <row r="11668" spans="2:4" x14ac:dyDescent="0.25">
      <c r="B11668" t="str">
        <f>HYPERLINK("https://www.chemistwarehouse.com.au/buy/65592/Gillette-Mach-3-Turbo-Sensitive-Razor"," Gillette Mach 3 Turbo Sensitive Razor")</f>
        <v xml:space="preserve"> Gillette Mach 3 Turbo Sensitive Razor</v>
      </c>
      <c r="C11668" t="s">
        <v>240</v>
      </c>
      <c r="D11668" t="s">
        <v>561</v>
      </c>
    </row>
    <row r="11669" spans="2:4" x14ac:dyDescent="0.25">
      <c r="B11669" t="str">
        <f>HYPERLINK("https://www.chemistwarehouse.com.au/buy/51020/Gillette-Fusion-4-Pack-Razors"," Gillette Fusion 4 Pack Razors")</f>
        <v xml:space="preserve"> Gillette Fusion 4 Pack Razors</v>
      </c>
      <c r="C11669" t="s">
        <v>173</v>
      </c>
      <c r="D11669" t="s">
        <v>796</v>
      </c>
    </row>
    <row r="11670" spans="2:4" x14ac:dyDescent="0.25">
      <c r="B11670" t="str">
        <f>HYPERLINK("https://www.chemistwarehouse.com.au/buy/44407/Gillette-for-Women-Satin-Care-Gel-Sensitive-Skin-195g"," Gillette for Women Satin Care Gel - Sensitive Skin 195g")</f>
        <v xml:space="preserve"> Gillette for Women Satin Care Gel - Sensitive Skin 195g</v>
      </c>
      <c r="C11670" t="s">
        <v>116</v>
      </c>
      <c r="D11670" t="s">
        <v>1870</v>
      </c>
    </row>
    <row r="11671" spans="2:4" x14ac:dyDescent="0.25">
      <c r="B11671" t="str">
        <f>HYPERLINK("https://www.chemistwarehouse.com.au/buy/44525/Gillette-Blue-II-Sensitive-Disposable-5-Pack"," Gillette Blue II Sensitive Disposable 5 Pack")</f>
        <v xml:space="preserve"> Gillette Blue II Sensitive Disposable 5 Pack</v>
      </c>
      <c r="C11671" t="s">
        <v>483</v>
      </c>
      <c r="D11671" t="s">
        <v>553</v>
      </c>
    </row>
    <row r="11672" spans="2:4" x14ac:dyDescent="0.25">
      <c r="B11672" t="str">
        <f>HYPERLINK("https://www.chemistwarehouse.com.au/buy/43107/Gillette-Mach-3-Turbo-Cartridges-8"," Gillette Mach 3 Turbo Cartridges 8")</f>
        <v xml:space="preserve"> Gillette Mach 3 Turbo Cartridges 8</v>
      </c>
      <c r="C11672" t="s">
        <v>109</v>
      </c>
      <c r="D11672" t="s">
        <v>1935</v>
      </c>
    </row>
    <row r="11673" spans="2:4" x14ac:dyDescent="0.25">
      <c r="B11673" t="str">
        <f>HYPERLINK("https://www.chemistwarehouse.com.au/buy/44394/Gillette-Series-Shave-Gel-Moisturising-195g"," Gillette Series Shave Gel Moisturising 195g")</f>
        <v xml:space="preserve"> Gillette Series Shave Gel Moisturising 195g</v>
      </c>
      <c r="C11673" t="s">
        <v>120</v>
      </c>
      <c r="D11673" t="s">
        <v>804</v>
      </c>
    </row>
    <row r="11674" spans="2:4" x14ac:dyDescent="0.25">
      <c r="B11674" t="str">
        <f>HYPERLINK("https://www.chemistwarehouse.com.au/buy/5174/Gillette-Shaving-Foam-Lemon-Lime-250g"," Gillette Shaving Foam Lemon/Lime 250g")</f>
        <v xml:space="preserve"> Gillette Shaving Foam Lemon/Lime 250g</v>
      </c>
      <c r="C11674" t="s">
        <v>1495</v>
      </c>
      <c r="D11674" t="s">
        <v>611</v>
      </c>
    </row>
    <row r="11675" spans="2:4" x14ac:dyDescent="0.25">
      <c r="B11675" t="str">
        <f>HYPERLINK("https://www.chemistwarehouse.com.au/buy/5180/Gillette-Mach3-Shaving-Blades-Refill-4-Pack"," Gillette Mach3 Shaving Blades Refill 4 Pack")</f>
        <v xml:space="preserve"> Gillette Mach3 Shaving Blades Refill 4 Pack</v>
      </c>
      <c r="C11675" t="s">
        <v>202</v>
      </c>
      <c r="D11675" t="s">
        <v>465</v>
      </c>
    </row>
    <row r="11676" spans="2:4" x14ac:dyDescent="0.25">
      <c r="B11676" t="str">
        <f>HYPERLINK("https://www.chemistwarehouse.com.au/buy/5181/Gillette-Mach3-Shaving-Blades-Refill-8-Pack"," Gillette Mach3 Shaving Blades Refill 8 Pack")</f>
        <v xml:space="preserve"> Gillette Mach3 Shaving Blades Refill 8 Pack</v>
      </c>
      <c r="C11676" t="s">
        <v>387</v>
      </c>
      <c r="D11676" t="s">
        <v>119</v>
      </c>
    </row>
    <row r="11677" spans="2:4" x14ac:dyDescent="0.25">
      <c r="B11677" t="str">
        <f>HYPERLINK("https://www.chemistwarehouse.com.au/buy/43105/Gillette-Mach-3-Turbo-Razor-2-Up"," Gillette Mach 3 Turbo Razor 2 Up")</f>
        <v xml:space="preserve"> Gillette Mach 3 Turbo Razor 2 Up</v>
      </c>
      <c r="C11677" t="s">
        <v>244</v>
      </c>
      <c r="D11677" t="s">
        <v>612</v>
      </c>
    </row>
    <row r="11678" spans="2:4" x14ac:dyDescent="0.25">
      <c r="B11678" t="str">
        <f>HYPERLINK("https://www.chemistwarehouse.com.au/buy/51963/Gillette-Venus-Breeze-Cart-4-Pack"," Gillette Venus Breeze Cart 4 Pack")</f>
        <v xml:space="preserve"> Gillette Venus Breeze Cart 4 Pack</v>
      </c>
      <c r="C11678" t="s">
        <v>61</v>
      </c>
      <c r="D11678" t="s">
        <v>115</v>
      </c>
    </row>
    <row r="11679" spans="2:4" x14ac:dyDescent="0.25">
      <c r="B11679" t="str">
        <f>HYPERLINK("https://www.chemistwarehouse.com.au/buy/59899/Gillette-Fusion-Power-Cartridge-4-Pack"," Gillette Fusion Power Cartridge 4 Pack")</f>
        <v xml:space="preserve"> Gillette Fusion Power Cartridge 4 Pack</v>
      </c>
      <c r="C11679" t="s">
        <v>890</v>
      </c>
      <c r="D11679" t="s">
        <v>1954</v>
      </c>
    </row>
    <row r="11680" spans="2:4" x14ac:dyDescent="0.25">
      <c r="B11680" t="str">
        <f>HYPERLINK("https://www.chemistwarehouse.com.au/buy/63432/Gillette-Series-Shave-Foam-Sensitive-245g"," Gillette Series Shave Foam Sensitive 245g")</f>
        <v xml:space="preserve"> Gillette Series Shave Foam Sensitive 245g</v>
      </c>
      <c r="C11680" t="s">
        <v>483</v>
      </c>
      <c r="D11680" t="s">
        <v>813</v>
      </c>
    </row>
    <row r="11681" spans="1:4" x14ac:dyDescent="0.25">
      <c r="B11681" t="str">
        <f>HYPERLINK("https://www.chemistwarehouse.com.au/buy/63433/Gillette-Satin-Care-Shave-Gel-Wild-Berry-195g"," Gillette Satin Care Shave Gel Wild Berry 195g")</f>
        <v xml:space="preserve"> Gillette Satin Care Shave Gel Wild Berry 195g</v>
      </c>
      <c r="C11681" t="s">
        <v>116</v>
      </c>
      <c r="D11681" t="s">
        <v>1870</v>
      </c>
    </row>
    <row r="11682" spans="1:4" x14ac:dyDescent="0.25">
      <c r="B11682" t="str">
        <f>HYPERLINK("https://www.chemistwarehouse.com.au/buy/66696/Gillette-Venus-amp-Olay-Cartridge-3-Pack"," Gillette Venus &amp; Olay Cartridge 3 Pack")</f>
        <v xml:space="preserve"> Gillette Venus &amp; Olay Cartridge 3 Pack</v>
      </c>
      <c r="C11682" t="s">
        <v>61</v>
      </c>
      <c r="D11682" t="s">
        <v>115</v>
      </c>
    </row>
    <row r="11683" spans="1:4" x14ac:dyDescent="0.25">
      <c r="B11683" t="str">
        <f>HYPERLINK("https://www.chemistwarehouse.com.au/buy/59299/Gillette-Fusion-HydraGel-Pure-amp-Sensitive-195g"," Gillette Fusion HydraGel Pure &amp; Sensitive 195g")</f>
        <v xml:space="preserve"> Gillette Fusion HydraGel Pure &amp; Sensitive 195g</v>
      </c>
      <c r="C11683" t="s">
        <v>326</v>
      </c>
      <c r="D11683" t="s">
        <v>318</v>
      </c>
    </row>
    <row r="11684" spans="1:4" x14ac:dyDescent="0.25">
      <c r="A11684" t="s">
        <v>2346</v>
      </c>
    </row>
    <row r="11685" spans="1:4" x14ac:dyDescent="0.25">
      <c r="B11685" t="str">
        <f>HYPERLINK("https://www.chemistwarehouse.com.au/buy/67783/Gillette-Fusion-Pro-Glide-Manual-Cartridges-8-Pack"," Gillette Fusion Pro Glide Manual Cartridges 8 Pack")</f>
        <v xml:space="preserve"> Gillette Fusion Pro Glide Manual Cartridges 8 Pack</v>
      </c>
      <c r="C11685" t="s">
        <v>479</v>
      </c>
      <c r="D11685" t="s">
        <v>261</v>
      </c>
    </row>
    <row r="11686" spans="1:4" x14ac:dyDescent="0.25">
      <c r="B11686" t="str">
        <f>HYPERLINK("https://www.chemistwarehouse.com.au/buy/74871/Gillette-Fusion-Pro-Glide-Flexball-Manual-Razor"," Gillette Fusion Pro Glide Flexball Manual Razor")</f>
        <v xml:space="preserve"> Gillette Fusion Pro Glide Flexball Manual Razor</v>
      </c>
      <c r="C11686" t="s">
        <v>187</v>
      </c>
      <c r="D11686" t="s">
        <v>261</v>
      </c>
    </row>
    <row r="11687" spans="1:4" x14ac:dyDescent="0.25">
      <c r="B11687" t="str">
        <f>HYPERLINK("https://www.chemistwarehouse.com.au/buy/74872/Gillette-Fusion-Pro-Glide-Flexball-Power-Razor"," Gillette Fusion Pro Glide Flexball Power Razor")</f>
        <v xml:space="preserve"> Gillette Fusion Pro Glide Flexball Power Razor</v>
      </c>
      <c r="C11687" t="s">
        <v>202</v>
      </c>
      <c r="D11687" t="s">
        <v>64</v>
      </c>
    </row>
    <row r="11688" spans="1:4" x14ac:dyDescent="0.25">
      <c r="B11688" t="str">
        <f>HYPERLINK("https://www.chemistwarehouse.com.au/buy/74874/Gillette-Fusion-Pro-Glide-Flexball-Silvertouch-Manual"," Gillette Fusion Pro Glide Flexball Silvertouch Manual ")</f>
        <v xml:space="preserve"> Gillette Fusion Pro Glide Flexball Silvertouch Manual </v>
      </c>
      <c r="C11688" t="s">
        <v>46</v>
      </c>
      <c r="D11688" t="s">
        <v>1305</v>
      </c>
    </row>
    <row r="11689" spans="1:4" x14ac:dyDescent="0.25">
      <c r="B11689" t="str">
        <f>HYPERLINK("https://www.chemistwarehouse.com.au/buy/74875/Gillette-Fusion-Pro-Glide-Flexball-Silvertouch-Power"," Gillette Fusion Pro Glide Flexball Silvertouch Power")</f>
        <v xml:space="preserve"> Gillette Fusion Pro Glide Flexball Silvertouch Power</v>
      </c>
      <c r="C11689" t="s">
        <v>280</v>
      </c>
      <c r="D11689" t="s">
        <v>103</v>
      </c>
    </row>
    <row r="11690" spans="1:4" x14ac:dyDescent="0.25">
      <c r="B11690" t="str">
        <f>HYPERLINK("https://www.chemistwarehouse.com.au/buy/74876/Gillette-Fusion-Pro-Glide-Sensitive-Shave-Foam-Active-Sport-245g"," Gillette Fusion Pro Glide Sensitive Shave Foam Active Sport 245g")</f>
        <v xml:space="preserve"> Gillette Fusion Pro Glide Sensitive Shave Foam Active Sport 245g</v>
      </c>
      <c r="C11690" t="s">
        <v>375</v>
      </c>
      <c r="D11690" t="s">
        <v>806</v>
      </c>
    </row>
    <row r="11691" spans="1:4" x14ac:dyDescent="0.25">
      <c r="B11691" t="str">
        <f>HYPERLINK("https://www.chemistwarehouse.com.au/buy/74877/Gillette-Fusion-Pro-Glide-Sensitive-Shave-Gel-Active-Sport-170g"," Gillette Fusion Pro Glide Sensitive Shave Gel Active Sport 170g")</f>
        <v xml:space="preserve"> Gillette Fusion Pro Glide Sensitive Shave Gel Active Sport 170g</v>
      </c>
      <c r="C11691" t="s">
        <v>375</v>
      </c>
      <c r="D11691" t="s">
        <v>806</v>
      </c>
    </row>
    <row r="11692" spans="1:4" x14ac:dyDescent="0.25">
      <c r="B11692" t="str">
        <f>HYPERLINK("https://www.chemistwarehouse.com.au/buy/74878/Gillette-Fusion-Pro-Glide-Sensitive-Shave-Gel-Ocean-Cool-170g"," Gillette Fusion Pro Glide Sensitive Shave Gel Ocean Cool 170g")</f>
        <v xml:space="preserve"> Gillette Fusion Pro Glide Sensitive Shave Gel Ocean Cool 170g</v>
      </c>
      <c r="C11692" t="s">
        <v>375</v>
      </c>
      <c r="D11692" t="s">
        <v>806</v>
      </c>
    </row>
    <row r="11693" spans="1:4" x14ac:dyDescent="0.25">
      <c r="B11693" t="str">
        <f>HYPERLINK("https://www.chemistwarehouse.com.au/buy/63831/Gillette-Fusion-Pro-Glide-Manual-Cartridge-4-Pack"," Gillette Fusion Pro Glide Manual Cartridge 4 Pack")</f>
        <v xml:space="preserve"> Gillette Fusion Pro Glide Manual Cartridge 4 Pack</v>
      </c>
      <c r="C11693" t="s">
        <v>125</v>
      </c>
      <c r="D11693" t="s">
        <v>1419</v>
      </c>
    </row>
    <row r="11694" spans="1:4" x14ac:dyDescent="0.25">
      <c r="A11694" t="s">
        <v>2347</v>
      </c>
    </row>
    <row r="11695" spans="1:4" x14ac:dyDescent="0.25">
      <c r="B11695" t="str">
        <f>HYPERLINK("https://www.chemistwarehouse.com.au/buy/74781/Headgear-Define-It-Paste-Firm-Hold-Styler-150ml"," Headgear Define-It Paste Firm Hold Styler 150ml")</f>
        <v xml:space="preserve"> Headgear Define-It Paste Firm Hold Styler 150ml</v>
      </c>
      <c r="C11695" t="s">
        <v>32</v>
      </c>
      <c r="D11695" t="s">
        <v>64</v>
      </c>
    </row>
    <row r="11696" spans="1:4" x14ac:dyDescent="0.25">
      <c r="B11696" t="str">
        <f>HYPERLINK("https://www.chemistwarehouse.com.au/buy/74782/Headgear-Fierce-Fiber-Strong-Hold-Styler-100g"," Headgear Fierce Fiber Strong Hold Styler 100g")</f>
        <v xml:space="preserve"> Headgear Fierce Fiber Strong Hold Styler 100g</v>
      </c>
      <c r="C11696" t="s">
        <v>32</v>
      </c>
      <c r="D11696" t="s">
        <v>64</v>
      </c>
    </row>
    <row r="11697" spans="1:4" x14ac:dyDescent="0.25">
      <c r="B11697" t="str">
        <f>HYPERLINK("https://www.chemistwarehouse.com.au/buy/74783/Headgear-Matte-Shaper-Styler-100g"," Headgear Matte Shaper Styler 100g")</f>
        <v xml:space="preserve"> Headgear Matte Shaper Styler 100g</v>
      </c>
      <c r="C11697" t="s">
        <v>32</v>
      </c>
      <c r="D11697" t="s">
        <v>64</v>
      </c>
    </row>
    <row r="11698" spans="1:4" x14ac:dyDescent="0.25">
      <c r="B11698" t="str">
        <f>HYPERLINK("https://www.chemistwarehouse.com.au/buy/74784/Headgear-Molding-Mud-Styler-100g"," Headgear Molding Mud Styler 100g")</f>
        <v xml:space="preserve"> Headgear Molding Mud Styler 100g</v>
      </c>
      <c r="C11698" t="s">
        <v>32</v>
      </c>
      <c r="D11698" t="s">
        <v>64</v>
      </c>
    </row>
    <row r="11699" spans="1:4" x14ac:dyDescent="0.25">
      <c r="B11699" t="str">
        <f>HYPERLINK("https://www.chemistwarehouse.com.au/buy/74863/Headgear-Chill-Out-Mint-Infused-Shampoo-300ml"," Headgear Chill Out Mint Infused Shampoo 300ml")</f>
        <v xml:space="preserve"> Headgear Chill Out Mint Infused Shampoo 300ml</v>
      </c>
      <c r="C11699" t="s">
        <v>556</v>
      </c>
      <c r="D11699" t="s">
        <v>46</v>
      </c>
    </row>
    <row r="11700" spans="1:4" x14ac:dyDescent="0.25">
      <c r="A11700" t="s">
        <v>2348</v>
      </c>
    </row>
    <row r="11701" spans="1:4" x14ac:dyDescent="0.25">
      <c r="B11701" t="str">
        <f>HYPERLINK("https://www.chemistwarehouse.com.au/buy/74325/Healthy-Care-Emu-Heat-Oil-100mL"," Healthy Care Emu Heat Oil 100mL")</f>
        <v xml:space="preserve"> Healthy Care Emu Heat Oil 100mL</v>
      </c>
      <c r="C11701" t="s">
        <v>45</v>
      </c>
      <c r="D11701">
        <v>0</v>
      </c>
    </row>
    <row r="11702" spans="1:4" x14ac:dyDescent="0.25">
      <c r="B11702" t="str">
        <f>HYPERLINK("https://www.chemistwarehouse.com.au/buy/74324/Healthy-Care-Emu-Arthritis-amp-Muscle-Rub-50g"," Healthy Care Emu Arthritis &amp; Muscle Rub 50g")</f>
        <v xml:space="preserve"> Healthy Care Emu Arthritis &amp; Muscle Rub 50g</v>
      </c>
      <c r="C11702" t="s">
        <v>45</v>
      </c>
      <c r="D11702">
        <v>0</v>
      </c>
    </row>
    <row r="11703" spans="1:4" x14ac:dyDescent="0.25">
      <c r="B11703" t="str">
        <f>HYPERLINK("https://www.chemistwarehouse.com.au/buy/65544/Healthy-Care-Emu-Oil-750mg-300-Capsules"," Healthy Care Emu Oil 750mg 300 Capsules")</f>
        <v xml:space="preserve"> Healthy Care Emu Oil 750mg 300 Capsules</v>
      </c>
      <c r="C11703" t="s">
        <v>258</v>
      </c>
      <c r="D11703">
        <v>0</v>
      </c>
    </row>
    <row r="11704" spans="1:4" x14ac:dyDescent="0.25">
      <c r="A11704" t="s">
        <v>2349</v>
      </c>
    </row>
    <row r="11705" spans="1:4" x14ac:dyDescent="0.25">
      <c r="B11705" t="str">
        <f>HYPERLINK("https://www.chemistwarehouse.com.au/buy/73178/Justin-Bieber-Collectors-Edition-Eau-de-Parfum-30ml"," Justin Bieber Collectors Edition Eau de Parfum 30ml")</f>
        <v xml:space="preserve"> Justin Bieber Collectors Edition Eau de Parfum 30ml</v>
      </c>
      <c r="C11705" t="s">
        <v>237</v>
      </c>
      <c r="D11705" t="s">
        <v>842</v>
      </c>
    </row>
    <row r="11706" spans="1:4" x14ac:dyDescent="0.25">
      <c r="A11706" t="s">
        <v>2350</v>
      </c>
    </row>
    <row r="11707" spans="1:4" x14ac:dyDescent="0.25">
      <c r="B11707" t="str">
        <f>HYPERLINK("https://www.chemistwarehouse.com.au/buy/75072/Lynx-Antiperspirant-Deodorant-Black-96g"," Lynx Antiperspirant Deodorant Black 96g")</f>
        <v xml:space="preserve"> Lynx Antiperspirant Deodorant Black 96g</v>
      </c>
      <c r="C11707" t="s">
        <v>146</v>
      </c>
      <c r="D11707" t="s">
        <v>291</v>
      </c>
    </row>
    <row r="11708" spans="1:4" x14ac:dyDescent="0.25">
      <c r="B11708" t="str">
        <f>HYPERLINK("https://www.chemistwarehouse.com.au/buy/75075/Lynx-Shower-Gel-Black-400ml"," Lynx Shower Gel Black 400ml")</f>
        <v xml:space="preserve"> Lynx Shower Gel Black 400ml</v>
      </c>
      <c r="C11708" t="s">
        <v>146</v>
      </c>
      <c r="D11708" t="s">
        <v>115</v>
      </c>
    </row>
    <row r="11709" spans="1:4" x14ac:dyDescent="0.25">
      <c r="B11709" t="str">
        <f>HYPERLINK("https://www.chemistwarehouse.com.au/buy/75073/Lynx-Deodorant-Body-Spray-Black-100g"," Lynx Deodorant Body Spray Black 100g")</f>
        <v xml:space="preserve"> Lynx Deodorant Body Spray Black 100g</v>
      </c>
      <c r="C11709" t="s">
        <v>146</v>
      </c>
      <c r="D11709" t="s">
        <v>291</v>
      </c>
    </row>
    <row r="11710" spans="1:4" x14ac:dyDescent="0.25">
      <c r="B11710" t="str">
        <f>HYPERLINK("https://www.chemistwarehouse.com.au/buy/75074/Lynx-Deodorant-Black-Roll-On-50ml"," Lynx Deodorant Black Roll On 50ml")</f>
        <v xml:space="preserve"> Lynx Deodorant Black Roll On 50ml</v>
      </c>
      <c r="C11710" t="s">
        <v>635</v>
      </c>
      <c r="D11710" t="s">
        <v>312</v>
      </c>
    </row>
    <row r="11711" spans="1:4" x14ac:dyDescent="0.25">
      <c r="A11711" t="s">
        <v>2351</v>
      </c>
    </row>
    <row r="11712" spans="1:4" x14ac:dyDescent="0.25">
      <c r="B11712" t="str">
        <f>HYPERLINK("https://www.chemistwarehouse.com.au/buy/59503/L-39-Oreal-Men-Expert-Hydra-Energetic-Cool-Eye-Roll-On-10mL"," L'Oreal Men Expert Hydra Energetic Cool Eye Roll On 10mL")</f>
        <v xml:space="preserve"> L'Oreal Men Expert Hydra Energetic Cool Eye Roll On 10mL</v>
      </c>
      <c r="C11712" t="s">
        <v>98</v>
      </c>
      <c r="D11712" t="s">
        <v>165</v>
      </c>
    </row>
    <row r="11713" spans="2:4" x14ac:dyDescent="0.25">
      <c r="B11713" t="str">
        <f>HYPERLINK("https://www.chemistwarehouse.com.au/buy/44605/Nivea-for-Men-Active-Energy-Skin-Revitaliser-Face-Cream-50ml"," Nivea for Men Active Energy Skin Revitaliser Face Cream 50ml")</f>
        <v xml:space="preserve"> Nivea for Men Active Energy Skin Revitaliser Face Cream 50ml</v>
      </c>
      <c r="C11713" t="s">
        <v>211</v>
      </c>
      <c r="D11713" t="s">
        <v>1212</v>
      </c>
    </row>
    <row r="11714" spans="2:4" x14ac:dyDescent="0.25">
      <c r="B11714" t="str">
        <f>HYPERLINK("https://www.chemistwarehouse.com.au/buy/58683/L-39-Oreal-Men-Expert-Hydra-Sensitive-Shaving-Gel-200ml"," L'Oreal Men Expert Hydra Sensitive Shaving Gel 200ml")</f>
        <v xml:space="preserve"> L'Oreal Men Expert Hydra Sensitive Shaving Gel 200ml</v>
      </c>
      <c r="C11714" t="s">
        <v>786</v>
      </c>
      <c r="D11714" t="s">
        <v>799</v>
      </c>
    </row>
    <row r="11715" spans="2:4" x14ac:dyDescent="0.25">
      <c r="B11715" t="str">
        <f>HYPERLINK("https://www.chemistwarehouse.com.au/buy/56731/Nivea-for-Men-Face-Wash-Sensitive-100mL"," Nivea for Men Face Wash Sensitive 100mL")</f>
        <v xml:space="preserve"> Nivea for Men Face Wash Sensitive 100mL</v>
      </c>
      <c r="C11715" t="s">
        <v>116</v>
      </c>
      <c r="D11715" t="s">
        <v>312</v>
      </c>
    </row>
    <row r="11716" spans="2:4" x14ac:dyDescent="0.25">
      <c r="B11716" t="str">
        <f>HYPERLINK("https://www.chemistwarehouse.com.au/buy/60889/Nivea-for-Men-Refreshing-Face-Wash-Gel-100ml"," Nivea for Men Refreshing Face Wash Gel 100ml")</f>
        <v xml:space="preserve"> Nivea for Men Refreshing Face Wash Gel 100ml</v>
      </c>
      <c r="C11716" t="s">
        <v>116</v>
      </c>
      <c r="D11716" t="s">
        <v>312</v>
      </c>
    </row>
    <row r="11717" spans="2:4" x14ac:dyDescent="0.25">
      <c r="B11717" t="str">
        <f>HYPERLINK("https://www.chemistwarehouse.com.au/buy/54305/Nivea-for-Men-Moisturiser-Sensitive-75ml"," Nivea for Men Moisturiser Sensitive 75ml")</f>
        <v xml:space="preserve"> Nivea for Men Moisturiser Sensitive 75ml</v>
      </c>
      <c r="C11717" t="s">
        <v>430</v>
      </c>
      <c r="D11717" t="s">
        <v>1214</v>
      </c>
    </row>
    <row r="11718" spans="2:4" x14ac:dyDescent="0.25">
      <c r="B11718" t="str">
        <f>HYPERLINK("https://www.chemistwarehouse.com.au/buy/54341/Nivea-For-Men-DNage-Anti-Ageing-Moisturiser-50ml"," Nivea For Men DNage Anti-Ageing Moisturiser 50ml")</f>
        <v xml:space="preserve"> Nivea For Men DNage Anti-Ageing Moisturiser 50ml</v>
      </c>
      <c r="C11718" t="s">
        <v>212</v>
      </c>
      <c r="D11718" t="s">
        <v>1215</v>
      </c>
    </row>
    <row r="11719" spans="2:4" x14ac:dyDescent="0.25">
      <c r="B11719" t="str">
        <f>HYPERLINK("https://www.chemistwarehouse.com.au/buy/54360/L-39-Oreal-Men-Expert-Hydra-Energetic-SPF15-Lotion-50mL"," L'Oreal Men Expert Hydra Energetic SPF15 Lotion 50mL")</f>
        <v xml:space="preserve"> L'Oreal Men Expert Hydra Energetic SPF15 Lotion 50mL</v>
      </c>
      <c r="C11719" t="s">
        <v>98</v>
      </c>
      <c r="D11719" t="s">
        <v>165</v>
      </c>
    </row>
    <row r="11720" spans="2:4" x14ac:dyDescent="0.25">
      <c r="B11720" t="str">
        <f>HYPERLINK("https://www.chemistwarehouse.com.au/buy/54398/L-39-Oreal-Men-Expert-Hydra-Energetic-Moisturiser-50ml"," L'Oreal Men Expert Hydra Energetic Moisturiser 50ml")</f>
        <v xml:space="preserve"> L'Oreal Men Expert Hydra Energetic Moisturiser 50ml</v>
      </c>
      <c r="C11720" t="s">
        <v>98</v>
      </c>
      <c r="D11720" t="s">
        <v>165</v>
      </c>
    </row>
    <row r="11721" spans="2:4" x14ac:dyDescent="0.25">
      <c r="B11721" t="str">
        <f>HYPERLINK("https://www.chemistwarehouse.com.au/buy/57446/Nivea-for-Men-Exfoliating-Face-Scrub-75ml"," Nivea for Men Exfoliating Face Scrub 75ml")</f>
        <v xml:space="preserve"> Nivea for Men Exfoliating Face Scrub 75ml</v>
      </c>
      <c r="C11721" t="s">
        <v>610</v>
      </c>
      <c r="D11721" t="s">
        <v>815</v>
      </c>
    </row>
    <row r="11722" spans="2:4" x14ac:dyDescent="0.25">
      <c r="B11722" t="str">
        <f>HYPERLINK("https://www.chemistwarehouse.com.au/buy/58685/L-39-Oreal-Men-Expert-Hydra-Sensitive-Moisturiser-Cream-50mL"," L'Oreal Men Expert Hydra Sensitive Moisturiser Cream 50mL")</f>
        <v xml:space="preserve"> L'Oreal Men Expert Hydra Sensitive Moisturiser Cream 50mL</v>
      </c>
      <c r="C11722" t="s">
        <v>98</v>
      </c>
      <c r="D11722" t="s">
        <v>165</v>
      </c>
    </row>
    <row r="11723" spans="2:4" x14ac:dyDescent="0.25">
      <c r="B11723" t="str">
        <f>HYPERLINK("https://www.chemistwarehouse.com.au/buy/58721/Nivea-for-Men-Active-Energy-Face-Gel-50ml"," Nivea for Men Active Energy Face Gel 50ml")</f>
        <v xml:space="preserve"> Nivea for Men Active Energy Face Gel 50ml</v>
      </c>
      <c r="C11723" t="s">
        <v>211</v>
      </c>
      <c r="D11723" t="s">
        <v>1212</v>
      </c>
    </row>
    <row r="11724" spans="2:4" x14ac:dyDescent="0.25">
      <c r="B11724" t="str">
        <f>HYPERLINK("https://www.chemistwarehouse.com.au/buy/60890/Nivea-for-Men-Moisturiser-Protective-75ml"," Nivea for Men Moisturiser Protective 75ml")</f>
        <v xml:space="preserve"> Nivea for Men Moisturiser Protective 75ml</v>
      </c>
      <c r="C11724" t="s">
        <v>430</v>
      </c>
      <c r="D11724" t="s">
        <v>1214</v>
      </c>
    </row>
    <row r="11725" spans="2:4" x14ac:dyDescent="0.25">
      <c r="B11725" t="str">
        <f>HYPERLINK("https://www.chemistwarehouse.com.au/buy/65811/L-39-Oreal-Men-Expert-Vita-Lift-5-Moisturiser-50ml"," L'Oreal Men Expert Vita Lift 5 Moisturiser 50ml")</f>
        <v xml:space="preserve"> L'Oreal Men Expert Vita Lift 5 Moisturiser 50ml</v>
      </c>
      <c r="C11725" t="s">
        <v>443</v>
      </c>
      <c r="D11725" t="s">
        <v>1204</v>
      </c>
    </row>
    <row r="11726" spans="2:4" x14ac:dyDescent="0.25">
      <c r="B11726" t="str">
        <f>HYPERLINK("https://www.chemistwarehouse.com.au/buy/71519/Nivea-for-Men-Clear-Effect-Foam-Face-Wash-100ml"," Nivea for Men Clear Effect Foam Face Wash 100ml")</f>
        <v xml:space="preserve"> Nivea for Men Clear Effect Foam Face Wash 100ml</v>
      </c>
      <c r="C11726" t="s">
        <v>554</v>
      </c>
      <c r="D11726" t="s">
        <v>318</v>
      </c>
    </row>
    <row r="11727" spans="2:4" x14ac:dyDescent="0.25">
      <c r="B11727" t="str">
        <f>HYPERLINK("https://www.chemistwarehouse.com.au/buy/71520/Nivea-for-Men-Clear-Effect-Gel-Moisturiser-50ml"," Nivea for Men Clear Effect Gel Moisturiser 50ml")</f>
        <v xml:space="preserve"> Nivea for Men Clear Effect Gel Moisturiser 50ml</v>
      </c>
      <c r="C11727" t="s">
        <v>430</v>
      </c>
      <c r="D11727" t="s">
        <v>1218</v>
      </c>
    </row>
    <row r="11728" spans="2:4" x14ac:dyDescent="0.25">
      <c r="B11728" t="str">
        <f>HYPERLINK("https://www.chemistwarehouse.com.au/buy/71760/L-39-Oreal-Men-Expert-Pure-Power-Moisturiser-50ml"," L'Oreal Men Expert Pure Power Moisturiser 50ml")</f>
        <v xml:space="preserve"> L'Oreal Men Expert Pure Power Moisturiser 50ml</v>
      </c>
      <c r="C11728" t="s">
        <v>211</v>
      </c>
      <c r="D11728" t="s">
        <v>336</v>
      </c>
    </row>
    <row r="11729" spans="1:4" x14ac:dyDescent="0.25">
      <c r="B11729" t="str">
        <f>HYPERLINK("https://www.chemistwarehouse.com.au/buy/71761/L-39-Oreal-Men-Expert-Pure-Power-Scrub-150ml"," L'Oreal Men Expert Pure Power Scrub 150ml")</f>
        <v xml:space="preserve"> L'Oreal Men Expert Pure Power Scrub 150ml</v>
      </c>
      <c r="C11729" t="s">
        <v>317</v>
      </c>
      <c r="D11729" t="s">
        <v>406</v>
      </c>
    </row>
    <row r="11730" spans="1:4" x14ac:dyDescent="0.25">
      <c r="B11730" t="str">
        <f>HYPERLINK("https://www.chemistwarehouse.com.au/buy/72749/L-39-Oreal-Men-Expert-Pure-Power-Charcoal-Wash-150ml"," L'Oreal Men Expert Pure Power Charcoal Wash 150ml")</f>
        <v xml:space="preserve"> L'Oreal Men Expert Pure Power Charcoal Wash 150ml</v>
      </c>
      <c r="C11730" t="s">
        <v>32</v>
      </c>
      <c r="D11730" t="s">
        <v>797</v>
      </c>
    </row>
    <row r="11731" spans="1:4" x14ac:dyDescent="0.25">
      <c r="B11731" t="str">
        <f>HYPERLINK("https://www.chemistwarehouse.com.au/buy/59505/Nivea-for-Men-Active-Energy-Face-Wash-Gel-100ml"," Nivea for Men Active Energy Face Wash Gel 100ml")</f>
        <v xml:space="preserve"> Nivea for Men Active Energy Face Wash Gel 100ml</v>
      </c>
      <c r="C11731" t="s">
        <v>554</v>
      </c>
      <c r="D11731" t="s">
        <v>318</v>
      </c>
    </row>
    <row r="11732" spans="1:4" x14ac:dyDescent="0.25">
      <c r="B11732" t="str">
        <f>HYPERLINK("https://www.chemistwarehouse.com.au/buy/59506/Nivea-for-Men-Active-Energy-Skin-Revitaliser-After-Shave-2-in-1-Balm-100ml"," Nivea for Men Active Energy Skin Revitaliser After Shave 2 in 1 Balm 100ml")</f>
        <v xml:space="preserve"> Nivea for Men Active Energy Skin Revitaliser After Shave 2 in 1 Balm 100ml</v>
      </c>
      <c r="C11732" t="s">
        <v>430</v>
      </c>
      <c r="D11732" t="s">
        <v>1216</v>
      </c>
    </row>
    <row r="11733" spans="1:4" x14ac:dyDescent="0.25">
      <c r="A11733" t="s">
        <v>2352</v>
      </c>
    </row>
    <row r="11734" spans="1:4" x14ac:dyDescent="0.25">
      <c r="B11734" t="str">
        <f>HYPERLINK("https://www.chemistwarehouse.com.au/buy/73868/Mercedes-Benz-Club-50ml-2-Piece-Set"," Mercedes Benz Club 50ml 2 Piece Set")</f>
        <v xml:space="preserve"> Mercedes Benz Club 50ml 2 Piece Set</v>
      </c>
      <c r="C11734" t="s">
        <v>6</v>
      </c>
      <c r="D11734">
        <v>0</v>
      </c>
    </row>
    <row r="11735" spans="1:4" x14ac:dyDescent="0.25">
      <c r="B11735" t="str">
        <f>HYPERLINK("https://www.chemistwarehouse.com.au/buy/72696/Mercedes-Benz-Club-Eau-De-Toilette-100ml"," Mercedes Benz Club Eau De Toilette 100ml")</f>
        <v xml:space="preserve"> Mercedes Benz Club Eau De Toilette 100ml</v>
      </c>
      <c r="C11735" t="s">
        <v>531</v>
      </c>
      <c r="D11735">
        <v>0</v>
      </c>
    </row>
    <row r="11736" spans="1:4" x14ac:dyDescent="0.25">
      <c r="B11736" t="str">
        <f>HYPERLINK("https://www.chemistwarehouse.com.au/buy/72697/Mercedes-Benz-Club-Eau-De-Toilette-50ml"," Mercedes Benz Club Eau De Toilette 50ml")</f>
        <v xml:space="preserve"> Mercedes Benz Club Eau De Toilette 50ml</v>
      </c>
      <c r="C11736" t="s">
        <v>419</v>
      </c>
      <c r="D11736">
        <v>0</v>
      </c>
    </row>
    <row r="11737" spans="1:4" x14ac:dyDescent="0.25">
      <c r="A11737" t="s">
        <v>2353</v>
      </c>
    </row>
    <row r="11738" spans="1:4" x14ac:dyDescent="0.25">
      <c r="B11738" t="str">
        <f>HYPERLINK("https://www.chemistwarehouse.com.au/buy/74811/Mercedes-Benz-for-Men-120ml-Eau-De-Toilette-Spray"," Mercedes Benz for Men 120ml Eau De Toilette Spray")</f>
        <v xml:space="preserve"> Mercedes Benz for Men 120ml Eau De Toilette Spray</v>
      </c>
      <c r="C11738" t="s">
        <v>2354</v>
      </c>
      <c r="D11738">
        <v>0</v>
      </c>
    </row>
    <row r="11739" spans="1:4" x14ac:dyDescent="0.25">
      <c r="B11739" t="str">
        <f>HYPERLINK("https://www.chemistwarehouse.com.au/buy/74812/Mercedes-Benz-for-Men-75ml-Eau-De-Toilette-Spray"," Mercedes Benz for Men 75ml Eau De Toilette Spray")</f>
        <v xml:space="preserve"> Mercedes Benz for Men 75ml Eau De Toilette Spray</v>
      </c>
      <c r="C11739" t="s">
        <v>531</v>
      </c>
      <c r="D11739">
        <v>0</v>
      </c>
    </row>
    <row r="11740" spans="1:4" x14ac:dyDescent="0.25">
      <c r="A11740" t="s">
        <v>2355</v>
      </c>
    </row>
    <row r="11741" spans="1:4" x14ac:dyDescent="0.25">
      <c r="B11741" t="str">
        <f>HYPERLINK("https://www.chemistwarehouse.com.au/buy/74808/Mercedes-Benz-for-Women-30ml-Eau-De-Parfum-Spray"," Mercedes Benz for Women 30ml Eau De Parfum Spray")</f>
        <v xml:space="preserve"> Mercedes Benz for Women 30ml Eau De Parfum Spray</v>
      </c>
      <c r="C11741" t="s">
        <v>419</v>
      </c>
      <c r="D11741">
        <v>0</v>
      </c>
    </row>
    <row r="11742" spans="1:4" x14ac:dyDescent="0.25">
      <c r="B11742" t="str">
        <f>HYPERLINK("https://www.chemistwarehouse.com.au/buy/74809/Mercedes-Benz-for-Women-60ml-Eau-De-Parfum-Spray"," Mercedes Benz for Women 60ml Eau De Parfum Spray")</f>
        <v xml:space="preserve"> Mercedes Benz for Women 60ml Eau De Parfum Spray</v>
      </c>
      <c r="C11742" t="s">
        <v>531</v>
      </c>
      <c r="D11742">
        <v>0</v>
      </c>
    </row>
    <row r="11743" spans="1:4" x14ac:dyDescent="0.25">
      <c r="B11743" t="str">
        <f>HYPERLINK("https://www.chemistwarehouse.com.au/buy/74810/Mercedes-Benz-for-Women-90ml-Eau-De-Parfum-Spray"," Mercedes Benz for Women 90ml Eau De Parfum Spray")</f>
        <v xml:space="preserve"> Mercedes Benz for Women 90ml Eau De Parfum Spray</v>
      </c>
      <c r="C11743" t="s">
        <v>859</v>
      </c>
      <c r="D11743">
        <v>0</v>
      </c>
    </row>
    <row r="11744" spans="1:4" x14ac:dyDescent="0.25">
      <c r="A11744" t="s">
        <v>2356</v>
      </c>
    </row>
    <row r="11745" spans="1:4" x14ac:dyDescent="0.25">
      <c r="B11745" t="str">
        <f>HYPERLINK("https://www.chemistwarehouse.com.au/buy/58568/Oral-B-Vitality-Precision-Clean-Electric-Toothbrush-2-Refills"," Oral B Vitality Precision Clean Electric Toothbrush +2 Refills")</f>
        <v xml:space="preserve"> Oral B Vitality Precision Clean Electric Toothbrush +2 Refills</v>
      </c>
      <c r="C11745" t="s">
        <v>166</v>
      </c>
      <c r="D11745" t="s">
        <v>167</v>
      </c>
    </row>
    <row r="11746" spans="1:4" x14ac:dyDescent="0.25">
      <c r="B11746" t="str">
        <f>HYPERLINK("https://www.chemistwarehouse.com.au/buy/74807/Oral-B-Clinical-7-Benefits-Rinse-500ml"," Oral B Clinical 7 Benefits Rinse 500ml")</f>
        <v xml:space="preserve"> Oral B Clinical 7 Benefits Rinse 500ml</v>
      </c>
      <c r="C11746" t="s">
        <v>1618</v>
      </c>
      <c r="D11746" t="s">
        <v>808</v>
      </c>
    </row>
    <row r="11747" spans="1:4" x14ac:dyDescent="0.25">
      <c r="B11747" t="str">
        <f>HYPERLINK("https://www.chemistwarehouse.com.au/buy/74855/Oral-B-Clinical-Toothpaste-Gum-Protection-110g"," Oral B Clinical Toothpaste Gum Protection 110g")</f>
        <v xml:space="preserve"> Oral B Clinical Toothpaste Gum Protection 110g</v>
      </c>
      <c r="C11747" t="s">
        <v>115</v>
      </c>
      <c r="D11747" t="s">
        <v>635</v>
      </c>
    </row>
    <row r="11748" spans="1:4" x14ac:dyDescent="0.25">
      <c r="A11748" t="s">
        <v>2357</v>
      </c>
    </row>
    <row r="11749" spans="1:4" x14ac:dyDescent="0.25">
      <c r="B11749" t="str">
        <f>HYPERLINK("https://www.chemistwarehouse.com.au/buy/69139/Panadol-Extra-Optizorb-Capsules-20"," Panadol Extra Optizorb Capsules 20")</f>
        <v xml:space="preserve"> Panadol Extra Optizorb Capsules 20</v>
      </c>
      <c r="C11749" t="s">
        <v>116</v>
      </c>
      <c r="D11749">
        <v>0</v>
      </c>
    </row>
    <row r="11750" spans="1:4" x14ac:dyDescent="0.25">
      <c r="B11750" t="str">
        <f>HYPERLINK("https://www.chemistwarehouse.com.au/buy/69140/Panadol-Extra-Optizorb-40-Caplets"," Panadol Extra Optizorb 40 Caplets")</f>
        <v xml:space="preserve"> Panadol Extra Optizorb 40 Caplets</v>
      </c>
      <c r="C11750" t="s">
        <v>45</v>
      </c>
      <c r="D11750">
        <v>0</v>
      </c>
    </row>
    <row r="11751" spans="1:4" x14ac:dyDescent="0.25">
      <c r="A11751" t="s">
        <v>2358</v>
      </c>
    </row>
    <row r="11752" spans="1:4" x14ac:dyDescent="0.25">
      <c r="A11752" t="s">
        <v>2359</v>
      </c>
    </row>
    <row r="11753" spans="1:4" x14ac:dyDescent="0.25">
      <c r="A11753" t="s">
        <v>2360</v>
      </c>
    </row>
    <row r="11754" spans="1:4" x14ac:dyDescent="0.25">
      <c r="B11754" t="str">
        <f>HYPERLINK("https://www.chemistwarehouse.com.au/buy/58108/Swisse-Ultiboost-Sleep-100-Tablets"," Swisse Ultiboost Sleep 100 Tablets")</f>
        <v xml:space="preserve"> Swisse Ultiboost Sleep 100 Tablets</v>
      </c>
      <c r="C11754" t="s">
        <v>1</v>
      </c>
      <c r="D11754" t="s">
        <v>378</v>
      </c>
    </row>
    <row r="11755" spans="1:4" x14ac:dyDescent="0.25">
      <c r="B11755" t="str">
        <f>HYPERLINK("https://www.chemistwarehouse.com.au/buy/20610/Cenovis-Easy-Sleep-Valerian-2000mg-30-Capsules"," Cenovis Easy Sleep Valerian 2000mg 30 Capsules")</f>
        <v xml:space="preserve"> Cenovis Easy Sleep Valerian 2000mg 30 Capsules</v>
      </c>
      <c r="C11755" t="s">
        <v>200</v>
      </c>
      <c r="D11755" t="s">
        <v>201</v>
      </c>
    </row>
    <row r="11756" spans="1:4" x14ac:dyDescent="0.25">
      <c r="B11756" t="str">
        <f>HYPERLINK("https://www.chemistwarehouse.com.au/buy/62563/Manicare-Sleeping-Mask"," Manicare Sleeping Mask")</f>
        <v xml:space="preserve"> Manicare Sleeping Mask</v>
      </c>
      <c r="C11756" t="s">
        <v>240</v>
      </c>
      <c r="D11756" t="s">
        <v>561</v>
      </c>
    </row>
    <row r="11757" spans="1:4" x14ac:dyDescent="0.25">
      <c r="B11757" t="str">
        <f>HYPERLINK("https://www.chemistwarehouse.com.au/buy/21031/Nature-39-s-Own-Sleep-Ezy-100-Tablets"," Nature's Own Sleep Ezy 100 Tablets")</f>
        <v xml:space="preserve"> Nature's Own Sleep Ezy 100 Tablets</v>
      </c>
      <c r="C11757" t="s">
        <v>85</v>
      </c>
      <c r="D11757" t="s">
        <v>86</v>
      </c>
    </row>
    <row r="11758" spans="1:4" x14ac:dyDescent="0.25">
      <c r="B11758" t="str">
        <f>HYPERLINK("https://www.chemistwarehouse.com.au/buy/63295/Remifemin-Sleep-30-Tablets"," Remifemin Sleep 30 Tablets")</f>
        <v xml:space="preserve"> Remifemin Sleep 30 Tablets</v>
      </c>
      <c r="C11758" t="s">
        <v>202</v>
      </c>
      <c r="D11758" t="s">
        <v>145</v>
      </c>
    </row>
    <row r="11759" spans="1:4" x14ac:dyDescent="0.25">
      <c r="B11759" t="str">
        <f>HYPERLINK("https://www.chemistwarehouse.com.au/buy/67970/Swisse-Ultiboost-Relax-amp-Sleep-60-Tablets"," Swisse Ultiboost Relax &amp; Sleep 60 Tablets")</f>
        <v xml:space="preserve"> Swisse Ultiboost Relax &amp; Sleep 60 Tablets</v>
      </c>
      <c r="C11759" t="s">
        <v>161</v>
      </c>
      <c r="D11759" t="s">
        <v>155</v>
      </c>
    </row>
    <row r="11760" spans="1:4" x14ac:dyDescent="0.25">
      <c r="B11760" t="str">
        <f>HYPERLINK("https://www.chemistwarehouse.com.au/buy/72274/Blackmores-Sleep-Sound-60-Tablets"," Blackmores Sleep Sound 60 Tablets")</f>
        <v xml:space="preserve"> Blackmores Sleep Sound 60 Tablets</v>
      </c>
      <c r="C11760" t="s">
        <v>111</v>
      </c>
      <c r="D11760" t="s">
        <v>280</v>
      </c>
    </row>
    <row r="11761" spans="1:4" x14ac:dyDescent="0.25">
      <c r="B11761" t="str">
        <f>HYPERLINK("https://www.chemistwarehouse.com.au/buy/73163/Corams-Baby-Sleep-and-Calm-100mL"," Corams Baby Sleep and Calm 100mL")</f>
        <v xml:space="preserve"> Corams Baby Sleep and Calm 100mL</v>
      </c>
      <c r="C11761" t="s">
        <v>45</v>
      </c>
      <c r="D11761" t="s">
        <v>150</v>
      </c>
    </row>
    <row r="11762" spans="1:4" x14ac:dyDescent="0.25">
      <c r="B11762" t="str">
        <f>HYPERLINK("https://www.chemistwarehouse.com.au/buy/71454/Euky-Bear-Sleepy-Time-Inhalant-100ml"," Euky Bear Sleepy Time Inhalant 100ml")</f>
        <v xml:space="preserve"> Euky Bear Sleepy Time Inhalant 100ml</v>
      </c>
      <c r="C11762" t="s">
        <v>782</v>
      </c>
      <c r="D11762" t="s">
        <v>799</v>
      </c>
    </row>
    <row r="11763" spans="1:4" x14ac:dyDescent="0.25">
      <c r="B11763" t="str">
        <f>HYPERLINK("https://www.chemistwarehouse.com.au/buy/72267/Wagner-Magnesium-Sleep-30-Capsules"," Wagner Magnesium Sleep 30 Capsules")</f>
        <v xml:space="preserve"> Wagner Magnesium Sleep 30 Capsules</v>
      </c>
      <c r="C11763" t="s">
        <v>58</v>
      </c>
      <c r="D11763" t="s">
        <v>46</v>
      </c>
    </row>
    <row r="11764" spans="1:4" x14ac:dyDescent="0.25">
      <c r="B11764" t="str">
        <f>HYPERLINK("https://www.chemistwarehouse.com.au/buy/63923/Healthy-Care-Super-Sleep-Valerian-2000mg-100-Capsules"," Healthy Care Super Sleep (Valerian 2000mg) 100 Capsules")</f>
        <v xml:space="preserve"> Healthy Care Super Sleep (Valerian 2000mg) 100 Capsules</v>
      </c>
      <c r="C11764" t="s">
        <v>1</v>
      </c>
      <c r="D11764">
        <v>0</v>
      </c>
    </row>
    <row r="11765" spans="1:4" x14ac:dyDescent="0.25">
      <c r="B11765" t="str">
        <f>HYPERLINK("https://www.chemistwarehouse.com.au/buy/64109/Carusos-Natural-Health-Sleep-More-30-Tablets"," Carusos Natural Health Sleep More 30 Tablets")</f>
        <v xml:space="preserve"> Carusos Natural Health Sleep More 30 Tablets</v>
      </c>
      <c r="C11765" t="s">
        <v>297</v>
      </c>
      <c r="D11765" t="s">
        <v>154</v>
      </c>
    </row>
    <row r="11766" spans="1:4" x14ac:dyDescent="0.25">
      <c r="B11766" t="str">
        <f>HYPERLINK("https://www.chemistwarehouse.com.au/buy/53489/Rescue-Remedy-Sleep-20mL-Spray"," Rescue Remedy Sleep 20mL Spray")</f>
        <v xml:space="preserve"> Rescue Remedy Sleep 20mL Spray</v>
      </c>
      <c r="C11766" t="s">
        <v>279</v>
      </c>
      <c r="D11766" t="s">
        <v>582</v>
      </c>
    </row>
    <row r="11767" spans="1:4" x14ac:dyDescent="0.25">
      <c r="B11767" t="str">
        <f>HYPERLINK("https://www.chemistwarehouse.com.au/buy/56692/Swisse-Ultiboost-Sleep-60-Tablets"," Swisse Ultiboost Sleep 60 Tablets")</f>
        <v xml:space="preserve"> Swisse Ultiboost Sleep 60 Tablets</v>
      </c>
      <c r="C11767" t="s">
        <v>61</v>
      </c>
      <c r="D11767" t="s">
        <v>436</v>
      </c>
    </row>
    <row r="11768" spans="1:4" x14ac:dyDescent="0.25">
      <c r="B11768" t="str">
        <f>HYPERLINK("https://www.chemistwarehouse.com.au/buy/58303/Carusos-Natural-Health-Sleep-More-60-Tablets"," Carusos Natural Health Sleep More 60 Tablets")</f>
        <v xml:space="preserve"> Carusos Natural Health Sleep More 60 Tablets</v>
      </c>
      <c r="C11768" t="s">
        <v>498</v>
      </c>
      <c r="D11768" t="s">
        <v>462</v>
      </c>
    </row>
    <row r="11769" spans="1:4" x14ac:dyDescent="0.25">
      <c r="B11769" t="str">
        <f>HYPERLINK("https://www.chemistwarehouse.com.au/buy/58799/Blackmores-Executive-B-Sleep-Formula-28-Tablets"," Blackmores Executive B Sleep Formula 28 Tablets")</f>
        <v xml:space="preserve"> Blackmores Executive B Sleep Formula 28 Tablets</v>
      </c>
      <c r="C11769" t="s">
        <v>304</v>
      </c>
      <c r="D11769" t="s">
        <v>305</v>
      </c>
    </row>
    <row r="11770" spans="1:4" x14ac:dyDescent="0.25">
      <c r="B11770" t="str">
        <f>HYPERLINK("https://www.chemistwarehouse.com.au/buy/59858/Rescue-Sleep-10ml-Liquid"," Rescue Sleep 10ml Liquid ")</f>
        <v xml:space="preserve"> Rescue Sleep 10ml Liquid </v>
      </c>
      <c r="C11770" t="s">
        <v>61</v>
      </c>
      <c r="D11770" t="s">
        <v>155</v>
      </c>
    </row>
    <row r="11771" spans="1:4" x14ac:dyDescent="0.25">
      <c r="B11771" t="str">
        <f>HYPERLINK("https://www.chemistwarehouse.com.au/buy/60192/Blackmores-Sleep-Sound-Formula-30-Tablets"," Blackmores Sleep Sound Formula 30 Tablets")</f>
        <v xml:space="preserve"> Blackmores Sleep Sound Formula 30 Tablets</v>
      </c>
      <c r="C11771" t="s">
        <v>8</v>
      </c>
      <c r="D11771" t="s">
        <v>169</v>
      </c>
    </row>
    <row r="11772" spans="1:4" x14ac:dyDescent="0.25">
      <c r="B11772" t="str">
        <f>HYPERLINK("https://www.chemistwarehouse.com.au/buy/66227/Nature-39-s-Own-Complete-Sleep-Advanced-30-Tablets"," Nature's Own Complete Sleep Advanced 30 Tablets")</f>
        <v xml:space="preserve"> Nature's Own Complete Sleep Advanced 30 Tablets</v>
      </c>
      <c r="C11772" t="s">
        <v>19</v>
      </c>
      <c r="D11772" t="s">
        <v>20</v>
      </c>
    </row>
    <row r="11773" spans="1:4" x14ac:dyDescent="0.25">
      <c r="B11773" t="str">
        <f>HYPERLINK("https://www.chemistwarehouse.com.au/buy/64713/Surgipack-9166-Mask-Sleeping"," Surgipack 9166 Mask Sleeping")</f>
        <v xml:space="preserve"> Surgipack 9166 Mask Sleeping</v>
      </c>
      <c r="C11773" t="s">
        <v>115</v>
      </c>
      <c r="D11773" t="s">
        <v>483</v>
      </c>
    </row>
    <row r="11774" spans="1:4" x14ac:dyDescent="0.25">
      <c r="A11774" t="s">
        <v>2361</v>
      </c>
    </row>
    <row r="11775" spans="1:4" x14ac:dyDescent="0.25">
      <c r="B11775" t="str">
        <f>HYPERLINK("https://www.chemistwarehouse.com.au/buy/1886/Canesten-Clotrimazole-Thrush-Treatment-6-Day-Cream-1-S3"," Canesten Clotrimazole Thrush Treatment 6 Day Cream 1% (S3)")</f>
        <v xml:space="preserve"> Canesten Clotrimazole Thrush Treatment 6 Day Cream 1% (S3)</v>
      </c>
      <c r="C11775" t="s">
        <v>202</v>
      </c>
      <c r="D11775">
        <v>0</v>
      </c>
    </row>
    <row r="11776" spans="1:4" x14ac:dyDescent="0.25">
      <c r="B11776" t="str">
        <f>HYPERLINK("https://www.chemistwarehouse.com.au/buy/1887/Canesten-Clotrimazole-Thrush-Treatment-6-Day-Pessary-S3"," Canesten Clotrimazole Thrush Treatment 6 Day Pessary (S3)")</f>
        <v xml:space="preserve"> Canesten Clotrimazole Thrush Treatment 6 Day Pessary (S3)</v>
      </c>
      <c r="C11776" t="s">
        <v>202</v>
      </c>
      <c r="D11776">
        <v>0</v>
      </c>
    </row>
    <row r="11777" spans="1:4" x14ac:dyDescent="0.25">
      <c r="B11777" t="str">
        <f>HYPERLINK("https://www.chemistwarehouse.com.au/buy/1889/Canesten-Clotrimazole-Thrush-Treatment-3-Day-Cream-2-S3"," Canesten Clotrimazole Thrush Treatment 3 Day Cream 2% (S3)")</f>
        <v xml:space="preserve"> Canesten Clotrimazole Thrush Treatment 3 Day Cream 2% (S3)</v>
      </c>
      <c r="C11777" t="s">
        <v>187</v>
      </c>
      <c r="D11777">
        <v>0</v>
      </c>
    </row>
    <row r="11778" spans="1:4" x14ac:dyDescent="0.25">
      <c r="B11778" t="str">
        <f>HYPERLINK("https://www.chemistwarehouse.com.au/buy/20123/Canesten-Once-Cream-Clotrimazole-Thrush-Treatment-S3"," Canesten Once Cream Clotrimazole Thrush Treatment (S3)")</f>
        <v xml:space="preserve"> Canesten Once Cream Clotrimazole Thrush Treatment (S3)</v>
      </c>
      <c r="C11778" t="s">
        <v>58</v>
      </c>
      <c r="D11778">
        <v>0</v>
      </c>
    </row>
    <row r="11779" spans="1:4" x14ac:dyDescent="0.25">
      <c r="A11779" t="s">
        <v>2362</v>
      </c>
    </row>
    <row r="11780" spans="1:4" x14ac:dyDescent="0.25">
      <c r="B11780" t="str">
        <f>HYPERLINK("https://www.chemistwarehouse.com.au/buy/75795/L-39-Oreal-Elvive-Extraordinary-Oil-Conditioner-250ml"," L'Oreal Elvive Extraordinary Oil Conditioner 250ml")</f>
        <v xml:space="preserve"> L'Oreal Elvive Extraordinary Oil Conditioner 250ml</v>
      </c>
      <c r="C11780" t="s">
        <v>483</v>
      </c>
      <c r="D11780" t="s">
        <v>150</v>
      </c>
    </row>
    <row r="11781" spans="1:4" x14ac:dyDescent="0.25">
      <c r="B11781" t="str">
        <f>HYPERLINK("https://www.chemistwarehouse.com.au/buy/75796/L-39-Oreal-Elvive-Extraordinary-Oil-Mask-300ml"," L'Oreal Elvive Extraordinary Oil Mask 300ml")</f>
        <v xml:space="preserve"> L'Oreal Elvive Extraordinary Oil Mask 300ml</v>
      </c>
      <c r="C11781" t="s">
        <v>240</v>
      </c>
      <c r="D11781" t="s">
        <v>400</v>
      </c>
    </row>
    <row r="11782" spans="1:4" x14ac:dyDescent="0.25">
      <c r="B11782" t="str">
        <f>HYPERLINK("https://www.chemistwarehouse.com.au/buy/66273/L-39-Oreal-Elvive-Extraordinary-Treatment-Oil-100ml"," L'Oreal Elvive Extraordinary Treatment Oil 100ml")</f>
        <v xml:space="preserve"> L'Oreal Elvive Extraordinary Treatment Oil 100ml</v>
      </c>
      <c r="C11782" t="s">
        <v>407</v>
      </c>
      <c r="D11782" t="s">
        <v>376</v>
      </c>
    </row>
    <row r="11783" spans="1:4" x14ac:dyDescent="0.25">
      <c r="B11783" t="str">
        <f>HYPERLINK("https://www.chemistwarehouse.com.au/buy/75794/L-39-Oreal-Elvive-Extraordinary-Oil-Shampoo-250ml"," L'Oreal Elvive Extraordinary Oil Shampoo 250ml")</f>
        <v xml:space="preserve"> L'Oreal Elvive Extraordinary Oil Shampoo 250ml</v>
      </c>
      <c r="C11783" t="s">
        <v>483</v>
      </c>
      <c r="D11783" t="s">
        <v>150</v>
      </c>
    </row>
    <row r="11784" spans="1:4" x14ac:dyDescent="0.25">
      <c r="B11784" t="str">
        <f>HYPERLINK("https://www.chemistwarehouse.com.au/buy/72385/L-39-Oreal-Elvive-Extraordinary-Treatment-Oil-Extra-Rich-100ml"," L'Oreal Elvive Extraordinary Treatment Oil Extra Rich 100ml")</f>
        <v xml:space="preserve"> L'Oreal Elvive Extraordinary Treatment Oil Extra Rich 100ml</v>
      </c>
      <c r="C11784" t="s">
        <v>407</v>
      </c>
      <c r="D11784" t="s">
        <v>376</v>
      </c>
    </row>
    <row r="11785" spans="1:4" x14ac:dyDescent="0.25">
      <c r="A11785" t="s">
        <v>2363</v>
      </c>
    </row>
    <row r="11786" spans="1:4" x14ac:dyDescent="0.25">
      <c r="B11786" t="str">
        <f>HYPERLINK("https://www.chemistwarehouse.com.au/buy/75856/David-Beckham-Beyond-Eau-de-Toilette-90ml"," David Beckham Beyond Eau de Toilette 90ml")</f>
        <v xml:space="preserve"> David Beckham Beyond Eau de Toilette 90ml</v>
      </c>
      <c r="C11786" t="s">
        <v>1</v>
      </c>
      <c r="D11786" t="s">
        <v>510</v>
      </c>
    </row>
    <row r="11787" spans="1:4" x14ac:dyDescent="0.25">
      <c r="A11787" t="s">
        <v>366</v>
      </c>
    </row>
    <row r="11788" spans="1:4" x14ac:dyDescent="0.25">
      <c r="B11788" t="str">
        <f>HYPERLINK("https://www.chemistwarehouse.com.au/buy/63382/Ethical-Nutrients-Mega-Magnesium-200g-Powder"," Ethical Nutrients Mega Magnesium 200g Powder")</f>
        <v xml:space="preserve"> Ethical Nutrients Mega Magnesium 200g Powder</v>
      </c>
      <c r="C11788" t="s">
        <v>6</v>
      </c>
      <c r="D11788" t="s">
        <v>368</v>
      </c>
    </row>
    <row r="11789" spans="1:4" x14ac:dyDescent="0.25">
      <c r="B11789" t="str">
        <f>HYPERLINK("https://www.chemistwarehouse.com.au/buy/72517/Ethical-Nutrients-Mega-Magnesium-Powder-Citrus-200g"," Ethical Nutrients Mega Magnesium Powder Citrus 200g")</f>
        <v xml:space="preserve"> Ethical Nutrients Mega Magnesium Powder Citrus 200g</v>
      </c>
      <c r="C11789" t="s">
        <v>6</v>
      </c>
      <c r="D11789" t="s">
        <v>368</v>
      </c>
    </row>
    <row r="11790" spans="1:4" x14ac:dyDescent="0.25">
      <c r="A11790" t="s">
        <v>2364</v>
      </c>
    </row>
    <row r="11791" spans="1:4" x14ac:dyDescent="0.25">
      <c r="A11791" t="s">
        <v>2365</v>
      </c>
    </row>
    <row r="11792" spans="1:4" x14ac:dyDescent="0.25">
      <c r="A11792" t="s">
        <v>2366</v>
      </c>
    </row>
    <row r="11793" spans="1:4" x14ac:dyDescent="0.25">
      <c r="B11793" t="str">
        <f>HYPERLINK("https://www.chemistwarehouse.com.au/buy/63091/Panadol-Rapid-40-Caplets"," Panadol Rapid 40 Caplets")</f>
        <v xml:space="preserve"> Panadol Rapid 40 Caplets</v>
      </c>
      <c r="C11793" t="s">
        <v>103</v>
      </c>
      <c r="D11793">
        <v>0</v>
      </c>
    </row>
    <row r="11794" spans="1:4" x14ac:dyDescent="0.25">
      <c r="B11794" t="str">
        <f>HYPERLINK("https://www.chemistwarehouse.com.au/buy/50285/Panadol-Rapid-Soluble-20-Effervescent-Tablets"," Panadol Rapid Soluble 20 Effervescent Tablets")</f>
        <v xml:space="preserve"> Panadol Rapid Soluble 20 Effervescent Tablets</v>
      </c>
      <c r="C11794" t="s">
        <v>556</v>
      </c>
      <c r="D11794">
        <v>0</v>
      </c>
    </row>
    <row r="11795" spans="1:4" x14ac:dyDescent="0.25">
      <c r="B11795" t="str">
        <f>HYPERLINK("https://www.chemistwarehouse.com.au/buy/68707/Panadol-Rapid-20-Caplets"," Panadol Rapid 20 Caplets")</f>
        <v xml:space="preserve"> Panadol Rapid 20 Caplets</v>
      </c>
      <c r="C11795" t="s">
        <v>556</v>
      </c>
      <c r="D11795" t="s">
        <v>371</v>
      </c>
    </row>
    <row r="11796" spans="1:4" x14ac:dyDescent="0.25">
      <c r="B11796" t="str">
        <f>HYPERLINK("https://www.chemistwarehouse.com.au/buy/64451/Panadol-Rapid-Handipak-10-Caplets"," Panadol Rapid Handipak 10 Caplets")</f>
        <v xml:space="preserve"> Panadol Rapid Handipak 10 Caplets</v>
      </c>
      <c r="C11796" t="s">
        <v>281</v>
      </c>
      <c r="D11796" t="s">
        <v>2174</v>
      </c>
    </row>
    <row r="11797" spans="1:4" x14ac:dyDescent="0.25">
      <c r="A11797" t="s">
        <v>2367</v>
      </c>
    </row>
    <row r="11798" spans="1:4" x14ac:dyDescent="0.25">
      <c r="B11798" t="str">
        <f>HYPERLINK("https://www.chemistwarehouse.com.au/buy/76372/AFL-Fragrance-Richmond-Football-Club"," AFL Fragrance Richmond Football Club")</f>
        <v xml:space="preserve"> AFL Fragrance Richmond Football Club</v>
      </c>
      <c r="C11798" t="s">
        <v>1</v>
      </c>
      <c r="D11798" t="s">
        <v>46</v>
      </c>
    </row>
    <row r="11799" spans="1:4" x14ac:dyDescent="0.25">
      <c r="B11799" t="str">
        <f>HYPERLINK("https://www.chemistwarehouse.com.au/buy/76368/AFL-Fragrance-Collingwood-Football-Club"," AFL Fragrance Collingwood Football Club")</f>
        <v xml:space="preserve"> AFL Fragrance Collingwood Football Club</v>
      </c>
      <c r="C11799" t="s">
        <v>1</v>
      </c>
      <c r="D11799" t="s">
        <v>46</v>
      </c>
    </row>
    <row r="11800" spans="1:4" x14ac:dyDescent="0.25">
      <c r="B11800" t="str">
        <f>HYPERLINK("https://www.chemistwarehouse.com.au/buy/80385/AFL-Fragrance-Port-Adelaide-Football-Club"," AFL Fragrance Port Adelaide Football Club")</f>
        <v xml:space="preserve"> AFL Fragrance Port Adelaide Football Club</v>
      </c>
      <c r="C11800" t="s">
        <v>1</v>
      </c>
      <c r="D11800" t="s">
        <v>46</v>
      </c>
    </row>
    <row r="11801" spans="1:4" x14ac:dyDescent="0.25">
      <c r="B11801" t="str">
        <f>HYPERLINK("https://www.chemistwarehouse.com.au/buy/80387/AFL-Fragrance-Sydney-Swans-Football-Club"," AFL Fragrance Sydney Swans Football Club")</f>
        <v xml:space="preserve"> AFL Fragrance Sydney Swans Football Club</v>
      </c>
      <c r="C11801" t="s">
        <v>1</v>
      </c>
      <c r="D11801" t="s">
        <v>46</v>
      </c>
    </row>
    <row r="11802" spans="1:4" x14ac:dyDescent="0.25">
      <c r="B11802" t="str">
        <f>HYPERLINK("https://www.chemistwarehouse.com.au/buy/80388/AFL-Fragrance-West-Coast-Eagles-Football-Club"," AFL Fragrance West Coast Eagles Football Club")</f>
        <v xml:space="preserve"> AFL Fragrance West Coast Eagles Football Club</v>
      </c>
      <c r="C11802" t="s">
        <v>1</v>
      </c>
      <c r="D11802" t="s">
        <v>46</v>
      </c>
    </row>
    <row r="11803" spans="1:4" x14ac:dyDescent="0.25">
      <c r="B11803" t="str">
        <f>HYPERLINK("https://www.chemistwarehouse.com.au/buy/80389/AFL-Fragrance-Western-Bulldogs-Football-Club"," AFL Fragrance Western Bulldogs Football Club")</f>
        <v xml:space="preserve"> AFL Fragrance Western Bulldogs Football Club</v>
      </c>
      <c r="C11803" t="s">
        <v>1</v>
      </c>
      <c r="D11803" t="s">
        <v>46</v>
      </c>
    </row>
    <row r="11804" spans="1:4" x14ac:dyDescent="0.25">
      <c r="B11804" t="str">
        <f>HYPERLINK("https://www.chemistwarehouse.com.au/buy/80386/AFL-Fragrance-St-Kilda-Football-Club"," AFL Fragrance St Kilda Football Club")</f>
        <v xml:space="preserve"> AFL Fragrance St Kilda Football Club</v>
      </c>
      <c r="C11804" t="s">
        <v>1</v>
      </c>
      <c r="D11804" t="s">
        <v>46</v>
      </c>
    </row>
    <row r="11805" spans="1:4" x14ac:dyDescent="0.25">
      <c r="B11805" t="str">
        <f>HYPERLINK("https://www.chemistwarehouse.com.au/buy/76369/AFL-Fragrance-Essendon-Football-Club"," AFL Fragrance Essendon Football Club")</f>
        <v xml:space="preserve"> AFL Fragrance Essendon Football Club</v>
      </c>
      <c r="C11805" t="s">
        <v>1</v>
      </c>
      <c r="D11805" t="s">
        <v>46</v>
      </c>
    </row>
    <row r="11806" spans="1:4" x14ac:dyDescent="0.25">
      <c r="B11806" t="str">
        <f>HYPERLINK("https://www.chemistwarehouse.com.au/buy/76370/AFL-Fragrance-Geelong-Football-Club"," AFL Fragrance Geelong Football Club")</f>
        <v xml:space="preserve"> AFL Fragrance Geelong Football Club</v>
      </c>
      <c r="C11806" t="s">
        <v>1</v>
      </c>
      <c r="D11806" t="s">
        <v>46</v>
      </c>
    </row>
    <row r="11807" spans="1:4" x14ac:dyDescent="0.25">
      <c r="B11807" t="str">
        <f>HYPERLINK("https://www.chemistwarehouse.com.au/buy/76371/AFL-Fragrance-Hawthorn-Football-Club"," AFL Fragrance Hawthorn Football Club")</f>
        <v xml:space="preserve"> AFL Fragrance Hawthorn Football Club</v>
      </c>
      <c r="C11807" t="s">
        <v>1</v>
      </c>
      <c r="D11807" t="s">
        <v>46</v>
      </c>
    </row>
    <row r="11808" spans="1:4" x14ac:dyDescent="0.25">
      <c r="B11808" t="str">
        <f>HYPERLINK("https://www.chemistwarehouse.com.au/buy/80378/AFL-Fragrance-Adelaide-Football-Club"," AFL Fragrance Adelaide Football Club")</f>
        <v xml:space="preserve"> AFL Fragrance Adelaide Football Club</v>
      </c>
      <c r="C11808" t="s">
        <v>1</v>
      </c>
      <c r="D11808" t="s">
        <v>46</v>
      </c>
    </row>
    <row r="11809" spans="1:4" x14ac:dyDescent="0.25">
      <c r="B11809" t="str">
        <f>HYPERLINK("https://www.chemistwarehouse.com.au/buy/80379/AFL-Fragrance-Brisbane-Lions-Football-Club"," AFL Fragrance Brisbane Lions Football Club")</f>
        <v xml:space="preserve"> AFL Fragrance Brisbane Lions Football Club</v>
      </c>
      <c r="C11809" t="s">
        <v>1</v>
      </c>
      <c r="D11809" t="s">
        <v>46</v>
      </c>
    </row>
    <row r="11810" spans="1:4" x14ac:dyDescent="0.25">
      <c r="B11810" t="str">
        <f>HYPERLINK("https://www.chemistwarehouse.com.au/buy/80380/AFL-Fragrance-Fremantle-Dockers-Football-Club"," AFL Fragrance Fremantle Dockers Football Club")</f>
        <v xml:space="preserve"> AFL Fragrance Fremantle Dockers Football Club</v>
      </c>
      <c r="C11810" t="s">
        <v>1</v>
      </c>
      <c r="D11810" t="s">
        <v>46</v>
      </c>
    </row>
    <row r="11811" spans="1:4" x14ac:dyDescent="0.25">
      <c r="B11811" t="str">
        <f>HYPERLINK("https://www.chemistwarehouse.com.au/buy/80381/AFL-Fragrance-Gold-Coast-Suns-Football-Club"," AFL Fragrance Gold Coast Suns Football Club")</f>
        <v xml:space="preserve"> AFL Fragrance Gold Coast Suns Football Club</v>
      </c>
      <c r="C11811" t="s">
        <v>1</v>
      </c>
      <c r="D11811" t="s">
        <v>46</v>
      </c>
    </row>
    <row r="11812" spans="1:4" x14ac:dyDescent="0.25">
      <c r="B11812" t="str">
        <f>HYPERLINK("https://www.chemistwarehouse.com.au/buy/80382/AFL-Fragrance-GWS-Football-Club"," AFL Fragrance GWS Football Club")</f>
        <v xml:space="preserve"> AFL Fragrance GWS Football Club</v>
      </c>
      <c r="C11812" t="s">
        <v>1</v>
      </c>
      <c r="D11812" t="s">
        <v>46</v>
      </c>
    </row>
    <row r="11813" spans="1:4" x14ac:dyDescent="0.25">
      <c r="B11813" t="str">
        <f>HYPERLINK("https://www.chemistwarehouse.com.au/buy/80383/AFL-Fragrance-Melbourne-Football-Club"," AFL Fragrance Melbourne Football Club")</f>
        <v xml:space="preserve"> AFL Fragrance Melbourne Football Club</v>
      </c>
      <c r="C11813" t="s">
        <v>1</v>
      </c>
      <c r="D11813" t="s">
        <v>46</v>
      </c>
    </row>
    <row r="11814" spans="1:4" x14ac:dyDescent="0.25">
      <c r="B11814" t="str">
        <f>HYPERLINK("https://www.chemistwarehouse.com.au/buy/80384/AFL-Fragrance-Nth-Melbourne-Football-Club"," AFL Fragrance Nth Melbourne Football Club")</f>
        <v xml:space="preserve"> AFL Fragrance Nth Melbourne Football Club</v>
      </c>
      <c r="C11814" t="s">
        <v>1</v>
      </c>
      <c r="D11814" t="s">
        <v>46</v>
      </c>
    </row>
    <row r="11815" spans="1:4" x14ac:dyDescent="0.25">
      <c r="B11815" t="str">
        <f>HYPERLINK("https://www.chemistwarehouse.com.au/buy/76367/AFL-Fragrance-Carlton-Football-Club"," AFL Fragrance Carlton Football Club")</f>
        <v xml:space="preserve"> AFL Fragrance Carlton Football Club</v>
      </c>
      <c r="C11815" t="s">
        <v>1</v>
      </c>
      <c r="D11815" t="s">
        <v>46</v>
      </c>
    </row>
    <row r="11816" spans="1:4" x14ac:dyDescent="0.25">
      <c r="A11816" t="s">
        <v>2368</v>
      </c>
    </row>
    <row r="11817" spans="1:4" x14ac:dyDescent="0.25">
      <c r="B11817" t="str">
        <f>HYPERLINK("https://www.chemistwarehouse.com.au/buy/76377/NRL-Fragrance-St-George-Illawarra-Dragons"," NRL Fragrance St George Illawarra Dragons")</f>
        <v xml:space="preserve"> NRL Fragrance St George Illawarra Dragons</v>
      </c>
      <c r="C11817" t="s">
        <v>1</v>
      </c>
      <c r="D11817" t="s">
        <v>46</v>
      </c>
    </row>
    <row r="11818" spans="1:4" x14ac:dyDescent="0.25">
      <c r="B11818" t="str">
        <f>HYPERLINK("https://www.chemistwarehouse.com.au/buy/76378/NRL-Fragrance-West-Tigers"," NRL Fragrance West Tigers")</f>
        <v xml:space="preserve"> NRL Fragrance West Tigers</v>
      </c>
      <c r="C11818" t="s">
        <v>1</v>
      </c>
      <c r="D11818" t="s">
        <v>46</v>
      </c>
    </row>
    <row r="11819" spans="1:4" x14ac:dyDescent="0.25">
      <c r="B11819" t="str">
        <f>HYPERLINK("https://www.chemistwarehouse.com.au/buy/76373/NRL-Fragrance-Brisbane-Broncos"," NRL Fragrance Brisbane Broncos")</f>
        <v xml:space="preserve"> NRL Fragrance Brisbane Broncos</v>
      </c>
      <c r="C11819" t="s">
        <v>1</v>
      </c>
      <c r="D11819" t="s">
        <v>46</v>
      </c>
    </row>
    <row r="11820" spans="1:4" x14ac:dyDescent="0.25">
      <c r="B11820" t="str">
        <f>HYPERLINK("https://www.chemistwarehouse.com.au/buy/76374/NRL-Fragrance-Canterbury-Bulldogs"," NRL Fragrance Canterbury Bulldogs")</f>
        <v xml:space="preserve"> NRL Fragrance Canterbury Bulldogs</v>
      </c>
      <c r="C11820" t="s">
        <v>1</v>
      </c>
      <c r="D11820" t="s">
        <v>46</v>
      </c>
    </row>
    <row r="11821" spans="1:4" x14ac:dyDescent="0.25">
      <c r="B11821" t="str">
        <f>HYPERLINK("https://www.chemistwarehouse.com.au/buy/76375/NRL-Fragrance-Parramatta-Eels"," NRL Fragrance Parramatta Eels")</f>
        <v xml:space="preserve"> NRL Fragrance Parramatta Eels</v>
      </c>
      <c r="C11821" t="s">
        <v>1</v>
      </c>
      <c r="D11821" t="s">
        <v>46</v>
      </c>
    </row>
    <row r="11822" spans="1:4" x14ac:dyDescent="0.25">
      <c r="B11822" t="str">
        <f>HYPERLINK("https://www.chemistwarehouse.com.au/buy/76376/NRL-Fragrance-South-Sydney-Rabbitohs"," NRL Fragrance South Sydney Rabbitohs")</f>
        <v xml:space="preserve"> NRL Fragrance South Sydney Rabbitohs</v>
      </c>
      <c r="C11822" t="s">
        <v>1</v>
      </c>
      <c r="D11822" t="s">
        <v>46</v>
      </c>
    </row>
    <row r="11823" spans="1:4" x14ac:dyDescent="0.25">
      <c r="B11823" t="str">
        <f>HYPERLINK("https://www.chemistwarehouse.com.au/buy/80399/NRL-Fragrance-Melbourne-Storm"," NRL Fragrance Melbourne Storm")</f>
        <v xml:space="preserve"> NRL Fragrance Melbourne Storm</v>
      </c>
      <c r="C11823" t="s">
        <v>1</v>
      </c>
      <c r="D11823" t="s">
        <v>46</v>
      </c>
    </row>
    <row r="11824" spans="1:4" x14ac:dyDescent="0.25">
      <c r="B11824" t="str">
        <f>HYPERLINK("https://www.chemistwarehouse.com.au/buy/80400/NRL-Fragrance-New-Zealand-Warriors"," NRL Fragrance New Zealand Warriors")</f>
        <v xml:space="preserve"> NRL Fragrance New Zealand Warriors</v>
      </c>
      <c r="C11824" t="s">
        <v>1</v>
      </c>
      <c r="D11824" t="s">
        <v>46</v>
      </c>
    </row>
    <row r="11825" spans="1:4" x14ac:dyDescent="0.25">
      <c r="B11825" t="str">
        <f>HYPERLINK("https://www.chemistwarehouse.com.au/buy/80401/NRL-Fragrance-Newcastle-Knights"," NRL Fragrance Newcastle Knights")</f>
        <v xml:space="preserve"> NRL Fragrance Newcastle Knights</v>
      </c>
      <c r="C11825" t="s">
        <v>1</v>
      </c>
      <c r="D11825" t="s">
        <v>46</v>
      </c>
    </row>
    <row r="11826" spans="1:4" x14ac:dyDescent="0.25">
      <c r="B11826" t="str">
        <f>HYPERLINK("https://www.chemistwarehouse.com.au/buy/80397/NRL-Fragrance-Gold-Coast-Titans"," NRL Fragrance Gold Coast Titans")</f>
        <v xml:space="preserve"> NRL Fragrance Gold Coast Titans</v>
      </c>
      <c r="C11826" t="s">
        <v>1</v>
      </c>
      <c r="D11826" t="s">
        <v>46</v>
      </c>
    </row>
    <row r="11827" spans="1:4" x14ac:dyDescent="0.25">
      <c r="B11827" t="str">
        <f>HYPERLINK("https://www.chemistwarehouse.com.au/buy/80398/NRL-Fragrance-Manly-Warringah-Sea-Eagles"," NRL Fragrance Manly Warringah Sea Eagles")</f>
        <v xml:space="preserve"> NRL Fragrance Manly Warringah Sea Eagles</v>
      </c>
      <c r="C11827" t="s">
        <v>1</v>
      </c>
      <c r="D11827" t="s">
        <v>46</v>
      </c>
    </row>
    <row r="11828" spans="1:4" x14ac:dyDescent="0.25">
      <c r="B11828" t="str">
        <f>HYPERLINK("https://www.chemistwarehouse.com.au/buy/80402/NRL-Fragrance-North-Queensland-Cowboys"," NRL Fragrance North Queensland Cowboys")</f>
        <v xml:space="preserve"> NRL Fragrance North Queensland Cowboys</v>
      </c>
      <c r="C11828" t="s">
        <v>1</v>
      </c>
      <c r="D11828" t="s">
        <v>46</v>
      </c>
    </row>
    <row r="11829" spans="1:4" x14ac:dyDescent="0.25">
      <c r="B11829" t="str">
        <f>HYPERLINK("https://www.chemistwarehouse.com.au/buy/80403/NRL-Fragrance-Penrith-Panthers"," NRL Fragrance Penrith Panthers")</f>
        <v xml:space="preserve"> NRL Fragrance Penrith Panthers</v>
      </c>
      <c r="C11829" t="s">
        <v>1</v>
      </c>
      <c r="D11829" t="s">
        <v>46</v>
      </c>
    </row>
    <row r="11830" spans="1:4" x14ac:dyDescent="0.25">
      <c r="B11830" t="str">
        <f>HYPERLINK("https://www.chemistwarehouse.com.au/buy/80404/NRL-Fragrance-Sydney-Roosters"," NRL Fragrance Sydney Roosters")</f>
        <v xml:space="preserve"> NRL Fragrance Sydney Roosters</v>
      </c>
      <c r="C11830" t="s">
        <v>1</v>
      </c>
      <c r="D11830" t="s">
        <v>46</v>
      </c>
    </row>
    <row r="11831" spans="1:4" x14ac:dyDescent="0.25">
      <c r="B11831" t="str">
        <f>HYPERLINK("https://www.chemistwarehouse.com.au/buy/80395/NRL-Fragrance-Canberra-Raiders"," NRL Fragrance Canberra Raiders")</f>
        <v xml:space="preserve"> NRL Fragrance Canberra Raiders</v>
      </c>
      <c r="C11831" t="s">
        <v>1</v>
      </c>
      <c r="D11831" t="s">
        <v>46</v>
      </c>
    </row>
    <row r="11832" spans="1:4" x14ac:dyDescent="0.25">
      <c r="B11832" t="str">
        <f>HYPERLINK("https://www.chemistwarehouse.com.au/buy/80396/NRL-Fragrance-Cronulla-Sutherland-Sharks"," NRL Fragrance Cronulla Sutherland Sharks")</f>
        <v xml:space="preserve"> NRL Fragrance Cronulla Sutherland Sharks</v>
      </c>
      <c r="C11832" t="s">
        <v>1</v>
      </c>
      <c r="D11832" t="s">
        <v>46</v>
      </c>
    </row>
    <row r="11833" spans="1:4" x14ac:dyDescent="0.25">
      <c r="A11833" t="s">
        <v>2369</v>
      </c>
    </row>
    <row r="11834" spans="1:4" x14ac:dyDescent="0.25">
      <c r="B11834" t="str">
        <f>HYPERLINK("https://www.chemistwarehouse.com.au/buy/72237/Vagisil-Feminine-Pouch-20-Wipes"," Vagisil Feminine Pouch 20 Wipes ")</f>
        <v xml:space="preserve"> Vagisil Feminine Pouch 20 Wipes </v>
      </c>
      <c r="C11834" t="s">
        <v>1746</v>
      </c>
      <c r="D11834" t="s">
        <v>785</v>
      </c>
    </row>
    <row r="11835" spans="1:4" x14ac:dyDescent="0.25">
      <c r="B11835" t="str">
        <f>HYPERLINK("https://www.chemistwarehouse.com.au/buy/8245/Vagisil-Feminine-Itch-Cream-25g"," Vagisil Feminine Itch Cream 25g")</f>
        <v xml:space="preserve"> Vagisil Feminine Itch Cream 25g</v>
      </c>
      <c r="C11835" t="s">
        <v>1618</v>
      </c>
      <c r="D11835">
        <v>0</v>
      </c>
    </row>
    <row r="11836" spans="1:4" x14ac:dyDescent="0.25">
      <c r="B11836" t="str">
        <f>HYPERLINK("https://www.chemistwarehouse.com.au/buy/8246/Vagisil-Feminine-Powder-100g"," Vagisil Feminine Powder 100g")</f>
        <v xml:space="preserve"> Vagisil Feminine Powder 100g</v>
      </c>
      <c r="C11836" t="s">
        <v>1285</v>
      </c>
      <c r="D11836" t="s">
        <v>312</v>
      </c>
    </row>
    <row r="11837" spans="1:4" x14ac:dyDescent="0.25">
      <c r="B11837" t="str">
        <f>HYPERLINK("https://www.chemistwarehouse.com.au/buy/52010/Vagisil-Intimate-Moisturising-Lubricant-60mL"," Vagisil Intimate Moisturising Lubricant 60mL")</f>
        <v xml:space="preserve"> Vagisil Intimate Moisturising Lubricant 60mL</v>
      </c>
      <c r="C11837" t="s">
        <v>1215</v>
      </c>
      <c r="D11837" t="s">
        <v>805</v>
      </c>
    </row>
    <row r="11838" spans="1:4" x14ac:dyDescent="0.25">
      <c r="B11838" t="str">
        <f>HYPERLINK("https://www.chemistwarehouse.com.au/buy/79516/Vagisil-Anti-Itch-Medicated-12-Wipes"," Vagisil Anti Itch Medicated 12 Wipes")</f>
        <v xml:space="preserve"> Vagisil Anti Itch Medicated 12 Wipes</v>
      </c>
      <c r="C11838" t="s">
        <v>775</v>
      </c>
      <c r="D11838" t="s">
        <v>1086</v>
      </c>
    </row>
    <row r="11839" spans="1:4" x14ac:dyDescent="0.25">
      <c r="B11839" t="str">
        <f>HYPERLINK("https://www.chemistwarehouse.com.au/buy/79517/Vagisil-ProHydrate-External-Hydrating-Gel-30g"," Vagisil ProHydrate External Hydrating Gel 30g")</f>
        <v xml:space="preserve"> Vagisil ProHydrate External Hydrating Gel 30g</v>
      </c>
      <c r="C11839" t="s">
        <v>92</v>
      </c>
      <c r="D11839" t="s">
        <v>115</v>
      </c>
    </row>
    <row r="11840" spans="1:4" x14ac:dyDescent="0.25">
      <c r="B11840" t="str">
        <f>HYPERLINK("https://www.chemistwarehouse.com.au/buy/79981/Vagisil-Intimate-Wash-pH-Plus-240ml"," Vagisil Intimate Wash pH Plus 240ml")</f>
        <v xml:space="preserve"> Vagisil Intimate Wash pH Plus 240ml</v>
      </c>
      <c r="C11840" t="s">
        <v>174</v>
      </c>
      <c r="D11840" t="s">
        <v>612</v>
      </c>
    </row>
    <row r="11841" spans="1:4" x14ac:dyDescent="0.25">
      <c r="B11841" t="str">
        <f>HYPERLINK("https://www.chemistwarehouse.com.au/buy/79518/Vagisil-ProHydrate-Internal-Hydrating-Gel-6-x-5g"," Vagisil ProHydrate Internal Hydrating Gel 6 x 5g")</f>
        <v xml:space="preserve"> Vagisil ProHydrate Internal Hydrating Gel 6 x 5g</v>
      </c>
      <c r="C11841" t="s">
        <v>269</v>
      </c>
      <c r="D11841" t="s">
        <v>206</v>
      </c>
    </row>
    <row r="11842" spans="1:4" x14ac:dyDescent="0.25">
      <c r="B11842" t="str">
        <f>HYPERLINK("https://www.chemistwarehouse.com.au/buy/79980/Vagisil-Intimate-Wash-Fresh-Plus-240ml"," Vagisil Intimate Wash Fresh Plus 240ml")</f>
        <v xml:space="preserve"> Vagisil Intimate Wash Fresh Plus 240ml</v>
      </c>
      <c r="C11842" t="s">
        <v>174</v>
      </c>
      <c r="D11842" t="s">
        <v>612</v>
      </c>
    </row>
    <row r="11843" spans="1:4" x14ac:dyDescent="0.25">
      <c r="B11843" t="str">
        <f>HYPERLINK("https://www.chemistwarehouse.com.au/buy/77315/Vagisil-Feminine-Wash-Moisturising-175ml"," Vagisil Feminine Wash Moisturising 175ml")</f>
        <v xml:space="preserve"> Vagisil Feminine Wash Moisturising 175ml</v>
      </c>
      <c r="C11843" t="s">
        <v>1285</v>
      </c>
      <c r="D11843" t="s">
        <v>312</v>
      </c>
    </row>
    <row r="11844" spans="1:4" x14ac:dyDescent="0.25">
      <c r="A11844" t="s">
        <v>2370</v>
      </c>
    </row>
    <row r="11845" spans="1:4" x14ac:dyDescent="0.25">
      <c r="B11845" t="str">
        <f>HYPERLINK("https://www.chemistwarehouse.com.au/buy/77498/Gillette-Body-Groomer-Razor"," Gillette Body Groomer Razor")</f>
        <v xml:space="preserve"> Gillette Body Groomer Razor</v>
      </c>
      <c r="C11845" t="s">
        <v>2371</v>
      </c>
      <c r="D11845" t="s">
        <v>1448</v>
      </c>
    </row>
    <row r="11846" spans="1:4" x14ac:dyDescent="0.25">
      <c r="B11846" t="str">
        <f>HYPERLINK("https://www.chemistwarehouse.com.au/buy/77594/Gillette-Body-Groomer-Cartridge-4-Pack"," Gillette Body Groomer Cartridge 4 Pack")</f>
        <v xml:space="preserve"> Gillette Body Groomer Cartridge 4 Pack</v>
      </c>
      <c r="C11846" t="s">
        <v>61</v>
      </c>
      <c r="D11846" t="s">
        <v>115</v>
      </c>
    </row>
    <row r="11847" spans="1:4" x14ac:dyDescent="0.25">
      <c r="A11847" t="s">
        <v>2372</v>
      </c>
    </row>
    <row r="11848" spans="1:4" x14ac:dyDescent="0.25">
      <c r="B11848" t="str">
        <f>HYPERLINK("https://www.chemistwarehouse.com.au/buy/77299/Bioglan-Bio-Happy-Liver-Detox-120-Tablets"," Bioglan Bio Happy Liver Detox 120 Tablets")</f>
        <v xml:space="preserve"> Bioglan Bio Happy Liver Detox 120 Tablets</v>
      </c>
      <c r="C11848" t="s">
        <v>187</v>
      </c>
      <c r="D11848" t="s">
        <v>378</v>
      </c>
    </row>
    <row r="11849" spans="1:4" x14ac:dyDescent="0.25">
      <c r="B11849" t="str">
        <f>HYPERLINK("https://www.chemistwarehouse.com.au/buy/59558/Bioglan-Bio-Happy-IBS-Support-50-Tablets"," Bioglan Bio Happy IBS Support 50 Tablets")</f>
        <v xml:space="preserve"> Bioglan Bio Happy IBS Support 50 Tablets</v>
      </c>
      <c r="C11849" t="s">
        <v>161</v>
      </c>
      <c r="D11849" t="s">
        <v>155</v>
      </c>
    </row>
    <row r="11850" spans="1:4" x14ac:dyDescent="0.25">
      <c r="B11850" t="str">
        <f>HYPERLINK("https://www.chemistwarehouse.com.au/buy/77303/Bioglan-Bio-Happy-100B-30-Capsules"," Bioglan Bio Happy 100B 30 Capsules")</f>
        <v xml:space="preserve"> Bioglan Bio Happy 100B 30 Capsules</v>
      </c>
      <c r="C11850" t="s">
        <v>276</v>
      </c>
      <c r="D11850" t="s">
        <v>341</v>
      </c>
    </row>
    <row r="11851" spans="1:4" x14ac:dyDescent="0.25">
      <c r="B11851" t="str">
        <f>HYPERLINK("https://www.chemistwarehouse.com.au/buy/64865/Bioglan-Digest-Eze-40-Capsules"," Bioglan Digest Eze 40 Capsules")</f>
        <v xml:space="preserve"> Bioglan Digest Eze 40 Capsules</v>
      </c>
      <c r="C11851" t="s">
        <v>58</v>
      </c>
      <c r="D11851" t="s">
        <v>159</v>
      </c>
    </row>
    <row r="11852" spans="1:4" x14ac:dyDescent="0.25">
      <c r="B11852" t="str">
        <f>HYPERLINK("https://www.chemistwarehouse.com.au/buy/66768/Bioglan-Bio-Happy-Probiotic-25B-30-Capsules"," Bioglan Bio Happy Probiotic 25B 30 Capsules")</f>
        <v xml:space="preserve"> Bioglan Bio Happy Probiotic 25B 30 Capsules</v>
      </c>
      <c r="C11852" t="s">
        <v>1</v>
      </c>
      <c r="D11852" t="s">
        <v>160</v>
      </c>
    </row>
    <row r="11853" spans="1:4" x14ac:dyDescent="0.25">
      <c r="B11853" t="str">
        <f>HYPERLINK("https://www.chemistwarehouse.com.au/buy/63402/Bioglan-Bio-Happy-Probiotic-50B-30-Capsules"," Bioglan Bio Happy Probiotic 50B 30 Capsules")</f>
        <v xml:space="preserve"> Bioglan Bio Happy Probiotic 50B 30 Capsules</v>
      </c>
      <c r="C11853" t="s">
        <v>10</v>
      </c>
      <c r="D11853" t="s">
        <v>378</v>
      </c>
    </row>
    <row r="11854" spans="1:4" x14ac:dyDescent="0.25">
      <c r="B11854" t="str">
        <f>HYPERLINK("https://www.chemistwarehouse.com.au/buy/77305/Bioglan-Bio-Happy-Prebiotic-Fibre-200g"," Bioglan Bio Happy Prebiotic Fibre 200g")</f>
        <v xml:space="preserve"> Bioglan Bio Happy Prebiotic Fibre 200g</v>
      </c>
      <c r="C11854" t="s">
        <v>379</v>
      </c>
      <c r="D11854" t="s">
        <v>380</v>
      </c>
    </row>
    <row r="11855" spans="1:4" x14ac:dyDescent="0.25">
      <c r="B11855" t="str">
        <f>HYPERLINK("https://www.chemistwarehouse.com.au/buy/77301/Bioglan-Bio-Happy-Celery-Seed-Cleanse-60-Capsules"," Bioglan Bio Happy Celery Seed Cleanse 60 Capsules")</f>
        <v xml:space="preserve"> Bioglan Bio Happy Celery Seed Cleanse 60 Capsules</v>
      </c>
      <c r="C11855" t="s">
        <v>295</v>
      </c>
      <c r="D11855" t="s">
        <v>393</v>
      </c>
    </row>
    <row r="11856" spans="1:4" x14ac:dyDescent="0.25">
      <c r="B11856" t="str">
        <f>HYPERLINK("https://www.chemistwarehouse.com.au/buy/77302/Bioglan-Bio-Happy-Celery-Seed-Concentrate-750ml"," Bioglan Bio Happy Celery Seed Concentrate 750ml")</f>
        <v xml:space="preserve"> Bioglan Bio Happy Celery Seed Concentrate 750ml</v>
      </c>
      <c r="C11856" t="s">
        <v>280</v>
      </c>
      <c r="D11856" t="s">
        <v>394</v>
      </c>
    </row>
    <row r="11857" spans="1:4" x14ac:dyDescent="0.25">
      <c r="A11857" t="s">
        <v>2373</v>
      </c>
    </row>
    <row r="11858" spans="1:4" x14ac:dyDescent="0.25">
      <c r="A11858" t="s">
        <v>2374</v>
      </c>
    </row>
    <row r="11859" spans="1:4" x14ac:dyDescent="0.25">
      <c r="B11859" t="str">
        <f>HYPERLINK("https://www.chemistwarehouse.com.au/buy/74993/Mercedes-Benz-for-Men-Intense-120ml-Eau-De-Toilette-Spray"," Mercedes Benz for Men Intense 120ml Eau De Toilette Spray")</f>
        <v xml:space="preserve"> Mercedes Benz for Men Intense 120ml Eau De Toilette Spray</v>
      </c>
      <c r="C11859" t="s">
        <v>2354</v>
      </c>
      <c r="D11859">
        <v>0</v>
      </c>
    </row>
    <row r="11860" spans="1:4" x14ac:dyDescent="0.25">
      <c r="B11860" t="str">
        <f>HYPERLINK("https://www.chemistwarehouse.com.au/buy/74992/Mercedes-Benz-for-Men-Intense-75ml-Eau-De-Toilette-Spray"," Mercedes Benz for Men Intense 75ml Eau De Toilette Spray")</f>
        <v xml:space="preserve"> Mercedes Benz for Men Intense 75ml Eau De Toilette Spray</v>
      </c>
      <c r="C11860" t="s">
        <v>531</v>
      </c>
      <c r="D11860">
        <v>0</v>
      </c>
    </row>
    <row r="11861" spans="1:4" x14ac:dyDescent="0.25">
      <c r="A11861" t="s">
        <v>2375</v>
      </c>
    </row>
    <row r="11862" spans="1:4" x14ac:dyDescent="0.25">
      <c r="B11862" t="str">
        <f>HYPERLINK("https://www.chemistwarehouse.com.au/buy/68424/Police-Illusionist-125ml-Eau-De-Toilette-Spray"," Police Illusionist 125ml Eau De Toilette Spray")</f>
        <v xml:space="preserve"> Police Illusionist 125ml Eau De Toilette Spray</v>
      </c>
      <c r="C11862" t="s">
        <v>6</v>
      </c>
      <c r="D11862">
        <v>0</v>
      </c>
    </row>
    <row r="11863" spans="1:4" x14ac:dyDescent="0.25">
      <c r="B11863" t="str">
        <f>HYPERLINK("https://www.chemistwarehouse.com.au/buy/69815/Police-To-Be-King-125ml-Eau-De-Toilette-Spray"," Police To Be King 125ml Eau De Toilette Spray")</f>
        <v xml:space="preserve"> Police To Be King 125ml Eau De Toilette Spray</v>
      </c>
      <c r="C11863" t="s">
        <v>6</v>
      </c>
      <c r="D11863">
        <v>0</v>
      </c>
    </row>
    <row r="11864" spans="1:4" x14ac:dyDescent="0.25">
      <c r="B11864" t="str">
        <f>HYPERLINK("https://www.chemistwarehouse.com.au/buy/74373/Police-To-Be-150ml-Deoderant-Spray"," Police To Be 150ml Deoderant Spray ")</f>
        <v xml:space="preserve"> Police To Be 150ml Deoderant Spray </v>
      </c>
      <c r="C11864" t="s">
        <v>556</v>
      </c>
      <c r="D11864">
        <v>0</v>
      </c>
    </row>
    <row r="11865" spans="1:4" x14ac:dyDescent="0.25">
      <c r="B11865" t="str">
        <f>HYPERLINK("https://www.chemistwarehouse.com.au/buy/66710/Police-To-Be-125ml-Eau-de-Toilette-Spray"," Police To Be 125ml Eau de Toilette Spray")</f>
        <v xml:space="preserve"> Police To Be 125ml Eau de Toilette Spray</v>
      </c>
      <c r="C11865" t="s">
        <v>6</v>
      </c>
      <c r="D11865">
        <v>0</v>
      </c>
    </row>
    <row r="11866" spans="1:4" x14ac:dyDescent="0.25">
      <c r="B11866" t="str">
        <f>HYPERLINK("https://www.chemistwarehouse.com.au/buy/77469/Police-To-Be-Mens-75ml-2-Piece-Set"," Police To Be Mens 75ml 2 Piece Set")</f>
        <v xml:space="preserve"> Police To Be Mens 75ml 2 Piece Set</v>
      </c>
      <c r="C11866" t="s">
        <v>6</v>
      </c>
      <c r="D11866">
        <v>0</v>
      </c>
    </row>
    <row r="11867" spans="1:4" x14ac:dyDescent="0.25">
      <c r="B11867" t="str">
        <f>HYPERLINK("https://www.chemistwarehouse.com.au/buy/67345/Police-To-Be-75ml-Eau-de-Toilette-Spray"," Police To Be 75ml Eau de Toilette Spray")</f>
        <v xml:space="preserve"> Police To Be 75ml Eau de Toilette Spray</v>
      </c>
      <c r="C11867" t="s">
        <v>1</v>
      </c>
      <c r="D11867">
        <v>0</v>
      </c>
    </row>
    <row r="11868" spans="1:4" x14ac:dyDescent="0.25">
      <c r="B11868" t="str">
        <f>HYPERLINK("https://www.chemistwarehouse.com.au/buy/68176/Police-Illusionist-75ml-Eau-de-Toilette-Spray"," Police Illusionist 75ml Eau de Toilette Spray")</f>
        <v xml:space="preserve"> Police Illusionist 75ml Eau de Toilette Spray</v>
      </c>
      <c r="C11868" t="s">
        <v>1</v>
      </c>
      <c r="D11868">
        <v>0</v>
      </c>
    </row>
    <row r="11869" spans="1:4" x14ac:dyDescent="0.25">
      <c r="B11869" t="str">
        <f>HYPERLINK("https://www.chemistwarehouse.com.au/buy/76939/Police-To-Be-Camouflage-Eau-De-Toilette-125ml-Spray"," Police To Be Camouflage Eau De Toilette 125ml Spray")</f>
        <v xml:space="preserve"> Police To Be Camouflage Eau De Toilette 125ml Spray</v>
      </c>
      <c r="C11869" t="s">
        <v>6</v>
      </c>
      <c r="D11869">
        <v>0</v>
      </c>
    </row>
    <row r="11870" spans="1:4" x14ac:dyDescent="0.25">
      <c r="A11870" t="s">
        <v>2376</v>
      </c>
    </row>
    <row r="11871" spans="1:4" x14ac:dyDescent="0.25">
      <c r="B11871" t="str">
        <f>HYPERLINK("https://www.chemistwarehouse.com.au/buy/69839/Police-To-Be-Queen-125ml-Eau-De-Parfum-Spray"," Police To Be Queen 125ml Eau De Parfum Spray")</f>
        <v xml:space="preserve"> Police To Be Queen 125ml Eau De Parfum Spray</v>
      </c>
      <c r="C11871" t="s">
        <v>6</v>
      </c>
      <c r="D11871">
        <v>0</v>
      </c>
    </row>
    <row r="11872" spans="1:4" x14ac:dyDescent="0.25">
      <c r="B11872" t="str">
        <f>HYPERLINK("https://www.chemistwarehouse.com.au/buy/74087/Police-To-Be-Womans-75ml-2-Piece-Set"," Police To Be Womans 75ml 2 Piece Set")</f>
        <v xml:space="preserve"> Police To Be Womans 75ml 2 Piece Set</v>
      </c>
      <c r="C11872" t="s">
        <v>6</v>
      </c>
      <c r="D11872">
        <v>0</v>
      </c>
    </row>
    <row r="11873" spans="1:4" x14ac:dyDescent="0.25">
      <c r="B11873" t="str">
        <f>HYPERLINK("https://www.chemistwarehouse.com.au/buy/66713/Police-To-Be-Ladies-125ml-Eau-De-Parfum-Spray"," Police To Be Ladies 125ml Eau De Parfum Spray")</f>
        <v xml:space="preserve"> Police To Be Ladies 125ml Eau De Parfum Spray</v>
      </c>
      <c r="C11873" t="s">
        <v>6</v>
      </c>
      <c r="D11873">
        <v>0</v>
      </c>
    </row>
    <row r="11874" spans="1:4" x14ac:dyDescent="0.25">
      <c r="A11874" t="s">
        <v>2377</v>
      </c>
    </row>
    <row r="11875" spans="1:4" x14ac:dyDescent="0.25">
      <c r="B11875" t="str">
        <f>HYPERLINK("https://www.chemistwarehouse.com.au/buy/52727/Lovely-by-Sarah-Jessica-Parker-Eau-de-Parfum-Spray-100ml"," Lovely by Sarah Jessica Parker Eau de Parfum Spray 100ml")</f>
        <v xml:space="preserve"> Lovely by Sarah Jessica Parker Eau de Parfum Spray 100ml</v>
      </c>
      <c r="C11875" t="s">
        <v>6</v>
      </c>
      <c r="D11875">
        <v>0</v>
      </c>
    </row>
    <row r="11876" spans="1:4" x14ac:dyDescent="0.25">
      <c r="A11876" t="s">
        <v>2378</v>
      </c>
    </row>
    <row r="11877" spans="1:4" x14ac:dyDescent="0.25">
      <c r="B11877" t="str">
        <f>HYPERLINK("https://www.chemistwarehouse.com.au/buy/78324/Sarah-Jessica-Parker-NYC-Eau-de-Parfum-Spray-100ml"," Sarah Jessica Parker NYC Eau de Parfum Spray 100ml")</f>
        <v xml:space="preserve"> Sarah Jessica Parker NYC Eau de Parfum Spray 100ml</v>
      </c>
      <c r="C11877" t="s">
        <v>6</v>
      </c>
      <c r="D11877">
        <v>0</v>
      </c>
    </row>
    <row r="11878" spans="1:4" x14ac:dyDescent="0.25">
      <c r="A11878" t="s">
        <v>2379</v>
      </c>
    </row>
    <row r="11879" spans="1:4" x14ac:dyDescent="0.25">
      <c r="B11879" t="str">
        <f>HYPERLINK("https://www.chemistwarehouse.com.au/buy/57024/Harmony-Menopause-120-Tablets"," Harmony Menopause 120 Tablets")</f>
        <v xml:space="preserve"> Harmony Menopause 120 Tablets</v>
      </c>
      <c r="C11879" t="s">
        <v>273</v>
      </c>
      <c r="D11879" t="s">
        <v>435</v>
      </c>
    </row>
    <row r="11880" spans="1:4" x14ac:dyDescent="0.25">
      <c r="B11880" t="str">
        <f>HYPERLINK("https://www.chemistwarehouse.com.au/buy/73529/Harmony-Menopause-Max-60-Tablets"," Harmony Menopause Max 60 Tablets")</f>
        <v xml:space="preserve"> Harmony Menopause Max 60 Tablets</v>
      </c>
      <c r="C11880" t="s">
        <v>10</v>
      </c>
      <c r="D11880" t="s">
        <v>343</v>
      </c>
    </row>
    <row r="11881" spans="1:4" x14ac:dyDescent="0.25">
      <c r="B11881" t="str">
        <f>HYPERLINK("https://www.chemistwarehouse.com.au/buy/75711/Harmony-Balance-60-Tablets"," Harmony Balance 60 Tablets")</f>
        <v xml:space="preserve"> Harmony Balance 60 Tablets</v>
      </c>
      <c r="C11881" t="s">
        <v>112</v>
      </c>
      <c r="D11881" t="s">
        <v>340</v>
      </c>
    </row>
    <row r="11882" spans="1:4" x14ac:dyDescent="0.25">
      <c r="B11882" t="str">
        <f>HYPERLINK("https://www.chemistwarehouse.com.au/buy/71258/Harmony-Mums-Restore-60-Tablets"," Harmony Mums Restore 60 Tablets")</f>
        <v xml:space="preserve"> Harmony Mums Restore 60 Tablets</v>
      </c>
      <c r="C11882" t="s">
        <v>227</v>
      </c>
      <c r="D11882" t="s">
        <v>2380</v>
      </c>
    </row>
    <row r="11883" spans="1:4" x14ac:dyDescent="0.25">
      <c r="A11883" t="s">
        <v>2381</v>
      </c>
    </row>
    <row r="11884" spans="1:4" x14ac:dyDescent="0.25">
      <c r="B11884" t="str">
        <f>HYPERLINK("https://www.chemistwarehouse.com.au/buy/74891/Thursday-Plantation-Eucalyptus-Oil-100-Pure-200ml"," Thursday Plantation Eucalyptus Oil 100% Pure 200ml")</f>
        <v xml:space="preserve"> Thursday Plantation Eucalyptus Oil 100% Pure 200ml</v>
      </c>
      <c r="C11884" t="s">
        <v>92</v>
      </c>
      <c r="D11884" t="s">
        <v>647</v>
      </c>
    </row>
    <row r="11885" spans="1:4" x14ac:dyDescent="0.25">
      <c r="B11885" t="str">
        <f>HYPERLINK("https://www.chemistwarehouse.com.au/buy/74893/Thursday-Plantation-Lavender-Oil-100-Pure-50ml"," Thursday Plantation Lavender Oil 100% Pure 50ml")</f>
        <v xml:space="preserve"> Thursday Plantation Lavender Oil 100% Pure 50ml</v>
      </c>
      <c r="C11885" t="s">
        <v>45</v>
      </c>
      <c r="D11885" t="s">
        <v>675</v>
      </c>
    </row>
    <row r="11886" spans="1:4" x14ac:dyDescent="0.25">
      <c r="B11886" t="str">
        <f>HYPERLINK("https://www.chemistwarehouse.com.au/buy/39927/Thursday-Plantation-Tea-Tree-Pure-Oil-50ml"," Thursday Plantation Tea Tree Pure Oil 50ml")</f>
        <v xml:space="preserve"> Thursday Plantation Tea Tree Pure Oil 50ml</v>
      </c>
      <c r="C11886" t="s">
        <v>45</v>
      </c>
      <c r="D11886" t="s">
        <v>1446</v>
      </c>
    </row>
    <row r="11887" spans="1:4" x14ac:dyDescent="0.25">
      <c r="B11887" t="str">
        <f>HYPERLINK("https://www.chemistwarehouse.com.au/buy/31265/Thursday-Plantation-Tea-Tree-Oil-25ml"," Thursday Plantation Tea Tree Oil 25ml")</f>
        <v xml:space="preserve"> Thursday Plantation Tea Tree Oil 25ml</v>
      </c>
      <c r="C11887" t="s">
        <v>1447</v>
      </c>
      <c r="D11887" t="s">
        <v>1448</v>
      </c>
    </row>
    <row r="11888" spans="1:4" x14ac:dyDescent="0.25">
      <c r="B11888" t="str">
        <f>HYPERLINK("https://www.chemistwarehouse.com.au/buy/74892/Thursday-Plantation-Lavender-Oil-100-Pure-25ml"," Thursday Plantation Lavender Oil 100% Pure 25ml")</f>
        <v xml:space="preserve"> Thursday Plantation Lavender Oil 100% Pure 25ml</v>
      </c>
      <c r="C11888" t="s">
        <v>116</v>
      </c>
      <c r="D11888" t="s">
        <v>1587</v>
      </c>
    </row>
    <row r="11889" spans="1:4" x14ac:dyDescent="0.25">
      <c r="B11889" t="str">
        <f>HYPERLINK("https://www.chemistwarehouse.com.au/buy/41917/Thursday-Plantation-Tea-Tree-Pure-Oil-10ml"," Thursday Plantation Tea Tree Pure Oil 10ml")</f>
        <v xml:space="preserve"> Thursday Plantation Tea Tree Pure Oil 10ml</v>
      </c>
      <c r="C11889" t="s">
        <v>1308</v>
      </c>
      <c r="D11889" t="s">
        <v>1452</v>
      </c>
    </row>
    <row r="11890" spans="1:4" x14ac:dyDescent="0.25">
      <c r="B11890" t="str">
        <f>HYPERLINK("https://www.chemistwarehouse.com.au/buy/74890/Thursday-Plantation-Eucalyptus-Oil-100-Pure-100ml"," Thursday Plantation Eucalyptus Oil 100% Pure 100ml")</f>
        <v xml:space="preserve"> Thursday Plantation Eucalyptus Oil 100% Pure 100ml</v>
      </c>
      <c r="C11890" t="s">
        <v>775</v>
      </c>
      <c r="D11890" t="s">
        <v>1310</v>
      </c>
    </row>
    <row r="11891" spans="1:4" x14ac:dyDescent="0.25">
      <c r="A11891" t="s">
        <v>2382</v>
      </c>
    </row>
    <row r="11892" spans="1:4" x14ac:dyDescent="0.25">
      <c r="B11892" t="str">
        <f>HYPERLINK("https://www.chemistwarehouse.com.au/buy/58568/Oral-B-Vitality-Precision-Clean-Electric-Toothbrush-2-Refills"," Oral B Vitality Precision Clean Electric Toothbrush +2 Refills")</f>
        <v xml:space="preserve"> Oral B Vitality Precision Clean Electric Toothbrush +2 Refills</v>
      </c>
      <c r="C11892" t="s">
        <v>166</v>
      </c>
      <c r="D11892" t="s">
        <v>167</v>
      </c>
    </row>
    <row r="11893" spans="1:4" x14ac:dyDescent="0.25">
      <c r="B11893" t="str">
        <f>HYPERLINK("https://www.chemistwarehouse.com.au/buy/58626/Oral-B-Vitality-Pro-White-Electric-Toothbrush-2-Refills"," Oral B Vitality Pro White Electric Toothbrush +2 Refills")</f>
        <v xml:space="preserve"> Oral B Vitality Pro White Electric Toothbrush +2 Refills</v>
      </c>
      <c r="C11893" t="s">
        <v>166</v>
      </c>
      <c r="D11893" t="s">
        <v>167</v>
      </c>
    </row>
    <row r="11894" spans="1:4" x14ac:dyDescent="0.25">
      <c r="B11894" t="str">
        <f>HYPERLINK("https://www.chemistwarehouse.com.au/buy/72648/Oral-B-EB20-3-Precision-Clean-6-Pack"," Oral B EB20-3 Precision Clean 6 Pack")</f>
        <v xml:space="preserve"> Oral B EB20-3 Precision Clean 6 Pack</v>
      </c>
      <c r="C11894" t="s">
        <v>266</v>
      </c>
      <c r="D11894" t="s">
        <v>164</v>
      </c>
    </row>
    <row r="11895" spans="1:4" x14ac:dyDescent="0.25">
      <c r="B11895" t="str">
        <f>HYPERLINK("https://www.chemistwarehouse.com.au/buy/67708/Oral-B-Prohealth-Fresh-Mint-Toothpaste-145g"," Oral B Prohealth Fresh Mint Toothpaste 145g")</f>
        <v xml:space="preserve"> Oral B Prohealth Fresh Mint Toothpaste 145g</v>
      </c>
      <c r="C11895" t="s">
        <v>1746</v>
      </c>
      <c r="D11895" t="s">
        <v>785</v>
      </c>
    </row>
    <row r="11896" spans="1:4" x14ac:dyDescent="0.25">
      <c r="B11896" t="str">
        <f>HYPERLINK("https://www.chemistwarehouse.com.au/buy/64133/Oral-B-Sensitive-Clean-2-pack"," Oral B Sensitive Clean 2 pack")</f>
        <v xml:space="preserve"> Oral B Sensitive Clean 2 pack</v>
      </c>
      <c r="C11896" t="s">
        <v>237</v>
      </c>
      <c r="D11896" t="s">
        <v>371</v>
      </c>
    </row>
    <row r="11897" spans="1:4" x14ac:dyDescent="0.25">
      <c r="B11897" t="str">
        <f>HYPERLINK("https://www.chemistwarehouse.com.au/buy/58091/Oral-B-EB25-Floss-Action-Refill-2-Pack"," Oral B EB25 Floss Action Refill 2 Pack")</f>
        <v xml:space="preserve"> Oral B EB25 Floss Action Refill 2 Pack</v>
      </c>
      <c r="C11897" t="s">
        <v>98</v>
      </c>
      <c r="D11897" t="s">
        <v>64</v>
      </c>
    </row>
    <row r="11898" spans="1:4" x14ac:dyDescent="0.25">
      <c r="B11898" t="str">
        <f>HYPERLINK("https://www.chemistwarehouse.com.au/buy/78551/Oral-B-Toothpaste-3D-White-Luxe-Diamond-Strong-95g"," Oral B Toothpaste 3D White Luxe Diamond Strong 95g")</f>
        <v xml:space="preserve"> Oral B Toothpaste 3D White Luxe Diamond Strong 95g</v>
      </c>
      <c r="C11898" t="s">
        <v>1618</v>
      </c>
      <c r="D11898" t="s">
        <v>808</v>
      </c>
    </row>
    <row r="11899" spans="1:4" x14ac:dyDescent="0.25">
      <c r="B11899" t="str">
        <f>HYPERLINK("https://www.chemistwarehouse.com.au/buy/67707/Oral-B-Prohealth-Clean-Mint-Toothpaste-145g"," Oral B Prohealth Clean Mint Toothpaste 145g")</f>
        <v xml:space="preserve"> Oral B Prohealth Clean Mint Toothpaste 145g</v>
      </c>
      <c r="C11899" t="s">
        <v>1746</v>
      </c>
      <c r="D11899" t="s">
        <v>785</v>
      </c>
    </row>
    <row r="11900" spans="1:4" x14ac:dyDescent="0.25">
      <c r="B11900" t="str">
        <f>HYPERLINK("https://www.chemistwarehouse.com.au/buy/53106/Oral-B-Denture-Brush"," Oral B Denture Brush")</f>
        <v xml:space="preserve"> Oral B Denture Brush</v>
      </c>
      <c r="C11900" t="s">
        <v>786</v>
      </c>
      <c r="D11900" t="s">
        <v>611</v>
      </c>
    </row>
    <row r="11901" spans="1:4" x14ac:dyDescent="0.25">
      <c r="B11901" t="str">
        <f>HYPERLINK("https://www.chemistwarehouse.com.au/buy/47438/Oral-B-Toothbrush-Ortho-Brush"," Oral B Toothbrush Ortho Brush ")</f>
        <v xml:space="preserve"> Oral B Toothbrush Ortho Brush </v>
      </c>
      <c r="C11901" t="s">
        <v>556</v>
      </c>
      <c r="D11901" t="s">
        <v>371</v>
      </c>
    </row>
    <row r="11902" spans="1:4" x14ac:dyDescent="0.25">
      <c r="B11902" t="str">
        <f>HYPERLINK("https://www.chemistwarehouse.com.au/buy/62828/Oral-B-Toothbrush-Classic-Care-Medium-Duo"," Oral B Toothbrush Classic Care Medium Duo")</f>
        <v xml:space="preserve"> Oral B Toothbrush Classic Care Medium Duo</v>
      </c>
      <c r="C11902" t="s">
        <v>146</v>
      </c>
      <c r="D11902">
        <v>0</v>
      </c>
    </row>
    <row r="11903" spans="1:4" x14ac:dyDescent="0.25">
      <c r="B11903" t="str">
        <f>HYPERLINK("https://www.chemistwarehouse.com.au/buy/63293/Oral-B-Vitality-Sensitive-Clean-Electric-Toothbrush"," Oral B Vitality Sensitive Clean Electric Toothbrush")</f>
        <v xml:space="preserve"> Oral B Vitality Sensitive Clean Electric Toothbrush</v>
      </c>
      <c r="C11903" t="s">
        <v>166</v>
      </c>
      <c r="D11903" t="s">
        <v>167</v>
      </c>
    </row>
    <row r="11904" spans="1:4" x14ac:dyDescent="0.25">
      <c r="B11904" t="str">
        <f>HYPERLINK("https://www.chemistwarehouse.com.au/buy/78550/Oral-B-Toothpaste-Pro-Health-Advanced-Whitening-110g"," Oral B Toothpaste Pro Health Advanced Whitening 110g")</f>
        <v xml:space="preserve"> Oral B Toothpaste Pro Health Advanced Whitening 110g</v>
      </c>
      <c r="C11904" t="s">
        <v>1264</v>
      </c>
      <c r="D11904" t="s">
        <v>593</v>
      </c>
    </row>
    <row r="11905" spans="1:4" x14ac:dyDescent="0.25">
      <c r="B11905" t="str">
        <f>HYPERLINK("https://www.chemistwarehouse.com.au/buy/53048/Oral-B-Cross-Action-Power-Replacement-Toothbrush-Heads-Medium-2"," Oral B Cross Action Power Replacement Toothbrush Heads Medium 2")</f>
        <v xml:space="preserve"> Oral B Cross Action Power Replacement Toothbrush Heads Medium 2</v>
      </c>
      <c r="C11905" t="s">
        <v>92</v>
      </c>
      <c r="D11905" t="s">
        <v>800</v>
      </c>
    </row>
    <row r="11906" spans="1:4" x14ac:dyDescent="0.25">
      <c r="B11906" t="str">
        <f>HYPERLINK("https://www.chemistwarehouse.com.au/buy/44505/Oral-B-Toothbrush-Stages-2-2-4-years"," Oral B Toothbrush Stages 2 2-4 years")</f>
        <v xml:space="preserve"> Oral B Toothbrush Stages 2 2-4 years</v>
      </c>
      <c r="C11906" t="s">
        <v>728</v>
      </c>
      <c r="D11906" t="s">
        <v>327</v>
      </c>
    </row>
    <row r="11907" spans="1:4" x14ac:dyDescent="0.25">
      <c r="B11907" t="str">
        <f>HYPERLINK("https://www.chemistwarehouse.com.au/buy/44507/Oral-B-Toothbrush-Stages-4-8-years"," Oral B Toothbrush Stages 4 8+ years")</f>
        <v xml:space="preserve"> Oral B Toothbrush Stages 4 8+ years</v>
      </c>
      <c r="C11907" t="s">
        <v>728</v>
      </c>
      <c r="D11907" t="s">
        <v>327</v>
      </c>
    </row>
    <row r="11908" spans="1:4" x14ac:dyDescent="0.25">
      <c r="B11908" t="str">
        <f>HYPERLINK("https://www.chemistwarehouse.com.au/buy/74900/Oral-B-Cross-Action-Refills-4-Pack"," Oral B Cross Action Refills 4 Pack")</f>
        <v xml:space="preserve"> Oral B Cross Action Refills 4 Pack</v>
      </c>
      <c r="C11908" t="s">
        <v>230</v>
      </c>
      <c r="D11908" t="s">
        <v>293</v>
      </c>
    </row>
    <row r="11909" spans="1:4" x14ac:dyDescent="0.25">
      <c r="B11909" t="str">
        <f>HYPERLINK("https://www.chemistwarehouse.com.au/buy/76278/Oral-B-Professional-Care-3000"," Oral B Professional Care 3000")</f>
        <v xml:space="preserve"> Oral B Professional Care 3000</v>
      </c>
      <c r="C11909" t="s">
        <v>2000</v>
      </c>
      <c r="D11909" t="s">
        <v>2001</v>
      </c>
    </row>
    <row r="11910" spans="1:4" x14ac:dyDescent="0.25">
      <c r="B11910" t="str">
        <f>HYPERLINK("https://www.chemistwarehouse.com.au/buy/78549/Oral-B-Toothpaste-Pro-Health-Advanced-Deep-Clean-110g"," Oral B Toothpaste Pro Health Advanced Deep Clean 110g")</f>
        <v xml:space="preserve"> Oral B Toothpaste Pro Health Advanced Deep Clean 110g</v>
      </c>
      <c r="C11910" t="s">
        <v>1264</v>
      </c>
      <c r="D11910" t="s">
        <v>593</v>
      </c>
    </row>
    <row r="11911" spans="1:4" x14ac:dyDescent="0.25">
      <c r="B11911" t="str">
        <f>HYPERLINK("https://www.chemistwarehouse.com.au/buy/72649/Oral-B-EB20-3-Precision-Clean-3-Pack"," Oral B EB20-3 Precision Clean 3 Pack")</f>
        <v xml:space="preserve"> Oral B EB20-3 Precision Clean 3 Pack</v>
      </c>
      <c r="C11911" t="s">
        <v>237</v>
      </c>
      <c r="D11911" t="s">
        <v>164</v>
      </c>
    </row>
    <row r="11912" spans="1:4" x14ac:dyDescent="0.25">
      <c r="B11912" t="str">
        <f>HYPERLINK("https://www.chemistwarehouse.com.au/buy/74855/Oral-B-Clinical-Toothpaste-Gum-Protection-110g"," Oral B Clinical Toothpaste Gum Protection 110g")</f>
        <v xml:space="preserve"> Oral B Clinical Toothpaste Gum Protection 110g</v>
      </c>
      <c r="C11912" t="s">
        <v>115</v>
      </c>
      <c r="D11912" t="s">
        <v>635</v>
      </c>
    </row>
    <row r="11913" spans="1:4" x14ac:dyDescent="0.25">
      <c r="B11913" t="str">
        <f>HYPERLINK("https://www.chemistwarehouse.com.au/buy/65763/Oral-B-Pro-Health-Clinical-Pro-Flex-Soft-1-Pack"," Oral B Pro Health Clinical Pro Flex Soft 1 Pack")</f>
        <v xml:space="preserve"> Oral B Pro Health Clinical Pro Flex Soft 1 Pack</v>
      </c>
      <c r="C11913" t="s">
        <v>174</v>
      </c>
      <c r="D11913" t="s">
        <v>612</v>
      </c>
    </row>
    <row r="11914" spans="1:4" x14ac:dyDescent="0.25">
      <c r="B11914" t="str">
        <f>HYPERLINK("https://www.chemistwarehouse.com.au/buy/67914/Oral-B-Complete-5-Way-Clean-40-Medium-2-Pack"," Oral B Complete 5 Way Clean 40 Medium 2 Pack")</f>
        <v xml:space="preserve"> Oral B Complete 5 Way Clean 40 Medium 2 Pack</v>
      </c>
      <c r="C11914" t="s">
        <v>786</v>
      </c>
      <c r="D11914" t="s">
        <v>318</v>
      </c>
    </row>
    <row r="11915" spans="1:4" x14ac:dyDescent="0.25">
      <c r="B11915" t="str">
        <f>HYPERLINK("https://www.chemistwarehouse.com.au/buy/70076/Oral-B-Pro-Health-Whitening-Toothpaste-145g"," Oral B Pro Health Whitening Toothpaste 145g")</f>
        <v xml:space="preserve"> Oral B Pro Health Whitening Toothpaste 145g</v>
      </c>
      <c r="C11915" t="s">
        <v>104</v>
      </c>
      <c r="D11915" t="s">
        <v>635</v>
      </c>
    </row>
    <row r="11916" spans="1:4" x14ac:dyDescent="0.25">
      <c r="A11916" t="s">
        <v>2383</v>
      </c>
    </row>
    <row r="11917" spans="1:4" x14ac:dyDescent="0.25">
      <c r="B11917" t="str">
        <f>HYPERLINK("https://www.chemistwarehouse.com.au/buy/77637/Veet-Spawax-Lily-and-Sugar-Fig-Refill-150g"," Veet Spawax Lily and Sugar Fig Refill 150g")</f>
        <v xml:space="preserve"> Veet Spawax Lily and Sugar Fig Refill 150g</v>
      </c>
      <c r="C11917" t="s">
        <v>45</v>
      </c>
      <c r="D11917" t="s">
        <v>162</v>
      </c>
    </row>
    <row r="11918" spans="1:4" x14ac:dyDescent="0.25">
      <c r="B11918" t="str">
        <f>HYPERLINK("https://www.chemistwarehouse.com.au/buy/77638/Veet-Spawax-Orchid-and-Vanilla-Refill-150g"," Veet Spawax Orchid and Vanilla Refill 150g  ")</f>
        <v xml:space="preserve"> Veet Spawax Orchid and Vanilla Refill 150g  </v>
      </c>
      <c r="C11918" t="s">
        <v>45</v>
      </c>
      <c r="D11918" t="s">
        <v>162</v>
      </c>
    </row>
    <row r="11919" spans="1:4" x14ac:dyDescent="0.25">
      <c r="B11919" t="str">
        <f>HYPERLINK("https://www.chemistwarehouse.com.au/buy/77639/Veet-Spawax-Stripless-Wax-Warming-Kit-150g"," Veet Spawax Stripless Wax Warming Kit 150g")</f>
        <v xml:space="preserve"> Veet Spawax Stripless Wax Warming Kit 150g</v>
      </c>
      <c r="C11919" t="s">
        <v>6</v>
      </c>
      <c r="D11919" t="s">
        <v>110</v>
      </c>
    </row>
    <row r="11920" spans="1:4" x14ac:dyDescent="0.25">
      <c r="A11920" t="s">
        <v>2384</v>
      </c>
    </row>
    <row r="11921" spans="1:4" x14ac:dyDescent="0.25">
      <c r="B11921" t="str">
        <f>HYPERLINK("https://www.chemistwarehouse.com.au/buy/5847/KY-Personal-Lubricant-100g-tube"," KY Personal Lubricant 100g tube")</f>
        <v xml:space="preserve"> KY Personal Lubricant 100g tube</v>
      </c>
      <c r="C11921" t="s">
        <v>32</v>
      </c>
      <c r="D11921" t="s">
        <v>371</v>
      </c>
    </row>
    <row r="11922" spans="1:4" x14ac:dyDescent="0.25">
      <c r="B11922" t="str">
        <f>HYPERLINK("https://www.chemistwarehouse.com.au/buy/5845/KY-Personal-Lubricant-50g-tube"," KY Personal Lubricant 50g tube")</f>
        <v xml:space="preserve"> KY Personal Lubricant 50g tube</v>
      </c>
      <c r="C11922" t="s">
        <v>326</v>
      </c>
      <c r="D11922" t="s">
        <v>327</v>
      </c>
    </row>
    <row r="11923" spans="1:4" x14ac:dyDescent="0.25">
      <c r="B11923" t="str">
        <f>HYPERLINK("https://www.chemistwarehouse.com.au/buy/51796/Durex-Condoms-Fetherlite-Ultra-Thin-12-Pack"," Durex Condoms Fetherlite Ultra Thin 12 Pack")</f>
        <v xml:space="preserve"> Durex Condoms Fetherlite Ultra Thin 12 Pack</v>
      </c>
      <c r="C11923" t="s">
        <v>554</v>
      </c>
      <c r="D11923" t="s">
        <v>682</v>
      </c>
    </row>
    <row r="11924" spans="1:4" x14ac:dyDescent="0.25">
      <c r="B11924" t="str">
        <f>HYPERLINK("https://www.chemistwarehouse.com.au/buy/68808/Durex-Play-Lubricant-Feel-50ml"," Durex Play Lubricant Feel 50ml ")</f>
        <v xml:space="preserve"> Durex Play Lubricant Feel 50ml </v>
      </c>
      <c r="C11924" t="s">
        <v>556</v>
      </c>
      <c r="D11924" t="s">
        <v>553</v>
      </c>
    </row>
    <row r="11925" spans="1:4" x14ac:dyDescent="0.25">
      <c r="B11925" t="str">
        <f>HYPERLINK("https://www.chemistwarehouse.com.au/buy/51795/Durex-Play-Lubricant-Massage-2-in-1-200ml"," Durex Play Lubricant Massage 2 in 1 200ml")</f>
        <v xml:space="preserve"> Durex Play Lubricant Massage 2 in 1 200ml</v>
      </c>
      <c r="C11925" t="s">
        <v>103</v>
      </c>
      <c r="D11925" t="s">
        <v>312</v>
      </c>
    </row>
    <row r="11926" spans="1:4" x14ac:dyDescent="0.25">
      <c r="B11926" t="str">
        <f>HYPERLINK("https://www.chemistwarehouse.com.au/buy/64837/Durex-Regular-24-Pack"," Durex Regular 24 Pack")</f>
        <v xml:space="preserve"> Durex Regular 24 Pack</v>
      </c>
      <c r="C11926" t="s">
        <v>45</v>
      </c>
      <c r="D11926" t="s">
        <v>312</v>
      </c>
    </row>
    <row r="11927" spans="1:4" x14ac:dyDescent="0.25">
      <c r="B11927" t="str">
        <f>HYPERLINK("https://www.chemistwarehouse.com.au/buy/68809/Durex-Play-Warming-Lubricant-50ml"," Durex Play Warming Lubricant 50ml")</f>
        <v xml:space="preserve"> Durex Play Warming Lubricant 50ml</v>
      </c>
      <c r="C11927" t="s">
        <v>116</v>
      </c>
      <c r="D11927" t="s">
        <v>371</v>
      </c>
    </row>
    <row r="11928" spans="1:4" x14ac:dyDescent="0.25">
      <c r="B11928" t="str">
        <f>HYPERLINK("https://www.chemistwarehouse.com.au/buy/68810/Durex-Pleasure-Me-12-Pack"," Durex Pleasure Me 12 Pack")</f>
        <v xml:space="preserve"> Durex Pleasure Me 12 Pack</v>
      </c>
      <c r="C11928" t="s">
        <v>554</v>
      </c>
      <c r="D11928" t="s">
        <v>682</v>
      </c>
    </row>
    <row r="11929" spans="1:4" x14ac:dyDescent="0.25">
      <c r="B11929" t="str">
        <f>HYPERLINK("https://www.chemistwarehouse.com.au/buy/72372/Durex-Real-Feel-8-Pack"," Durex Real Feel 8 Pack")</f>
        <v xml:space="preserve"> Durex Real Feel 8 Pack</v>
      </c>
      <c r="C11929" t="s">
        <v>103</v>
      </c>
      <c r="D11929" t="s">
        <v>312</v>
      </c>
    </row>
    <row r="11930" spans="1:4" x14ac:dyDescent="0.25">
      <c r="B11930" t="str">
        <f>HYPERLINK("https://www.chemistwarehouse.com.au/buy/59091/Durex-Play-O-15ml"," Durex Play O 15ml")</f>
        <v xml:space="preserve"> Durex Play O 15ml</v>
      </c>
      <c r="C11930" t="s">
        <v>187</v>
      </c>
      <c r="D11930" t="s">
        <v>165</v>
      </c>
    </row>
    <row r="11931" spans="1:4" x14ac:dyDescent="0.25">
      <c r="B11931" t="str">
        <f>HYPERLINK("https://www.chemistwarehouse.com.au/buy/68755/Durex-Taste-Me-12-Pack"," Durex Taste Me 12 Pack")</f>
        <v xml:space="preserve"> Durex Taste Me 12 Pack</v>
      </c>
      <c r="C11931" t="s">
        <v>554</v>
      </c>
      <c r="D11931" t="s">
        <v>291</v>
      </c>
    </row>
    <row r="11932" spans="1:4" x14ac:dyDescent="0.25">
      <c r="B11932" t="str">
        <f>HYPERLINK("https://www.chemistwarehouse.com.au/buy/68756/Durex-Perfect-Lubricant-Glide-50ml"," Durex Perfect Lubricant Glide 50ml")</f>
        <v xml:space="preserve"> Durex Perfect Lubricant Glide 50ml</v>
      </c>
      <c r="C11932" t="s">
        <v>103</v>
      </c>
      <c r="D11932" t="s">
        <v>312</v>
      </c>
    </row>
    <row r="11933" spans="1:4" x14ac:dyDescent="0.25">
      <c r="B11933" t="str">
        <f>HYPERLINK("https://www.chemistwarehouse.com.au/buy/64836/Durex-Surprise-Me-6-Condoms-Vibration-Ring"," Durex Surprise Me 6 Condoms + Vibration Ring")</f>
        <v xml:space="preserve"> Durex Surprise Me 6 Condoms + Vibration Ring</v>
      </c>
      <c r="C11933" t="s">
        <v>103</v>
      </c>
      <c r="D11933" t="s">
        <v>312</v>
      </c>
    </row>
    <row r="11934" spans="1:4" x14ac:dyDescent="0.25">
      <c r="A11934" t="s">
        <v>2385</v>
      </c>
    </row>
    <row r="11935" spans="1:4" x14ac:dyDescent="0.25">
      <c r="B11935" t="str">
        <f>HYPERLINK("https://www.chemistwarehouse.com.au/buy/76838/L-39-Oreal-True-Match-Pen-Stick-Concealer-40-Natural"," L'Oreal True Match Pen Stick Concealer 40 Natural")</f>
        <v xml:space="preserve"> L'Oreal True Match Pen Stick Concealer 40 Natural</v>
      </c>
      <c r="C11935" t="s">
        <v>39</v>
      </c>
      <c r="D11935" t="s">
        <v>128</v>
      </c>
    </row>
    <row r="11936" spans="1:4" x14ac:dyDescent="0.25">
      <c r="B11936" t="str">
        <f>HYPERLINK("https://www.chemistwarehouse.com.au/buy/77007/L-39-Oreal-True-Match-Foundation-1W-Golden-Ivory-30ml"," L'Oreal True Match Foundation 1W Golden Ivory 30ml")</f>
        <v xml:space="preserve"> L'Oreal True Match Foundation 1W Golden Ivory 30ml</v>
      </c>
      <c r="C11936" t="s">
        <v>13</v>
      </c>
      <c r="D11936" t="s">
        <v>12</v>
      </c>
    </row>
    <row r="11937" spans="2:4" x14ac:dyDescent="0.25">
      <c r="B11937" t="str">
        <f>HYPERLINK("https://www.chemistwarehouse.com.au/buy/77008/L-39-Oreal-True-Match-Foundation-2C-Rose-Vanilla-30ml"," L'Oreal True Match Foundation 2C Rose Vanilla 30ml")</f>
        <v xml:space="preserve"> L'Oreal True Match Foundation 2C Rose Vanilla 30ml</v>
      </c>
      <c r="C11937" t="s">
        <v>13</v>
      </c>
      <c r="D11937" t="s">
        <v>12</v>
      </c>
    </row>
    <row r="11938" spans="2:4" x14ac:dyDescent="0.25">
      <c r="B11938" t="str">
        <f>HYPERLINK("https://www.chemistwarehouse.com.au/buy/77009/L-39-Oreal-True-Match-Foundation-2N-Vanilla-30ml"," L'Oreal True Match Foundation 2N Vanilla 30ml")</f>
        <v xml:space="preserve"> L'Oreal True Match Foundation 2N Vanilla 30ml</v>
      </c>
      <c r="C11938" t="s">
        <v>13</v>
      </c>
      <c r="D11938" t="s">
        <v>12</v>
      </c>
    </row>
    <row r="11939" spans="2:4" x14ac:dyDescent="0.25">
      <c r="B11939" t="str">
        <f>HYPERLINK("https://www.chemistwarehouse.com.au/buy/77010/L-39-Oreal-True-Match-Foundation-3C-Rose-Beige-30ml"," L'Oreal True Match Foundation 3C Rose Beige 30ml")</f>
        <v xml:space="preserve"> L'Oreal True Match Foundation 3C Rose Beige 30ml</v>
      </c>
      <c r="C11939" t="s">
        <v>13</v>
      </c>
      <c r="D11939" t="s">
        <v>12</v>
      </c>
    </row>
    <row r="11940" spans="2:4" x14ac:dyDescent="0.25">
      <c r="B11940" t="str">
        <f>HYPERLINK("https://www.chemistwarehouse.com.au/buy/77011/L-39-Oreal-True-Match-Foundation-3N-Creamy-Beige-30ml"," L'Oreal True Match Foundation 3N Creamy Beige 30ml")</f>
        <v xml:space="preserve"> L'Oreal True Match Foundation 3N Creamy Beige 30ml</v>
      </c>
      <c r="C11940" t="s">
        <v>13</v>
      </c>
      <c r="D11940" t="s">
        <v>12</v>
      </c>
    </row>
    <row r="11941" spans="2:4" x14ac:dyDescent="0.25">
      <c r="B11941" t="str">
        <f>HYPERLINK("https://www.chemistwarehouse.com.au/buy/77012/L-39-Oreal-True-Match-Foundation-3W-Golden-Beige-30ml"," L'Oreal True Match Foundation 3W Golden Beige 30ml")</f>
        <v xml:space="preserve"> L'Oreal True Match Foundation 3W Golden Beige 30ml</v>
      </c>
      <c r="C11941" t="s">
        <v>13</v>
      </c>
      <c r="D11941" t="s">
        <v>12</v>
      </c>
    </row>
    <row r="11942" spans="2:4" x14ac:dyDescent="0.25">
      <c r="B11942" t="str">
        <f>HYPERLINK("https://www.chemistwarehouse.com.au/buy/77013/L-39-Oreal-True-Match-Foundation-4N-Beige-30ml"," L'Oreal True Match Foundation 4N Beige 30ml")</f>
        <v xml:space="preserve"> L'Oreal True Match Foundation 4N Beige 30ml</v>
      </c>
      <c r="C11942" t="s">
        <v>13</v>
      </c>
      <c r="D11942" t="s">
        <v>12</v>
      </c>
    </row>
    <row r="11943" spans="2:4" x14ac:dyDescent="0.25">
      <c r="B11943" t="str">
        <f>HYPERLINK("https://www.chemistwarehouse.com.au/buy/77014/L-39-Oreal-True-Match-Foundation-4W-Golden-Nat-30ml"," L'Oreal True Match Foundation 4W Golden Nat 30ml")</f>
        <v xml:space="preserve"> L'Oreal True Match Foundation 4W Golden Nat 30ml</v>
      </c>
      <c r="C11943" t="s">
        <v>13</v>
      </c>
      <c r="D11943" t="s">
        <v>12</v>
      </c>
    </row>
    <row r="11944" spans="2:4" x14ac:dyDescent="0.25">
      <c r="B11944" t="str">
        <f>HYPERLINK("https://www.chemistwarehouse.com.au/buy/77015/L-39-Oreal-True-Match-Foundation-5N-Sand-30ml"," L'Oreal True Match Foundation 5N Sand 30ml")</f>
        <v xml:space="preserve"> L'Oreal True Match Foundation 5N Sand 30ml</v>
      </c>
      <c r="C11944" t="s">
        <v>13</v>
      </c>
      <c r="D11944" t="s">
        <v>12</v>
      </c>
    </row>
    <row r="11945" spans="2:4" x14ac:dyDescent="0.25">
      <c r="B11945" t="str">
        <f>HYPERLINK("https://www.chemistwarehouse.com.au/buy/77016/L-39-Oreal-True-Match-Foundation-5W-Golden-Sand-30ml"," L'Oreal True Match Foundation 5W Golden Sand 30ml")</f>
        <v xml:space="preserve"> L'Oreal True Match Foundation 5W Golden Sand 30ml</v>
      </c>
      <c r="C11945" t="s">
        <v>13</v>
      </c>
      <c r="D11945" t="s">
        <v>12</v>
      </c>
    </row>
    <row r="11946" spans="2:4" x14ac:dyDescent="0.25">
      <c r="B11946" t="str">
        <f>HYPERLINK("https://www.chemistwarehouse.com.au/buy/77017/L-39-Oreal-True-Match-Foundation-6N-Honey-30ml"," L'Oreal True Match Foundation 6N Honey 30ml")</f>
        <v xml:space="preserve"> L'Oreal True Match Foundation 6N Honey 30ml</v>
      </c>
      <c r="C11946" t="s">
        <v>13</v>
      </c>
      <c r="D11946" t="s">
        <v>12</v>
      </c>
    </row>
    <row r="11947" spans="2:4" x14ac:dyDescent="0.25">
      <c r="B11947" t="str">
        <f>HYPERLINK("https://www.chemistwarehouse.com.au/buy/77018/L-39-Oreal-True-Match-Mineral-Face-N3-Creamy-Beige"," L'Oreal True Match Mineral Face N3 Creamy Beige")</f>
        <v xml:space="preserve"> L'Oreal True Match Mineral Face N3 Creamy Beige</v>
      </c>
      <c r="C11947" t="s">
        <v>25</v>
      </c>
      <c r="D11947" t="s">
        <v>24</v>
      </c>
    </row>
    <row r="11948" spans="2:4" x14ac:dyDescent="0.25">
      <c r="B11948" t="str">
        <f>HYPERLINK("https://www.chemistwarehouse.com.au/buy/77019/L-39-Oreal-True-Match-Mineral-Face-N6-Honey-Glow"," L'Oreal True Match Mineral Face N6 Honey Glow")</f>
        <v xml:space="preserve"> L'Oreal True Match Mineral Face N6 Honey Glow</v>
      </c>
      <c r="C11948" t="s">
        <v>25</v>
      </c>
      <c r="D11948" t="s">
        <v>24</v>
      </c>
    </row>
    <row r="11949" spans="2:4" x14ac:dyDescent="0.25">
      <c r="B11949" t="str">
        <f>HYPERLINK("https://www.chemistwarehouse.com.au/buy/77029/L-39-Oreal-True-Match-Powder-D3W3-Golden-Beige"," L'Oreal True Match Powder D3W3 Golden Beige")</f>
        <v xml:space="preserve"> L'Oreal True Match Powder D3W3 Golden Beige</v>
      </c>
      <c r="C11949" t="s">
        <v>13</v>
      </c>
      <c r="D11949" t="s">
        <v>12</v>
      </c>
    </row>
    <row r="11950" spans="2:4" x14ac:dyDescent="0.25">
      <c r="B11950" t="str">
        <f>HYPERLINK("https://www.chemistwarehouse.com.au/buy/77030/L-39-Oreal-True-Match-Powder-D5W5-Golden-Sand"," L'Oreal True Match Powder D5W5 Golden Sand")</f>
        <v xml:space="preserve"> L'Oreal True Match Powder D5W5 Golden Sand</v>
      </c>
      <c r="C11950" t="s">
        <v>13</v>
      </c>
      <c r="D11950" t="s">
        <v>12</v>
      </c>
    </row>
    <row r="11951" spans="2:4" x14ac:dyDescent="0.25">
      <c r="B11951" t="str">
        <f>HYPERLINK("https://www.chemistwarehouse.com.au/buy/77031/L-39-Oreal-True-Match-Powder-N4-Beige"," L'Oreal True Match Powder N4 Beige")</f>
        <v xml:space="preserve"> L'Oreal True Match Powder N4 Beige</v>
      </c>
      <c r="C11951" t="s">
        <v>13</v>
      </c>
      <c r="D11951" t="s">
        <v>12</v>
      </c>
    </row>
    <row r="11952" spans="2:4" x14ac:dyDescent="0.25">
      <c r="B11952" t="str">
        <f>HYPERLINK("https://www.chemistwarehouse.com.au/buy/77032/L-39-Oreal-True-Match-Powder-R2C2-Vanilla-Rose"," L'Oreal True Match Powder R2C2 Vanilla Rose")</f>
        <v xml:space="preserve"> L'Oreal True Match Powder R2C2 Vanilla Rose</v>
      </c>
      <c r="C11952" t="s">
        <v>13</v>
      </c>
      <c r="D11952" t="s">
        <v>12</v>
      </c>
    </row>
    <row r="11953" spans="1:4" x14ac:dyDescent="0.25">
      <c r="B11953" t="str">
        <f>HYPERLINK("https://www.chemistwarehouse.com.au/buy/76810/L-39-Oreal-True-Match-Blush-120-Sandlewood-Pink"," L'Oreal True Match Blush 120 Sandlewood Pink")</f>
        <v xml:space="preserve"> L'Oreal True Match Blush 120 Sandlewood Pink</v>
      </c>
      <c r="C11953" t="s">
        <v>66</v>
      </c>
      <c r="D11953" t="s">
        <v>65</v>
      </c>
    </row>
    <row r="11954" spans="1:4" x14ac:dyDescent="0.25">
      <c r="B11954" t="str">
        <f>HYPERLINK("https://www.chemistwarehouse.com.au/buy/76811/L-39-Oreal-True-Match-Blush-145-Rosewood"," L'Oreal True Match Blush 145 Rosewood")</f>
        <v xml:space="preserve"> L'Oreal True Match Blush 145 Rosewood</v>
      </c>
      <c r="C11954" t="s">
        <v>66</v>
      </c>
      <c r="D11954" t="s">
        <v>65</v>
      </c>
    </row>
    <row r="11955" spans="1:4" x14ac:dyDescent="0.25">
      <c r="B11955" t="str">
        <f>HYPERLINK("https://www.chemistwarehouse.com.au/buy/76812/L-39-Oreal-True-Match-Blush-150-Candy-Cane-Pink"," L'Oreal True Match Blush 150 Candy Cane Pink")</f>
        <v xml:space="preserve"> L'Oreal True Match Blush 150 Candy Cane Pink</v>
      </c>
      <c r="C11955" t="s">
        <v>66</v>
      </c>
      <c r="D11955" t="s">
        <v>65</v>
      </c>
    </row>
    <row r="11956" spans="1:4" x14ac:dyDescent="0.25">
      <c r="B11956" t="str">
        <f>HYPERLINK("https://www.chemistwarehouse.com.au/buy/76813/L-39-Oreal-True-Match-Blush-163-Nectarine"," L'Oreal True Match Blush 163 Nectarine")</f>
        <v xml:space="preserve"> L'Oreal True Match Blush 163 Nectarine</v>
      </c>
      <c r="C11956" t="s">
        <v>66</v>
      </c>
      <c r="D11956" t="s">
        <v>65</v>
      </c>
    </row>
    <row r="11957" spans="1:4" x14ac:dyDescent="0.25">
      <c r="B11957" t="str">
        <f>HYPERLINK("https://www.chemistwarehouse.com.au/buy/76814/L-39-Oreal-True-Match-Blush-165-Rosy-Cheeks"," L'Oreal True Match Blush 165 Rosy Cheeks")</f>
        <v xml:space="preserve"> L'Oreal True Match Blush 165 Rosy Cheeks</v>
      </c>
      <c r="C11957" t="s">
        <v>66</v>
      </c>
      <c r="D11957" t="s">
        <v>65</v>
      </c>
    </row>
    <row r="11958" spans="1:4" x14ac:dyDescent="0.25">
      <c r="B11958" t="str">
        <f>HYPERLINK("https://www.chemistwarehouse.com.au/buy/76815/L-39-Oreal-True-Match-Blush-200-Golden-Amber"," L'Oreal True Match Blush 200 Golden Amber")</f>
        <v xml:space="preserve"> L'Oreal True Match Blush 200 Golden Amber</v>
      </c>
      <c r="C11958" t="s">
        <v>66</v>
      </c>
      <c r="D11958" t="s">
        <v>65</v>
      </c>
    </row>
    <row r="11959" spans="1:4" x14ac:dyDescent="0.25">
      <c r="A11959" t="s">
        <v>2386</v>
      </c>
    </row>
    <row r="11960" spans="1:4" x14ac:dyDescent="0.25">
      <c r="B11960" t="str">
        <f>HYPERLINK("https://www.chemistwarehouse.com.au/buy/79298/Pantene-3-Minute-Miracle-Colour-Protection-Conditioner-180ml"," Pantene 3 Minute Miracle Colour Protection Conditioner 180ml")</f>
        <v xml:space="preserve"> Pantene 3 Minute Miracle Colour Protection Conditioner 180ml</v>
      </c>
      <c r="C11960" t="s">
        <v>116</v>
      </c>
      <c r="D11960" t="s">
        <v>371</v>
      </c>
    </row>
    <row r="11961" spans="1:4" x14ac:dyDescent="0.25">
      <c r="B11961" t="str">
        <f>HYPERLINK("https://www.chemistwarehouse.com.au/buy/79299/Pantene-3-Minute-Miracle-Daily-Moisture-Renewal-Conditioner-180ml"," Pantene 3 Minute Miracle Daily Moisture Renewal Conditioner 180ml")</f>
        <v xml:space="preserve"> Pantene 3 Minute Miracle Daily Moisture Renewal Conditioner 180ml</v>
      </c>
      <c r="C11961" t="s">
        <v>116</v>
      </c>
      <c r="D11961" t="s">
        <v>371</v>
      </c>
    </row>
    <row r="11962" spans="1:4" x14ac:dyDescent="0.25">
      <c r="B11962" t="str">
        <f>HYPERLINK("https://www.chemistwarehouse.com.au/buy/79300/Pantene-3-Minute-Miracle-Repair-amp-Protect-Conditioner-180ml"," Pantene 3 Minute Miracle Repair &amp; Protect Conditioner 180ml")</f>
        <v xml:space="preserve"> Pantene 3 Minute Miracle Repair &amp; Protect Conditioner 180ml</v>
      </c>
      <c r="C11962" t="s">
        <v>116</v>
      </c>
      <c r="D11962" t="s">
        <v>371</v>
      </c>
    </row>
    <row r="11963" spans="1:4" x14ac:dyDescent="0.25">
      <c r="A11963" t="s">
        <v>1564</v>
      </c>
    </row>
    <row r="11964" spans="1:4" x14ac:dyDescent="0.25">
      <c r="B11964" t="str">
        <f>HYPERLINK("https://www.chemistwarehouse.com.au/buy/54911/Dimetapp-12-Hour-Nasal-Spray-Refill-20mL"," Dimetapp 12 Hour Nasal Spray Refill 20mL")</f>
        <v xml:space="preserve"> Dimetapp 12 Hour Nasal Spray Refill 20mL</v>
      </c>
      <c r="C11964" t="s">
        <v>103</v>
      </c>
      <c r="D11964">
        <v>0</v>
      </c>
    </row>
    <row r="11965" spans="1:4" x14ac:dyDescent="0.25">
      <c r="B11965" t="str">
        <f>HYPERLINK("https://www.chemistwarehouse.com.au/buy/3483/Dimetapp-12-Hour-Nasal-Spray-20ml"," Dimetapp 12 Hour Nasal Spray 20ml")</f>
        <v xml:space="preserve"> Dimetapp 12 Hour Nasal Spray 20ml</v>
      </c>
      <c r="C11965" t="s">
        <v>32</v>
      </c>
      <c r="D11965">
        <v>0</v>
      </c>
    </row>
    <row r="11966" spans="1:4" x14ac:dyDescent="0.25">
      <c r="B11966" t="str">
        <f>HYPERLINK("https://www.chemistwarehouse.com.au/buy/3478/Dimetapp-Cold-and-Allergy-200mL"," Dimetapp Cold and Allergy 200mL ")</f>
        <v xml:space="preserve"> Dimetapp Cold and Allergy 200mL </v>
      </c>
      <c r="C11966" t="s">
        <v>187</v>
      </c>
      <c r="D11966">
        <v>0</v>
      </c>
    </row>
    <row r="11967" spans="1:4" x14ac:dyDescent="0.25">
      <c r="B11967" t="str">
        <f>HYPERLINK("https://www.chemistwarehouse.com.au/buy/3475/Dimetapp-Cough-and-Cold-200mL"," Dimetapp Cough and Cold 200mL")</f>
        <v xml:space="preserve"> Dimetapp Cough and Cold 200mL</v>
      </c>
      <c r="C11967" t="s">
        <v>187</v>
      </c>
      <c r="D11967">
        <v>0</v>
      </c>
    </row>
    <row r="11968" spans="1:4" x14ac:dyDescent="0.25">
      <c r="B11968" t="str">
        <f>HYPERLINK("https://www.chemistwarehouse.com.au/buy/54255/Dimetapp-Day-amp-Night-PSE-Free-48-Liquid-Caps"," Dimetapp Day &amp; Night PSE Free 48 Liquid Caps")</f>
        <v xml:space="preserve"> Dimetapp Day &amp; Night PSE Free 48 Liquid Caps</v>
      </c>
      <c r="C11968" t="s">
        <v>187</v>
      </c>
      <c r="D11968">
        <v>0</v>
      </c>
    </row>
    <row r="11969" spans="1:4" x14ac:dyDescent="0.25">
      <c r="B11969" t="str">
        <f>HYPERLINK("https://www.chemistwarehouse.com.au/buy/68406/Dimetapp-Day-amp-Night-PE-Cough-48-Liquid-Capsules"," Dimetapp Day &amp; Night PE Cough 48 Liquid Capsules")</f>
        <v xml:space="preserve"> Dimetapp Day &amp; Night PE Cough 48 Liquid Capsules</v>
      </c>
      <c r="C11969" t="s">
        <v>202</v>
      </c>
      <c r="D11969">
        <v>0</v>
      </c>
    </row>
    <row r="11970" spans="1:4" x14ac:dyDescent="0.25">
      <c r="B11970" t="str">
        <f>HYPERLINK("https://www.chemistwarehouse.com.au/buy/68637/Dimetapp-Day-amp-Night-PE-Cough-24-Liquid-Capsules"," Dimetapp Day &amp; Night PE Cough 24 Liquid Capsules")</f>
        <v xml:space="preserve"> Dimetapp Day &amp; Night PE Cough 24 Liquid Capsules</v>
      </c>
      <c r="C11970" t="s">
        <v>80</v>
      </c>
      <c r="D11970">
        <v>0</v>
      </c>
    </row>
    <row r="11971" spans="1:4" x14ac:dyDescent="0.25">
      <c r="B11971" t="str">
        <f>HYPERLINK("https://www.chemistwarehouse.com.au/buy/75130/Dimetapp-Allergic-Rhinitis-Colour-Free-Kids-2-5"," Dimetapp Allergic Rhinitis Colour Free Kids 2-5")</f>
        <v xml:space="preserve"> Dimetapp Allergic Rhinitis Colour Free Kids 2-5</v>
      </c>
      <c r="C11971" t="s">
        <v>202</v>
      </c>
      <c r="D11971">
        <v>0</v>
      </c>
    </row>
    <row r="11972" spans="1:4" x14ac:dyDescent="0.25">
      <c r="B11972" t="str">
        <f>HYPERLINK("https://www.chemistwarehouse.com.au/buy/75131/Dimetapp-Allergic-Rhinitis-Kids-2-5"," Dimetapp Allergic Rhinitis Kids 2-5")</f>
        <v xml:space="preserve"> Dimetapp Allergic Rhinitis Kids 2-5</v>
      </c>
      <c r="C11972" t="s">
        <v>202</v>
      </c>
      <c r="D11972">
        <v>0</v>
      </c>
    </row>
    <row r="11973" spans="1:4" x14ac:dyDescent="0.25">
      <c r="A11973" t="s">
        <v>2387</v>
      </c>
    </row>
    <row r="11974" spans="1:4" x14ac:dyDescent="0.25">
      <c r="B11974" t="str">
        <f>HYPERLINK("https://www.chemistwarehouse.com.au/buy/31121/Dettol-Antiseptic-Cream-30g"," Dettol Antiseptic Cream 30g")</f>
        <v xml:space="preserve"> Dettol Antiseptic Cream 30g</v>
      </c>
      <c r="C11974" t="s">
        <v>775</v>
      </c>
      <c r="D11974" t="s">
        <v>776</v>
      </c>
    </row>
    <row r="11975" spans="1:4" x14ac:dyDescent="0.25">
      <c r="B11975" t="str">
        <f>HYPERLINK("https://www.chemistwarehouse.com.au/buy/56710/Dettol-Instant-Hand-Sanitizer-Refresh-50ml"," Dettol Instant Hand Sanitizer Refresh 50ml")</f>
        <v xml:space="preserve"> Dettol Instant Hand Sanitizer Refresh 50ml</v>
      </c>
      <c r="C11975" t="s">
        <v>146</v>
      </c>
      <c r="D11975" t="s">
        <v>725</v>
      </c>
    </row>
    <row r="11976" spans="1:4" x14ac:dyDescent="0.25">
      <c r="B11976" t="str">
        <f>HYPERLINK("https://www.chemistwarehouse.com.au/buy/67517/Dettol-Surface-Cleanser-Wipes-40"," Dettol Surface Cleanser Wipes 40")</f>
        <v xml:space="preserve"> Dettol Surface Cleanser Wipes 40</v>
      </c>
      <c r="C11976" t="s">
        <v>483</v>
      </c>
      <c r="D11976" t="s">
        <v>371</v>
      </c>
    </row>
    <row r="11977" spans="1:4" x14ac:dyDescent="0.25">
      <c r="B11977" t="str">
        <f>HYPERLINK("https://www.chemistwarehouse.com.au/buy/31120/Dettol-Antiseptic-Solution-500ml"," Dettol Antiseptic Solution 500ml")</f>
        <v xml:space="preserve"> Dettol Antiseptic Solution 500ml</v>
      </c>
      <c r="C11977" t="s">
        <v>32</v>
      </c>
      <c r="D11977" t="s">
        <v>727</v>
      </c>
    </row>
    <row r="11978" spans="1:4" x14ac:dyDescent="0.25">
      <c r="B11978" t="str">
        <f>HYPERLINK("https://www.chemistwarehouse.com.au/buy/67516/Dettol-Surface-Cleanser-Spray-500ml"," Dettol Surface Cleanser Spray 500ml ")</f>
        <v xml:space="preserve"> Dettol Surface Cleanser Spray 500ml </v>
      </c>
      <c r="C11978" t="s">
        <v>775</v>
      </c>
      <c r="D11978" t="s">
        <v>2097</v>
      </c>
    </row>
    <row r="11979" spans="1:4" x14ac:dyDescent="0.25">
      <c r="B11979" t="str">
        <f>HYPERLINK("https://www.chemistwarehouse.com.au/buy/76110/Dettol-Soft-on-Skin-Foaming-Hand-Wash-Lime-and-Mint-250ml"," Dettol Soft on Skin Foaming Hand Wash Lime and Mint 250ml")</f>
        <v xml:space="preserve"> Dettol Soft on Skin Foaming Hand Wash Lime and Mint 250ml</v>
      </c>
      <c r="C11979" t="s">
        <v>146</v>
      </c>
      <c r="D11979" t="s">
        <v>725</v>
      </c>
    </row>
    <row r="11980" spans="1:4" x14ac:dyDescent="0.25">
      <c r="B11980" t="str">
        <f>HYPERLINK("https://www.chemistwarehouse.com.au/buy/76111/Dettol-No-Touch-Vanilla-and-Coconut-Refill-250ml"," Dettol No Touch Vanilla and Coconut Refill 250ml")</f>
        <v xml:space="preserve"> Dettol No Touch Vanilla and Coconut Refill 250ml</v>
      </c>
      <c r="C11980" t="s">
        <v>556</v>
      </c>
      <c r="D11980" t="s">
        <v>371</v>
      </c>
    </row>
    <row r="11981" spans="1:4" x14ac:dyDescent="0.25">
      <c r="B11981" t="str">
        <f>HYPERLINK("https://www.chemistwarehouse.com.au/buy/72364/Dettol-ProFresh-Shower-Gel-Fig-Bliss-500ml"," Dettol ProFresh Shower Gel Fig Bliss 500ml")</f>
        <v xml:space="preserve"> Dettol ProFresh Shower Gel Fig Bliss 500ml</v>
      </c>
      <c r="C11981" t="s">
        <v>326</v>
      </c>
      <c r="D11981" t="s">
        <v>781</v>
      </c>
    </row>
    <row r="11982" spans="1:4" x14ac:dyDescent="0.25">
      <c r="B11982" t="str">
        <f>HYPERLINK("https://www.chemistwarehouse.com.au/buy/31119/Dettol-Antiseptic-Solution-250ml"," Dettol Antiseptic Solution 250ml")</f>
        <v xml:space="preserve"> Dettol Antiseptic Solution 250ml</v>
      </c>
      <c r="C11982" t="s">
        <v>326</v>
      </c>
      <c r="D11982" t="s">
        <v>327</v>
      </c>
    </row>
    <row r="11983" spans="1:4" x14ac:dyDescent="0.25">
      <c r="B11983" t="str">
        <f>HYPERLINK("https://www.chemistwarehouse.com.au/buy/31118/Dettol-Antiseptic-Solution-125ml"," Dettol Antiseptic Solution 125ml")</f>
        <v xml:space="preserve"> Dettol Antiseptic Solution 125ml</v>
      </c>
      <c r="C11983" t="s">
        <v>775</v>
      </c>
      <c r="D11983" t="s">
        <v>776</v>
      </c>
    </row>
    <row r="11984" spans="1:4" x14ac:dyDescent="0.25">
      <c r="B11984" t="str">
        <f>HYPERLINK("https://www.chemistwarehouse.com.au/buy/52060/Dettol-Instant-Sanitizer-50ml"," Dettol Instant Sanitizer 50ml")</f>
        <v xml:space="preserve"> Dettol Instant Sanitizer 50ml</v>
      </c>
      <c r="C11984" t="s">
        <v>146</v>
      </c>
      <c r="D11984" t="s">
        <v>725</v>
      </c>
    </row>
    <row r="11985" spans="1:4" x14ac:dyDescent="0.25">
      <c r="B11985" t="str">
        <f>HYPERLINK("https://www.chemistwarehouse.com.au/buy/50290/Dettol-Hand-Wash-Refresh-Pump-250ml"," Dettol Hand Wash Refresh Pump 250ml")</f>
        <v xml:space="preserve"> Dettol Hand Wash Refresh Pump 250ml</v>
      </c>
      <c r="C11985" t="s">
        <v>691</v>
      </c>
      <c r="D11985" t="s">
        <v>776</v>
      </c>
    </row>
    <row r="11986" spans="1:4" x14ac:dyDescent="0.25">
      <c r="B11986" t="str">
        <f>HYPERLINK("https://www.chemistwarehouse.com.au/buy/50296/Dettol-Hand-Wash-Moisture-Pump-250mL"," Dettol Hand Wash Moisture Pump 250mL")</f>
        <v xml:space="preserve"> Dettol Hand Wash Moisture Pump 250mL</v>
      </c>
      <c r="C11986" t="s">
        <v>691</v>
      </c>
      <c r="D11986" t="s">
        <v>776</v>
      </c>
    </row>
    <row r="11987" spans="1:4" x14ac:dyDescent="0.25">
      <c r="B11987" t="str">
        <f>HYPERLINK("https://www.chemistwarehouse.com.au/buy/72363/Dettol-ProFresh-Shower-Gel-Citrus-Splash-500ml"," Dettol ProFresh Shower Gel Citrus Splash 500ml")</f>
        <v xml:space="preserve"> Dettol ProFresh Shower Gel Citrus Splash 500ml</v>
      </c>
      <c r="C11987" t="s">
        <v>326</v>
      </c>
      <c r="D11987" t="s">
        <v>781</v>
      </c>
    </row>
    <row r="11988" spans="1:4" x14ac:dyDescent="0.25">
      <c r="B11988" t="str">
        <f>HYPERLINK("https://www.chemistwarehouse.com.au/buy/60377/Dettol-Instant-Hand-Sanitizer-Chamomile-50ml"," Dettol Instant Hand Sanitizer Chamomile 50ml")</f>
        <v xml:space="preserve"> Dettol Instant Hand Sanitizer Chamomile 50ml</v>
      </c>
      <c r="C11988" t="s">
        <v>146</v>
      </c>
      <c r="D11988" t="s">
        <v>725</v>
      </c>
    </row>
    <row r="11989" spans="1:4" x14ac:dyDescent="0.25">
      <c r="B11989" t="str">
        <f>HYPERLINK("https://www.chemistwarehouse.com.au/buy/61226/Dettol-No-Touch-Cucumber-Refill-250ml"," Dettol No Touch Cucumber Refill 250ml")</f>
        <v xml:space="preserve"> Dettol No Touch Cucumber Refill 250ml</v>
      </c>
      <c r="C11989" t="s">
        <v>556</v>
      </c>
      <c r="D11989" t="s">
        <v>371</v>
      </c>
    </row>
    <row r="11990" spans="1:4" x14ac:dyDescent="0.25">
      <c r="B11990" t="str">
        <f>HYPERLINK("https://www.chemistwarehouse.com.au/buy/72365/Dettol-ProFresh-Shower-Gel-Honey-Glow-500ml"," Dettol ProFresh Shower Gel Honey Glow 500ml")</f>
        <v xml:space="preserve"> Dettol ProFresh Shower Gel Honey Glow 500ml</v>
      </c>
      <c r="C11990" t="s">
        <v>326</v>
      </c>
      <c r="D11990" t="s">
        <v>781</v>
      </c>
    </row>
    <row r="11991" spans="1:4" x14ac:dyDescent="0.25">
      <c r="B11991" t="str">
        <f>HYPERLINK("https://www.chemistwarehouse.com.au/buy/72366/Dettol-ProFresh-Shower-Gel-Peach-Burst-500ml"," Dettol ProFresh Shower Gel Peach Burst 500ml")</f>
        <v xml:space="preserve"> Dettol ProFresh Shower Gel Peach Burst 500ml</v>
      </c>
      <c r="C11991" t="s">
        <v>326</v>
      </c>
      <c r="D11991" t="s">
        <v>781</v>
      </c>
    </row>
    <row r="11992" spans="1:4" x14ac:dyDescent="0.25">
      <c r="B11992" t="str">
        <f>HYPERLINK("https://www.chemistwarehouse.com.au/buy/73579/Dettol-ProFresh-Refresh-Bar-Soap-120g-3-Pack"," Dettol ProFresh Refresh Bar Soap 120g 3 Pack ")</f>
        <v xml:space="preserve"> Dettol ProFresh Refresh Bar Soap 120g 3 Pack </v>
      </c>
      <c r="C11992" t="s">
        <v>728</v>
      </c>
      <c r="D11992" t="s">
        <v>327</v>
      </c>
    </row>
    <row r="11993" spans="1:4" x14ac:dyDescent="0.25">
      <c r="B11993" t="str">
        <f>HYPERLINK("https://www.chemistwarehouse.com.au/buy/76109/Dettol-Soft-on-Skin-Foaming-Hand-Wash-Aloe-250ml"," Dettol Soft on Skin Foaming Hand Wash Aloe 250ml")</f>
        <v xml:space="preserve"> Dettol Soft on Skin Foaming Hand Wash Aloe 250ml</v>
      </c>
      <c r="C11993" t="s">
        <v>146</v>
      </c>
      <c r="D11993" t="s">
        <v>725</v>
      </c>
    </row>
    <row r="11994" spans="1:4" x14ac:dyDescent="0.25">
      <c r="B11994" t="str">
        <f>HYPERLINK("https://www.chemistwarehouse.com.au/buy/51705/Dettol-Instant-Hand-Sanitiser-200ml"," Dettol Instant Hand Sanitiser 200ml")</f>
        <v xml:space="preserve"> Dettol Instant Hand Sanitiser 200ml</v>
      </c>
      <c r="C11994" t="s">
        <v>375</v>
      </c>
      <c r="D11994" t="s">
        <v>611</v>
      </c>
    </row>
    <row r="11995" spans="1:4" x14ac:dyDescent="0.25">
      <c r="B11995" t="str">
        <f>HYPERLINK("https://www.chemistwarehouse.com.au/buy/66367/Dettol-Foaming-Hand-Wash-Rose-250ml"," Dettol Foaming Hand Wash Rose 250ml")</f>
        <v xml:space="preserve"> Dettol Foaming Hand Wash Rose 250ml</v>
      </c>
      <c r="C11995" t="s">
        <v>146</v>
      </c>
      <c r="D11995" t="s">
        <v>725</v>
      </c>
    </row>
    <row r="11996" spans="1:4" x14ac:dyDescent="0.25">
      <c r="B11996" t="str">
        <f>HYPERLINK("https://www.chemistwarehouse.com.au/buy/53985/Dettol-Instant-Hand-Sanitizer-Refresh-200ml"," Dettol Instant Hand Sanitizer Refresh 200ml")</f>
        <v xml:space="preserve"> Dettol Instant Hand Sanitizer Refresh 200ml</v>
      </c>
      <c r="C11996" t="s">
        <v>375</v>
      </c>
      <c r="D11996" t="s">
        <v>611</v>
      </c>
    </row>
    <row r="11997" spans="1:4" x14ac:dyDescent="0.25">
      <c r="A11997" t="s">
        <v>793</v>
      </c>
    </row>
    <row r="11998" spans="1:4" x14ac:dyDescent="0.25">
      <c r="B11998" t="str">
        <f>HYPERLINK("https://www.chemistwarehouse.com.au/buy/71414/Thursday-Plantation-Tea-Tree-Soap-3x125g"," Thursday Plantation Tea Tree Soap 3x125g")</f>
        <v xml:space="preserve"> Thursday Plantation Tea Tree Soap 3x125g</v>
      </c>
      <c r="C11998" t="s">
        <v>782</v>
      </c>
      <c r="D11998" t="s">
        <v>376</v>
      </c>
    </row>
    <row r="11999" spans="1:4" x14ac:dyDescent="0.25">
      <c r="B11999" t="str">
        <f>HYPERLINK("https://www.chemistwarehouse.com.au/buy/72294/Thursday-Plantation-Tea-Tree-Spray-140g"," Thursday Plantation Tea Tree Spray 140g")</f>
        <v xml:space="preserve"> Thursday Plantation Tea Tree Spray 140g</v>
      </c>
      <c r="C11999" t="s">
        <v>1449</v>
      </c>
      <c r="D11999" t="s">
        <v>1450</v>
      </c>
    </row>
    <row r="12000" spans="1:4" x14ac:dyDescent="0.25">
      <c r="B12000" t="str">
        <f>HYPERLINK("https://www.chemistwarehouse.com.au/buy/72565/Thursday-Plantation-Tea-Tree-Blemish-Stick-7ml"," Thursday Plantation Tea Tree Blemish Stick 7ml")</f>
        <v xml:space="preserve"> Thursday Plantation Tea Tree Blemish Stick 7ml</v>
      </c>
      <c r="C12000" t="s">
        <v>782</v>
      </c>
      <c r="D12000" t="s">
        <v>795</v>
      </c>
    </row>
    <row r="12001" spans="1:4" x14ac:dyDescent="0.25">
      <c r="B12001" t="str">
        <f>HYPERLINK("https://www.chemistwarehouse.com.au/buy/76178/Thursday-Plantation-Tea-Tree-Face-Wipes-for-Acne-25"," Thursday Plantation Tea Tree Face Wipes for Acne 25")</f>
        <v xml:space="preserve"> Thursday Plantation Tea Tree Face Wipes for Acne 25</v>
      </c>
      <c r="C12001" t="s">
        <v>116</v>
      </c>
      <c r="D12001" t="s">
        <v>397</v>
      </c>
    </row>
    <row r="12002" spans="1:4" x14ac:dyDescent="0.25">
      <c r="B12002" t="str">
        <f>HYPERLINK("https://www.chemistwarehouse.com.au/buy/71413/Thursday-Plantation-Tea-Tree-Soap-125g"," Thursday Plantation Tea Tree Soap 125g")</f>
        <v xml:space="preserve"> Thursday Plantation Tea Tree Soap 125g</v>
      </c>
      <c r="C12002" t="s">
        <v>691</v>
      </c>
      <c r="D12002" t="s">
        <v>555</v>
      </c>
    </row>
    <row r="12003" spans="1:4" x14ac:dyDescent="0.25">
      <c r="B12003" t="str">
        <f>HYPERLINK("https://www.chemistwarehouse.com.au/buy/68087/Thursday-Plantation-Tea-Tree-amp-Witch-Hazel-Face-Toner-100mL"," Thursday Plantation Tea Tree &amp; Witch Hazel Face Toner 100mL")</f>
        <v xml:space="preserve"> Thursday Plantation Tea Tree &amp; Witch Hazel Face Toner 100mL</v>
      </c>
      <c r="C12003" t="s">
        <v>554</v>
      </c>
      <c r="D12003" t="s">
        <v>397</v>
      </c>
    </row>
    <row r="12004" spans="1:4" x14ac:dyDescent="0.25">
      <c r="B12004" t="str">
        <f>HYPERLINK("https://www.chemistwarehouse.com.au/buy/71407/Thursday-Plantation-Tea-Tree-Face-Cream-65g"," Thursday Plantation Tea Tree Face Cream 65g")</f>
        <v xml:space="preserve"> Thursday Plantation Tea Tree Face Cream 65g</v>
      </c>
      <c r="C12004" t="s">
        <v>240</v>
      </c>
      <c r="D12004" t="s">
        <v>796</v>
      </c>
    </row>
    <row r="12005" spans="1:4" x14ac:dyDescent="0.25">
      <c r="B12005" t="str">
        <f>HYPERLINK("https://www.chemistwarehouse.com.au/buy/76286/Thursday-Plantation-Clarifying-Oil-60ml"," Thursday Plantation Clarifying Oil 60ml")</f>
        <v xml:space="preserve"> Thursday Plantation Clarifying Oil 60ml</v>
      </c>
      <c r="C12005" t="s">
        <v>443</v>
      </c>
      <c r="D12005" t="s">
        <v>821</v>
      </c>
    </row>
    <row r="12006" spans="1:4" x14ac:dyDescent="0.25">
      <c r="B12006" t="str">
        <f>HYPERLINK("https://www.chemistwarehouse.com.au/buy/60984/Thursday-Plantation-Tea-Tree-Acne-Face-Wash-150ml"," Thursday Plantation Tea Tree Acne Face Wash 150ml")</f>
        <v xml:space="preserve"> Thursday Plantation Tea Tree Acne Face Wash 150ml</v>
      </c>
      <c r="C12006" t="s">
        <v>107</v>
      </c>
      <c r="D12006" t="s">
        <v>797</v>
      </c>
    </row>
    <row r="12007" spans="1:4" x14ac:dyDescent="0.25">
      <c r="A12007" t="s">
        <v>1604</v>
      </c>
    </row>
    <row r="12008" spans="1:4" x14ac:dyDescent="0.25">
      <c r="B12008" t="str">
        <f>HYPERLINK("https://www.chemistwarehouse.com.au/buy/74891/Thursday-Plantation-Eucalyptus-Oil-100-Pure-200ml"," Thursday Plantation Eucalyptus Oil 100% Pure 200ml")</f>
        <v xml:space="preserve"> Thursday Plantation Eucalyptus Oil 100% Pure 200ml</v>
      </c>
      <c r="C12008" t="s">
        <v>92</v>
      </c>
      <c r="D12008" t="s">
        <v>647</v>
      </c>
    </row>
    <row r="12009" spans="1:4" x14ac:dyDescent="0.25">
      <c r="B12009" t="str">
        <f>HYPERLINK("https://www.chemistwarehouse.com.au/buy/74893/Thursday-Plantation-Lavender-Oil-100-Pure-50ml"," Thursday Plantation Lavender Oil 100% Pure 50ml")</f>
        <v xml:space="preserve"> Thursday Plantation Lavender Oil 100% Pure 50ml</v>
      </c>
      <c r="C12009" t="s">
        <v>45</v>
      </c>
      <c r="D12009" t="s">
        <v>675</v>
      </c>
    </row>
    <row r="12010" spans="1:4" x14ac:dyDescent="0.25">
      <c r="B12010" t="str">
        <f>HYPERLINK("https://www.chemistwarehouse.com.au/buy/39927/Thursday-Plantation-Tea-Tree-Pure-Oil-50ml"," Thursday Plantation Tea Tree Pure Oil 50ml")</f>
        <v xml:space="preserve"> Thursday Plantation Tea Tree Pure Oil 50ml</v>
      </c>
      <c r="C12010" t="s">
        <v>45</v>
      </c>
      <c r="D12010" t="s">
        <v>1446</v>
      </c>
    </row>
    <row r="12011" spans="1:4" x14ac:dyDescent="0.25">
      <c r="B12011" t="str">
        <f>HYPERLINK("https://www.chemistwarehouse.com.au/buy/31265/Thursday-Plantation-Tea-Tree-Oil-25ml"," Thursday Plantation Tea Tree Oil 25ml")</f>
        <v xml:space="preserve"> Thursday Plantation Tea Tree Oil 25ml</v>
      </c>
      <c r="C12011" t="s">
        <v>1447</v>
      </c>
      <c r="D12011" t="s">
        <v>1448</v>
      </c>
    </row>
    <row r="12012" spans="1:4" x14ac:dyDescent="0.25">
      <c r="B12012" t="str">
        <f>HYPERLINK("https://www.chemistwarehouse.com.au/buy/74892/Thursday-Plantation-Lavender-Oil-100-Pure-25ml"," Thursday Plantation Lavender Oil 100% Pure 25ml")</f>
        <v xml:space="preserve"> Thursday Plantation Lavender Oil 100% Pure 25ml</v>
      </c>
      <c r="C12012" t="s">
        <v>116</v>
      </c>
      <c r="D12012" t="s">
        <v>1587</v>
      </c>
    </row>
    <row r="12013" spans="1:4" x14ac:dyDescent="0.25">
      <c r="B12013" t="str">
        <f>HYPERLINK("https://www.chemistwarehouse.com.au/buy/41917/Thursday-Plantation-Tea-Tree-Pure-Oil-10ml"," Thursday Plantation Tea Tree Pure Oil 10ml")</f>
        <v xml:space="preserve"> Thursday Plantation Tea Tree Pure Oil 10ml</v>
      </c>
      <c r="C12013" t="s">
        <v>1308</v>
      </c>
      <c r="D12013" t="s">
        <v>1452</v>
      </c>
    </row>
    <row r="12014" spans="1:4" x14ac:dyDescent="0.25">
      <c r="B12014" t="str">
        <f>HYPERLINK("https://www.chemistwarehouse.com.au/buy/74890/Thursday-Plantation-Eucalyptus-Oil-100-Pure-100ml"," Thursday Plantation Eucalyptus Oil 100% Pure 100ml")</f>
        <v xml:space="preserve"> Thursday Plantation Eucalyptus Oil 100% Pure 100ml</v>
      </c>
      <c r="C12014" t="s">
        <v>775</v>
      </c>
      <c r="D12014" t="s">
        <v>1310</v>
      </c>
    </row>
    <row r="12015" spans="1:4" x14ac:dyDescent="0.25">
      <c r="A12015" t="s">
        <v>2388</v>
      </c>
    </row>
    <row r="12016" spans="1:4" x14ac:dyDescent="0.25">
      <c r="B12016" t="str">
        <f>HYPERLINK("https://www.chemistwarehouse.com.au/buy/76019/Optrex-Actimist-Dry-Eye-10ml"," Optrex Actimist Dry Eye 10ml")</f>
        <v xml:space="preserve"> Optrex Actimist Dry Eye 10ml</v>
      </c>
      <c r="C12016" t="s">
        <v>237</v>
      </c>
      <c r="D12016" t="s">
        <v>169</v>
      </c>
    </row>
    <row r="12017" spans="1:4" x14ac:dyDescent="0.25">
      <c r="B12017" t="str">
        <f>HYPERLINK("https://www.chemistwarehouse.com.au/buy/53087/Optrex-Eye-Drops-10mL"," Optrex Eye Drops 10mL")</f>
        <v xml:space="preserve"> Optrex Eye Drops 10mL</v>
      </c>
      <c r="C12017" t="s">
        <v>92</v>
      </c>
      <c r="D12017">
        <v>0</v>
      </c>
    </row>
    <row r="12018" spans="1:4" x14ac:dyDescent="0.25">
      <c r="B12018" t="str">
        <f>HYPERLINK("https://www.chemistwarehouse.com.au/buy/63674/Optrex-Refreshing-Eye-Drops-10ml"," Optrex Refreshing Eye Drops 10ml")</f>
        <v xml:space="preserve"> Optrex Refreshing Eye Drops 10ml</v>
      </c>
      <c r="C12018" t="s">
        <v>116</v>
      </c>
      <c r="D12018" t="s">
        <v>593</v>
      </c>
    </row>
    <row r="12019" spans="1:4" x14ac:dyDescent="0.25">
      <c r="B12019" t="str">
        <f>HYPERLINK("https://www.chemistwarehouse.com.au/buy/69457/Optrex-Actimist-Itchy-Eye-10ml"," Optrex Actimist Itchy Eye 10ml")</f>
        <v xml:space="preserve"> Optrex Actimist Itchy Eye 10ml</v>
      </c>
      <c r="C12019" t="s">
        <v>237</v>
      </c>
      <c r="D12019" t="s">
        <v>169</v>
      </c>
    </row>
    <row r="12020" spans="1:4" x14ac:dyDescent="0.25">
      <c r="B12020" t="str">
        <f>HYPERLINK("https://www.chemistwarehouse.com.au/buy/69458/Optrex-Actimist-Tired-Eye-10ml"," Optrex Actimist Tired Eye 10ml")</f>
        <v xml:space="preserve"> Optrex Actimist Tired Eye 10ml</v>
      </c>
      <c r="C12020" t="s">
        <v>237</v>
      </c>
      <c r="D12020" t="s">
        <v>169</v>
      </c>
    </row>
    <row r="12021" spans="1:4" x14ac:dyDescent="0.25">
      <c r="B12021" t="str">
        <f>HYPERLINK("https://www.chemistwarehouse.com.au/buy/48835/Optrex-Eye-Wash-110mL"," Optrex Eye Wash 110mL")</f>
        <v xml:space="preserve"> Optrex Eye Wash 110mL</v>
      </c>
      <c r="C12021" t="s">
        <v>45</v>
      </c>
      <c r="D12021" t="s">
        <v>312</v>
      </c>
    </row>
    <row r="12022" spans="1:4" x14ac:dyDescent="0.25">
      <c r="A12022" t="s">
        <v>2389</v>
      </c>
    </row>
    <row r="12023" spans="1:4" x14ac:dyDescent="0.25">
      <c r="B12023" t="str">
        <f>HYPERLINK("https://www.chemistwarehouse.com.au/buy/41010/Lemsip-Max-Cold-amp-Flu-Hot-Drink-Lemon-Flavour-10-Sachets"," Lemsip Max Cold &amp; Flu Hot Drink Lemon Flavour 10 Sachets")</f>
        <v xml:space="preserve"> Lemsip Max Cold &amp; Flu Hot Drink Lemon Flavour 10 Sachets</v>
      </c>
      <c r="C12023" t="s">
        <v>45</v>
      </c>
      <c r="D12023">
        <v>0</v>
      </c>
    </row>
    <row r="12024" spans="1:4" x14ac:dyDescent="0.25">
      <c r="B12024" t="str">
        <f>HYPERLINK("https://www.chemistwarehouse.com.au/buy/64502/Lemsip-Multi-Relief-Hot-Drink-10-Sachets"," Lemsip Multi Relief Hot Drink 10 Sachets")</f>
        <v xml:space="preserve"> Lemsip Multi Relief Hot Drink 10 Sachets</v>
      </c>
      <c r="C12024" t="s">
        <v>237</v>
      </c>
      <c r="D12024" t="s">
        <v>312</v>
      </c>
    </row>
    <row r="12025" spans="1:4" x14ac:dyDescent="0.25">
      <c r="B12025" t="str">
        <f>HYPERLINK("https://www.chemistwarehouse.com.au/buy/5909/Lemsip-Cold-amp-Flu-Hot-Drink-Lemon-Flavour-10-Sachets"," Lemsip Cold &amp; Flu Hot Drink Lemon Flavour 10 Sachets")</f>
        <v xml:space="preserve"> Lemsip Cold &amp; Flu Hot Drink Lemon Flavour 10 Sachets</v>
      </c>
      <c r="C12025" t="s">
        <v>103</v>
      </c>
      <c r="D12025">
        <v>0</v>
      </c>
    </row>
    <row r="12026" spans="1:4" x14ac:dyDescent="0.25">
      <c r="A12026" t="s">
        <v>2390</v>
      </c>
    </row>
    <row r="12027" spans="1:4" x14ac:dyDescent="0.25">
      <c r="B12027" t="str">
        <f>HYPERLINK("https://www.chemistwarehouse.com.au/buy/76906/Britney-Spears-Fantasy-Intimate-Edition-Eau-de-Parfum-30ml"," Britney Spears Fantasy Intimate Edition Eau de Parfum 30ml")</f>
        <v xml:space="preserve"> Britney Spears Fantasy Intimate Edition Eau de Parfum 30ml</v>
      </c>
      <c r="C12027" t="s">
        <v>6</v>
      </c>
      <c r="D12027">
        <v>0</v>
      </c>
    </row>
    <row r="12028" spans="1:4" x14ac:dyDescent="0.25">
      <c r="B12028" t="str">
        <f>HYPERLINK("https://www.chemistwarehouse.com.au/buy/76907/Britney-Spears-Fantasy-Intimate-Edition-Eau-de-Parfum-100ml"," Britney Spears Fantasy Intimate Edition Eau de Parfum 100ml")</f>
        <v xml:space="preserve"> Britney Spears Fantasy Intimate Edition Eau de Parfum 100ml</v>
      </c>
      <c r="C12028" t="s">
        <v>276</v>
      </c>
      <c r="D12028">
        <v>0</v>
      </c>
    </row>
    <row r="12029" spans="1:4" x14ac:dyDescent="0.25">
      <c r="A12029" t="s">
        <v>2391</v>
      </c>
    </row>
    <row r="12030" spans="1:4" x14ac:dyDescent="0.25">
      <c r="B12030" t="str">
        <f>HYPERLINK("https://www.chemistwarehouse.com.au/buy/73111/Systane-Lid-Wipes-30-Pack"," Systane Lid Wipes 30 Pack ")</f>
        <v xml:space="preserve"> Systane Lid Wipes 30 Pack </v>
      </c>
      <c r="C12030" t="s">
        <v>98</v>
      </c>
      <c r="D12030" t="s">
        <v>115</v>
      </c>
    </row>
    <row r="12031" spans="1:4" x14ac:dyDescent="0.25">
      <c r="B12031" t="str">
        <f>HYPERLINK("https://www.chemistwarehouse.com.au/buy/39253/Alcon-Systane-Lubricating-Eye-Drops-15ml"," Alcon Systane Lubricating Eye Drops 15ml")</f>
        <v xml:space="preserve"> Alcon Systane Lubricating Eye Drops 15ml</v>
      </c>
      <c r="C12031" t="s">
        <v>556</v>
      </c>
      <c r="D12031" t="s">
        <v>371</v>
      </c>
    </row>
    <row r="12032" spans="1:4" x14ac:dyDescent="0.25">
      <c r="B12032" t="str">
        <f>HYPERLINK("https://www.chemistwarehouse.com.au/buy/59023/Systane-Ultra-Lubricant-Eye-Drops-10ml"," Systane Ultra Lubricant Eye Drops 10ml")</f>
        <v xml:space="preserve"> Systane Ultra Lubricant Eye Drops 10ml</v>
      </c>
      <c r="C12032" t="s">
        <v>240</v>
      </c>
      <c r="D12032" t="s">
        <v>612</v>
      </c>
    </row>
    <row r="12033" spans="1:4" x14ac:dyDescent="0.25">
      <c r="B12033" t="str">
        <f>HYPERLINK("https://www.chemistwarehouse.com.au/buy/67877/Systane-Gel-Lubricating-Drops-10ml"," Systane Gel Lubricating Drops 10ml")</f>
        <v xml:space="preserve"> Systane Gel Lubricating Drops 10ml</v>
      </c>
      <c r="C12033" t="s">
        <v>45</v>
      </c>
      <c r="D12033" t="s">
        <v>593</v>
      </c>
    </row>
    <row r="12034" spans="1:4" x14ac:dyDescent="0.25">
      <c r="B12034" t="str">
        <f>HYPERLINK("https://www.chemistwarehouse.com.au/buy/77546/Systane-Hydration-Unit-Dose-30-x-0-7ml"," Systane Hydration Unit Dose 30 x 0.7ml ")</f>
        <v xml:space="preserve"> Systane Hydration Unit Dose 30 x 0.7ml </v>
      </c>
      <c r="C12034" t="s">
        <v>98</v>
      </c>
      <c r="D12034" t="s">
        <v>164</v>
      </c>
    </row>
    <row r="12035" spans="1:4" x14ac:dyDescent="0.25">
      <c r="B12035" t="str">
        <f>HYPERLINK("https://www.chemistwarehouse.com.au/buy/63622/Systane-Balance-Lubricant-Eye-Drop-10ml"," Systane Balance Lubricant Eye Drop 10ml")</f>
        <v xml:space="preserve"> Systane Balance Lubricant Eye Drop 10ml</v>
      </c>
      <c r="C12035" t="s">
        <v>32</v>
      </c>
      <c r="D12035" t="s">
        <v>238</v>
      </c>
    </row>
    <row r="12036" spans="1:4" x14ac:dyDescent="0.25">
      <c r="B12036" t="str">
        <f>HYPERLINK("https://www.chemistwarehouse.com.au/buy/66032/Systane-Ultra-Preservative-Free-Unit-Dose-24-x-0-4ml"," Systane Ultra Preservative Free Unit Dose 24 x 0.4ml")</f>
        <v xml:space="preserve"> Systane Ultra Preservative Free Unit Dose 24 x 0.4ml</v>
      </c>
      <c r="C12036" t="s">
        <v>98</v>
      </c>
      <c r="D12036" t="s">
        <v>104</v>
      </c>
    </row>
    <row r="12037" spans="1:4" x14ac:dyDescent="0.25">
      <c r="B12037" t="str">
        <f>HYPERLINK("https://www.chemistwarehouse.com.au/buy/47925/Alcon-Systane-Lubricating-Eye-Drops-15ml"," Alcon Systane Lubricating Eye Drops 15ml")</f>
        <v xml:space="preserve"> Alcon Systane Lubricating Eye Drops 15ml</v>
      </c>
      <c r="C12037" t="s">
        <v>556</v>
      </c>
      <c r="D12037">
        <v>0</v>
      </c>
    </row>
    <row r="12038" spans="1:4" x14ac:dyDescent="0.25">
      <c r="B12038" t="str">
        <f>HYPERLINK("https://www.chemistwarehouse.com.au/buy/52632/Systane-Lubricant-Eye-Drops-0-8ml-28-Vials"," Systane Lubricant Eye Drops 0.8ml 28 Vials")</f>
        <v xml:space="preserve"> Systane Lubricant Eye Drops 0.8ml 28 Vials</v>
      </c>
      <c r="C12038" t="s">
        <v>187</v>
      </c>
      <c r="D12038" t="s">
        <v>162</v>
      </c>
    </row>
    <row r="12039" spans="1:4" x14ac:dyDescent="0.25">
      <c r="B12039" t="str">
        <f>HYPERLINK("https://www.chemistwarehouse.com.au/buy/69714/Systane-Lubricant-Eye-Drops-0-8ml-56-Vials-2-x-28"," Systane Lubricant Eye Drops 0.8ml 56 Vials (2 x 28)")</f>
        <v xml:space="preserve"> Systane Lubricant Eye Drops 0.8ml 56 Vials (2 x 28)</v>
      </c>
      <c r="C12039" t="s">
        <v>2392</v>
      </c>
      <c r="D12039" t="s">
        <v>312</v>
      </c>
    </row>
    <row r="12040" spans="1:4" x14ac:dyDescent="0.25">
      <c r="B12040" t="str">
        <f>HYPERLINK("https://www.chemistwarehouse.com.au/buy/76193/Systane-Hydration-Lubricant-Eye-Drops-10mL"," Systane Hydration Lubricant Eye Drops 10mL")</f>
        <v xml:space="preserve"> Systane Hydration Lubricant Eye Drops 10mL</v>
      </c>
      <c r="C12040" t="s">
        <v>45</v>
      </c>
      <c r="D12040" t="s">
        <v>593</v>
      </c>
    </row>
    <row r="12041" spans="1:4" x14ac:dyDescent="0.25">
      <c r="A12041" t="s">
        <v>2393</v>
      </c>
    </row>
    <row r="12042" spans="1:4" x14ac:dyDescent="0.25">
      <c r="B12042" t="str">
        <f>HYPERLINK("https://www.chemistwarehouse.com.au/buy/76670/Real-Paw-Paw-25g"," Real Paw Paw 25g")</f>
        <v xml:space="preserve"> Real Paw Paw 25g</v>
      </c>
      <c r="C12042" t="s">
        <v>146</v>
      </c>
      <c r="D12042">
        <v>0</v>
      </c>
    </row>
    <row r="12043" spans="1:4" x14ac:dyDescent="0.25">
      <c r="B12043" t="str">
        <f>HYPERLINK("https://www.chemistwarehouse.com.au/buy/77226/Real-Paw-Paw-200g"," Real Paw Paw 200g")</f>
        <v xml:space="preserve"> Real Paw Paw 200g</v>
      </c>
      <c r="C12043" t="s">
        <v>8</v>
      </c>
      <c r="D12043">
        <v>0</v>
      </c>
    </row>
    <row r="12044" spans="1:4" x14ac:dyDescent="0.25">
      <c r="B12044" t="str">
        <f>HYPERLINK("https://www.chemistwarehouse.com.au/buy/77227/Real-Paw-Paw-75g"," Real Paw Paw 75g")</f>
        <v xml:space="preserve"> Real Paw Paw 75g</v>
      </c>
      <c r="C12044" t="s">
        <v>92</v>
      </c>
      <c r="D12044">
        <v>0</v>
      </c>
    </row>
    <row r="12045" spans="1:4" x14ac:dyDescent="0.25">
      <c r="A12045" t="s">
        <v>2394</v>
      </c>
    </row>
    <row r="12046" spans="1:4" x14ac:dyDescent="0.25">
      <c r="B12046" t="str">
        <f>HYPERLINK("https://www.chemistwarehouse.com.au/buy/80074/Argan-Oil-Mask-220ml"," Argan Oil Mask 220ml")</f>
        <v xml:space="preserve"> Argan Oil Mask 220ml</v>
      </c>
      <c r="C12046" t="s">
        <v>556</v>
      </c>
      <c r="D12046">
        <v>0</v>
      </c>
    </row>
    <row r="12047" spans="1:4" x14ac:dyDescent="0.25">
      <c r="B12047" t="str">
        <f>HYPERLINK("https://www.chemistwarehouse.com.au/buy/77807/Argan-Oil-Hair-Treatment-50ml"," Argan Oil Hair Treatment 50ml")</f>
        <v xml:space="preserve"> Argan Oil Hair Treatment 50ml</v>
      </c>
      <c r="C12047" t="s">
        <v>556</v>
      </c>
      <c r="D12047" t="s">
        <v>164</v>
      </c>
    </row>
    <row r="12048" spans="1:4" x14ac:dyDescent="0.25">
      <c r="B12048" t="str">
        <f>HYPERLINK("https://www.chemistwarehouse.com.au/buy/77808/Argan-Oil-Shampoo-250ml"," Argan Oil Shampoo 250ml")</f>
        <v xml:space="preserve"> Argan Oil Shampoo 250ml</v>
      </c>
      <c r="C12048" t="s">
        <v>556</v>
      </c>
      <c r="D12048" t="s">
        <v>164</v>
      </c>
    </row>
    <row r="12049" spans="1:4" x14ac:dyDescent="0.25">
      <c r="B12049" t="str">
        <f>HYPERLINK("https://www.chemistwarehouse.com.au/buy/77806/Argan-Oil-Conditioner-250ml"," Argan Oil Conditioner 250ml")</f>
        <v xml:space="preserve"> Argan Oil Conditioner 250ml</v>
      </c>
      <c r="C12049" t="s">
        <v>556</v>
      </c>
      <c r="D12049" t="s">
        <v>164</v>
      </c>
    </row>
    <row r="12050" spans="1:4" x14ac:dyDescent="0.25">
      <c r="A12050" t="s">
        <v>2395</v>
      </c>
    </row>
    <row r="12051" spans="1:4" x14ac:dyDescent="0.25">
      <c r="B12051" t="str">
        <f>HYPERLINK("https://www.chemistwarehouse.com.au/buy/78725/Lynx-Pump-Urban-100ml"," Lynx Pump Urban 100ml")</f>
        <v xml:space="preserve"> Lynx Pump Urban 100ml</v>
      </c>
      <c r="C12051" t="s">
        <v>556</v>
      </c>
      <c r="D12051" t="s">
        <v>162</v>
      </c>
    </row>
    <row r="12052" spans="1:4" x14ac:dyDescent="0.25">
      <c r="B12052" t="str">
        <f>HYPERLINK("https://www.chemistwarehouse.com.au/buy/78728/Lynx-Pump-Signature-100ml"," Lynx Pump Signature 100ml")</f>
        <v xml:space="preserve"> Lynx Pump Signature 100ml</v>
      </c>
      <c r="C12052" t="s">
        <v>556</v>
      </c>
      <c r="D12052" t="s">
        <v>162</v>
      </c>
    </row>
    <row r="12053" spans="1:4" x14ac:dyDescent="0.25">
      <c r="B12053" t="str">
        <f>HYPERLINK("https://www.chemistwarehouse.com.au/buy/78724/Lynx-Pump-Adrenaline-100ml"," Lynx Pump Adrenaline 100ml")</f>
        <v xml:space="preserve"> Lynx Pump Adrenaline 100ml</v>
      </c>
      <c r="C12053" t="s">
        <v>556</v>
      </c>
      <c r="D12053" t="s">
        <v>162</v>
      </c>
    </row>
    <row r="12054" spans="1:4" x14ac:dyDescent="0.25">
      <c r="A12054" t="s">
        <v>2396</v>
      </c>
    </row>
    <row r="12055" spans="1:4" x14ac:dyDescent="0.25">
      <c r="B12055" t="str">
        <f>HYPERLINK("https://www.chemistwarehouse.com.au/buy/80222/Zipped-Man-Apollo-Eau-de-Toilette-100ml-Spray"," Zipped Man Apollo Eau de Toilette 100ml Spray")</f>
        <v xml:space="preserve"> Zipped Man Apollo Eau de Toilette 100ml Spray</v>
      </c>
      <c r="C12055" t="s">
        <v>1</v>
      </c>
      <c r="D12055">
        <v>0</v>
      </c>
    </row>
    <row r="12056" spans="1:4" x14ac:dyDescent="0.25">
      <c r="B12056" t="str">
        <f>HYPERLINK("https://www.chemistwarehouse.com.au/buy/80223/Zipped-Man-Premier-Eau-de-Toilette-100ml-Spray"," Zipped Man Premier Eau de Toilette 100ml Spray")</f>
        <v xml:space="preserve"> Zipped Man Premier Eau de Toilette 100ml Spray</v>
      </c>
      <c r="C12056" t="s">
        <v>1</v>
      </c>
      <c r="D12056">
        <v>0</v>
      </c>
    </row>
    <row r="12057" spans="1:4" x14ac:dyDescent="0.25">
      <c r="B12057" t="str">
        <f>HYPERLINK("https://www.chemistwarehouse.com.au/buy/80224/Zipped-Man-Rebel-Eau-de-Toilette-100ml-Spray"," Zipped Man Rebel Eau de Toilette 100ml Spray")</f>
        <v xml:space="preserve"> Zipped Man Rebel Eau de Toilette 100ml Spray</v>
      </c>
      <c r="C12057" t="s">
        <v>1</v>
      </c>
      <c r="D12057">
        <v>0</v>
      </c>
    </row>
    <row r="12058" spans="1:4" x14ac:dyDescent="0.25">
      <c r="B12058" t="str">
        <f>HYPERLINK("https://www.chemistwarehouse.com.au/buy/80225/Zipped-Man-Soho-Noir-Eau-de-Toilette-100ml-Spray"," Zipped Man Soho Noir Eau de Toilette 100ml Spray")</f>
        <v xml:space="preserve"> Zipped Man Soho Noir Eau de Toilette 100ml Spray</v>
      </c>
      <c r="C12058" t="s">
        <v>1</v>
      </c>
      <c r="D12058">
        <v>0</v>
      </c>
    </row>
    <row r="12059" spans="1:4" x14ac:dyDescent="0.25">
      <c r="A12059" t="s">
        <v>2397</v>
      </c>
    </row>
    <row r="12060" spans="1:4" x14ac:dyDescent="0.25">
      <c r="B12060" t="str">
        <f>HYPERLINK("https://www.chemistwarehouse.com.au/buy/80357/Perry-Ellis-Pour-Homme-Eau-de-Toilette-100ml-Spray"," Perry Ellis Pour Homme Eau de Toilette 100ml Spray")</f>
        <v xml:space="preserve"> Perry Ellis Pour Homme Eau de Toilette 100ml Spray</v>
      </c>
      <c r="C12060" t="s">
        <v>113</v>
      </c>
      <c r="D12060">
        <v>0</v>
      </c>
    </row>
    <row r="12061" spans="1:4" x14ac:dyDescent="0.25">
      <c r="B12061" t="str">
        <f>HYPERLINK("https://www.chemistwarehouse.com.au/buy/80359/Perry-Ellis-Citreon-Eau-de-Toilette-100ml-Spray"," Perry Ellis Citreon Eau de Toilette 100ml Spray")</f>
        <v xml:space="preserve"> Perry Ellis Citreon Eau de Toilette 100ml Spray</v>
      </c>
      <c r="C12061" t="s">
        <v>113</v>
      </c>
      <c r="D12061">
        <v>0</v>
      </c>
    </row>
    <row r="12062" spans="1:4" x14ac:dyDescent="0.25">
      <c r="A12062" t="s">
        <v>2398</v>
      </c>
    </row>
    <row r="12063" spans="1:4" x14ac:dyDescent="0.25">
      <c r="B12063" t="str">
        <f>HYPERLINK("https://www.chemistwarehouse.com.au/buy/78725/Lynx-Pump-Urban-100ml"," Lynx Pump Urban 100ml")</f>
        <v xml:space="preserve"> Lynx Pump Urban 100ml</v>
      </c>
      <c r="C12063" t="s">
        <v>556</v>
      </c>
      <c r="D12063" t="s">
        <v>162</v>
      </c>
    </row>
    <row r="12064" spans="1:4" x14ac:dyDescent="0.25">
      <c r="B12064" t="str">
        <f>HYPERLINK("https://www.chemistwarehouse.com.au/buy/78728/Lynx-Pump-Signature-100ml"," Lynx Pump Signature 100ml")</f>
        <v xml:space="preserve"> Lynx Pump Signature 100ml</v>
      </c>
      <c r="C12064" t="s">
        <v>556</v>
      </c>
      <c r="D12064" t="s">
        <v>162</v>
      </c>
    </row>
    <row r="12065" spans="1:4" x14ac:dyDescent="0.25">
      <c r="B12065" t="str">
        <f>HYPERLINK("https://www.chemistwarehouse.com.au/buy/78724/Lynx-Pump-Adrenaline-100ml"," Lynx Pump Adrenaline 100ml")</f>
        <v xml:space="preserve"> Lynx Pump Adrenaline 100ml</v>
      </c>
      <c r="C12065" t="s">
        <v>556</v>
      </c>
      <c r="D12065" t="s">
        <v>162</v>
      </c>
    </row>
    <row r="12066" spans="1:4" x14ac:dyDescent="0.25">
      <c r="A12066" t="s">
        <v>2399</v>
      </c>
    </row>
    <row r="12067" spans="1:4" x14ac:dyDescent="0.25">
      <c r="B12067" t="str">
        <f>HYPERLINK("https://www.chemistwarehouse.com.au/buy/64503/Sambucol-Liquid-250ml"," Sambucol Liquid 250ml")</f>
        <v xml:space="preserve"> Sambucol Liquid 250ml</v>
      </c>
      <c r="C12067" t="s">
        <v>279</v>
      </c>
      <c r="D12067" t="s">
        <v>165</v>
      </c>
    </row>
    <row r="12068" spans="1:4" x14ac:dyDescent="0.25">
      <c r="B12068" t="str">
        <f>HYPERLINK("https://www.chemistwarehouse.com.au/buy/60462/Sambucol-Cold-amp-Flu-24-Capsules"," Sambucol Cold &amp; Flu 24 Capsules")</f>
        <v xml:space="preserve"> Sambucol Cold &amp; Flu 24 Capsules</v>
      </c>
      <c r="C12068" t="s">
        <v>58</v>
      </c>
      <c r="D12068" t="s">
        <v>150</v>
      </c>
    </row>
    <row r="12069" spans="1:4" x14ac:dyDescent="0.25">
      <c r="B12069" t="str">
        <f>HYPERLINK("https://www.chemistwarehouse.com.au/buy/63769/Sambucol-Throat-Lozenges-20"," Sambucol Throat Lozenges 20")</f>
        <v xml:space="preserve"> Sambucol Throat Lozenges 20</v>
      </c>
      <c r="C12069" t="s">
        <v>32</v>
      </c>
      <c r="D12069" t="s">
        <v>371</v>
      </c>
    </row>
    <row r="12070" spans="1:4" x14ac:dyDescent="0.25">
      <c r="B12070" t="str">
        <f>HYPERLINK("https://www.chemistwarehouse.com.au/buy/67744/Sambucol-Cold-amp-Flu-Syrup-120ml"," Sambucol Cold &amp; Flu Syrup 120ml")</f>
        <v xml:space="preserve"> Sambucol Cold &amp; Flu Syrup 120ml</v>
      </c>
      <c r="C12070" t="s">
        <v>58</v>
      </c>
      <c r="D12070" t="s">
        <v>150</v>
      </c>
    </row>
    <row r="12071" spans="1:4" x14ac:dyDescent="0.25">
      <c r="B12071" t="str">
        <f>HYPERLINK("https://www.chemistwarehouse.com.au/buy/68748/Sambucol-Cold-amp-Flu-Kids-Liquid-120ml"," Sambucol Cold &amp; Flu Kids Liquid 120ml")</f>
        <v xml:space="preserve"> Sambucol Cold &amp; Flu Kids Liquid 120ml</v>
      </c>
      <c r="C12071" t="s">
        <v>58</v>
      </c>
      <c r="D12071" t="s">
        <v>147</v>
      </c>
    </row>
    <row r="12072" spans="1:4" x14ac:dyDescent="0.25">
      <c r="A12072" t="s">
        <v>2400</v>
      </c>
    </row>
    <row r="12073" spans="1:4" x14ac:dyDescent="0.25">
      <c r="B12073" t="str">
        <f>HYPERLINK("https://www.chemistwarehouse.com.au/buy/80101/Beckham-Beyond-Forever-Eau-de-Toilette-60ml"," Beckham Beyond Forever Eau de Toilette 60ml")</f>
        <v xml:space="preserve"> Beckham Beyond Forever Eau de Toilette 60ml</v>
      </c>
      <c r="C12073" t="s">
        <v>10</v>
      </c>
      <c r="D12073" t="s">
        <v>847</v>
      </c>
    </row>
    <row r="12074" spans="1:4" x14ac:dyDescent="0.25">
      <c r="B12074" t="str">
        <f>HYPERLINK("https://www.chemistwarehouse.com.au/buy/80323/Beckham-Beyond-Forever-Eau-de-Toilette-90ml"," Beckham Beyond Forever Eau de Toilette 90ml")</f>
        <v xml:space="preserve"> Beckham Beyond Forever Eau de Toilette 90ml</v>
      </c>
      <c r="C12074" t="s">
        <v>166</v>
      </c>
      <c r="D12074" t="s">
        <v>847</v>
      </c>
    </row>
    <row r="12075" spans="1:4" x14ac:dyDescent="0.25">
      <c r="A12075" t="s">
        <v>2401</v>
      </c>
    </row>
    <row r="12076" spans="1:4" x14ac:dyDescent="0.25">
      <c r="B12076" t="str">
        <f>HYPERLINK("https://www.chemistwarehouse.com.au/buy/39694/Loceryl-Nail-Lacquer-Kit"," Loceryl Nail Lacquer Kit")</f>
        <v xml:space="preserve"> Loceryl Nail Lacquer Kit</v>
      </c>
      <c r="C12076" t="s">
        <v>334</v>
      </c>
      <c r="D12076">
        <v>0</v>
      </c>
    </row>
    <row r="12077" spans="1:4" x14ac:dyDescent="0.25">
      <c r="A12077" t="s">
        <v>2402</v>
      </c>
    </row>
    <row r="12078" spans="1:4" x14ac:dyDescent="0.25">
      <c r="B12078" t="str">
        <f>HYPERLINK("https://www.chemistwarehouse.com.au/buy/73329/Lynx-Clean-Cut-Look-Defining-Wax-75ml"," Lynx Clean Cut Look Defining Wax 75ml")</f>
        <v xml:space="preserve"> Lynx Clean Cut Look Defining Wax 75ml</v>
      </c>
      <c r="C12078" t="s">
        <v>240</v>
      </c>
      <c r="D12078" t="s">
        <v>561</v>
      </c>
    </row>
    <row r="12079" spans="1:4" x14ac:dyDescent="0.25">
      <c r="B12079" t="str">
        <f>HYPERLINK("https://www.chemistwarehouse.com.au/buy/79126/Lynx-Urban-Messy-Look-Flexible-Paste-75ml"," Lynx Urban Messy Look Flexible Paste 75ml")</f>
        <v xml:space="preserve"> Lynx Urban Messy Look Flexible Paste 75ml</v>
      </c>
      <c r="C12079" t="s">
        <v>240</v>
      </c>
      <c r="D12079" t="s">
        <v>561</v>
      </c>
    </row>
    <row r="12080" spans="1:4" x14ac:dyDescent="0.25">
      <c r="B12080" t="str">
        <f>HYPERLINK("https://www.chemistwarehouse.com.au/buy/79127/Lynx-Urban-Messy-Look-Matt-Gel-125ml"," Lynx Urban Messy Look Matt Gel 125ml")</f>
        <v xml:space="preserve"> Lynx Urban Messy Look Matt Gel 125ml</v>
      </c>
      <c r="C12080" t="s">
        <v>240</v>
      </c>
      <c r="D12080" t="s">
        <v>561</v>
      </c>
    </row>
    <row r="12081" spans="1:4" x14ac:dyDescent="0.25">
      <c r="A12081" t="s">
        <v>2403</v>
      </c>
    </row>
    <row r="12082" spans="1:4" x14ac:dyDescent="0.25">
      <c r="B12082" t="str">
        <f>HYPERLINK("https://www.chemistwarehouse.com.au/buy/3901/Ear-Clear-Ear-Drops-For-Wax-Removal-12ml"," Ear Clear Ear Drops For Wax Removal 12ml")</f>
        <v xml:space="preserve"> Ear Clear Ear Drops For Wax Removal 12ml</v>
      </c>
      <c r="C12082" t="s">
        <v>45</v>
      </c>
      <c r="D12082" t="s">
        <v>150</v>
      </c>
    </row>
    <row r="12083" spans="1:4" x14ac:dyDescent="0.25">
      <c r="B12083" t="str">
        <f>HYPERLINK("https://www.chemistwarehouse.com.au/buy/50330/Ear-Clear-Ear-Ache-Relief-15ml"," Ear Clear Ear Ache Relief 15ml")</f>
        <v xml:space="preserve"> Ear Clear Ear Ache Relief 15ml</v>
      </c>
      <c r="C12083" t="s">
        <v>98</v>
      </c>
      <c r="D12083">
        <v>0</v>
      </c>
    </row>
    <row r="12084" spans="1:4" x14ac:dyDescent="0.25">
      <c r="B12084" t="str">
        <f>HYPERLINK("https://www.chemistwarehouse.com.au/buy/56704/Ear-Clear-Swimmers-Ear-40ml"," Ear Clear Swimmers Ear 40ml")</f>
        <v xml:space="preserve"> Ear Clear Swimmers Ear 40ml</v>
      </c>
      <c r="C12084" t="s">
        <v>45</v>
      </c>
      <c r="D12084" t="s">
        <v>1434</v>
      </c>
    </row>
    <row r="12085" spans="1:4" x14ac:dyDescent="0.25">
      <c r="B12085" t="str">
        <f>HYPERLINK("https://www.chemistwarehouse.com.au/buy/60269/Ear-Clear-Ear-Cleanser-100mL"," Ear Clear Ear Cleanser 100mL")</f>
        <v xml:space="preserve"> Ear Clear Ear Cleanser 100mL</v>
      </c>
      <c r="C12085" t="s">
        <v>237</v>
      </c>
      <c r="D12085" t="s">
        <v>157</v>
      </c>
    </row>
    <row r="12086" spans="1:4" x14ac:dyDescent="0.25">
      <c r="A12086" t="s">
        <v>2404</v>
      </c>
    </row>
    <row r="12087" spans="1:4" x14ac:dyDescent="0.25">
      <c r="B12087" t="str">
        <f>HYPERLINK("https://www.chemistwarehouse.com.au/buy/76498/Garnier-Micellar-All-In-One-Cleansing-Water-400ml"," Garnier Micellar All In One Cleansing Water 400ml")</f>
        <v xml:space="preserve"> Garnier Micellar All In One Cleansing Water 400ml</v>
      </c>
      <c r="C12087" t="s">
        <v>240</v>
      </c>
      <c r="D12087" t="s">
        <v>867</v>
      </c>
    </row>
    <row r="12088" spans="1:4" x14ac:dyDescent="0.25">
      <c r="B12088" t="str">
        <f>HYPERLINK("https://www.chemistwarehouse.com.au/buy/76914/Garnier-Micellar-All-In-One-Cleansing-Water-125ml"," Garnier Micellar All In One Cleansing Water 125ml ")</f>
        <v xml:space="preserve"> Garnier Micellar All In One Cleansing Water 125ml </v>
      </c>
      <c r="C12088" t="s">
        <v>483</v>
      </c>
      <c r="D12088" t="s">
        <v>397</v>
      </c>
    </row>
    <row r="12089" spans="1:4" x14ac:dyDescent="0.25">
      <c r="B12089" t="str">
        <f>HYPERLINK("https://www.chemistwarehouse.com.au/buy/78530/Garnier-Pure-Active-Micellar-Water-400ml"," Garnier Pure Active Micellar Water 400ml")</f>
        <v xml:space="preserve"> Garnier Pure Active Micellar Water 400ml</v>
      </c>
      <c r="C12089" t="s">
        <v>240</v>
      </c>
      <c r="D12089" t="s">
        <v>867</v>
      </c>
    </row>
    <row r="12090" spans="1:4" x14ac:dyDescent="0.25">
      <c r="B12090" t="str">
        <f>HYPERLINK("https://www.chemistwarehouse.com.au/buy/78664/Garnier-Micellar-All-In-One-Oily-to-Combination-Cleansing-Water-400ml"," Garnier Micellar All In One Oily to Combination Cleansing Water 400ml")</f>
        <v xml:space="preserve"> Garnier Micellar All In One Oily to Combination Cleansing Water 400ml</v>
      </c>
      <c r="C12090" t="s">
        <v>240</v>
      </c>
      <c r="D12090" t="s">
        <v>867</v>
      </c>
    </row>
    <row r="12091" spans="1:4" x14ac:dyDescent="0.25">
      <c r="B12091" t="str">
        <f>HYPERLINK("https://www.chemistwarehouse.com.au/buy/80156/Garnier-Micellar-Oil-Infused-Cleansing-Water-400ml"," Garnier Micellar Oil Infused Cleansing Water 400ml")</f>
        <v xml:space="preserve"> Garnier Micellar Oil Infused Cleansing Water 400ml</v>
      </c>
      <c r="C12091" t="s">
        <v>430</v>
      </c>
      <c r="D12091" t="s">
        <v>821</v>
      </c>
    </row>
    <row r="12092" spans="1:4" x14ac:dyDescent="0.25">
      <c r="A12092" t="s">
        <v>2405</v>
      </c>
    </row>
    <row r="12093" spans="1:4" x14ac:dyDescent="0.25">
      <c r="B12093" t="str">
        <f>HYPERLINK("https://www.chemistwarehouse.com.au/buy/72907/Elevit-Tablets-100"," Elevit Tablets 100 ")</f>
        <v xml:space="preserve"> Elevit Tablets 100 </v>
      </c>
      <c r="C12093" t="s">
        <v>591</v>
      </c>
      <c r="D12093">
        <v>0</v>
      </c>
    </row>
    <row r="12094" spans="1:4" x14ac:dyDescent="0.25">
      <c r="B12094" t="str">
        <f>HYPERLINK("https://www.chemistwarehouse.com.au/buy/62223/Voltaren-Emulgel-180g"," Voltaren Emulgel 180g")</f>
        <v xml:space="preserve"> Voltaren Emulgel 180g</v>
      </c>
      <c r="C12094" t="s">
        <v>161</v>
      </c>
      <c r="D12094" t="s">
        <v>115</v>
      </c>
    </row>
    <row r="12095" spans="1:4" x14ac:dyDescent="0.25">
      <c r="B12095" t="str">
        <f>HYPERLINK("https://www.chemistwarehouse.com.au/buy/68931/Poise-Pads-Extra-Plus-20-Bulk-Pack"," Poise Pads Extra Plus 20 Bulk Pack")</f>
        <v xml:space="preserve"> Poise Pads Extra Plus 20 Bulk Pack</v>
      </c>
      <c r="C12095" t="s">
        <v>32</v>
      </c>
      <c r="D12095" t="s">
        <v>371</v>
      </c>
    </row>
    <row r="12096" spans="1:4" x14ac:dyDescent="0.25">
      <c r="B12096" t="str">
        <f>HYPERLINK("https://www.chemistwarehouse.com.au/buy/76214/Nicorette-Quick-Mist-Spray-Triple-Pack"," Nicorette Quick Mist Spray Triple Pack")</f>
        <v xml:space="preserve"> Nicorette Quick Mist Spray Triple Pack</v>
      </c>
      <c r="C12096" t="s">
        <v>276</v>
      </c>
      <c r="D12096" t="s">
        <v>303</v>
      </c>
    </row>
    <row r="12097" spans="2:4" x14ac:dyDescent="0.25">
      <c r="B12097" t="str">
        <f>HYPERLINK("https://www.chemistwarehouse.com.au/buy/71323/Listerine-Total-Care-1-Litre-Bonus-Total-Care-250ml"," Listerine Total Care 1 Litre + Bonus Total Care 250ml ")</f>
        <v xml:space="preserve"> Listerine Total Care 1 Litre + Bonus Total Care 250ml </v>
      </c>
      <c r="C12097" t="s">
        <v>324</v>
      </c>
      <c r="D12097" t="s">
        <v>809</v>
      </c>
    </row>
    <row r="12098" spans="2:4" x14ac:dyDescent="0.25">
      <c r="B12098" t="str">
        <f>HYPERLINK("https://www.chemistwarehouse.com.au/buy/66665/Claratyne-Non-Drowsy-Tablets-75"," Claratyne Non-Drowsy Tablets 75")</f>
        <v xml:space="preserve"> Claratyne Non-Drowsy Tablets 75</v>
      </c>
      <c r="C12098" t="s">
        <v>6</v>
      </c>
      <c r="D12098">
        <v>0</v>
      </c>
    </row>
    <row r="12099" spans="2:4" x14ac:dyDescent="0.25">
      <c r="B12099" t="str">
        <f>HYPERLINK("https://www.chemistwarehouse.com.au/buy/57024/Harmony-Menopause-120-Tablets"," Harmony Menopause 120 Tablets")</f>
        <v xml:space="preserve"> Harmony Menopause 120 Tablets</v>
      </c>
      <c r="C12099" t="s">
        <v>273</v>
      </c>
      <c r="D12099" t="s">
        <v>435</v>
      </c>
    </row>
    <row r="12100" spans="2:4" x14ac:dyDescent="0.25">
      <c r="B12100" t="str">
        <f>HYPERLINK("https://www.chemistwarehouse.com.au/buy/57051/Poise-Pads-Overnight-8"," Poise Pads Overnight 8")</f>
        <v xml:space="preserve"> Poise Pads Overnight 8</v>
      </c>
      <c r="C12100" t="s">
        <v>326</v>
      </c>
      <c r="D12100" t="s">
        <v>327</v>
      </c>
    </row>
    <row r="12101" spans="2:4" x14ac:dyDescent="0.25">
      <c r="B12101" t="str">
        <f>HYPERLINK("https://www.chemistwarehouse.com.au/buy/31497/Libra-Pads-Ultra-Thins-with-Wings-Regular-14"," Libra Pads Ultra Thins with Wings Regular 14")</f>
        <v xml:space="preserve"> Libra Pads Ultra Thins with Wings Regular 14</v>
      </c>
      <c r="C12101" t="s">
        <v>120</v>
      </c>
      <c r="D12101" t="s">
        <v>1749</v>
      </c>
    </row>
    <row r="12102" spans="2:4" x14ac:dyDescent="0.25">
      <c r="B12102" t="str">
        <f>HYPERLINK("https://www.chemistwarehouse.com.au/buy/54482/Gaia-Natural-Baby-Moisturiser-250ml"," Gaia Natural Baby Moisturiser 250ml")</f>
        <v xml:space="preserve"> Gaia Natural Baby Moisturiser 250ml</v>
      </c>
      <c r="C12102" t="s">
        <v>32</v>
      </c>
      <c r="D12102" t="s">
        <v>465</v>
      </c>
    </row>
    <row r="12103" spans="2:4" x14ac:dyDescent="0.25">
      <c r="B12103" t="str">
        <f>HYPERLINK("https://www.chemistwarehouse.com.au/buy/55500/Poise-Panty-Liner-Regular-26"," Poise Panty Liner Regular 26")</f>
        <v xml:space="preserve"> Poise Panty Liner Regular 26</v>
      </c>
      <c r="C12103" t="s">
        <v>786</v>
      </c>
      <c r="D12103" t="s">
        <v>776</v>
      </c>
    </row>
    <row r="12104" spans="2:4" x14ac:dyDescent="0.25">
      <c r="B12104" t="str">
        <f>HYPERLINK("https://www.chemistwarehouse.com.au/buy/58568/Oral-B-Vitality-Precision-Clean-Electric-Toothbrush-2-Refills"," Oral B Vitality Precision Clean Electric Toothbrush +2 Refills")</f>
        <v xml:space="preserve"> Oral B Vitality Precision Clean Electric Toothbrush +2 Refills</v>
      </c>
      <c r="C12104" t="s">
        <v>166</v>
      </c>
      <c r="D12104" t="s">
        <v>167</v>
      </c>
    </row>
    <row r="12105" spans="2:4" x14ac:dyDescent="0.25">
      <c r="B12105" t="str">
        <f>HYPERLINK("https://www.chemistwarehouse.com.au/buy/58626/Oral-B-Vitality-Pro-White-Electric-Toothbrush-2-Refills"," Oral B Vitality Pro White Electric Toothbrush +2 Refills")</f>
        <v xml:space="preserve"> Oral B Vitality Pro White Electric Toothbrush +2 Refills</v>
      </c>
      <c r="C12105" t="s">
        <v>166</v>
      </c>
      <c r="D12105" t="s">
        <v>167</v>
      </c>
    </row>
    <row r="12106" spans="2:4" x14ac:dyDescent="0.25">
      <c r="B12106" t="str">
        <f>HYPERLINK("https://www.chemistwarehouse.com.au/buy/65374/Anthogenol-100-Capsules"," Anthogenol 100 Capsules")</f>
        <v xml:space="preserve"> Anthogenol 100 Capsules</v>
      </c>
      <c r="C12106" t="s">
        <v>585</v>
      </c>
      <c r="D12106" t="s">
        <v>586</v>
      </c>
    </row>
    <row r="12107" spans="2:4" x14ac:dyDescent="0.25">
      <c r="B12107" t="str">
        <f>HYPERLINK("https://www.chemistwarehouse.com.au/buy/53533/Kotex-U-Tampon-Mini-16"," Kotex U Tampon Mini 16")</f>
        <v xml:space="preserve"> Kotex U Tampon Mini 16</v>
      </c>
      <c r="C12107" t="s">
        <v>483</v>
      </c>
      <c r="D12107" t="s">
        <v>371</v>
      </c>
    </row>
    <row r="12108" spans="2:4" x14ac:dyDescent="0.25">
      <c r="B12108" t="str">
        <f>HYPERLINK("https://www.chemistwarehouse.com.au/buy/44566/Kotex-U-Tampon-Regular-16"," Kotex U Tampon Regular 16")</f>
        <v xml:space="preserve"> Kotex U Tampon Regular 16</v>
      </c>
      <c r="C12108" t="s">
        <v>483</v>
      </c>
      <c r="D12108" t="s">
        <v>371</v>
      </c>
    </row>
    <row r="12109" spans="2:4" x14ac:dyDescent="0.25">
      <c r="B12109" t="str">
        <f>HYPERLINK("https://www.chemistwarehouse.com.au/buy/52952/Bio-Organics-Cranberry-10000mg-150-Capsules"," Bio-Organics Cranberry 10000mg 150 Capsules")</f>
        <v xml:space="preserve"> Bio-Organics Cranberry 10000mg 150 Capsules</v>
      </c>
      <c r="C12109" t="s">
        <v>139</v>
      </c>
      <c r="D12109" t="s">
        <v>139</v>
      </c>
    </row>
    <row r="12110" spans="2:4" x14ac:dyDescent="0.25">
      <c r="B12110" t="str">
        <f>HYPERLINK("https://www.chemistwarehouse.com.au/buy/67247/Opti-free-Puremoist-Mega-Bundle-780ml"," Opti free Puremoist Mega Bundle 780ml")</f>
        <v xml:space="preserve"> Opti free Puremoist Mega Bundle 780ml</v>
      </c>
      <c r="C12110" t="s">
        <v>161</v>
      </c>
      <c r="D12110" t="s">
        <v>104</v>
      </c>
    </row>
    <row r="12111" spans="2:4" x14ac:dyDescent="0.25">
      <c r="B12111" t="str">
        <f>HYPERLINK("https://www.chemistwarehouse.com.au/buy/78440/Poise-Liners-Extra-Long-22"," Poise Liners Extra Long 22")</f>
        <v xml:space="preserve"> Poise Liners Extra Long 22</v>
      </c>
      <c r="C12111" t="s">
        <v>556</v>
      </c>
      <c r="D12111" t="s">
        <v>1257</v>
      </c>
    </row>
    <row r="12112" spans="2:4" x14ac:dyDescent="0.25">
      <c r="B12112" t="str">
        <f>HYPERLINK("https://www.chemistwarehouse.com.au/buy/48111/Libra-Maternity-Pads-10"," Libra Maternity Pads 10")</f>
        <v xml:space="preserve"> Libra Maternity Pads 10</v>
      </c>
      <c r="C12112" t="s">
        <v>120</v>
      </c>
      <c r="D12112" t="s">
        <v>1749</v>
      </c>
    </row>
    <row r="12113" spans="1:4" x14ac:dyDescent="0.25">
      <c r="B12113" t="str">
        <f>HYPERLINK("https://www.chemistwarehouse.com.au/buy/6005/Listerine-Fresh-Burst-1Litre"," Listerine Fresh Burst 1Litre")</f>
        <v xml:space="preserve"> Listerine Fresh Burst 1Litre</v>
      </c>
      <c r="C12113" t="s">
        <v>45</v>
      </c>
      <c r="D12113" t="s">
        <v>115</v>
      </c>
    </row>
    <row r="12114" spans="1:4" x14ac:dyDescent="0.25">
      <c r="B12114" t="str">
        <f>HYPERLINK("https://www.chemistwarehouse.com.au/buy/44564/Kotex-U-Ultra-Thin-Wings-Regular-14"," Kotex U Ultra Thin Wings Regular 14")</f>
        <v xml:space="preserve"> Kotex U Ultra Thin Wings Regular 14</v>
      </c>
      <c r="C12114" t="s">
        <v>483</v>
      </c>
      <c r="D12114" t="s">
        <v>781</v>
      </c>
    </row>
    <row r="12115" spans="1:4" x14ac:dyDescent="0.25">
      <c r="B12115" t="str">
        <f>HYPERLINK("https://www.chemistwarehouse.com.au/buy/51666/Codral-PE-Cold-amp-Flu-Day-amp-Night-48-Tablets"," Codral PE Cold &amp; Flu Day &amp; Night 48 Tablets")</f>
        <v xml:space="preserve"> Codral PE Cold &amp; Flu Day &amp; Night 48 Tablets</v>
      </c>
      <c r="C12115" t="s">
        <v>202</v>
      </c>
      <c r="D12115">
        <v>0</v>
      </c>
    </row>
    <row r="12116" spans="1:4" x14ac:dyDescent="0.25">
      <c r="B12116" t="str">
        <f>HYPERLINK("https://www.chemistwarehouse.com.au/buy/75453/Nature-39-s-Way-Vita-Gummies-Adult-Womens-Multivitamin-100"," Nature's Way Vita Gummies Adult Womens Multivitamin 100")</f>
        <v xml:space="preserve"> Nature's Way Vita Gummies Adult Womens Multivitamin 100</v>
      </c>
      <c r="C12116" t="s">
        <v>269</v>
      </c>
      <c r="D12116" t="s">
        <v>336</v>
      </c>
    </row>
    <row r="12117" spans="1:4" x14ac:dyDescent="0.25">
      <c r="A12117" t="s">
        <v>2406</v>
      </c>
    </row>
    <row r="12118" spans="1:4" x14ac:dyDescent="0.25">
      <c r="A12118" t="s">
        <v>2407</v>
      </c>
    </row>
    <row r="12119" spans="1:4" x14ac:dyDescent="0.25">
      <c r="B12119" t="str">
        <f>HYPERLINK("https://www.chemistwarehouse.com.au/buy/81298/Sarah-Jessica-Parker-Stash-Eau-de-Parfum-30ml-Spray"," Sarah Jessica Parker Stash Eau de Parfum 30ml Spray")</f>
        <v xml:space="preserve"> Sarah Jessica Parker Stash Eau de Parfum 30ml Spray</v>
      </c>
      <c r="C12119" t="s">
        <v>303</v>
      </c>
      <c r="D12119" t="s">
        <v>45</v>
      </c>
    </row>
    <row r="12120" spans="1:4" x14ac:dyDescent="0.25">
      <c r="B12120" t="str">
        <f>HYPERLINK("https://www.chemistwarehouse.com.au/buy/81299/Sarah-Jessica-Parker-Stash-Eau-de-Parfum-50ml"," Sarah Jessica Parker Stash Eau de Parfum 50ml")</f>
        <v xml:space="preserve"> Sarah Jessica Parker Stash Eau de Parfum 50ml</v>
      </c>
      <c r="C12120" t="s">
        <v>113</v>
      </c>
      <c r="D12120">
        <v>0</v>
      </c>
    </row>
    <row r="12121" spans="1:4" x14ac:dyDescent="0.25">
      <c r="B12121" t="str">
        <f>HYPERLINK("https://www.chemistwarehouse.com.au/buy/81297/Sarah-Jessica-Parker-Stash-Eau-de-Parfum-100ml-Spray"," Sarah Jessica Parker Stash Eau de Parfum 100ml Spray")</f>
        <v xml:space="preserve"> Sarah Jessica Parker Stash Eau de Parfum 100ml Spray</v>
      </c>
      <c r="C12121" t="s">
        <v>276</v>
      </c>
      <c r="D12121">
        <v>0</v>
      </c>
    </row>
    <row r="12122" spans="1:4" x14ac:dyDescent="0.25">
      <c r="A12122" t="s">
        <v>2408</v>
      </c>
    </row>
    <row r="12123" spans="1:4" x14ac:dyDescent="0.25">
      <c r="B12123" t="str">
        <f>HYPERLINK("https://www.chemistwarehouse.com.au/buy/81284/Michael-Buble-By-Invitation-Eau-de-Parfum-100ml"," Michael Buble By Invitation Eau de Parfum 100ml")</f>
        <v xml:space="preserve"> Michael Buble By Invitation Eau de Parfum 100ml</v>
      </c>
      <c r="C12123" t="s">
        <v>2354</v>
      </c>
      <c r="D12123">
        <v>0</v>
      </c>
    </row>
    <row r="12124" spans="1:4" x14ac:dyDescent="0.25">
      <c r="B12124" t="str">
        <f>HYPERLINK("https://www.chemistwarehouse.com.au/buy/81517/Michael-Buble-By-Invitation-Eau-de-Parfum-30ml-Spray"," Michael Buble By Invitation Eau de Parfum 30ml Spray")</f>
        <v xml:space="preserve"> Michael Buble By Invitation Eau de Parfum 30ml Spray</v>
      </c>
      <c r="C12124" t="s">
        <v>419</v>
      </c>
      <c r="D12124">
        <v>0</v>
      </c>
    </row>
    <row r="12125" spans="1:4" x14ac:dyDescent="0.25">
      <c r="B12125" t="str">
        <f>HYPERLINK("https://www.chemistwarehouse.com.au/buy/81518/Michael-Buble-By-Invitation-Eau-de-Parfum-50ml-Spray"," Michael Buble By Invitation Eau de Parfum 50ml Spray")</f>
        <v xml:space="preserve"> Michael Buble By Invitation Eau de Parfum 50ml Spray</v>
      </c>
      <c r="C12125" t="s">
        <v>531</v>
      </c>
      <c r="D12125">
        <v>0</v>
      </c>
    </row>
    <row r="12126" spans="1:4" x14ac:dyDescent="0.25">
      <c r="A12126" t="s">
        <v>2409</v>
      </c>
    </row>
    <row r="12127" spans="1:4" x14ac:dyDescent="0.25">
      <c r="B12127" t="str">
        <f>HYPERLINK("https://www.chemistwarehouse.com.au/buy/81286/Paris-Hilton-Gold-Rush-Eau-de-Parfum-30ml-Spray"," Paris Hilton Gold Rush Eau de Parfum 30ml Spray")</f>
        <v xml:space="preserve"> Paris Hilton Gold Rush Eau de Parfum 30ml Spray</v>
      </c>
      <c r="C12127" t="s">
        <v>419</v>
      </c>
      <c r="D12127">
        <v>0</v>
      </c>
    </row>
    <row r="12128" spans="1:4" x14ac:dyDescent="0.25">
      <c r="B12128" t="str">
        <f>HYPERLINK("https://www.chemistwarehouse.com.au/buy/79972/Paris-Hilton-Gold-Rush-Eau-de-Parfum-100ml-Spray"," Paris Hilton Gold Rush Eau de Parfum 100ml Spray")</f>
        <v xml:space="preserve"> Paris Hilton Gold Rush Eau de Parfum 100ml Spray</v>
      </c>
      <c r="C12128" t="s">
        <v>166</v>
      </c>
      <c r="D12128" t="s">
        <v>847</v>
      </c>
    </row>
    <row r="12129" spans="1:4" x14ac:dyDescent="0.25">
      <c r="A12129" t="s">
        <v>2410</v>
      </c>
    </row>
    <row r="12130" spans="1:4" x14ac:dyDescent="0.25">
      <c r="B12130" t="str">
        <f>HYPERLINK("https://www.chemistwarehouse.com.au/buy/80269/Nature-39-s-Way-Kids-Smart-Milk-Buttons-with-DHA-Vanilla-150-Chewable-Buttons"," Nature's Way Kids Smart Milk Buttons with DHA Vanilla 150 Chewable Buttons")</f>
        <v xml:space="preserve"> Nature's Way Kids Smart Milk Buttons with DHA Vanilla 150 Chewable Buttons</v>
      </c>
      <c r="C12130" t="s">
        <v>80</v>
      </c>
      <c r="D12130" t="s">
        <v>104</v>
      </c>
    </row>
    <row r="12131" spans="1:4" x14ac:dyDescent="0.25">
      <c r="B12131" t="str">
        <f>HYPERLINK("https://www.chemistwarehouse.com.au/buy/80270/Nature-39-s-Way-Kids-Smart-Milk-Buttons-with-Probiotics-150-Chewable-Buttons"," Nature's Way Kids Smart Milk Buttons with Probiotics 150 Chewable Buttons")</f>
        <v xml:space="preserve"> Nature's Way Kids Smart Milk Buttons with Probiotics 150 Chewable Buttons</v>
      </c>
      <c r="C12131" t="s">
        <v>80</v>
      </c>
      <c r="D12131" t="s">
        <v>104</v>
      </c>
    </row>
    <row r="12132" spans="1:4" x14ac:dyDescent="0.25">
      <c r="B12132" t="str">
        <f>HYPERLINK("https://www.chemistwarehouse.com.au/buy/80271/Nature-39-s-Way-Kids-Smart-Milk-Buttons-with-Manuka-Honey-150-Chewable-Buttons"," Nature's Way Kids Smart Milk Buttons with Manuka Honey 150 Chewable Buttons")</f>
        <v xml:space="preserve"> Nature's Way Kids Smart Milk Buttons with Manuka Honey 150 Chewable Buttons</v>
      </c>
      <c r="C12132" t="s">
        <v>80</v>
      </c>
      <c r="D12132" t="s">
        <v>104</v>
      </c>
    </row>
    <row r="12133" spans="1:4" x14ac:dyDescent="0.25">
      <c r="A12133" t="s">
        <v>2411</v>
      </c>
    </row>
    <row r="12134" spans="1:4" x14ac:dyDescent="0.25">
      <c r="B12134" t="str">
        <f>HYPERLINK("https://www.chemistwarehouse.com.au/buy/80308/Canesten-Feminine-Intimate-Wash-200ml"," Canesten Feminine Intimate Wash 200ml")</f>
        <v xml:space="preserve"> Canesten Feminine Intimate Wash 200ml</v>
      </c>
      <c r="C12134" t="s">
        <v>554</v>
      </c>
      <c r="D12134" t="s">
        <v>318</v>
      </c>
    </row>
    <row r="12135" spans="1:4" x14ac:dyDescent="0.25">
      <c r="B12135" t="str">
        <f>HYPERLINK("https://www.chemistwarehouse.com.au/buy/80309/Canesten-Feminine-Intimate-Wipes-10-Pack"," Canesten Feminine Intimate Wipes 10 Pack")</f>
        <v xml:space="preserve"> Canesten Feminine Intimate Wipes 10 Pack</v>
      </c>
      <c r="C12135" t="s">
        <v>1285</v>
      </c>
      <c r="D12135" t="s">
        <v>593</v>
      </c>
    </row>
    <row r="12136" spans="1:4" x14ac:dyDescent="0.25">
      <c r="A12136" t="s">
        <v>2412</v>
      </c>
    </row>
    <row r="12137" spans="1:4" x14ac:dyDescent="0.25">
      <c r="B12137" t="str">
        <f>HYPERLINK("https://www.chemistwarehouse.com.au/buy/64119/Comvita-Active-10-Manuka-Honey-500g-Not-Available-in-WA"," Comvita Active 10+ Manuka Honey 500g (Not Available in WA)")</f>
        <v xml:space="preserve"> Comvita Active 10+ Manuka Honey 500g (Not Available in WA)</v>
      </c>
      <c r="C12137" t="s">
        <v>564</v>
      </c>
      <c r="D12137" t="s">
        <v>373</v>
      </c>
    </row>
    <row r="12138" spans="1:4" x14ac:dyDescent="0.25">
      <c r="B12138" t="str">
        <f>HYPERLINK("https://www.chemistwarehouse.com.au/buy/64186/Comvita-UMF-15-Manuka-Honey-250g-Not-Available-in-WA"," Comvita UMF 15+ Manuka Honey 250g (Not Available in WA)")</f>
        <v xml:space="preserve"> Comvita UMF 15+ Manuka Honey 250g (Not Available in WA)</v>
      </c>
      <c r="C12138" t="s">
        <v>564</v>
      </c>
      <c r="D12138" t="s">
        <v>373</v>
      </c>
    </row>
    <row r="12139" spans="1:4" x14ac:dyDescent="0.25">
      <c r="B12139" t="str">
        <f>HYPERLINK("https://www.chemistwarehouse.com.au/buy/63835/Comvita-Active-5-Manuka-Honey-1kg-Not-Available-in-WA"," Comvita Active 5+ Manuka Honey 1kg (Not Available in WA)")</f>
        <v xml:space="preserve"> Comvita Active 5+ Manuka Honey 1kg (Not Available in WA)</v>
      </c>
      <c r="C12139" t="s">
        <v>565</v>
      </c>
      <c r="D12139" t="s">
        <v>391</v>
      </c>
    </row>
    <row r="12140" spans="1:4" x14ac:dyDescent="0.25">
      <c r="B12140" t="str">
        <f>HYPERLINK("https://www.chemistwarehouse.com.au/buy/64120/Comvita-Active-10-Manuka-Honey-250g-Not-Available-in-WA"," Comvita Active 10+ Manuka Honey 250g (Not Available in WA)")</f>
        <v xml:space="preserve"> Comvita Active 10+ Manuka Honey 250g (Not Available in WA)</v>
      </c>
      <c r="C12140" t="s">
        <v>566</v>
      </c>
      <c r="D12140" t="s">
        <v>435</v>
      </c>
    </row>
    <row r="12141" spans="1:4" x14ac:dyDescent="0.25">
      <c r="B12141" t="str">
        <f>HYPERLINK("https://www.chemistwarehouse.com.au/buy/64122/Comvita-Active-5-Manuka-Honey-500g-Not-Available-in-WA"," Comvita Active 5+ Manuka Honey 500g (Not Available in WA)")</f>
        <v xml:space="preserve"> Comvita Active 5+ Manuka Honey 500g (Not Available in WA)</v>
      </c>
      <c r="C12141" t="s">
        <v>258</v>
      </c>
      <c r="D12141" t="s">
        <v>341</v>
      </c>
    </row>
    <row r="12142" spans="1:4" x14ac:dyDescent="0.25">
      <c r="B12142" t="str">
        <f>HYPERLINK("https://www.chemistwarehouse.com.au/buy/63786/Comvita-Active-5-Manuka-Honey-250g-Not-Available-in-WA"," Comvita Active 5+ Manuka Honey 250g (Not Available in WA)")</f>
        <v xml:space="preserve"> Comvita Active 5+ Manuka Honey 250g (Not Available in WA)</v>
      </c>
      <c r="C12142" t="s">
        <v>10</v>
      </c>
      <c r="D12142" t="s">
        <v>154</v>
      </c>
    </row>
    <row r="12143" spans="1:4" x14ac:dyDescent="0.25">
      <c r="A12143" t="s">
        <v>2413</v>
      </c>
    </row>
    <row r="12144" spans="1:4" x14ac:dyDescent="0.25">
      <c r="B12144" t="str">
        <f>HYPERLINK("https://www.chemistwarehouse.com.au/buy/5832/KP-24-Medicated-Head-Lice-Foam-100mL"," KP 24 Medicated Head Lice Foam 100mL")</f>
        <v xml:space="preserve"> KP 24 Medicated Head Lice Foam 100mL</v>
      </c>
      <c r="C12144" t="s">
        <v>202</v>
      </c>
      <c r="D12144" t="s">
        <v>817</v>
      </c>
    </row>
    <row r="12145" spans="1:4" x14ac:dyDescent="0.25">
      <c r="B12145" t="str">
        <f>HYPERLINK("https://www.chemistwarehouse.com.au/buy/5833/KP-24-Medicated-Head-Lice-Lotion-100mL"," KP 24 Medicated Head Lice Lotion 100mL")</f>
        <v xml:space="preserve"> KP 24 Medicated Head Lice Lotion 100mL</v>
      </c>
      <c r="C12145" t="s">
        <v>202</v>
      </c>
      <c r="D12145" t="s">
        <v>817</v>
      </c>
    </row>
    <row r="12146" spans="1:4" x14ac:dyDescent="0.25">
      <c r="B12146" t="str">
        <f>HYPERLINK("https://www.chemistwarehouse.com.au/buy/53616/KP-24-Rapid-10-Minute-Solution-150ml"," KP 24 Rapid 10 Minute Solution 150ml")</f>
        <v xml:space="preserve"> KP 24 Rapid 10 Minute Solution 150ml</v>
      </c>
      <c r="C12146" t="s">
        <v>1</v>
      </c>
      <c r="D12146" t="s">
        <v>1212</v>
      </c>
    </row>
    <row r="12147" spans="1:4" x14ac:dyDescent="0.25">
      <c r="B12147" t="str">
        <f>HYPERLINK("https://www.chemistwarehouse.com.au/buy/58062/KP-24-Foam-Lotion,-Conditioning,-Solution-amp-Comb-Value-Pack"," KP 24 Foam Lotion, Conditioning, Solution &amp; Comb Value Pack")</f>
        <v xml:space="preserve"> KP 24 Foam Lotion, Conditioning, Solution &amp; Comb Value Pack</v>
      </c>
      <c r="C12147" t="s">
        <v>6</v>
      </c>
      <c r="D12147" t="s">
        <v>155</v>
      </c>
    </row>
    <row r="12148" spans="1:4" x14ac:dyDescent="0.25">
      <c r="B12148" t="str">
        <f>HYPERLINK("https://www.chemistwarehouse.com.au/buy/62303/KP-24-Lice-Egg-Remover-100ml"," KP 24 Lice Egg Remover 100ml")</f>
        <v xml:space="preserve"> KP 24 Lice Egg Remover 100ml</v>
      </c>
      <c r="C12148" t="s">
        <v>212</v>
      </c>
      <c r="D12148" t="s">
        <v>329</v>
      </c>
    </row>
    <row r="12149" spans="1:4" x14ac:dyDescent="0.25">
      <c r="B12149" t="str">
        <f>HYPERLINK("https://www.chemistwarehouse.com.au/buy/62304/KP-24-Soaking-Solution-500mL"," KP 24 Soaking Solution 500mL")</f>
        <v xml:space="preserve"> KP 24 Soaking Solution 500mL</v>
      </c>
      <c r="C12149" t="s">
        <v>290</v>
      </c>
      <c r="D12149" t="s">
        <v>799</v>
      </c>
    </row>
    <row r="12150" spans="1:4" x14ac:dyDescent="0.25">
      <c r="B12150" t="str">
        <f>HYPERLINK("https://www.chemistwarehouse.com.au/buy/62305/KP-24-Long-Tooth-Headlice-Comb"," KP 24 Long Tooth Headlice Comb")</f>
        <v xml:space="preserve"> KP 24 Long Tooth Headlice Comb</v>
      </c>
      <c r="C12150" t="s">
        <v>103</v>
      </c>
      <c r="D12150" t="s">
        <v>813</v>
      </c>
    </row>
    <row r="12151" spans="1:4" x14ac:dyDescent="0.25">
      <c r="B12151" t="str">
        <f>HYPERLINK("https://www.chemistwarehouse.com.au/buy/72785/KP-24-Rapid-10-Minute-Solution-250ml-with-Comb-Family-Pack"," KP 24 Rapid 10 Minute Solution 250ml with Comb Family Pack ")</f>
        <v xml:space="preserve"> KP 24 Rapid 10 Minute Solution 250ml with Comb Family Pack </v>
      </c>
      <c r="C12151" t="s">
        <v>109</v>
      </c>
      <c r="D12151" t="s">
        <v>1864</v>
      </c>
    </row>
    <row r="12152" spans="1:4" x14ac:dyDescent="0.25">
      <c r="B12152" t="str">
        <f>HYPERLINK("https://www.chemistwarehouse.com.au/buy/81326/KP-24-Rapid-15-Minute-Shampoo-with-Lice-Protection-Factor-100ml-with-Comb"," KP 24 Rapid 15 Minute Shampoo with Lice Protection Factor 100ml with Comb")</f>
        <v xml:space="preserve"> KP 24 Rapid 15 Minute Shampoo with Lice Protection Factor 100ml with Comb</v>
      </c>
      <c r="C12152" t="s">
        <v>117</v>
      </c>
      <c r="D12152" t="s">
        <v>1308</v>
      </c>
    </row>
    <row r="12153" spans="1:4" x14ac:dyDescent="0.25">
      <c r="A12153" t="s">
        <v>2414</v>
      </c>
    </row>
    <row r="12154" spans="1:4" x14ac:dyDescent="0.25">
      <c r="B12154" t="str">
        <f>HYPERLINK("https://www.chemistwarehouse.com.au/buy/5875/Lamisil-Cream-15g-Limit-of-ONE-Per-Order"," Lamisil Cream 15g (Limit of ONE Per Order)")</f>
        <v xml:space="preserve"> Lamisil Cream 15g (Limit of ONE Per Order)</v>
      </c>
      <c r="C12154" t="s">
        <v>187</v>
      </c>
      <c r="D12154">
        <v>0</v>
      </c>
    </row>
    <row r="12155" spans="1:4" x14ac:dyDescent="0.25">
      <c r="B12155" t="str">
        <f>HYPERLINK("https://www.chemistwarehouse.com.au/buy/5876/Lamisil-Dermgel-15g-Limit-of-ONE-Per-Order"," Lamisil Dermgel 15g (Limit of ONE Per Order)")</f>
        <v xml:space="preserve"> Lamisil Dermgel 15g (Limit of ONE Per Order)</v>
      </c>
      <c r="C12155" t="s">
        <v>187</v>
      </c>
      <c r="D12155">
        <v>0</v>
      </c>
    </row>
    <row r="12156" spans="1:4" x14ac:dyDescent="0.25">
      <c r="B12156" t="str">
        <f>HYPERLINK("https://www.chemistwarehouse.com.au/buy/47993/Lamisil-Spray-15mL-Limit-of-ONE-Per-Order"," Lamisil Spray 15mL (Limit of ONE Per Order)")</f>
        <v xml:space="preserve"> Lamisil Spray 15mL (Limit of ONE Per Order)</v>
      </c>
      <c r="C12156" t="s">
        <v>269</v>
      </c>
      <c r="D12156">
        <v>0</v>
      </c>
    </row>
    <row r="12157" spans="1:4" x14ac:dyDescent="0.25">
      <c r="B12157" t="str">
        <f>HYPERLINK("https://www.chemistwarehouse.com.au/buy/50356/Lamisil-Once-Film-Forming-Solution-4g"," Lamisil Once Film Forming Solution 4g")</f>
        <v xml:space="preserve"> Lamisil Once Film Forming Solution 4g</v>
      </c>
      <c r="C12157" t="s">
        <v>173</v>
      </c>
      <c r="D1215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 zhao</cp:lastModifiedBy>
  <dcterms:created xsi:type="dcterms:W3CDTF">2017-02-26T17:46:53Z</dcterms:created>
  <dcterms:modified xsi:type="dcterms:W3CDTF">2017-02-26T08:10:42Z</dcterms:modified>
</cp:coreProperties>
</file>