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Q690正面角焊缝6mm\"/>
    </mc:Choice>
  </mc:AlternateContent>
  <bookViews>
    <workbookView xWindow="7560" yWindow="0" windowWidth="9720" windowHeight="7224" tabRatio="804" activeTab="2"/>
  </bookViews>
  <sheets>
    <sheet name="焊缝计算过程" sheetId="1" r:id="rId1"/>
    <sheet name="正面角焊缝" sheetId="13" r:id="rId2"/>
    <sheet name="根据简化公式预测破坏位置（正面）" sheetId="15" r:id="rId3"/>
    <sheet name="根据简化公式预测破坏位置（十字）" sheetId="20" r:id="rId4"/>
    <sheet name="侧面角焊缝（5mm10mm）" sheetId="12" r:id="rId5"/>
    <sheet name="根据简化公式预测破坏位置（侧面）" sheetId="2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21" l="1"/>
  <c r="K15" i="21"/>
  <c r="K13" i="21"/>
  <c r="K9" i="21"/>
  <c r="K7" i="21"/>
  <c r="K5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3" i="21"/>
  <c r="K4" i="21"/>
  <c r="K6" i="21"/>
  <c r="K8" i="21"/>
  <c r="K10" i="21"/>
  <c r="K11" i="21"/>
  <c r="K12" i="21"/>
  <c r="K14" i="21"/>
  <c r="K16" i="21"/>
  <c r="K17" i="21"/>
  <c r="K18" i="21"/>
  <c r="K20" i="21"/>
  <c r="K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3" i="21"/>
  <c r="J20" i="21"/>
  <c r="M10" i="20"/>
  <c r="M11" i="20"/>
  <c r="M12" i="20"/>
  <c r="M13" i="20"/>
  <c r="M14" i="20"/>
  <c r="M9" i="20"/>
  <c r="K14" i="20"/>
  <c r="J14" i="20"/>
  <c r="H14" i="20"/>
  <c r="G14" i="20"/>
  <c r="K13" i="20"/>
  <c r="J13" i="20"/>
  <c r="H13" i="20"/>
  <c r="G13" i="20"/>
  <c r="K12" i="20"/>
  <c r="J12" i="20"/>
  <c r="H12" i="20"/>
  <c r="G12" i="20"/>
  <c r="K11" i="20"/>
  <c r="J11" i="20"/>
  <c r="H11" i="20"/>
  <c r="G11" i="20"/>
  <c r="K10" i="20"/>
  <c r="J10" i="20"/>
  <c r="H10" i="20"/>
  <c r="G10" i="20"/>
  <c r="K9" i="20"/>
  <c r="J9" i="20"/>
  <c r="H9" i="20"/>
  <c r="G9" i="20"/>
  <c r="M8" i="20"/>
  <c r="K8" i="20"/>
  <c r="J8" i="20"/>
  <c r="H8" i="20"/>
  <c r="G8" i="20"/>
  <c r="M7" i="20"/>
  <c r="K7" i="20"/>
  <c r="J7" i="20"/>
  <c r="H7" i="20"/>
  <c r="G7" i="20"/>
  <c r="M6" i="20"/>
  <c r="K6" i="20"/>
  <c r="J6" i="20"/>
  <c r="H6" i="20"/>
  <c r="G6" i="20"/>
  <c r="M5" i="20"/>
  <c r="K5" i="20"/>
  <c r="J5" i="20"/>
  <c r="H5" i="20"/>
  <c r="G5" i="20"/>
  <c r="M4" i="20"/>
  <c r="K4" i="20"/>
  <c r="J4" i="20"/>
  <c r="L4" i="20" s="1"/>
  <c r="H4" i="20"/>
  <c r="G4" i="20"/>
  <c r="M3" i="20"/>
  <c r="K3" i="20"/>
  <c r="J3" i="20"/>
  <c r="H3" i="20"/>
  <c r="G3" i="20"/>
  <c r="M16" i="15"/>
  <c r="M17" i="15"/>
  <c r="M18" i="15"/>
  <c r="M19" i="15"/>
  <c r="M20" i="15"/>
  <c r="M21" i="15"/>
  <c r="M22" i="15"/>
  <c r="M23" i="15"/>
  <c r="L23" i="15" s="1"/>
  <c r="M24" i="15"/>
  <c r="M25" i="15"/>
  <c r="M26" i="15"/>
  <c r="M27" i="15"/>
  <c r="M28" i="15"/>
  <c r="M29" i="15"/>
  <c r="M30" i="15"/>
  <c r="M31" i="15"/>
  <c r="L31" i="15" s="1"/>
  <c r="M32" i="15"/>
  <c r="M15" i="15"/>
  <c r="M4" i="15"/>
  <c r="M5" i="15"/>
  <c r="M6" i="15"/>
  <c r="M7" i="15"/>
  <c r="M8" i="15"/>
  <c r="M9" i="15"/>
  <c r="M10" i="15"/>
  <c r="I10" i="15" s="1"/>
  <c r="M11" i="15"/>
  <c r="M12" i="15"/>
  <c r="M13" i="15"/>
  <c r="M14" i="15"/>
  <c r="M3" i="15"/>
  <c r="G4" i="15"/>
  <c r="H4" i="15"/>
  <c r="J4" i="15"/>
  <c r="K4" i="15"/>
  <c r="G5" i="15"/>
  <c r="H5" i="15"/>
  <c r="J5" i="15"/>
  <c r="L5" i="15" s="1"/>
  <c r="K5" i="15"/>
  <c r="G6" i="15"/>
  <c r="H6" i="15"/>
  <c r="J6" i="15"/>
  <c r="K6" i="15"/>
  <c r="G7" i="15"/>
  <c r="H7" i="15"/>
  <c r="J7" i="15"/>
  <c r="K7" i="15"/>
  <c r="G8" i="15"/>
  <c r="H8" i="15"/>
  <c r="J8" i="15"/>
  <c r="K8" i="15"/>
  <c r="G9" i="15"/>
  <c r="H9" i="15"/>
  <c r="J9" i="15"/>
  <c r="K9" i="15"/>
  <c r="G10" i="15"/>
  <c r="H10" i="15"/>
  <c r="J10" i="15"/>
  <c r="K10" i="15"/>
  <c r="G11" i="15"/>
  <c r="H11" i="15"/>
  <c r="J11" i="15"/>
  <c r="K11" i="15"/>
  <c r="G12" i="15"/>
  <c r="H12" i="15"/>
  <c r="J12" i="15"/>
  <c r="K12" i="15"/>
  <c r="G13" i="15"/>
  <c r="H13" i="15"/>
  <c r="J13" i="15"/>
  <c r="L13" i="15" s="1"/>
  <c r="K13" i="15"/>
  <c r="G14" i="15"/>
  <c r="H14" i="15"/>
  <c r="J14" i="15"/>
  <c r="K14" i="15"/>
  <c r="G15" i="15"/>
  <c r="H15" i="15"/>
  <c r="J15" i="15"/>
  <c r="K15" i="15"/>
  <c r="G16" i="15"/>
  <c r="H16" i="15"/>
  <c r="J16" i="15"/>
  <c r="L16" i="15" s="1"/>
  <c r="K16" i="15"/>
  <c r="G17" i="15"/>
  <c r="H17" i="15"/>
  <c r="J17" i="15"/>
  <c r="K17" i="15"/>
  <c r="G18" i="15"/>
  <c r="H18" i="15"/>
  <c r="J18" i="15"/>
  <c r="K18" i="15"/>
  <c r="G19" i="15"/>
  <c r="H19" i="15"/>
  <c r="J19" i="15"/>
  <c r="L19" i="15" s="1"/>
  <c r="K19" i="15"/>
  <c r="G20" i="15"/>
  <c r="H20" i="15"/>
  <c r="J20" i="15"/>
  <c r="K20" i="15"/>
  <c r="G21" i="15"/>
  <c r="H21" i="15"/>
  <c r="J21" i="15"/>
  <c r="K21" i="15"/>
  <c r="G22" i="15"/>
  <c r="I22" i="15" s="1"/>
  <c r="H22" i="15"/>
  <c r="J22" i="15"/>
  <c r="K22" i="15"/>
  <c r="G23" i="15"/>
  <c r="H23" i="15"/>
  <c r="J23" i="15"/>
  <c r="K23" i="15"/>
  <c r="G24" i="15"/>
  <c r="H24" i="15"/>
  <c r="J24" i="15"/>
  <c r="L24" i="15" s="1"/>
  <c r="K24" i="15"/>
  <c r="G25" i="15"/>
  <c r="H25" i="15"/>
  <c r="J25" i="15"/>
  <c r="K25" i="15"/>
  <c r="G26" i="15"/>
  <c r="H26" i="15"/>
  <c r="J26" i="15"/>
  <c r="K26" i="15"/>
  <c r="G27" i="15"/>
  <c r="H27" i="15"/>
  <c r="J27" i="15"/>
  <c r="K27" i="15"/>
  <c r="G28" i="15"/>
  <c r="H28" i="15"/>
  <c r="J28" i="15"/>
  <c r="K28" i="15"/>
  <c r="G29" i="15"/>
  <c r="I29" i="15" s="1"/>
  <c r="H29" i="15"/>
  <c r="J29" i="15"/>
  <c r="K29" i="15"/>
  <c r="G30" i="15"/>
  <c r="I30" i="15" s="1"/>
  <c r="H30" i="15"/>
  <c r="J30" i="15"/>
  <c r="L30" i="15" s="1"/>
  <c r="K30" i="15"/>
  <c r="G31" i="15"/>
  <c r="H31" i="15"/>
  <c r="J31" i="15"/>
  <c r="K31" i="15"/>
  <c r="G32" i="15"/>
  <c r="H32" i="15"/>
  <c r="J32" i="15"/>
  <c r="L32" i="15" s="1"/>
  <c r="K32" i="15"/>
  <c r="K3" i="15"/>
  <c r="J3" i="15"/>
  <c r="H3" i="15"/>
  <c r="G3" i="15"/>
  <c r="L22" i="15" l="1"/>
  <c r="L29" i="15"/>
  <c r="L21" i="15"/>
  <c r="L7" i="15"/>
  <c r="I31" i="15"/>
  <c r="I23" i="15"/>
  <c r="I21" i="15"/>
  <c r="I12" i="15"/>
  <c r="I4" i="15"/>
  <c r="I18" i="15"/>
  <c r="L11" i="15"/>
  <c r="G7" i="21"/>
  <c r="J17" i="21"/>
  <c r="J13" i="21"/>
  <c r="J11" i="21"/>
  <c r="G15" i="21"/>
  <c r="G18" i="21"/>
  <c r="G12" i="21"/>
  <c r="J14" i="21"/>
  <c r="G6" i="21"/>
  <c r="J7" i="21"/>
  <c r="J15" i="21"/>
  <c r="J9" i="21"/>
  <c r="J16" i="21"/>
  <c r="J4" i="21"/>
  <c r="G10" i="21"/>
  <c r="G17" i="21"/>
  <c r="J8" i="21"/>
  <c r="G16" i="21"/>
  <c r="G14" i="21"/>
  <c r="J19" i="21"/>
  <c r="J3" i="21"/>
  <c r="J5" i="21"/>
  <c r="G13" i="21"/>
  <c r="J18" i="21"/>
  <c r="G5" i="21"/>
  <c r="G4" i="21"/>
  <c r="G9" i="21"/>
  <c r="J10" i="21"/>
  <c r="G20" i="21"/>
  <c r="J6" i="21"/>
  <c r="G8" i="21"/>
  <c r="J12" i="21"/>
  <c r="G11" i="21"/>
  <c r="G3" i="21"/>
  <c r="G19" i="21"/>
  <c r="I7" i="20"/>
  <c r="I4" i="20"/>
  <c r="L8" i="20"/>
  <c r="L3" i="20"/>
  <c r="L6" i="20"/>
  <c r="L12" i="20"/>
  <c r="L14" i="20"/>
  <c r="L10" i="20"/>
  <c r="I9" i="20"/>
  <c r="L7" i="20"/>
  <c r="L9" i="20"/>
  <c r="I13" i="20"/>
  <c r="I8" i="20"/>
  <c r="I11" i="20"/>
  <c r="I3" i="20"/>
  <c r="I5" i="20"/>
  <c r="L5" i="20"/>
  <c r="I6" i="20"/>
  <c r="L11" i="20"/>
  <c r="L13" i="20"/>
  <c r="I14" i="20"/>
  <c r="I10" i="20"/>
  <c r="I12" i="20"/>
  <c r="I9" i="15"/>
  <c r="I32" i="15"/>
  <c r="I26" i="15"/>
  <c r="I16" i="15"/>
  <c r="I8" i="15"/>
  <c r="L26" i="15"/>
  <c r="I24" i="15"/>
  <c r="I3" i="15"/>
  <c r="I7" i="15"/>
  <c r="L12" i="15"/>
  <c r="I17" i="15"/>
  <c r="L18" i="15"/>
  <c r="L25" i="15"/>
  <c r="L9" i="15"/>
  <c r="L14" i="15"/>
  <c r="I6" i="15"/>
  <c r="L20" i="15"/>
  <c r="L10" i="15"/>
  <c r="I15" i="15"/>
  <c r="I13" i="15"/>
  <c r="I5" i="15"/>
  <c r="L27" i="15"/>
  <c r="I19" i="15"/>
  <c r="L4" i="15"/>
  <c r="I14" i="15"/>
  <c r="I20" i="15"/>
  <c r="I11" i="15"/>
  <c r="L28" i="15"/>
  <c r="L3" i="15"/>
  <c r="L17" i="15"/>
  <c r="L8" i="15"/>
  <c r="I28" i="15"/>
  <c r="L15" i="15"/>
  <c r="L6" i="15"/>
  <c r="I27" i="15"/>
  <c r="I25" i="15"/>
  <c r="AB3" i="12"/>
  <c r="AC3" i="12"/>
  <c r="AB4" i="12"/>
  <c r="AC5" i="12"/>
  <c r="AB6" i="12"/>
  <c r="AB7" i="12"/>
  <c r="AB10" i="12"/>
  <c r="AC10" i="12"/>
  <c r="AB11" i="12"/>
  <c r="AC11" i="12"/>
  <c r="AC13" i="12"/>
  <c r="AC15" i="12"/>
  <c r="AB16" i="12"/>
  <c r="AC16" i="12"/>
  <c r="AB17" i="12"/>
  <c r="AC17" i="12"/>
  <c r="AC2" i="12"/>
  <c r="AB2" i="12"/>
  <c r="Z3" i="12"/>
  <c r="AA3" i="12"/>
  <c r="Z4" i="12"/>
  <c r="AA5" i="12"/>
  <c r="Z6" i="12"/>
  <c r="AA6" i="12"/>
  <c r="AA9" i="12"/>
  <c r="Z10" i="12"/>
  <c r="AA10" i="12"/>
  <c r="Z11" i="12"/>
  <c r="AA11" i="12"/>
  <c r="AA12" i="12"/>
  <c r="AA13" i="12"/>
  <c r="Z16" i="12"/>
  <c r="AA16" i="12"/>
  <c r="Z17" i="12"/>
  <c r="AA17" i="12"/>
  <c r="Z18" i="12"/>
  <c r="AA18" i="12"/>
  <c r="Z19" i="12"/>
  <c r="AA2" i="12"/>
  <c r="Z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" i="12"/>
  <c r="N3" i="12"/>
  <c r="N4" i="12"/>
  <c r="N5" i="12"/>
  <c r="N6" i="12"/>
  <c r="N7" i="12"/>
  <c r="N8" i="12"/>
  <c r="N9" i="12"/>
  <c r="N10" i="12"/>
  <c r="N11" i="12"/>
  <c r="V11" i="12" s="1"/>
  <c r="N12" i="12"/>
  <c r="N13" i="12"/>
  <c r="N14" i="12"/>
  <c r="N15" i="12"/>
  <c r="W15" i="12" s="1"/>
  <c r="N16" i="12"/>
  <c r="N17" i="12"/>
  <c r="N18" i="12"/>
  <c r="W18" i="12" s="1"/>
  <c r="N19" i="12"/>
  <c r="N2" i="12"/>
  <c r="P2" i="12"/>
  <c r="F3" i="12"/>
  <c r="Y3" i="12" s="1"/>
  <c r="F4" i="12"/>
  <c r="W4" i="12" s="1"/>
  <c r="F5" i="12"/>
  <c r="F6" i="12"/>
  <c r="AC6" i="12" s="1"/>
  <c r="F7" i="12"/>
  <c r="AC7" i="12" s="1"/>
  <c r="F8" i="12"/>
  <c r="AC8" i="12" s="1"/>
  <c r="F9" i="12"/>
  <c r="AC9" i="12" s="1"/>
  <c r="F10" i="12"/>
  <c r="F11" i="12"/>
  <c r="Y11" i="12" s="1"/>
  <c r="F12" i="12"/>
  <c r="W12" i="12" s="1"/>
  <c r="F13" i="12"/>
  <c r="F14" i="12"/>
  <c r="Y14" i="12" s="1"/>
  <c r="F15" i="12"/>
  <c r="AA15" i="12" s="1"/>
  <c r="F16" i="12"/>
  <c r="F17" i="12"/>
  <c r="F18" i="12"/>
  <c r="AC18" i="12" s="1"/>
  <c r="F19" i="12"/>
  <c r="AA19" i="12" s="1"/>
  <c r="F2" i="12"/>
  <c r="W2" i="12" s="1"/>
  <c r="G3" i="12"/>
  <c r="G4" i="12"/>
  <c r="G5" i="12"/>
  <c r="V5" i="12" s="1"/>
  <c r="G6" i="12"/>
  <c r="G7" i="12"/>
  <c r="Z7" i="12" s="1"/>
  <c r="G8" i="12"/>
  <c r="AB8" i="12" s="1"/>
  <c r="G9" i="12"/>
  <c r="AB9" i="12" s="1"/>
  <c r="G10" i="12"/>
  <c r="G11" i="12"/>
  <c r="G12" i="12"/>
  <c r="AB12" i="12" s="1"/>
  <c r="G13" i="12"/>
  <c r="AB13" i="12" s="1"/>
  <c r="G14" i="12"/>
  <c r="AB14" i="12" s="1"/>
  <c r="G15" i="12"/>
  <c r="Z15" i="12" s="1"/>
  <c r="G16" i="12"/>
  <c r="G17" i="12"/>
  <c r="G18" i="12"/>
  <c r="AB18" i="12" s="1"/>
  <c r="G19" i="12"/>
  <c r="V19" i="12" s="1"/>
  <c r="Y7" i="12"/>
  <c r="Y8" i="12"/>
  <c r="Y15" i="12"/>
  <c r="Y16" i="12"/>
  <c r="V3" i="12"/>
  <c r="V4" i="12"/>
  <c r="V13" i="12"/>
  <c r="V16" i="12"/>
  <c r="V17" i="12"/>
  <c r="Y2" i="12"/>
  <c r="T9" i="12"/>
  <c r="T15" i="12"/>
  <c r="T7" i="12"/>
  <c r="T14" i="12"/>
  <c r="T8" i="12"/>
  <c r="T5" i="12"/>
  <c r="T6" i="12"/>
  <c r="AA14" i="12" l="1"/>
  <c r="AC14" i="12"/>
  <c r="Z14" i="12"/>
  <c r="V12" i="12"/>
  <c r="Z12" i="12"/>
  <c r="AC12" i="12"/>
  <c r="Y6" i="12"/>
  <c r="AA8" i="12"/>
  <c r="Z8" i="12"/>
  <c r="AC4" i="12"/>
  <c r="AA4" i="12"/>
  <c r="AB19" i="12"/>
  <c r="Y19" i="12"/>
  <c r="AC19" i="12"/>
  <c r="V15" i="12"/>
  <c r="AB15" i="12"/>
  <c r="Z13" i="12"/>
  <c r="Z9" i="12"/>
  <c r="AA7" i="12"/>
  <c r="W7" i="12"/>
  <c r="AB5" i="12"/>
  <c r="Z5" i="12"/>
  <c r="W9" i="12"/>
  <c r="V9" i="12"/>
  <c r="W17" i="12"/>
  <c r="W8" i="12"/>
  <c r="W10" i="12"/>
  <c r="W16" i="12"/>
  <c r="V8" i="12"/>
  <c r="V7" i="12"/>
  <c r="W13" i="12"/>
  <c r="W5" i="12"/>
  <c r="Y13" i="12"/>
  <c r="Y5" i="12"/>
  <c r="W19" i="12"/>
  <c r="W11" i="12"/>
  <c r="W3" i="12"/>
  <c r="Y12" i="12"/>
  <c r="Y4" i="12"/>
  <c r="Y18" i="12"/>
  <c r="Y10" i="12"/>
  <c r="Y17" i="12"/>
  <c r="Y9" i="12"/>
  <c r="V14" i="12"/>
  <c r="V6" i="12"/>
  <c r="V18" i="12"/>
  <c r="V10" i="12"/>
  <c r="W14" i="12"/>
  <c r="W6" i="12"/>
  <c r="U9" i="12"/>
  <c r="U15" i="12"/>
  <c r="X8" i="12"/>
  <c r="X7" i="12"/>
  <c r="U14" i="12"/>
  <c r="X14" i="12"/>
  <c r="X15" i="12"/>
  <c r="U8" i="12"/>
  <c r="X9" i="12"/>
  <c r="X6" i="12"/>
  <c r="U7" i="12"/>
  <c r="U6" i="12"/>
  <c r="U19" i="13" l="1"/>
  <c r="U20" i="13"/>
  <c r="U21" i="13"/>
  <c r="U22" i="13"/>
  <c r="U27" i="13"/>
  <c r="U28" i="13"/>
  <c r="U29" i="13"/>
  <c r="U30" i="13"/>
  <c r="T19" i="13"/>
  <c r="T21" i="13"/>
  <c r="T27" i="13"/>
  <c r="T29" i="13"/>
  <c r="S19" i="13"/>
  <c r="S20" i="13"/>
  <c r="S27" i="13"/>
  <c r="S28" i="13"/>
  <c r="R19" i="13"/>
  <c r="R27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M15" i="13"/>
  <c r="U15" i="13" s="1"/>
  <c r="M16" i="13"/>
  <c r="T16" i="13" s="1"/>
  <c r="M17" i="13"/>
  <c r="U17" i="13" s="1"/>
  <c r="M18" i="13"/>
  <c r="U18" i="13" s="1"/>
  <c r="M19" i="13"/>
  <c r="M20" i="13"/>
  <c r="T20" i="13" s="1"/>
  <c r="M21" i="13"/>
  <c r="M22" i="13"/>
  <c r="T22" i="13" s="1"/>
  <c r="M23" i="13"/>
  <c r="U23" i="13" s="1"/>
  <c r="M24" i="13"/>
  <c r="U24" i="13" s="1"/>
  <c r="M25" i="13"/>
  <c r="U25" i="13" s="1"/>
  <c r="M26" i="13"/>
  <c r="U26" i="13" s="1"/>
  <c r="M27" i="13"/>
  <c r="M28" i="13"/>
  <c r="T28" i="13" s="1"/>
  <c r="M29" i="13"/>
  <c r="M30" i="13"/>
  <c r="T30" i="13" s="1"/>
  <c r="M31" i="13"/>
  <c r="U31" i="13" s="1"/>
  <c r="L15" i="13"/>
  <c r="S15" i="13" s="1"/>
  <c r="L16" i="13"/>
  <c r="S16" i="13" s="1"/>
  <c r="L17" i="13"/>
  <c r="S17" i="13" s="1"/>
  <c r="L18" i="13"/>
  <c r="S18" i="13" s="1"/>
  <c r="L19" i="13"/>
  <c r="L20" i="13"/>
  <c r="R20" i="13" s="1"/>
  <c r="L21" i="13"/>
  <c r="S21" i="13" s="1"/>
  <c r="L22" i="13"/>
  <c r="S22" i="13" s="1"/>
  <c r="L23" i="13"/>
  <c r="S23" i="13" s="1"/>
  <c r="L24" i="13"/>
  <c r="S24" i="13" s="1"/>
  <c r="L25" i="13"/>
  <c r="S25" i="13" s="1"/>
  <c r="L26" i="13"/>
  <c r="S26" i="13" s="1"/>
  <c r="L27" i="13"/>
  <c r="L28" i="13"/>
  <c r="R28" i="13" s="1"/>
  <c r="L29" i="13"/>
  <c r="S29" i="13" s="1"/>
  <c r="L30" i="13"/>
  <c r="R30" i="13" s="1"/>
  <c r="L31" i="13"/>
  <c r="S31" i="13" s="1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2" i="13"/>
  <c r="L3" i="13"/>
  <c r="L4" i="13"/>
  <c r="L5" i="13"/>
  <c r="L6" i="13"/>
  <c r="L7" i="13"/>
  <c r="L8" i="13"/>
  <c r="L9" i="13"/>
  <c r="L10" i="13"/>
  <c r="L11" i="13"/>
  <c r="L12" i="13"/>
  <c r="L13" i="13"/>
  <c r="L14" i="13"/>
  <c r="L2" i="13"/>
  <c r="M3" i="13"/>
  <c r="M4" i="13"/>
  <c r="M5" i="13"/>
  <c r="M6" i="13"/>
  <c r="M7" i="13"/>
  <c r="M8" i="13"/>
  <c r="M9" i="13"/>
  <c r="M10" i="13"/>
  <c r="M11" i="13"/>
  <c r="M12" i="13"/>
  <c r="M13" i="13"/>
  <c r="M14" i="13"/>
  <c r="M2" i="13"/>
  <c r="T26" i="13" l="1"/>
  <c r="T18" i="13"/>
  <c r="T25" i="13"/>
  <c r="T24" i="13"/>
  <c r="T31" i="13"/>
  <c r="T23" i="13"/>
  <c r="T15" i="13"/>
  <c r="U16" i="13"/>
  <c r="T17" i="13"/>
  <c r="R26" i="13"/>
  <c r="R18" i="13"/>
  <c r="R25" i="13"/>
  <c r="R17" i="13"/>
  <c r="R24" i="13"/>
  <c r="R16" i="13"/>
  <c r="R31" i="13"/>
  <c r="R23" i="13"/>
  <c r="R15" i="13"/>
  <c r="R22" i="13"/>
  <c r="R29" i="13"/>
  <c r="R21" i="13"/>
  <c r="S30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U13" i="13"/>
  <c r="U12" i="13"/>
  <c r="U11" i="13"/>
  <c r="U10" i="13"/>
  <c r="U9" i="13"/>
  <c r="U8" i="13"/>
  <c r="U7" i="13"/>
  <c r="U6" i="13"/>
  <c r="U5" i="13"/>
  <c r="U4" i="13"/>
  <c r="U3" i="13"/>
  <c r="H2" i="13"/>
  <c r="U2" i="13" s="1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U14" i="13"/>
  <c r="S12" i="13" l="1"/>
  <c r="S8" i="13"/>
  <c r="S4" i="13"/>
  <c r="R7" i="13"/>
  <c r="S13" i="13"/>
  <c r="S5" i="13"/>
  <c r="R9" i="13"/>
  <c r="R12" i="13"/>
  <c r="S10" i="13"/>
  <c r="R8" i="13"/>
  <c r="R14" i="13"/>
  <c r="R6" i="13"/>
  <c r="R11" i="13"/>
  <c r="R3" i="13"/>
  <c r="Q3" i="13"/>
  <c r="R10" i="13"/>
  <c r="R2" i="13"/>
  <c r="R4" i="13"/>
  <c r="S9" i="13"/>
  <c r="S7" i="13"/>
  <c r="S2" i="13"/>
  <c r="S14" i="13"/>
  <c r="R13" i="13"/>
  <c r="R5" i="13"/>
  <c r="S11" i="13"/>
  <c r="S3" i="13"/>
  <c r="S6" i="13"/>
  <c r="Q4" i="13"/>
  <c r="Q14" i="13"/>
  <c r="Q8" i="13"/>
  <c r="Q7" i="13"/>
  <c r="Q6" i="13"/>
  <c r="Q12" i="13"/>
  <c r="Q11" i="13"/>
  <c r="Q10" i="13"/>
  <c r="Q13" i="13"/>
  <c r="Q5" i="13"/>
  <c r="Q2" i="13"/>
  <c r="Q9" i="13"/>
  <c r="T19" i="12"/>
  <c r="T18" i="12"/>
  <c r="T17" i="12"/>
  <c r="T16" i="12"/>
  <c r="T13" i="12"/>
  <c r="T12" i="12"/>
  <c r="U12" i="12"/>
  <c r="T11" i="12"/>
  <c r="T10" i="12"/>
  <c r="T3" i="12"/>
  <c r="T2" i="12"/>
  <c r="G2" i="12"/>
  <c r="T4" i="12"/>
  <c r="U16" i="12" l="1"/>
  <c r="X5" i="12"/>
  <c r="X19" i="12"/>
  <c r="X11" i="12"/>
  <c r="U11" i="12"/>
  <c r="X13" i="12"/>
  <c r="U13" i="12"/>
  <c r="X16" i="12"/>
  <c r="U18" i="12"/>
  <c r="X17" i="12"/>
  <c r="U17" i="12"/>
  <c r="U19" i="12"/>
  <c r="X10" i="12"/>
  <c r="X18" i="12"/>
  <c r="U10" i="12"/>
  <c r="X12" i="12"/>
  <c r="X2" i="12"/>
  <c r="V2" i="12"/>
  <c r="X3" i="12"/>
  <c r="U4" i="12"/>
  <c r="U5" i="12"/>
  <c r="X4" i="12" l="1"/>
  <c r="U2" i="12"/>
  <c r="U3" i="12"/>
  <c r="W27" i="1" l="1"/>
  <c r="X27" i="1" s="1"/>
  <c r="AG27" i="1" s="1"/>
  <c r="AB27" i="1"/>
  <c r="W69" i="1"/>
  <c r="W68" i="1"/>
  <c r="AD68" i="1" s="1"/>
  <c r="AE68" i="1" s="1"/>
  <c r="W67" i="1"/>
  <c r="AD67" i="1" s="1"/>
  <c r="AE67" i="1" s="1"/>
  <c r="W66" i="1"/>
  <c r="AD66" i="1" s="1"/>
  <c r="AE66" i="1" s="1"/>
  <c r="W65" i="1"/>
  <c r="X65" i="1" s="1"/>
  <c r="W64" i="1"/>
  <c r="X64" i="1" s="1"/>
  <c r="W63" i="1"/>
  <c r="W62" i="1"/>
  <c r="W61" i="1"/>
  <c r="AD61" i="1" s="1"/>
  <c r="AE61" i="1" s="1"/>
  <c r="W60" i="1"/>
  <c r="AD60" i="1" s="1"/>
  <c r="AE60" i="1" s="1"/>
  <c r="W59" i="1"/>
  <c r="AD59" i="1" s="1"/>
  <c r="AE59" i="1" s="1"/>
  <c r="W58" i="1"/>
  <c r="AD58" i="1" s="1"/>
  <c r="AE58" i="1" s="1"/>
  <c r="W57" i="1"/>
  <c r="X57" i="1" s="1"/>
  <c r="W56" i="1"/>
  <c r="X56" i="1" s="1"/>
  <c r="W55" i="1"/>
  <c r="X55" i="1" s="1"/>
  <c r="W54" i="1"/>
  <c r="W53" i="1"/>
  <c r="AD53" i="1" s="1"/>
  <c r="AE53" i="1" s="1"/>
  <c r="W52" i="1"/>
  <c r="AD52" i="1" s="1"/>
  <c r="AE52" i="1" s="1"/>
  <c r="W51" i="1"/>
  <c r="AD51" i="1" s="1"/>
  <c r="AE51" i="1" s="1"/>
  <c r="W50" i="1"/>
  <c r="X50" i="1" s="1"/>
  <c r="W49" i="1"/>
  <c r="AD49" i="1" s="1"/>
  <c r="AE49" i="1" s="1"/>
  <c r="W48" i="1"/>
  <c r="X48" i="1" s="1"/>
  <c r="W47" i="1"/>
  <c r="AD47" i="1" s="1"/>
  <c r="AE47" i="1" s="1"/>
  <c r="W46" i="1"/>
  <c r="W45" i="1"/>
  <c r="AD45" i="1" s="1"/>
  <c r="AE45" i="1" s="1"/>
  <c r="W44" i="1"/>
  <c r="AD44" i="1" s="1"/>
  <c r="AE44" i="1" s="1"/>
  <c r="W43" i="1"/>
  <c r="AD43" i="1" s="1"/>
  <c r="AE43" i="1" s="1"/>
  <c r="W42" i="1"/>
  <c r="AD42" i="1" s="1"/>
  <c r="AE42" i="1" s="1"/>
  <c r="W41" i="1"/>
  <c r="X41" i="1" s="1"/>
  <c r="W40" i="1"/>
  <c r="X40" i="1" s="1"/>
  <c r="W39" i="1"/>
  <c r="AD39" i="1" s="1"/>
  <c r="AE39" i="1" s="1"/>
  <c r="W38" i="1"/>
  <c r="W37" i="1"/>
  <c r="X37" i="1" s="1"/>
  <c r="W36" i="1"/>
  <c r="AD36" i="1" s="1"/>
  <c r="AE36" i="1" s="1"/>
  <c r="W35" i="1"/>
  <c r="AD35" i="1" s="1"/>
  <c r="AE35" i="1" s="1"/>
  <c r="W34" i="1"/>
  <c r="AD34" i="1" s="1"/>
  <c r="AE34" i="1" s="1"/>
  <c r="W33" i="1"/>
  <c r="X33" i="1" s="1"/>
  <c r="W32" i="1"/>
  <c r="X32" i="1" s="1"/>
  <c r="W31" i="1"/>
  <c r="AD31" i="1" s="1"/>
  <c r="AE31" i="1" s="1"/>
  <c r="W30" i="1"/>
  <c r="W29" i="1"/>
  <c r="AD29" i="1" s="1"/>
  <c r="AE29" i="1" s="1"/>
  <c r="W28" i="1"/>
  <c r="AD28" i="1" s="1"/>
  <c r="AE28" i="1" s="1"/>
  <c r="W26" i="1"/>
  <c r="AD26" i="1" s="1"/>
  <c r="AE26" i="1" s="1"/>
  <c r="W25" i="1"/>
  <c r="AD25" i="1" s="1"/>
  <c r="AE25" i="1" s="1"/>
  <c r="W24" i="1"/>
  <c r="AD24" i="1" s="1"/>
  <c r="AE24" i="1" s="1"/>
  <c r="W23" i="1"/>
  <c r="X23" i="1" s="1"/>
  <c r="W22" i="1"/>
  <c r="AD22" i="1" s="1"/>
  <c r="AE22" i="1" s="1"/>
  <c r="AB69" i="1"/>
  <c r="AD69" i="1"/>
  <c r="AE69" i="1" s="1"/>
  <c r="AB68" i="1"/>
  <c r="AB67" i="1"/>
  <c r="AB66" i="1"/>
  <c r="AB65" i="1"/>
  <c r="AB64" i="1"/>
  <c r="AB63" i="1"/>
  <c r="AD63" i="1"/>
  <c r="AE63" i="1" s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D50" i="1"/>
  <c r="AE50" i="1" s="1"/>
  <c r="AB49" i="1"/>
  <c r="AB48" i="1"/>
  <c r="AB47" i="1"/>
  <c r="AB46" i="1"/>
  <c r="AB45" i="1"/>
  <c r="AB44" i="1"/>
  <c r="AB43" i="1"/>
  <c r="AB42" i="1"/>
  <c r="AB41" i="1"/>
  <c r="AD40" i="1"/>
  <c r="AE40" i="1" s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6" i="1"/>
  <c r="AB25" i="1"/>
  <c r="AB24" i="1"/>
  <c r="AB23" i="1"/>
  <c r="AB22" i="1"/>
  <c r="L17" i="1"/>
  <c r="L18" i="1"/>
  <c r="I17" i="1"/>
  <c r="I18" i="1"/>
  <c r="F17" i="1"/>
  <c r="F18" i="1"/>
  <c r="AD27" i="1" l="1"/>
  <c r="AE27" i="1" s="1"/>
  <c r="AF27" i="1" s="1"/>
  <c r="N17" i="1"/>
  <c r="AD33" i="1"/>
  <c r="AE33" i="1" s="1"/>
  <c r="AF33" i="1" s="1"/>
  <c r="X25" i="1"/>
  <c r="AG25" i="1" s="1"/>
  <c r="M17" i="1"/>
  <c r="X49" i="1"/>
  <c r="AG49" i="1" s="1"/>
  <c r="AG65" i="1"/>
  <c r="AG57" i="1"/>
  <c r="AG50" i="1"/>
  <c r="AG41" i="1"/>
  <c r="AG33" i="1"/>
  <c r="AD56" i="1"/>
  <c r="AE56" i="1" s="1"/>
  <c r="AF56" i="1" s="1"/>
  <c r="X47" i="1"/>
  <c r="AG47" i="1" s="1"/>
  <c r="AF25" i="1"/>
  <c r="AG56" i="1"/>
  <c r="AD23" i="1"/>
  <c r="AE23" i="1" s="1"/>
  <c r="AF23" i="1" s="1"/>
  <c r="X24" i="1"/>
  <c r="AG24" i="1" s="1"/>
  <c r="X39" i="1"/>
  <c r="AG39" i="1" s="1"/>
  <c r="AD64" i="1"/>
  <c r="AE64" i="1" s="1"/>
  <c r="AF64" i="1" s="1"/>
  <c r="AD65" i="1"/>
  <c r="AE65" i="1" s="1"/>
  <c r="AF65" i="1" s="1"/>
  <c r="X66" i="1"/>
  <c r="AG66" i="1" s="1"/>
  <c r="X58" i="1"/>
  <c r="AG58" i="1" s="1"/>
  <c r="X63" i="1"/>
  <c r="AF63" i="1" s="1"/>
  <c r="AD55" i="1"/>
  <c r="AE55" i="1" s="1"/>
  <c r="AF55" i="1" s="1"/>
  <c r="AD57" i="1"/>
  <c r="AE57" i="1" s="1"/>
  <c r="AF57" i="1" s="1"/>
  <c r="AF50" i="1"/>
  <c r="AD48" i="1"/>
  <c r="AE48" i="1" s="1"/>
  <c r="AF48" i="1" s="1"/>
  <c r="AD41" i="1"/>
  <c r="AE41" i="1" s="1"/>
  <c r="AF41" i="1" s="1"/>
  <c r="X42" i="1"/>
  <c r="AG42" i="1" s="1"/>
  <c r="X34" i="1"/>
  <c r="AG34" i="1" s="1"/>
  <c r="X31" i="1"/>
  <c r="AF31" i="1" s="1"/>
  <c r="AD32" i="1"/>
  <c r="AE32" i="1" s="1"/>
  <c r="AF32" i="1" s="1"/>
  <c r="X26" i="1"/>
  <c r="AG26" i="1" s="1"/>
  <c r="AG32" i="1"/>
  <c r="AG55" i="1"/>
  <c r="AD30" i="1"/>
  <c r="AE30" i="1" s="1"/>
  <c r="X30" i="1"/>
  <c r="AG30" i="1" s="1"/>
  <c r="AG37" i="1"/>
  <c r="AG40" i="1"/>
  <c r="X38" i="1"/>
  <c r="AG38" i="1" s="1"/>
  <c r="AD38" i="1"/>
  <c r="AE38" i="1" s="1"/>
  <c r="AF40" i="1"/>
  <c r="AG48" i="1"/>
  <c r="X22" i="1"/>
  <c r="AF22" i="1" s="1"/>
  <c r="X46" i="1"/>
  <c r="AG46" i="1" s="1"/>
  <c r="AD46" i="1"/>
  <c r="AE46" i="1" s="1"/>
  <c r="AG23" i="1"/>
  <c r="X54" i="1"/>
  <c r="AG54" i="1" s="1"/>
  <c r="AD54" i="1"/>
  <c r="AE54" i="1" s="1"/>
  <c r="AG64" i="1"/>
  <c r="X62" i="1"/>
  <c r="AG62" i="1" s="1"/>
  <c r="AD62" i="1"/>
  <c r="AE62" i="1" s="1"/>
  <c r="X29" i="1"/>
  <c r="AG29" i="1" s="1"/>
  <c r="X45" i="1"/>
  <c r="AF45" i="1" s="1"/>
  <c r="X53" i="1"/>
  <c r="AF53" i="1" s="1"/>
  <c r="X61" i="1"/>
  <c r="AG61" i="1" s="1"/>
  <c r="X69" i="1"/>
  <c r="AG69" i="1" s="1"/>
  <c r="X28" i="1"/>
  <c r="AG28" i="1" s="1"/>
  <c r="X36" i="1"/>
  <c r="AG36" i="1" s="1"/>
  <c r="X44" i="1"/>
  <c r="AG44" i="1" s="1"/>
  <c r="X52" i="1"/>
  <c r="AG52" i="1" s="1"/>
  <c r="X60" i="1"/>
  <c r="AG60" i="1" s="1"/>
  <c r="X68" i="1"/>
  <c r="AG68" i="1" s="1"/>
  <c r="X35" i="1"/>
  <c r="AD37" i="1"/>
  <c r="AE37" i="1" s="1"/>
  <c r="AF37" i="1" s="1"/>
  <c r="X43" i="1"/>
  <c r="AG43" i="1" s="1"/>
  <c r="X51" i="1"/>
  <c r="X59" i="1"/>
  <c r="X67" i="1"/>
  <c r="AG67" i="1" s="1"/>
  <c r="M18" i="1"/>
  <c r="N18" i="1"/>
  <c r="AF47" i="1" l="1"/>
  <c r="AG45" i="1"/>
  <c r="AG22" i="1"/>
  <c r="AF49" i="1"/>
  <c r="AF29" i="1"/>
  <c r="AF62" i="1"/>
  <c r="AF54" i="1"/>
  <c r="AF44" i="1"/>
  <c r="AF39" i="1"/>
  <c r="AF24" i="1"/>
  <c r="AG31" i="1"/>
  <c r="AF60" i="1"/>
  <c r="AF69" i="1"/>
  <c r="AF34" i="1"/>
  <c r="AF66" i="1"/>
  <c r="AG63" i="1"/>
  <c r="AF58" i="1"/>
  <c r="AF52" i="1"/>
  <c r="AF42" i="1"/>
  <c r="AF26" i="1"/>
  <c r="AF61" i="1"/>
  <c r="AG53" i="1"/>
  <c r="AF68" i="1"/>
  <c r="AF30" i="1"/>
  <c r="AG35" i="1"/>
  <c r="AF35" i="1"/>
  <c r="AF46" i="1"/>
  <c r="AF36" i="1"/>
  <c r="AG59" i="1"/>
  <c r="AF59" i="1"/>
  <c r="AF28" i="1"/>
  <c r="AF38" i="1"/>
  <c r="AF43" i="1"/>
  <c r="AG51" i="1"/>
  <c r="AF51" i="1"/>
  <c r="AF67" i="1"/>
  <c r="L16" i="1" l="1"/>
  <c r="I16" i="1"/>
  <c r="F16" i="1"/>
  <c r="L15" i="1"/>
  <c r="I15" i="1"/>
  <c r="F15" i="1"/>
  <c r="L14" i="1"/>
  <c r="I14" i="1"/>
  <c r="F14" i="1"/>
  <c r="L13" i="1"/>
  <c r="I13" i="1"/>
  <c r="F13" i="1"/>
  <c r="L12" i="1"/>
  <c r="I12" i="1"/>
  <c r="F12" i="1"/>
  <c r="L11" i="1"/>
  <c r="I11" i="1"/>
  <c r="F11" i="1"/>
  <c r="L10" i="1"/>
  <c r="I10" i="1"/>
  <c r="F10" i="1"/>
  <c r="L9" i="1"/>
  <c r="I9" i="1"/>
  <c r="F9" i="1"/>
  <c r="L8" i="1"/>
  <c r="I8" i="1"/>
  <c r="F8" i="1"/>
  <c r="L7" i="1"/>
  <c r="I7" i="1"/>
  <c r="F7" i="1"/>
  <c r="L6" i="1"/>
  <c r="I6" i="1"/>
  <c r="F6" i="1"/>
  <c r="L5" i="1"/>
  <c r="I5" i="1"/>
  <c r="F5" i="1"/>
  <c r="L4" i="1"/>
  <c r="I4" i="1"/>
  <c r="F4" i="1"/>
  <c r="L3" i="1"/>
  <c r="I3" i="1"/>
  <c r="F3" i="1"/>
  <c r="N5" i="1" l="1"/>
  <c r="N14" i="1"/>
  <c r="N7" i="1"/>
  <c r="N15" i="1"/>
  <c r="N4" i="1"/>
  <c r="N12" i="1"/>
  <c r="M9" i="1"/>
  <c r="M15" i="1"/>
  <c r="N13" i="1"/>
  <c r="M13" i="1"/>
  <c r="N11" i="1"/>
  <c r="M11" i="1"/>
  <c r="N9" i="1"/>
  <c r="M7" i="1"/>
  <c r="M5" i="1"/>
  <c r="N3" i="1"/>
  <c r="M3" i="1"/>
  <c r="N16" i="1"/>
  <c r="M16" i="1"/>
  <c r="N10" i="1"/>
  <c r="N8" i="1"/>
  <c r="N6" i="1"/>
  <c r="M6" i="1"/>
  <c r="M4" i="1"/>
  <c r="M14" i="1"/>
  <c r="M12" i="1"/>
  <c r="M10" i="1"/>
  <c r="M8" i="1"/>
  <c r="F104" i="1"/>
  <c r="G104" i="1" s="1"/>
  <c r="M104" i="1" s="1"/>
  <c r="N104" i="1" s="1"/>
  <c r="F105" i="1"/>
  <c r="G105" i="1" s="1"/>
  <c r="M105" i="1" s="1"/>
  <c r="N105" i="1" s="1"/>
  <c r="F106" i="1"/>
  <c r="G106" i="1" s="1"/>
  <c r="M106" i="1" s="1"/>
  <c r="N106" i="1" s="1"/>
  <c r="F107" i="1"/>
  <c r="G107" i="1" s="1"/>
  <c r="M107" i="1" s="1"/>
  <c r="N107" i="1" s="1"/>
  <c r="F108" i="1"/>
  <c r="G108" i="1" s="1"/>
  <c r="M108" i="1" s="1"/>
  <c r="N108" i="1" s="1"/>
  <c r="F109" i="1"/>
  <c r="G109" i="1" s="1"/>
  <c r="M109" i="1" s="1"/>
  <c r="N109" i="1" s="1"/>
  <c r="D104" i="1"/>
  <c r="J104" i="1" s="1"/>
  <c r="J105" i="1"/>
  <c r="J109" i="1"/>
  <c r="D103" i="1"/>
  <c r="J103" i="1" s="1"/>
  <c r="K106" i="1"/>
  <c r="K107" i="1"/>
  <c r="K108" i="1"/>
  <c r="J106" i="1"/>
  <c r="J107" i="1"/>
  <c r="J108" i="1"/>
  <c r="E103" i="1"/>
  <c r="F103" i="1" s="1"/>
  <c r="G103" i="1" s="1"/>
  <c r="M103" i="1" s="1"/>
  <c r="N103" i="1" s="1"/>
  <c r="G84" i="1"/>
  <c r="H84" i="1" s="1"/>
  <c r="F85" i="1"/>
  <c r="G85" i="1" s="1"/>
  <c r="H85" i="1" s="1"/>
  <c r="F86" i="1"/>
  <c r="G86" i="1" s="1"/>
  <c r="H86" i="1" s="1"/>
  <c r="F87" i="1"/>
  <c r="G87" i="1" s="1"/>
  <c r="H87" i="1" s="1"/>
  <c r="F88" i="1"/>
  <c r="G88" i="1" s="1"/>
  <c r="H88" i="1" s="1"/>
  <c r="F89" i="1"/>
  <c r="G89" i="1" s="1"/>
  <c r="H89" i="1" s="1"/>
  <c r="F90" i="1"/>
  <c r="G90" i="1" s="1"/>
  <c r="H90" i="1" s="1"/>
  <c r="F84" i="1"/>
  <c r="O109" i="1" l="1"/>
  <c r="O105" i="1"/>
  <c r="O108" i="1"/>
  <c r="O107" i="1"/>
  <c r="O104" i="1"/>
  <c r="O106" i="1"/>
  <c r="K104" i="1"/>
  <c r="O103" i="1"/>
  <c r="K105" i="1"/>
  <c r="K109" i="1"/>
  <c r="K103" i="1"/>
</calcChain>
</file>

<file path=xl/sharedStrings.xml><?xml version="1.0" encoding="utf-8"?>
<sst xmlns="http://schemas.openxmlformats.org/spreadsheetml/2006/main" count="370" uniqueCount="149">
  <si>
    <t>Q460</t>
    <phoneticPr fontId="2" type="noConversion"/>
  </si>
  <si>
    <t>Q550</t>
  </si>
  <si>
    <t>Q690</t>
  </si>
  <si>
    <t>Q890</t>
  </si>
  <si>
    <t>ER69</t>
  </si>
  <si>
    <t>ER83</t>
  </si>
  <si>
    <t>E50</t>
  </si>
  <si>
    <t>母材</t>
    <phoneticPr fontId="2" type="noConversion"/>
  </si>
  <si>
    <t>焊材</t>
    <phoneticPr fontId="2" type="noConversion"/>
  </si>
  <si>
    <t>焊缝金属强度Mpa</t>
    <phoneticPr fontId="2" type="noConversion"/>
  </si>
  <si>
    <t xml:space="preserve">焊脚尺寸mm </t>
    <phoneticPr fontId="2" type="noConversion"/>
  </si>
  <si>
    <t>有效计算长度mm</t>
    <phoneticPr fontId="2" type="noConversion"/>
  </si>
  <si>
    <t>焊件厚度mm</t>
    <phoneticPr fontId="2" type="noConversion"/>
  </si>
  <si>
    <t>母材承载力kN</t>
    <phoneticPr fontId="2" type="noConversion"/>
  </si>
  <si>
    <t>母材强度Mpa</t>
    <phoneticPr fontId="2" type="noConversion"/>
  </si>
  <si>
    <t>侧面角焊缝承载力kN</t>
    <phoneticPr fontId="2" type="noConversion"/>
  </si>
  <si>
    <t>三面焊有效长度mm</t>
    <phoneticPr fontId="2" type="noConversion"/>
  </si>
  <si>
    <t xml:space="preserve">三面焊焊脚尺寸mm </t>
    <phoneticPr fontId="2" type="noConversion"/>
  </si>
  <si>
    <t>设计破坏处承载力kN</t>
    <phoneticPr fontId="2" type="noConversion"/>
  </si>
  <si>
    <t xml:space="preserve">加强部位焊脚尺寸mm </t>
    <phoneticPr fontId="2" type="noConversion"/>
  </si>
  <si>
    <t>加强部位焊缝有效长度mm</t>
    <phoneticPr fontId="2" type="noConversion"/>
  </si>
  <si>
    <t>对接焊缝抗剪试验</t>
    <phoneticPr fontId="2" type="noConversion"/>
  </si>
  <si>
    <t>t</t>
  </si>
  <si>
    <t>Q460</t>
  </si>
  <si>
    <t>E55</t>
  </si>
  <si>
    <t>E69</t>
  </si>
  <si>
    <t>E83</t>
  </si>
  <si>
    <t>Q460</t>
    <phoneticPr fontId="2" type="noConversion"/>
  </si>
  <si>
    <t>Q550</t>
    <phoneticPr fontId="2" type="noConversion"/>
  </si>
  <si>
    <t>Q690</t>
    <phoneticPr fontId="2" type="noConversion"/>
  </si>
  <si>
    <t>Q890</t>
    <phoneticPr fontId="2" type="noConversion"/>
  </si>
  <si>
    <t>E50</t>
    <phoneticPr fontId="2" type="noConversion"/>
  </si>
  <si>
    <t>E55</t>
    <phoneticPr fontId="2" type="noConversion"/>
  </si>
  <si>
    <t>E69</t>
    <phoneticPr fontId="2" type="noConversion"/>
  </si>
  <si>
    <t>E83</t>
    <phoneticPr fontId="2" type="noConversion"/>
  </si>
  <si>
    <t>尺寸选择</t>
    <phoneticPr fontId="2" type="noConversion"/>
  </si>
  <si>
    <t>L2（mm）</t>
    <phoneticPr fontId="2" type="noConversion"/>
  </si>
  <si>
    <t>L1（mm)</t>
    <phoneticPr fontId="2" type="noConversion"/>
  </si>
  <si>
    <t>E50</t>
    <phoneticPr fontId="2" type="noConversion"/>
  </si>
  <si>
    <t xml:space="preserve">E55 </t>
    <phoneticPr fontId="2" type="noConversion"/>
  </si>
  <si>
    <t>Q550</t>
    <phoneticPr fontId="2" type="noConversion"/>
  </si>
  <si>
    <t xml:space="preserve">E55 </t>
    <phoneticPr fontId="2" type="noConversion"/>
  </si>
  <si>
    <t>E69</t>
    <phoneticPr fontId="2" type="noConversion"/>
  </si>
  <si>
    <t>E69</t>
    <phoneticPr fontId="2" type="noConversion"/>
  </si>
  <si>
    <t>E83</t>
    <phoneticPr fontId="2" type="noConversion"/>
  </si>
  <si>
    <t>Q890</t>
    <phoneticPr fontId="2" type="noConversion"/>
  </si>
  <si>
    <t>Q690</t>
    <phoneticPr fontId="2" type="noConversion"/>
  </si>
  <si>
    <t>钢板屈服强度</t>
    <phoneticPr fontId="2" type="noConversion"/>
  </si>
  <si>
    <t>钢板设计强度</t>
    <phoneticPr fontId="2" type="noConversion"/>
  </si>
  <si>
    <t>焊缝标准强度</t>
    <phoneticPr fontId="2" type="noConversion"/>
  </si>
  <si>
    <t>焊缝极限强度</t>
    <phoneticPr fontId="2" type="noConversion"/>
  </si>
  <si>
    <t>焊缝剪切强度</t>
    <phoneticPr fontId="2" type="noConversion"/>
  </si>
  <si>
    <t>A钢板宽度</t>
    <phoneticPr fontId="2" type="noConversion"/>
  </si>
  <si>
    <t>A钢板不屈服临界拉力kN</t>
    <phoneticPr fontId="2" type="noConversion"/>
  </si>
  <si>
    <t>B钢板不屈服临界拉力kN</t>
    <phoneticPr fontId="2" type="noConversion"/>
  </si>
  <si>
    <t>一侧焊缝剪力kN</t>
    <phoneticPr fontId="2" type="noConversion"/>
  </si>
  <si>
    <t>焊缝长度</t>
    <phoneticPr fontId="2" type="noConversion"/>
  </si>
  <si>
    <t>两侧焊缝剪力kN</t>
    <phoneticPr fontId="2" type="noConversion"/>
  </si>
  <si>
    <t>B钢板宽度</t>
    <phoneticPr fontId="2" type="noConversion"/>
  </si>
  <si>
    <t>母材强度（不屈服）Mpa</t>
    <phoneticPr fontId="2" type="noConversion"/>
  </si>
  <si>
    <t>钢材实测材性数据（10mm）</t>
    <phoneticPr fontId="2" type="noConversion"/>
  </si>
  <si>
    <t>屈服强度</t>
    <phoneticPr fontId="2" type="noConversion"/>
  </si>
  <si>
    <t>极限强度</t>
    <phoneticPr fontId="2" type="noConversion"/>
  </si>
  <si>
    <t>伸长率</t>
    <phoneticPr fontId="2" type="noConversion"/>
  </si>
  <si>
    <t>ER55-1</t>
    <phoneticPr fontId="2" type="noConversion"/>
  </si>
  <si>
    <t>ER76-1</t>
    <phoneticPr fontId="2" type="noConversion"/>
  </si>
  <si>
    <t>ER110S-G</t>
    <phoneticPr fontId="2" type="noConversion"/>
  </si>
  <si>
    <t>欠强材料</t>
    <phoneticPr fontId="2" type="noConversion"/>
  </si>
  <si>
    <t>等强材料</t>
    <phoneticPr fontId="2" type="noConversion"/>
  </si>
  <si>
    <t>ER55</t>
    <phoneticPr fontId="2" type="noConversion"/>
  </si>
  <si>
    <t>ER76</t>
    <phoneticPr fontId="2" type="noConversion"/>
  </si>
  <si>
    <t>ER69-1</t>
    <phoneticPr fontId="2" type="noConversion"/>
  </si>
  <si>
    <t>安全系数</t>
    <phoneticPr fontId="2" type="noConversion"/>
  </si>
  <si>
    <t>强度等级</t>
    <phoneticPr fontId="2" type="noConversion"/>
  </si>
  <si>
    <t>焊缝金属</t>
    <phoneticPr fontId="2" type="noConversion"/>
  </si>
  <si>
    <t>h（mm）</t>
    <phoneticPr fontId="2" type="noConversion"/>
  </si>
  <si>
    <t>安全储备（两侧焊缝）</t>
    <phoneticPr fontId="2" type="noConversion"/>
  </si>
  <si>
    <t>安全储备（母材/焊缝）</t>
    <phoneticPr fontId="2" type="noConversion"/>
  </si>
  <si>
    <t>正面角焊缝（6和14mm焊脚尺寸）</t>
    <phoneticPr fontId="2" type="noConversion"/>
  </si>
  <si>
    <t>ER59</t>
    <phoneticPr fontId="2" type="noConversion"/>
  </si>
  <si>
    <t>ER100</t>
    <phoneticPr fontId="2" type="noConversion"/>
  </si>
  <si>
    <t>ER120</t>
    <phoneticPr fontId="2" type="noConversion"/>
  </si>
  <si>
    <t>板宽度</t>
    <phoneticPr fontId="2" type="noConversion"/>
  </si>
  <si>
    <t>侧面角焊缝（6和12mm）</t>
    <phoneticPr fontId="2" type="noConversion"/>
  </si>
  <si>
    <t>盖板厚度mm</t>
    <phoneticPr fontId="2" type="noConversion"/>
  </si>
  <si>
    <t>ER50</t>
    <phoneticPr fontId="2" type="noConversion"/>
  </si>
  <si>
    <t>ER110</t>
    <phoneticPr fontId="2" type="noConversion"/>
  </si>
  <si>
    <t>ER120</t>
    <phoneticPr fontId="2" type="noConversion"/>
  </si>
  <si>
    <t>底板厚度mm</t>
    <phoneticPr fontId="2" type="noConversion"/>
  </si>
  <si>
    <t>盖板宽度mm</t>
    <phoneticPr fontId="2" type="noConversion"/>
  </si>
  <si>
    <t>底板宽度mm</t>
    <phoneticPr fontId="2" type="noConversion"/>
  </si>
  <si>
    <t>设计破坏处承载力（中国）kN</t>
    <phoneticPr fontId="2" type="noConversion"/>
  </si>
  <si>
    <t>设计破坏处承载力（EC3）kN</t>
    <phoneticPr fontId="2" type="noConversion"/>
  </si>
  <si>
    <t>母材极限强度Mpa</t>
    <phoneticPr fontId="2" type="noConversion"/>
  </si>
  <si>
    <t>母材屈服强度Mpa</t>
    <phoneticPr fontId="2" type="noConversion"/>
  </si>
  <si>
    <t>安全储备（母材/焊缝）中国（极限强度）</t>
    <phoneticPr fontId="2" type="noConversion"/>
  </si>
  <si>
    <t>安全储备（母材/焊缝）EC3（极限强度）</t>
    <phoneticPr fontId="2" type="noConversion"/>
  </si>
  <si>
    <t>安全储备（母材/焊缝）中国（屈服强度）</t>
    <phoneticPr fontId="2" type="noConversion"/>
  </si>
  <si>
    <t>安全储备（母材/焊缝）EC3（屈服强度）</t>
    <phoneticPr fontId="2" type="noConversion"/>
  </si>
  <si>
    <t>母材屈服荷载kN</t>
    <phoneticPr fontId="2" type="noConversion"/>
  </si>
  <si>
    <t>母材极限荷载kN</t>
    <phoneticPr fontId="2" type="noConversion"/>
  </si>
  <si>
    <t>改进1（6mm焊脚尺寸）</t>
    <phoneticPr fontId="2" type="noConversion"/>
  </si>
  <si>
    <t>改进2（14mm焊脚尺寸）</t>
    <phoneticPr fontId="2" type="noConversion"/>
  </si>
  <si>
    <t>ER59</t>
    <phoneticPr fontId="2" type="noConversion"/>
  </si>
  <si>
    <t>ER100</t>
    <phoneticPr fontId="2" type="noConversion"/>
  </si>
  <si>
    <t>ER83</t>
    <phoneticPr fontId="2" type="noConversion"/>
  </si>
  <si>
    <t>实际强度（理论计算）</t>
    <phoneticPr fontId="2" type="noConversion"/>
  </si>
  <si>
    <t>试件数量</t>
    <phoneticPr fontId="2" type="noConversion"/>
  </si>
  <si>
    <t>母材强度Mpa（屈服）</t>
    <phoneticPr fontId="2" type="noConversion"/>
  </si>
  <si>
    <t>母材强度Mpa（极限）</t>
    <phoneticPr fontId="2" type="noConversion"/>
  </si>
  <si>
    <t>母材承载力kN（盖板）屈服</t>
    <phoneticPr fontId="2" type="noConversion"/>
  </si>
  <si>
    <t>母材承载力kN（底板）屈服</t>
    <phoneticPr fontId="2" type="noConversion"/>
  </si>
  <si>
    <t>母材承载力kN（盖板）极限</t>
    <phoneticPr fontId="2" type="noConversion"/>
  </si>
  <si>
    <t>母材承载力kN（底板）极限</t>
    <phoneticPr fontId="2" type="noConversion"/>
  </si>
  <si>
    <t>安全储备（母材/焊缝）盖板 屈服</t>
    <phoneticPr fontId="2" type="noConversion"/>
  </si>
  <si>
    <t>安全储备（母材/焊缝）底板 屈服</t>
    <phoneticPr fontId="2" type="noConversion"/>
  </si>
  <si>
    <t>安全储备（母材/焊缝）盖板 极限</t>
    <phoneticPr fontId="2" type="noConversion"/>
  </si>
  <si>
    <t>安全储备（母材/焊缝）底板 极限</t>
    <phoneticPr fontId="2" type="noConversion"/>
  </si>
  <si>
    <t>破坏时母材是否屈服（盖板）</t>
    <phoneticPr fontId="2" type="noConversion"/>
  </si>
  <si>
    <t>破坏时母材是否屈服（底板）</t>
    <phoneticPr fontId="2" type="noConversion"/>
  </si>
  <si>
    <t>否</t>
    <phoneticPr fontId="2" type="noConversion"/>
  </si>
  <si>
    <t>是</t>
    <phoneticPr fontId="2" type="noConversion"/>
  </si>
  <si>
    <t>2个</t>
    <phoneticPr fontId="2" type="noConversion"/>
  </si>
  <si>
    <t>最大剪应力</t>
    <phoneticPr fontId="6" type="noConversion"/>
  </si>
  <si>
    <t>von Mises</t>
    <phoneticPr fontId="6" type="noConversion"/>
  </si>
  <si>
    <t>预测荷载</t>
    <phoneticPr fontId="6" type="noConversion"/>
  </si>
  <si>
    <t>预测角度</t>
    <phoneticPr fontId="6" type="noConversion"/>
  </si>
  <si>
    <t>母材承载力</t>
  </si>
  <si>
    <t>母材承载力</t>
    <phoneticPr fontId="2" type="noConversion"/>
  </si>
  <si>
    <t>是否破坏出现在母材</t>
  </si>
  <si>
    <t>是否破坏出现在母材</t>
    <phoneticPr fontId="2" type="noConversion"/>
  </si>
  <si>
    <t>焊材</t>
  </si>
  <si>
    <t>焊缝金属强度Mpa</t>
  </si>
  <si>
    <t xml:space="preserve">焊脚尺寸mm </t>
  </si>
  <si>
    <t>ER50</t>
  </si>
  <si>
    <t>ER59</t>
  </si>
  <si>
    <t>ER100</t>
  </si>
  <si>
    <t>ER110</t>
  </si>
  <si>
    <t>ER120</t>
  </si>
  <si>
    <t>最大剪应力</t>
  </si>
  <si>
    <t>von Mises</t>
  </si>
  <si>
    <t>预测荷载</t>
  </si>
  <si>
    <t>预测角度</t>
  </si>
  <si>
    <t>ER50</t>
    <phoneticPr fontId="2" type="noConversion"/>
  </si>
  <si>
    <t>ER59</t>
    <phoneticPr fontId="2" type="noConversion"/>
  </si>
  <si>
    <t>ER100</t>
    <phoneticPr fontId="2" type="noConversion"/>
  </si>
  <si>
    <t>ER110</t>
    <phoneticPr fontId="2" type="noConversion"/>
  </si>
  <si>
    <t>ER83</t>
    <phoneticPr fontId="2" type="noConversion"/>
  </si>
  <si>
    <t>ER120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</si>
</sst>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sz val="11"/>
      <name val="宋体"/>
      <family val="2"/>
      <charset val="134"/>
      <scheme val="minor"/>
    </font>
    <font>
      <sz val="10.5"/>
      <name val="Calibri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1" fontId="0" fillId="0" borderId="0" xfId="0" applyNumberFormat="1" applyFont="1" applyBorder="1">
      <alignment vertical="center"/>
    </xf>
    <xf numFmtId="1" fontId="1" fillId="0" borderId="0" xfId="0" applyNumberFormat="1" applyFont="1" applyBorder="1">
      <alignment vertical="center"/>
    </xf>
    <xf numFmtId="0" fontId="0" fillId="0" borderId="7" xfId="0" applyFont="1" applyBorder="1" applyAlignment="1">
      <alignment vertical="center"/>
    </xf>
    <xf numFmtId="0" fontId="0" fillId="0" borderId="7" xfId="0" applyFont="1" applyBorder="1">
      <alignment vertical="center"/>
    </xf>
    <xf numFmtId="1" fontId="1" fillId="0" borderId="7" xfId="0" applyNumberFormat="1" applyFont="1" applyBorder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4" xfId="0" applyBorder="1">
      <alignment vertical="center"/>
    </xf>
    <xf numFmtId="2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1" fontId="0" fillId="0" borderId="0" xfId="0" applyNumberFormat="1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6" xfId="0" applyBorder="1">
      <alignment vertical="center"/>
    </xf>
    <xf numFmtId="0" fontId="1" fillId="0" borderId="7" xfId="0" applyFont="1" applyBorder="1">
      <alignment vertical="center"/>
    </xf>
    <xf numFmtId="0" fontId="0" fillId="0" borderId="7" xfId="0" applyBorder="1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Font="1" applyBorder="1" applyAlignment="1">
      <alignment vertical="center" wrapText="1"/>
    </xf>
    <xf numFmtId="1" fontId="1" fillId="0" borderId="0" xfId="0" applyNumberFormat="1" applyFont="1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4" xfId="0" applyFont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176" fontId="0" fillId="0" borderId="5" xfId="0" applyNumberFormat="1" applyBorder="1">
      <alignment vertical="center"/>
    </xf>
    <xf numFmtId="1" fontId="0" fillId="0" borderId="7" xfId="0" applyNumberFormat="1" applyFont="1" applyBorder="1">
      <alignment vertical="center"/>
    </xf>
    <xf numFmtId="1" fontId="1" fillId="0" borderId="7" xfId="0" applyNumberFormat="1" applyFont="1" applyFill="1" applyBorder="1">
      <alignment vertical="center"/>
    </xf>
    <xf numFmtId="176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5" xfId="0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>
      <alignment vertical="center"/>
    </xf>
    <xf numFmtId="1" fontId="1" fillId="2" borderId="0" xfId="0" applyNumberFormat="1" applyFont="1" applyFill="1" applyBorder="1">
      <alignment vertical="center"/>
    </xf>
    <xf numFmtId="1" fontId="1" fillId="2" borderId="7" xfId="0" applyNumberFormat="1" applyFont="1" applyFill="1" applyBorder="1">
      <alignment vertical="center"/>
    </xf>
    <xf numFmtId="0" fontId="1" fillId="0" borderId="5" xfId="0" applyFont="1" applyBorder="1">
      <alignment vertical="center"/>
    </xf>
    <xf numFmtId="1" fontId="4" fillId="0" borderId="0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176" fontId="1" fillId="0" borderId="0" xfId="0" applyNumberFormat="1" applyFont="1" applyBorder="1">
      <alignment vertical="center"/>
    </xf>
    <xf numFmtId="0" fontId="0" fillId="0" borderId="14" xfId="0" applyFont="1" applyBorder="1" applyAlignment="1">
      <alignment vertical="center" wrapText="1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0" fillId="0" borderId="14" xfId="0" applyFont="1" applyBorder="1" applyAlignment="1">
      <alignment vertical="center"/>
    </xf>
    <xf numFmtId="0" fontId="0" fillId="0" borderId="14" xfId="0" applyFont="1" applyBorder="1">
      <alignment vertical="center"/>
    </xf>
    <xf numFmtId="0" fontId="0" fillId="0" borderId="14" xfId="0" applyFont="1" applyFill="1" applyBorder="1">
      <alignment vertical="center"/>
    </xf>
    <xf numFmtId="0" fontId="4" fillId="0" borderId="4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4" fillId="0" borderId="0" xfId="0" applyFont="1" applyFill="1" applyBorder="1" applyAlignment="1">
      <alignment vertical="center"/>
    </xf>
    <xf numFmtId="2" fontId="4" fillId="0" borderId="0" xfId="0" applyNumberFormat="1" applyFont="1" applyFill="1" applyBorder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1" fontId="0" fillId="0" borderId="0" xfId="0" applyNumberFormat="1" applyAlignment="1"/>
    <xf numFmtId="0" fontId="0" fillId="0" borderId="16" xfId="0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13" Type="http://schemas.openxmlformats.org/officeDocument/2006/relationships/image" Target="../media/image13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73</xdr:row>
          <xdr:rowOff>0</xdr:rowOff>
        </xdr:from>
        <xdr:to>
          <xdr:col>2</xdr:col>
          <xdr:colOff>152400</xdr:colOff>
          <xdr:row>75</xdr:row>
          <xdr:rowOff>7620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74</xdr:row>
          <xdr:rowOff>0</xdr:rowOff>
        </xdr:from>
        <xdr:to>
          <xdr:col>4</xdr:col>
          <xdr:colOff>365760</xdr:colOff>
          <xdr:row>75</xdr:row>
          <xdr:rowOff>7620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74</xdr:row>
          <xdr:rowOff>0</xdr:rowOff>
        </xdr:from>
        <xdr:to>
          <xdr:col>5</xdr:col>
          <xdr:colOff>533400</xdr:colOff>
          <xdr:row>75</xdr:row>
          <xdr:rowOff>15240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74</xdr:row>
          <xdr:rowOff>0</xdr:rowOff>
        </xdr:from>
        <xdr:to>
          <xdr:col>7</xdr:col>
          <xdr:colOff>533400</xdr:colOff>
          <xdr:row>75</xdr:row>
          <xdr:rowOff>15240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74</xdr:row>
          <xdr:rowOff>0</xdr:rowOff>
        </xdr:from>
        <xdr:to>
          <xdr:col>9</xdr:col>
          <xdr:colOff>601980</xdr:colOff>
          <xdr:row>75</xdr:row>
          <xdr:rowOff>15240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76</xdr:row>
          <xdr:rowOff>0</xdr:rowOff>
        </xdr:from>
        <xdr:to>
          <xdr:col>3</xdr:col>
          <xdr:colOff>609600</xdr:colOff>
          <xdr:row>77</xdr:row>
          <xdr:rowOff>45720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76</xdr:row>
          <xdr:rowOff>0</xdr:rowOff>
        </xdr:from>
        <xdr:to>
          <xdr:col>4</xdr:col>
          <xdr:colOff>609600</xdr:colOff>
          <xdr:row>77</xdr:row>
          <xdr:rowOff>45720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76</xdr:row>
          <xdr:rowOff>0</xdr:rowOff>
        </xdr:from>
        <xdr:to>
          <xdr:col>5</xdr:col>
          <xdr:colOff>609600</xdr:colOff>
          <xdr:row>77</xdr:row>
          <xdr:rowOff>45720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76</xdr:row>
          <xdr:rowOff>0</xdr:rowOff>
        </xdr:from>
        <xdr:to>
          <xdr:col>6</xdr:col>
          <xdr:colOff>609600</xdr:colOff>
          <xdr:row>77</xdr:row>
          <xdr:rowOff>45720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76</xdr:row>
          <xdr:rowOff>0</xdr:rowOff>
        </xdr:from>
        <xdr:to>
          <xdr:col>7</xdr:col>
          <xdr:colOff>609600</xdr:colOff>
          <xdr:row>77</xdr:row>
          <xdr:rowOff>45720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76</xdr:row>
          <xdr:rowOff>0</xdr:rowOff>
        </xdr:from>
        <xdr:to>
          <xdr:col>8</xdr:col>
          <xdr:colOff>609600</xdr:colOff>
          <xdr:row>77</xdr:row>
          <xdr:rowOff>45720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76</xdr:row>
          <xdr:rowOff>0</xdr:rowOff>
        </xdr:from>
        <xdr:to>
          <xdr:col>9</xdr:col>
          <xdr:colOff>609600</xdr:colOff>
          <xdr:row>77</xdr:row>
          <xdr:rowOff>45720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77</xdr:row>
          <xdr:rowOff>0</xdr:rowOff>
        </xdr:from>
        <xdr:to>
          <xdr:col>0</xdr:col>
          <xdr:colOff>198120</xdr:colOff>
          <xdr:row>78</xdr:row>
          <xdr:rowOff>45720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77</xdr:row>
          <xdr:rowOff>0</xdr:rowOff>
        </xdr:from>
        <xdr:to>
          <xdr:col>2</xdr:col>
          <xdr:colOff>152400</xdr:colOff>
          <xdr:row>79</xdr:row>
          <xdr:rowOff>53340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79</xdr:row>
          <xdr:rowOff>0</xdr:rowOff>
        </xdr:from>
        <xdr:to>
          <xdr:col>0</xdr:col>
          <xdr:colOff>198120</xdr:colOff>
          <xdr:row>80</xdr:row>
          <xdr:rowOff>45720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79</xdr:row>
          <xdr:rowOff>0</xdr:rowOff>
        </xdr:from>
        <xdr:to>
          <xdr:col>2</xdr:col>
          <xdr:colOff>152400</xdr:colOff>
          <xdr:row>81</xdr:row>
          <xdr:rowOff>53340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26" Type="http://schemas.openxmlformats.org/officeDocument/2006/relationships/image" Target="../media/image10.wmf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0.bin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oleObject" Target="../embeddings/oleObject13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image" Target="../media/image8.wmf"/><Relationship Id="rId29" Type="http://schemas.openxmlformats.org/officeDocument/2006/relationships/oleObject" Target="../embeddings/oleObject15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2.bin"/><Relationship Id="rId32" Type="http://schemas.openxmlformats.org/officeDocument/2006/relationships/image" Target="../media/image13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23" Type="http://schemas.openxmlformats.org/officeDocument/2006/relationships/image" Target="../media/image9.wmf"/><Relationship Id="rId28" Type="http://schemas.openxmlformats.org/officeDocument/2006/relationships/image" Target="../media/image11.wmf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9.bin"/><Relationship Id="rId31" Type="http://schemas.openxmlformats.org/officeDocument/2006/relationships/oleObject" Target="../embeddings/oleObject16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4.bin"/><Relationship Id="rId30" Type="http://schemas.openxmlformats.org/officeDocument/2006/relationships/image" Target="../media/image12.w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22"/>
  <sheetViews>
    <sheetView topLeftCell="H4" zoomScale="85" zoomScaleNormal="85" workbookViewId="0">
      <selection activeCell="U21" sqref="U21"/>
    </sheetView>
  </sheetViews>
  <sheetFormatPr defaultRowHeight="14.4"/>
  <cols>
    <col min="1" max="1" width="13.21875" customWidth="1"/>
    <col min="3" max="3" width="9.88671875" customWidth="1"/>
    <col min="4" max="4" width="8.109375" customWidth="1"/>
    <col min="5" max="5" width="10.88671875" customWidth="1"/>
    <col min="6" max="6" width="12.33203125" customWidth="1"/>
    <col min="7" max="7" width="8.6640625" customWidth="1"/>
    <col min="8" max="8" width="7.6640625" customWidth="1"/>
    <col min="9" max="9" width="9.44140625" customWidth="1"/>
    <col min="10" max="10" width="7.88671875" customWidth="1"/>
    <col min="11" max="11" width="8.44140625" customWidth="1"/>
    <col min="12" max="12" width="7.5546875" customWidth="1"/>
    <col min="13" max="13" width="8.109375" customWidth="1"/>
    <col min="14" max="14" width="6.109375" customWidth="1"/>
    <col min="15" max="15" width="6" customWidth="1"/>
    <col min="16" max="16" width="6.6640625" customWidth="1"/>
  </cols>
  <sheetData>
    <row r="1" spans="1:31">
      <c r="A1" s="78" t="s">
        <v>78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10"/>
      <c r="Q1" s="78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10"/>
    </row>
    <row r="2" spans="1:31" s="18" customFormat="1" ht="72">
      <c r="A2" s="32" t="s">
        <v>7</v>
      </c>
      <c r="B2" s="29" t="s">
        <v>8</v>
      </c>
      <c r="C2" s="29" t="s">
        <v>9</v>
      </c>
      <c r="D2" s="29" t="s">
        <v>10</v>
      </c>
      <c r="E2" s="29" t="s">
        <v>11</v>
      </c>
      <c r="F2" s="29" t="s">
        <v>18</v>
      </c>
      <c r="G2" s="29" t="s">
        <v>12</v>
      </c>
      <c r="H2" s="29" t="s">
        <v>59</v>
      </c>
      <c r="I2" s="29" t="s">
        <v>13</v>
      </c>
      <c r="J2" s="29" t="s">
        <v>19</v>
      </c>
      <c r="K2" s="8" t="s">
        <v>20</v>
      </c>
      <c r="L2" s="8" t="s">
        <v>15</v>
      </c>
      <c r="M2" s="8" t="s">
        <v>76</v>
      </c>
      <c r="N2" s="33" t="s">
        <v>77</v>
      </c>
      <c r="Q2" s="32"/>
      <c r="R2" s="29"/>
      <c r="S2" s="29"/>
      <c r="T2" s="29"/>
      <c r="U2" s="29"/>
      <c r="V2" s="29"/>
      <c r="W2" s="29"/>
      <c r="X2" s="29"/>
      <c r="Y2" s="29"/>
      <c r="Z2" s="29"/>
      <c r="AA2" s="29"/>
      <c r="AB2" s="8"/>
      <c r="AC2" s="8"/>
      <c r="AD2" s="8"/>
      <c r="AE2" s="33"/>
    </row>
    <row r="3" spans="1:31">
      <c r="A3" s="67" t="s">
        <v>0</v>
      </c>
      <c r="B3" s="65" t="s">
        <v>79</v>
      </c>
      <c r="C3" s="2">
        <v>590</v>
      </c>
      <c r="D3" s="1">
        <v>6</v>
      </c>
      <c r="E3" s="1">
        <v>70</v>
      </c>
      <c r="F3" s="4">
        <f>0.41*0.7*C3*1.125*D3*E3/1000*2</f>
        <v>160.01685000000001</v>
      </c>
      <c r="G3" s="1">
        <v>10</v>
      </c>
      <c r="H3" s="1">
        <v>460</v>
      </c>
      <c r="I3" s="4">
        <f>H3*G3*E3/1000</f>
        <v>322</v>
      </c>
      <c r="J3" s="1">
        <v>10</v>
      </c>
      <c r="K3" s="1">
        <v>70</v>
      </c>
      <c r="L3" s="30">
        <f>0.7*0.41*K3*J3*2/1000*C3*1.125</f>
        <v>266.69475</v>
      </c>
      <c r="M3" s="31">
        <f>L3/F3</f>
        <v>1.6666666666666665</v>
      </c>
      <c r="N3" s="34">
        <f>I3/F3</f>
        <v>2.0122880809114791</v>
      </c>
      <c r="Q3" s="67"/>
      <c r="R3" s="65"/>
      <c r="S3" s="2"/>
      <c r="T3" s="1"/>
      <c r="U3" s="1"/>
      <c r="V3" s="4"/>
      <c r="W3" s="1"/>
      <c r="X3" s="1"/>
      <c r="Y3" s="4"/>
      <c r="Z3" s="4"/>
      <c r="AA3" s="3"/>
      <c r="AB3" s="1"/>
      <c r="AC3" s="30"/>
      <c r="AD3" s="31"/>
      <c r="AE3" s="34"/>
    </row>
    <row r="4" spans="1:31">
      <c r="A4" s="67"/>
      <c r="B4" s="65"/>
      <c r="C4" s="2">
        <v>590</v>
      </c>
      <c r="D4" s="1">
        <v>14</v>
      </c>
      <c r="E4" s="1">
        <v>70</v>
      </c>
      <c r="F4" s="4">
        <f t="shared" ref="F4:F18" si="0">0.41*0.7*C4*1.125*D4*E4/1000*2</f>
        <v>373.37264999999996</v>
      </c>
      <c r="G4" s="1">
        <v>20</v>
      </c>
      <c r="H4" s="1">
        <v>460</v>
      </c>
      <c r="I4" s="4">
        <f t="shared" ref="I4:I18" si="1">H4*G4*E4/1000</f>
        <v>644</v>
      </c>
      <c r="J4" s="1">
        <v>20</v>
      </c>
      <c r="K4" s="1">
        <v>70</v>
      </c>
      <c r="L4" s="30">
        <f t="shared" ref="L4:L18" si="2">0.7*0.41*K4*J4*2/1000*C4*1.125</f>
        <v>533.3895</v>
      </c>
      <c r="M4" s="31">
        <f t="shared" ref="M4:M16" si="3">L4/F4</f>
        <v>1.4285714285714286</v>
      </c>
      <c r="N4" s="34">
        <f t="shared" ref="N4:N16" si="4">I4/F4</f>
        <v>1.7248183550669822</v>
      </c>
      <c r="Q4" s="67"/>
      <c r="R4" s="65"/>
      <c r="S4" s="2"/>
      <c r="T4" s="1"/>
      <c r="U4" s="1"/>
      <c r="V4" s="4"/>
      <c r="W4" s="1"/>
      <c r="X4" s="1"/>
      <c r="Y4" s="4"/>
      <c r="Z4" s="4"/>
      <c r="AA4" s="3"/>
      <c r="AB4" s="1"/>
      <c r="AC4" s="30"/>
      <c r="AD4" s="31"/>
      <c r="AE4" s="34"/>
    </row>
    <row r="5" spans="1:31">
      <c r="A5" s="67"/>
      <c r="B5" s="65" t="s">
        <v>6</v>
      </c>
      <c r="C5" s="2">
        <v>500</v>
      </c>
      <c r="D5" s="1">
        <v>6</v>
      </c>
      <c r="E5" s="1">
        <v>70</v>
      </c>
      <c r="F5" s="4">
        <f t="shared" si="0"/>
        <v>135.60749999999999</v>
      </c>
      <c r="G5" s="1">
        <v>10</v>
      </c>
      <c r="H5" s="1">
        <v>460</v>
      </c>
      <c r="I5" s="4">
        <f t="shared" si="1"/>
        <v>322</v>
      </c>
      <c r="J5" s="1">
        <v>10</v>
      </c>
      <c r="K5" s="1">
        <v>70</v>
      </c>
      <c r="L5" s="30">
        <f t="shared" si="2"/>
        <v>226.01250000000002</v>
      </c>
      <c r="M5" s="31">
        <f t="shared" si="3"/>
        <v>1.666666666666667</v>
      </c>
      <c r="N5" s="34">
        <f t="shared" si="4"/>
        <v>2.3744999354755456</v>
      </c>
      <c r="Q5" s="67"/>
      <c r="R5" s="65"/>
      <c r="S5" s="2"/>
      <c r="T5" s="1"/>
      <c r="U5" s="1"/>
      <c r="V5" s="4"/>
      <c r="W5" s="1"/>
      <c r="X5" s="1"/>
      <c r="Y5" s="4"/>
      <c r="Z5" s="4"/>
      <c r="AA5" s="3"/>
      <c r="AB5" s="1"/>
      <c r="AC5" s="30"/>
      <c r="AD5" s="31"/>
      <c r="AE5" s="34"/>
    </row>
    <row r="6" spans="1:31">
      <c r="A6" s="67"/>
      <c r="B6" s="65"/>
      <c r="C6" s="2">
        <v>500</v>
      </c>
      <c r="D6" s="1">
        <v>14</v>
      </c>
      <c r="E6" s="1">
        <v>70</v>
      </c>
      <c r="F6" s="4">
        <f t="shared" si="0"/>
        <v>316.41750000000002</v>
      </c>
      <c r="G6" s="1">
        <v>20</v>
      </c>
      <c r="H6" s="1">
        <v>460</v>
      </c>
      <c r="I6" s="4">
        <f t="shared" si="1"/>
        <v>644</v>
      </c>
      <c r="J6" s="1">
        <v>20</v>
      </c>
      <c r="K6" s="1">
        <v>70</v>
      </c>
      <c r="L6" s="30">
        <f t="shared" si="2"/>
        <v>452.02500000000003</v>
      </c>
      <c r="M6" s="31">
        <f t="shared" si="3"/>
        <v>1.4285714285714286</v>
      </c>
      <c r="N6" s="34">
        <f t="shared" si="4"/>
        <v>2.0352856589790385</v>
      </c>
      <c r="Q6" s="67"/>
      <c r="R6" s="65"/>
      <c r="S6" s="2"/>
      <c r="T6" s="1"/>
      <c r="U6" s="1"/>
      <c r="V6" s="4"/>
      <c r="W6" s="1"/>
      <c r="X6" s="1"/>
      <c r="Y6" s="4"/>
      <c r="Z6" s="4"/>
      <c r="AA6" s="3"/>
      <c r="AB6" s="1"/>
      <c r="AC6" s="30"/>
      <c r="AD6" s="31"/>
      <c r="AE6" s="34"/>
    </row>
    <row r="7" spans="1:31">
      <c r="A7" s="67" t="s">
        <v>1</v>
      </c>
      <c r="B7" s="65" t="s">
        <v>80</v>
      </c>
      <c r="C7" s="2">
        <v>790</v>
      </c>
      <c r="D7" s="1">
        <v>6</v>
      </c>
      <c r="E7" s="1">
        <v>70</v>
      </c>
      <c r="F7" s="4">
        <f t="shared" si="0"/>
        <v>214.25985</v>
      </c>
      <c r="G7" s="1">
        <v>10</v>
      </c>
      <c r="H7" s="1">
        <v>550</v>
      </c>
      <c r="I7" s="4">
        <f t="shared" si="1"/>
        <v>385</v>
      </c>
      <c r="J7" s="1">
        <v>10</v>
      </c>
      <c r="K7" s="1">
        <v>70</v>
      </c>
      <c r="L7" s="30">
        <f t="shared" si="2"/>
        <v>357.09974999999997</v>
      </c>
      <c r="M7" s="31">
        <f t="shared" si="3"/>
        <v>1.6666666666666665</v>
      </c>
      <c r="N7" s="34">
        <f t="shared" si="4"/>
        <v>1.7968835505112133</v>
      </c>
      <c r="Q7" s="67"/>
      <c r="R7" s="65"/>
      <c r="S7" s="2"/>
      <c r="T7" s="1"/>
      <c r="U7" s="1"/>
      <c r="V7" s="4"/>
      <c r="W7" s="1"/>
      <c r="X7" s="1"/>
      <c r="Y7" s="4"/>
      <c r="Z7" s="4"/>
      <c r="AA7" s="3"/>
      <c r="AB7" s="1"/>
      <c r="AC7" s="30"/>
      <c r="AD7" s="31"/>
      <c r="AE7" s="34"/>
    </row>
    <row r="8" spans="1:31">
      <c r="A8" s="67"/>
      <c r="B8" s="65"/>
      <c r="C8" s="2">
        <v>790</v>
      </c>
      <c r="D8" s="1">
        <v>14</v>
      </c>
      <c r="E8" s="1">
        <v>70</v>
      </c>
      <c r="F8" s="4">
        <f t="shared" si="0"/>
        <v>499.93964999999997</v>
      </c>
      <c r="G8" s="1">
        <v>20</v>
      </c>
      <c r="H8" s="1">
        <v>550</v>
      </c>
      <c r="I8" s="4">
        <f t="shared" si="1"/>
        <v>770</v>
      </c>
      <c r="J8" s="1">
        <v>20</v>
      </c>
      <c r="K8" s="1">
        <v>70</v>
      </c>
      <c r="L8" s="30">
        <f t="shared" si="2"/>
        <v>714.19949999999994</v>
      </c>
      <c r="M8" s="31">
        <f t="shared" si="3"/>
        <v>1.4285714285714286</v>
      </c>
      <c r="N8" s="34">
        <f t="shared" si="4"/>
        <v>1.540185900438183</v>
      </c>
      <c r="Q8" s="67"/>
      <c r="R8" s="65"/>
      <c r="S8" s="2"/>
      <c r="T8" s="1"/>
      <c r="U8" s="1"/>
      <c r="V8" s="4"/>
      <c r="W8" s="1"/>
      <c r="X8" s="1"/>
      <c r="Y8" s="4"/>
      <c r="Z8" s="4"/>
      <c r="AA8" s="3"/>
      <c r="AB8" s="1"/>
      <c r="AC8" s="30"/>
      <c r="AD8" s="31"/>
      <c r="AE8" s="34"/>
    </row>
    <row r="9" spans="1:31">
      <c r="A9" s="67"/>
      <c r="B9" s="65" t="s">
        <v>79</v>
      </c>
      <c r="C9" s="2">
        <v>590</v>
      </c>
      <c r="D9" s="1">
        <v>6</v>
      </c>
      <c r="E9" s="1">
        <v>70</v>
      </c>
      <c r="F9" s="4">
        <f t="shared" si="0"/>
        <v>160.01685000000001</v>
      </c>
      <c r="G9" s="1">
        <v>10</v>
      </c>
      <c r="H9" s="1">
        <v>550</v>
      </c>
      <c r="I9" s="4">
        <f t="shared" si="1"/>
        <v>385</v>
      </c>
      <c r="J9" s="1">
        <v>10</v>
      </c>
      <c r="K9" s="1">
        <v>70</v>
      </c>
      <c r="L9" s="30">
        <f t="shared" si="2"/>
        <v>266.69475</v>
      </c>
      <c r="M9" s="31">
        <f t="shared" si="3"/>
        <v>1.6666666666666665</v>
      </c>
      <c r="N9" s="34">
        <f t="shared" si="4"/>
        <v>2.4059966184811161</v>
      </c>
      <c r="Q9" s="67"/>
      <c r="R9" s="65"/>
      <c r="S9" s="2"/>
      <c r="T9" s="1"/>
      <c r="U9" s="1"/>
      <c r="V9" s="4"/>
      <c r="W9" s="1"/>
      <c r="X9" s="1"/>
      <c r="Y9" s="4"/>
      <c r="Z9" s="4"/>
      <c r="AA9" s="3"/>
      <c r="AB9" s="1"/>
      <c r="AC9" s="30"/>
      <c r="AD9" s="31"/>
      <c r="AE9" s="34"/>
    </row>
    <row r="10" spans="1:31">
      <c r="A10" s="67"/>
      <c r="B10" s="65"/>
      <c r="C10" s="2">
        <v>590</v>
      </c>
      <c r="D10" s="1">
        <v>14</v>
      </c>
      <c r="E10" s="1">
        <v>70</v>
      </c>
      <c r="F10" s="4">
        <f t="shared" si="0"/>
        <v>373.37264999999996</v>
      </c>
      <c r="G10" s="1">
        <v>20</v>
      </c>
      <c r="H10" s="1">
        <v>550</v>
      </c>
      <c r="I10" s="4">
        <f t="shared" si="1"/>
        <v>770</v>
      </c>
      <c r="J10" s="1">
        <v>20</v>
      </c>
      <c r="K10" s="1">
        <v>70</v>
      </c>
      <c r="L10" s="30">
        <f t="shared" si="2"/>
        <v>533.3895</v>
      </c>
      <c r="M10" s="31">
        <f t="shared" si="3"/>
        <v>1.4285714285714286</v>
      </c>
      <c r="N10" s="34">
        <f t="shared" si="4"/>
        <v>2.0622828158409567</v>
      </c>
      <c r="Q10" s="67"/>
      <c r="R10" s="65"/>
      <c r="S10" s="2"/>
      <c r="T10" s="1"/>
      <c r="U10" s="1"/>
      <c r="V10" s="4"/>
      <c r="W10" s="1"/>
      <c r="X10" s="1"/>
      <c r="Y10" s="4"/>
      <c r="Z10" s="4"/>
      <c r="AA10" s="3"/>
      <c r="AB10" s="1"/>
      <c r="AC10" s="30"/>
      <c r="AD10" s="31"/>
      <c r="AE10" s="34"/>
    </row>
    <row r="11" spans="1:31">
      <c r="A11" s="67" t="s">
        <v>2</v>
      </c>
      <c r="B11" s="65" t="s">
        <v>5</v>
      </c>
      <c r="C11" s="2">
        <v>830</v>
      </c>
      <c r="D11" s="1">
        <v>6</v>
      </c>
      <c r="E11" s="1">
        <v>70</v>
      </c>
      <c r="F11" s="4">
        <f t="shared" si="0"/>
        <v>225.10845</v>
      </c>
      <c r="G11" s="1">
        <v>10</v>
      </c>
      <c r="H11" s="1">
        <v>690</v>
      </c>
      <c r="I11" s="4">
        <f t="shared" si="1"/>
        <v>483</v>
      </c>
      <c r="J11" s="1">
        <v>10</v>
      </c>
      <c r="K11" s="1">
        <v>70</v>
      </c>
      <c r="L11" s="30">
        <f t="shared" si="2"/>
        <v>375.18074999999999</v>
      </c>
      <c r="M11" s="31">
        <f t="shared" si="3"/>
        <v>1.6666666666666665</v>
      </c>
      <c r="N11" s="34">
        <f t="shared" si="4"/>
        <v>2.1456324718152517</v>
      </c>
      <c r="Q11" s="67"/>
      <c r="R11" s="65"/>
      <c r="S11" s="2"/>
      <c r="T11" s="1"/>
      <c r="U11" s="1"/>
      <c r="V11" s="4"/>
      <c r="W11" s="1"/>
      <c r="X11" s="1"/>
      <c r="Y11" s="4"/>
      <c r="Z11" s="4"/>
      <c r="AA11" s="3"/>
      <c r="AB11" s="1"/>
      <c r="AC11" s="30"/>
      <c r="AD11" s="31"/>
      <c r="AE11" s="34"/>
    </row>
    <row r="12" spans="1:31">
      <c r="A12" s="67"/>
      <c r="B12" s="65"/>
      <c r="C12" s="2">
        <v>830</v>
      </c>
      <c r="D12" s="1">
        <v>14</v>
      </c>
      <c r="E12" s="1">
        <v>70</v>
      </c>
      <c r="F12" s="4">
        <f t="shared" si="0"/>
        <v>525.25304999999992</v>
      </c>
      <c r="G12" s="1">
        <v>20</v>
      </c>
      <c r="H12" s="1">
        <v>690</v>
      </c>
      <c r="I12" s="4">
        <f t="shared" si="1"/>
        <v>966</v>
      </c>
      <c r="J12" s="1">
        <v>20</v>
      </c>
      <c r="K12" s="1">
        <v>70</v>
      </c>
      <c r="L12" s="30">
        <f t="shared" si="2"/>
        <v>750.36149999999998</v>
      </c>
      <c r="M12" s="31">
        <f t="shared" si="3"/>
        <v>1.4285714285714288</v>
      </c>
      <c r="N12" s="34">
        <f t="shared" si="4"/>
        <v>1.839113547270216</v>
      </c>
      <c r="Q12" s="67"/>
      <c r="R12" s="65"/>
      <c r="S12" s="2"/>
      <c r="T12" s="1"/>
      <c r="U12" s="1"/>
      <c r="V12" s="4"/>
      <c r="W12" s="1"/>
      <c r="X12" s="1"/>
      <c r="Y12" s="4"/>
      <c r="Z12" s="4"/>
      <c r="AA12" s="3"/>
      <c r="AB12" s="1"/>
      <c r="AC12" s="30"/>
      <c r="AD12" s="31"/>
      <c r="AE12" s="34"/>
    </row>
    <row r="13" spans="1:31">
      <c r="A13" s="67"/>
      <c r="B13" s="65" t="s">
        <v>4</v>
      </c>
      <c r="C13" s="2">
        <v>690</v>
      </c>
      <c r="D13" s="1">
        <v>6</v>
      </c>
      <c r="E13" s="1">
        <v>70</v>
      </c>
      <c r="F13" s="4">
        <f t="shared" si="0"/>
        <v>187.13834999999997</v>
      </c>
      <c r="G13" s="1">
        <v>10</v>
      </c>
      <c r="H13" s="1">
        <v>690</v>
      </c>
      <c r="I13" s="4">
        <f t="shared" si="1"/>
        <v>483</v>
      </c>
      <c r="J13" s="1">
        <v>10</v>
      </c>
      <c r="K13" s="1">
        <v>70</v>
      </c>
      <c r="L13" s="30">
        <f t="shared" si="2"/>
        <v>311.89725000000004</v>
      </c>
      <c r="M13" s="31">
        <f t="shared" si="3"/>
        <v>1.6666666666666672</v>
      </c>
      <c r="N13" s="34">
        <f t="shared" si="4"/>
        <v>2.5809781907342888</v>
      </c>
      <c r="Q13" s="67"/>
      <c r="R13" s="65"/>
      <c r="S13" s="2"/>
      <c r="T13" s="1"/>
      <c r="U13" s="1"/>
      <c r="V13" s="4"/>
      <c r="W13" s="1"/>
      <c r="X13" s="1"/>
      <c r="Y13" s="4"/>
      <c r="Z13" s="4"/>
      <c r="AA13" s="3"/>
      <c r="AB13" s="1"/>
      <c r="AC13" s="30"/>
      <c r="AD13" s="31"/>
      <c r="AE13" s="34"/>
    </row>
    <row r="14" spans="1:31">
      <c r="A14" s="67"/>
      <c r="B14" s="65"/>
      <c r="C14" s="2">
        <v>690</v>
      </c>
      <c r="D14" s="1">
        <v>14</v>
      </c>
      <c r="E14" s="1">
        <v>70</v>
      </c>
      <c r="F14" s="4">
        <f t="shared" si="0"/>
        <v>436.65614999999991</v>
      </c>
      <c r="G14" s="1">
        <v>20</v>
      </c>
      <c r="H14" s="1">
        <v>690</v>
      </c>
      <c r="I14" s="4">
        <f t="shared" si="1"/>
        <v>966</v>
      </c>
      <c r="J14" s="1">
        <v>20</v>
      </c>
      <c r="K14" s="1">
        <v>70</v>
      </c>
      <c r="L14" s="30">
        <f t="shared" si="2"/>
        <v>623.79450000000008</v>
      </c>
      <c r="M14" s="31">
        <f t="shared" si="3"/>
        <v>1.428571428571429</v>
      </c>
      <c r="N14" s="34">
        <f t="shared" si="4"/>
        <v>2.2122670206293904</v>
      </c>
      <c r="Q14" s="67"/>
      <c r="R14" s="65"/>
      <c r="S14" s="2"/>
      <c r="T14" s="1"/>
      <c r="U14" s="1"/>
      <c r="V14" s="4"/>
      <c r="W14" s="1"/>
      <c r="X14" s="1"/>
      <c r="Y14" s="4"/>
      <c r="Z14" s="4"/>
      <c r="AA14" s="3"/>
      <c r="AB14" s="1"/>
      <c r="AC14" s="30"/>
      <c r="AD14" s="31"/>
      <c r="AE14" s="34"/>
    </row>
    <row r="15" spans="1:31">
      <c r="A15" s="67" t="s">
        <v>3</v>
      </c>
      <c r="B15" s="65" t="s">
        <v>5</v>
      </c>
      <c r="C15" s="2">
        <v>830</v>
      </c>
      <c r="D15" s="1">
        <v>6</v>
      </c>
      <c r="E15" s="1">
        <v>70</v>
      </c>
      <c r="F15" s="4">
        <f t="shared" si="0"/>
        <v>225.10845</v>
      </c>
      <c r="G15" s="1">
        <v>10</v>
      </c>
      <c r="H15" s="1">
        <v>890</v>
      </c>
      <c r="I15" s="4">
        <f t="shared" si="1"/>
        <v>623</v>
      </c>
      <c r="J15" s="1">
        <v>10</v>
      </c>
      <c r="K15" s="1">
        <v>70</v>
      </c>
      <c r="L15" s="30">
        <f t="shared" si="2"/>
        <v>375.18074999999999</v>
      </c>
      <c r="M15" s="31">
        <f t="shared" si="3"/>
        <v>1.6666666666666665</v>
      </c>
      <c r="N15" s="34">
        <f t="shared" si="4"/>
        <v>2.7675549274138755</v>
      </c>
      <c r="Q15" s="67"/>
      <c r="R15" s="65"/>
      <c r="S15" s="2"/>
      <c r="T15" s="1"/>
      <c r="U15" s="1"/>
      <c r="V15" s="4"/>
      <c r="W15" s="1"/>
      <c r="X15" s="1"/>
      <c r="Y15" s="4"/>
      <c r="Z15" s="4"/>
      <c r="AA15" s="3"/>
      <c r="AB15" s="1"/>
      <c r="AC15" s="30"/>
      <c r="AD15" s="31"/>
      <c r="AE15" s="34"/>
    </row>
    <row r="16" spans="1:31" ht="15" thickBot="1">
      <c r="A16" s="67"/>
      <c r="B16" s="65"/>
      <c r="C16" s="2">
        <v>830</v>
      </c>
      <c r="D16" s="1">
        <v>14</v>
      </c>
      <c r="E16" s="1">
        <v>70</v>
      </c>
      <c r="F16" s="4">
        <f t="shared" si="0"/>
        <v>525.25304999999992</v>
      </c>
      <c r="G16" s="1">
        <v>20</v>
      </c>
      <c r="H16" s="1">
        <v>890</v>
      </c>
      <c r="I16" s="4">
        <f t="shared" si="1"/>
        <v>1246</v>
      </c>
      <c r="J16" s="1">
        <v>20</v>
      </c>
      <c r="K16" s="1">
        <v>70</v>
      </c>
      <c r="L16" s="30">
        <f t="shared" si="2"/>
        <v>750.36149999999998</v>
      </c>
      <c r="M16" s="31">
        <f t="shared" si="3"/>
        <v>1.4285714285714288</v>
      </c>
      <c r="N16" s="34">
        <f t="shared" si="4"/>
        <v>2.3721899377833222</v>
      </c>
      <c r="Q16" s="68"/>
      <c r="R16" s="66"/>
      <c r="S16" s="5"/>
      <c r="T16" s="6"/>
      <c r="U16" s="6"/>
      <c r="V16" s="7"/>
      <c r="W16" s="6"/>
      <c r="X16" s="1"/>
      <c r="Y16" s="7"/>
      <c r="Z16" s="7"/>
      <c r="AA16" s="35"/>
      <c r="AB16" s="6"/>
      <c r="AC16" s="36"/>
      <c r="AD16" s="37"/>
      <c r="AE16" s="38"/>
    </row>
    <row r="17" spans="1:35">
      <c r="A17" s="67"/>
      <c r="B17" s="65" t="s">
        <v>81</v>
      </c>
      <c r="C17" s="2">
        <v>1020</v>
      </c>
      <c r="D17" s="1">
        <v>6</v>
      </c>
      <c r="E17" s="1">
        <v>70</v>
      </c>
      <c r="F17" s="4">
        <f>0.41*0.7*C17*1.125*D17*E17/1000*2</f>
        <v>276.63929999999993</v>
      </c>
      <c r="G17" s="1">
        <v>10</v>
      </c>
      <c r="H17" s="1">
        <v>890</v>
      </c>
      <c r="I17" s="4">
        <f>H17*G17*E17/1000</f>
        <v>623</v>
      </c>
      <c r="J17" s="1">
        <v>10</v>
      </c>
      <c r="K17" s="1">
        <v>70</v>
      </c>
      <c r="L17" s="30">
        <f t="shared" si="2"/>
        <v>461.06550000000004</v>
      </c>
      <c r="M17" s="31">
        <f t="shared" ref="M17:M18" si="5">L17/F17</f>
        <v>1.6666666666666672</v>
      </c>
      <c r="N17" s="34">
        <f t="shared" ref="N17:N18" si="6">I17/F17</f>
        <v>2.2520299899544285</v>
      </c>
      <c r="Q17" s="42"/>
      <c r="R17" s="40"/>
      <c r="S17" s="2"/>
      <c r="T17" s="1"/>
      <c r="U17" s="1"/>
      <c r="V17" s="4"/>
      <c r="W17" s="1"/>
      <c r="X17" s="1"/>
      <c r="Y17" s="4"/>
      <c r="Z17" s="4"/>
      <c r="AA17" s="3"/>
      <c r="AB17" s="1"/>
      <c r="AC17" s="30"/>
      <c r="AD17" s="31"/>
      <c r="AE17" s="31"/>
    </row>
    <row r="18" spans="1:35" ht="15" thickBot="1">
      <c r="A18" s="68"/>
      <c r="B18" s="66"/>
      <c r="C18" s="5">
        <v>1020</v>
      </c>
      <c r="D18" s="6">
        <v>14</v>
      </c>
      <c r="E18" s="1">
        <v>70</v>
      </c>
      <c r="F18" s="7">
        <f t="shared" si="0"/>
        <v>645.49169999999981</v>
      </c>
      <c r="G18" s="6">
        <v>20</v>
      </c>
      <c r="H18" s="6">
        <v>890</v>
      </c>
      <c r="I18" s="7">
        <f t="shared" si="1"/>
        <v>1246</v>
      </c>
      <c r="J18" s="6">
        <v>20</v>
      </c>
      <c r="K18" s="1">
        <v>70</v>
      </c>
      <c r="L18" s="36">
        <f t="shared" si="2"/>
        <v>922.13100000000009</v>
      </c>
      <c r="M18" s="37">
        <f t="shared" si="5"/>
        <v>1.428571428571429</v>
      </c>
      <c r="N18" s="38">
        <f t="shared" si="6"/>
        <v>1.9303114199609388</v>
      </c>
      <c r="Q18" s="42"/>
      <c r="R18" s="40"/>
      <c r="S18" s="2"/>
      <c r="T18" s="1"/>
      <c r="U18" s="1"/>
      <c r="V18" s="4"/>
      <c r="W18" s="1"/>
      <c r="X18" s="1"/>
      <c r="Y18" s="4"/>
      <c r="Z18" s="4"/>
      <c r="AA18" s="3"/>
      <c r="AB18" s="1"/>
      <c r="AC18" s="30"/>
      <c r="AD18" s="31"/>
      <c r="AE18" s="31"/>
    </row>
    <row r="19" spans="1:35" ht="15" thickBot="1"/>
    <row r="20" spans="1:35" ht="36" customHeight="1">
      <c r="S20" s="78" t="s">
        <v>83</v>
      </c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9"/>
      <c r="AI20" s="10"/>
    </row>
    <row r="21" spans="1:35" s="18" customFormat="1" ht="43.2">
      <c r="S21" s="32" t="s">
        <v>7</v>
      </c>
      <c r="T21" s="29" t="s">
        <v>8</v>
      </c>
      <c r="U21" s="29" t="s">
        <v>9</v>
      </c>
      <c r="V21" s="29" t="s">
        <v>10</v>
      </c>
      <c r="W21" s="29" t="s">
        <v>11</v>
      </c>
      <c r="X21" s="29" t="s">
        <v>18</v>
      </c>
      <c r="Y21" s="29" t="s">
        <v>12</v>
      </c>
      <c r="Z21" s="29" t="s">
        <v>84</v>
      </c>
      <c r="AA21" s="29" t="s">
        <v>14</v>
      </c>
      <c r="AB21" s="29" t="s">
        <v>13</v>
      </c>
      <c r="AC21" s="29" t="s">
        <v>17</v>
      </c>
      <c r="AD21" s="8" t="s">
        <v>16</v>
      </c>
      <c r="AE21" s="8" t="s">
        <v>15</v>
      </c>
      <c r="AF21" s="8" t="s">
        <v>76</v>
      </c>
      <c r="AG21" s="8" t="s">
        <v>77</v>
      </c>
      <c r="AH21" s="21"/>
      <c r="AI21" s="39" t="s">
        <v>82</v>
      </c>
    </row>
    <row r="22" spans="1:35">
      <c r="S22" s="67" t="s">
        <v>0</v>
      </c>
      <c r="T22" s="65" t="s">
        <v>79</v>
      </c>
      <c r="U22" s="2">
        <v>590</v>
      </c>
      <c r="V22" s="1">
        <v>6</v>
      </c>
      <c r="W22" s="1">
        <f>15*V22*2</f>
        <v>180</v>
      </c>
      <c r="X22" s="4">
        <f>0.41*0.7*U22*V22*W22/1000*2*1.125</f>
        <v>411.47190000000001</v>
      </c>
      <c r="Y22" s="1">
        <v>10</v>
      </c>
      <c r="Z22" s="1"/>
      <c r="AA22" s="1">
        <v>460</v>
      </c>
      <c r="AB22" s="4">
        <f t="shared" ref="AB22:AB69" si="7">AA22*Y22*AI22*2/1000*1.1</f>
        <v>506.00000000000006</v>
      </c>
      <c r="AC22" s="1">
        <v>6</v>
      </c>
      <c r="AD22" s="3">
        <f t="shared" ref="AD22:AD69" si="8">W22+2*AI22</f>
        <v>280</v>
      </c>
      <c r="AE22" s="30">
        <f t="shared" ref="AE22:AE69" si="9">0.7*0.41*AD22*AC22*2/1000*U22*1.125</f>
        <v>640.06740000000002</v>
      </c>
      <c r="AF22" s="31">
        <f t="shared" ref="AF22:AF69" si="10">AE22/X22</f>
        <v>1.5555555555555556</v>
      </c>
      <c r="AG22" s="31">
        <f t="shared" ref="AG22:AG69" si="11">AB22/X22</f>
        <v>1.2297316050014595</v>
      </c>
      <c r="AH22" s="12"/>
      <c r="AI22" s="13">
        <v>50</v>
      </c>
    </row>
    <row r="23" spans="1:35">
      <c r="S23" s="67"/>
      <c r="T23" s="65"/>
      <c r="U23" s="2">
        <v>590</v>
      </c>
      <c r="V23" s="1">
        <v>6</v>
      </c>
      <c r="W23" s="1">
        <f>30*V23*2</f>
        <v>360</v>
      </c>
      <c r="X23" s="4">
        <f t="shared" ref="X23:X69" si="12">0.41*0.7*U23*V23*W23/1000*2*1.125</f>
        <v>822.94380000000001</v>
      </c>
      <c r="Y23" s="1">
        <v>10</v>
      </c>
      <c r="Z23" s="1"/>
      <c r="AA23" s="1">
        <v>460</v>
      </c>
      <c r="AB23" s="4">
        <f t="shared" si="7"/>
        <v>1012.0000000000001</v>
      </c>
      <c r="AC23" s="1">
        <v>6</v>
      </c>
      <c r="AD23" s="3">
        <f t="shared" si="8"/>
        <v>560</v>
      </c>
      <c r="AE23" s="30">
        <f t="shared" si="9"/>
        <v>1280.1348</v>
      </c>
      <c r="AF23" s="31">
        <f t="shared" si="10"/>
        <v>1.5555555555555556</v>
      </c>
      <c r="AG23" s="31">
        <f t="shared" si="11"/>
        <v>1.2297316050014595</v>
      </c>
      <c r="AH23" s="12"/>
      <c r="AI23" s="13">
        <v>100</v>
      </c>
    </row>
    <row r="24" spans="1:35">
      <c r="S24" s="67"/>
      <c r="T24" s="65"/>
      <c r="U24" s="2">
        <v>590</v>
      </c>
      <c r="V24" s="1">
        <v>6</v>
      </c>
      <c r="W24" s="1">
        <f>40*V24*2</f>
        <v>480</v>
      </c>
      <c r="X24" s="4">
        <f t="shared" si="12"/>
        <v>1097.2583999999999</v>
      </c>
      <c r="Y24" s="1">
        <v>10</v>
      </c>
      <c r="Z24" s="1"/>
      <c r="AA24" s="1">
        <v>460</v>
      </c>
      <c r="AB24" s="4">
        <f t="shared" si="7"/>
        <v>1214.4000000000001</v>
      </c>
      <c r="AC24" s="1">
        <v>6</v>
      </c>
      <c r="AD24" s="3">
        <f t="shared" si="8"/>
        <v>720</v>
      </c>
      <c r="AE24" s="30">
        <f t="shared" si="9"/>
        <v>1645.8875999999996</v>
      </c>
      <c r="AF24" s="31">
        <f t="shared" si="10"/>
        <v>1.4999999999999998</v>
      </c>
      <c r="AG24" s="31">
        <f t="shared" si="11"/>
        <v>1.1067584445013137</v>
      </c>
      <c r="AH24" s="12"/>
      <c r="AI24" s="13">
        <v>120</v>
      </c>
    </row>
    <row r="25" spans="1:35">
      <c r="S25" s="67"/>
      <c r="T25" s="65"/>
      <c r="U25" s="2">
        <v>590</v>
      </c>
      <c r="V25" s="45">
        <v>12</v>
      </c>
      <c r="W25" s="1">
        <f>5*V25*2</f>
        <v>120</v>
      </c>
      <c r="X25" s="4">
        <f t="shared" si="12"/>
        <v>548.62919999999997</v>
      </c>
      <c r="Y25" s="45">
        <v>20</v>
      </c>
      <c r="Z25" s="45"/>
      <c r="AA25" s="1">
        <v>460</v>
      </c>
      <c r="AB25" s="4">
        <f t="shared" si="7"/>
        <v>708.40000000000009</v>
      </c>
      <c r="AC25" s="45">
        <v>14</v>
      </c>
      <c r="AD25" s="3">
        <f t="shared" si="8"/>
        <v>190</v>
      </c>
      <c r="AE25" s="30">
        <f t="shared" si="9"/>
        <v>1013.44005</v>
      </c>
      <c r="AF25" s="31">
        <f t="shared" si="10"/>
        <v>1.8472222222222223</v>
      </c>
      <c r="AG25" s="31">
        <f t="shared" si="11"/>
        <v>1.2912181852515325</v>
      </c>
      <c r="AH25" s="12"/>
      <c r="AI25" s="13">
        <v>35</v>
      </c>
    </row>
    <row r="26" spans="1:35">
      <c r="S26" s="67"/>
      <c r="T26" s="65"/>
      <c r="U26" s="2">
        <v>590</v>
      </c>
      <c r="V26" s="45">
        <v>12</v>
      </c>
      <c r="W26" s="1">
        <f>10*V26*2</f>
        <v>240</v>
      </c>
      <c r="X26" s="4">
        <f t="shared" si="12"/>
        <v>1097.2583999999999</v>
      </c>
      <c r="Y26" s="45">
        <v>20</v>
      </c>
      <c r="Z26" s="45"/>
      <c r="AA26" s="1">
        <v>460</v>
      </c>
      <c r="AB26" s="4">
        <f t="shared" si="7"/>
        <v>1416.8000000000002</v>
      </c>
      <c r="AC26" s="45">
        <v>14</v>
      </c>
      <c r="AD26" s="3">
        <f t="shared" si="8"/>
        <v>380</v>
      </c>
      <c r="AE26" s="30">
        <f t="shared" si="9"/>
        <v>2026.8801000000001</v>
      </c>
      <c r="AF26" s="31">
        <f t="shared" si="10"/>
        <v>1.8472222222222223</v>
      </c>
      <c r="AG26" s="31">
        <f t="shared" si="11"/>
        <v>1.2912181852515325</v>
      </c>
      <c r="AH26" s="12"/>
      <c r="AI26" s="13">
        <v>70</v>
      </c>
    </row>
    <row r="27" spans="1:35">
      <c r="S27" s="67"/>
      <c r="T27" s="65"/>
      <c r="U27" s="2">
        <v>590</v>
      </c>
      <c r="V27" s="1">
        <v>12</v>
      </c>
      <c r="W27" s="1">
        <f>15*V27*2</f>
        <v>360</v>
      </c>
      <c r="X27" s="46">
        <f t="shared" si="12"/>
        <v>1645.8876</v>
      </c>
      <c r="Y27" s="1">
        <v>20</v>
      </c>
      <c r="Z27" s="1"/>
      <c r="AA27" s="1">
        <v>460</v>
      </c>
      <c r="AB27" s="4">
        <f t="shared" si="7"/>
        <v>2024.0000000000002</v>
      </c>
      <c r="AC27" s="1">
        <v>14</v>
      </c>
      <c r="AD27" s="3">
        <f t="shared" si="8"/>
        <v>560</v>
      </c>
      <c r="AE27" s="30">
        <f t="shared" si="9"/>
        <v>2986.9812000000002</v>
      </c>
      <c r="AF27" s="31">
        <f t="shared" si="10"/>
        <v>1.8148148148148149</v>
      </c>
      <c r="AG27" s="31">
        <f t="shared" si="11"/>
        <v>1.2297316050014595</v>
      </c>
      <c r="AH27" s="12"/>
      <c r="AI27" s="13">
        <v>100</v>
      </c>
    </row>
    <row r="28" spans="1:35">
      <c r="S28" s="67"/>
      <c r="T28" s="65" t="s">
        <v>6</v>
      </c>
      <c r="U28" s="2">
        <v>500</v>
      </c>
      <c r="V28" s="1">
        <v>6</v>
      </c>
      <c r="W28" s="1">
        <f>15*V28*2</f>
        <v>180</v>
      </c>
      <c r="X28" s="4">
        <f t="shared" si="12"/>
        <v>348.70499999999998</v>
      </c>
      <c r="Y28" s="1">
        <v>10</v>
      </c>
      <c r="Z28" s="1"/>
      <c r="AA28" s="1">
        <v>460</v>
      </c>
      <c r="AB28" s="4">
        <f t="shared" si="7"/>
        <v>506.00000000000006</v>
      </c>
      <c r="AC28" s="1">
        <v>6</v>
      </c>
      <c r="AD28" s="3">
        <f t="shared" si="8"/>
        <v>280</v>
      </c>
      <c r="AE28" s="30">
        <f t="shared" si="9"/>
        <v>542.42999999999995</v>
      </c>
      <c r="AF28" s="31">
        <f t="shared" si="10"/>
        <v>1.5555555555555556</v>
      </c>
      <c r="AG28" s="31">
        <f t="shared" si="11"/>
        <v>1.4510832939017224</v>
      </c>
      <c r="AH28" s="12"/>
      <c r="AI28" s="13">
        <v>50</v>
      </c>
    </row>
    <row r="29" spans="1:35">
      <c r="S29" s="67"/>
      <c r="T29" s="65"/>
      <c r="U29" s="2">
        <v>500</v>
      </c>
      <c r="V29" s="1">
        <v>6</v>
      </c>
      <c r="W29" s="1">
        <f>30*V29*2</f>
        <v>360</v>
      </c>
      <c r="X29" s="4">
        <f t="shared" si="12"/>
        <v>697.41</v>
      </c>
      <c r="Y29" s="1">
        <v>10</v>
      </c>
      <c r="Z29" s="1"/>
      <c r="AA29" s="1">
        <v>460</v>
      </c>
      <c r="AB29" s="4">
        <f t="shared" si="7"/>
        <v>1012.0000000000001</v>
      </c>
      <c r="AC29" s="1">
        <v>6</v>
      </c>
      <c r="AD29" s="3">
        <f t="shared" si="8"/>
        <v>560</v>
      </c>
      <c r="AE29" s="30">
        <f t="shared" si="9"/>
        <v>1084.8599999999999</v>
      </c>
      <c r="AF29" s="31">
        <f t="shared" si="10"/>
        <v>1.5555555555555556</v>
      </c>
      <c r="AG29" s="31">
        <f t="shared" si="11"/>
        <v>1.4510832939017224</v>
      </c>
      <c r="AH29" s="12"/>
      <c r="AI29" s="13">
        <v>100</v>
      </c>
    </row>
    <row r="30" spans="1:35">
      <c r="S30" s="67"/>
      <c r="T30" s="65"/>
      <c r="U30" s="2">
        <v>500</v>
      </c>
      <c r="V30" s="1">
        <v>6</v>
      </c>
      <c r="W30" s="1">
        <f>40*V30*2</f>
        <v>480</v>
      </c>
      <c r="X30" s="4">
        <f t="shared" si="12"/>
        <v>929.87999999999988</v>
      </c>
      <c r="Y30" s="1">
        <v>10</v>
      </c>
      <c r="Z30" s="1"/>
      <c r="AA30" s="1">
        <v>460</v>
      </c>
      <c r="AB30" s="4">
        <f t="shared" si="7"/>
        <v>1214.4000000000001</v>
      </c>
      <c r="AC30" s="1">
        <v>6</v>
      </c>
      <c r="AD30" s="3">
        <f t="shared" si="8"/>
        <v>720</v>
      </c>
      <c r="AE30" s="30">
        <f t="shared" si="9"/>
        <v>1394.82</v>
      </c>
      <c r="AF30" s="31">
        <f t="shared" si="10"/>
        <v>1.5000000000000002</v>
      </c>
      <c r="AG30" s="31">
        <f t="shared" si="11"/>
        <v>1.3059749645115502</v>
      </c>
      <c r="AH30" s="12"/>
      <c r="AI30" s="13">
        <v>120</v>
      </c>
    </row>
    <row r="31" spans="1:35">
      <c r="S31" s="67"/>
      <c r="T31" s="65"/>
      <c r="U31" s="2">
        <v>500</v>
      </c>
      <c r="V31" s="45">
        <v>12</v>
      </c>
      <c r="W31" s="1">
        <f>5*V31*2</f>
        <v>120</v>
      </c>
      <c r="X31" s="4">
        <f t="shared" si="12"/>
        <v>464.93999999999994</v>
      </c>
      <c r="Y31" s="45">
        <v>20</v>
      </c>
      <c r="Z31" s="45"/>
      <c r="AA31" s="1">
        <v>460</v>
      </c>
      <c r="AB31" s="4">
        <f t="shared" si="7"/>
        <v>708.40000000000009</v>
      </c>
      <c r="AC31" s="45">
        <v>14</v>
      </c>
      <c r="AD31" s="3">
        <f t="shared" si="8"/>
        <v>190</v>
      </c>
      <c r="AE31" s="30">
        <f t="shared" si="9"/>
        <v>858.84749999999997</v>
      </c>
      <c r="AF31" s="31">
        <f t="shared" si="10"/>
        <v>1.8472222222222223</v>
      </c>
      <c r="AG31" s="31">
        <f t="shared" si="11"/>
        <v>1.5236374585968087</v>
      </c>
      <c r="AH31" s="12"/>
      <c r="AI31" s="13">
        <v>35</v>
      </c>
    </row>
    <row r="32" spans="1:35">
      <c r="S32" s="67"/>
      <c r="T32" s="65"/>
      <c r="U32" s="2">
        <v>500</v>
      </c>
      <c r="V32" s="45">
        <v>12</v>
      </c>
      <c r="W32" s="1">
        <f>10*V32*2</f>
        <v>240</v>
      </c>
      <c r="X32" s="4">
        <f t="shared" si="12"/>
        <v>929.87999999999988</v>
      </c>
      <c r="Y32" s="45">
        <v>20</v>
      </c>
      <c r="Z32" s="45"/>
      <c r="AA32" s="1">
        <v>460</v>
      </c>
      <c r="AB32" s="4">
        <f t="shared" si="7"/>
        <v>1416.8000000000002</v>
      </c>
      <c r="AC32" s="45">
        <v>14</v>
      </c>
      <c r="AD32" s="3">
        <f t="shared" si="8"/>
        <v>380</v>
      </c>
      <c r="AE32" s="30">
        <f t="shared" si="9"/>
        <v>1717.6949999999999</v>
      </c>
      <c r="AF32" s="31">
        <f t="shared" si="10"/>
        <v>1.8472222222222223</v>
      </c>
      <c r="AG32" s="31">
        <f t="shared" si="11"/>
        <v>1.5236374585968087</v>
      </c>
      <c r="AH32" s="12"/>
      <c r="AI32" s="13">
        <v>70</v>
      </c>
    </row>
    <row r="33" spans="19:35">
      <c r="S33" s="67"/>
      <c r="T33" s="65"/>
      <c r="U33" s="2">
        <v>500</v>
      </c>
      <c r="V33" s="1">
        <v>12</v>
      </c>
      <c r="W33" s="1">
        <f>15*V33*2</f>
        <v>360</v>
      </c>
      <c r="X33" s="4">
        <f t="shared" si="12"/>
        <v>1394.82</v>
      </c>
      <c r="Y33" s="1">
        <v>20</v>
      </c>
      <c r="Z33" s="1"/>
      <c r="AA33" s="1">
        <v>460</v>
      </c>
      <c r="AB33" s="4">
        <f t="shared" si="7"/>
        <v>2024.0000000000002</v>
      </c>
      <c r="AC33" s="1">
        <v>14</v>
      </c>
      <c r="AD33" s="3">
        <f t="shared" si="8"/>
        <v>560</v>
      </c>
      <c r="AE33" s="30">
        <f t="shared" si="9"/>
        <v>2531.34</v>
      </c>
      <c r="AF33" s="31">
        <f t="shared" si="10"/>
        <v>1.8148148148148151</v>
      </c>
      <c r="AG33" s="31">
        <f t="shared" si="11"/>
        <v>1.4510832939017224</v>
      </c>
      <c r="AH33" s="12"/>
      <c r="AI33" s="13">
        <v>100</v>
      </c>
    </row>
    <row r="34" spans="19:35">
      <c r="S34" s="67" t="s">
        <v>1</v>
      </c>
      <c r="T34" s="65" t="s">
        <v>80</v>
      </c>
      <c r="U34" s="2">
        <v>790</v>
      </c>
      <c r="V34" s="1">
        <v>6</v>
      </c>
      <c r="W34" s="1">
        <f>15*V34*2</f>
        <v>180</v>
      </c>
      <c r="X34" s="4">
        <f t="shared" si="12"/>
        <v>550.95389999999986</v>
      </c>
      <c r="Y34" s="1">
        <v>10</v>
      </c>
      <c r="Z34" s="1"/>
      <c r="AA34" s="1">
        <v>550</v>
      </c>
      <c r="AB34" s="4">
        <f t="shared" si="7"/>
        <v>605</v>
      </c>
      <c r="AC34" s="1">
        <v>6</v>
      </c>
      <c r="AD34" s="3">
        <f t="shared" si="8"/>
        <v>280</v>
      </c>
      <c r="AE34" s="30">
        <f t="shared" si="9"/>
        <v>857.03939999999989</v>
      </c>
      <c r="AF34" s="31">
        <f t="shared" si="10"/>
        <v>1.5555555555555558</v>
      </c>
      <c r="AG34" s="31">
        <f t="shared" si="11"/>
        <v>1.0980955030901862</v>
      </c>
      <c r="AH34" s="12"/>
      <c r="AI34" s="13">
        <v>50</v>
      </c>
    </row>
    <row r="35" spans="19:35">
      <c r="S35" s="67"/>
      <c r="T35" s="65"/>
      <c r="U35" s="2">
        <v>790</v>
      </c>
      <c r="V35" s="1">
        <v>6</v>
      </c>
      <c r="W35" s="1">
        <f>30*V35*2</f>
        <v>360</v>
      </c>
      <c r="X35" s="4">
        <f t="shared" si="12"/>
        <v>1101.9077999999997</v>
      </c>
      <c r="Y35" s="1">
        <v>10</v>
      </c>
      <c r="Z35" s="1"/>
      <c r="AA35" s="1">
        <v>550</v>
      </c>
      <c r="AB35" s="4">
        <f t="shared" si="7"/>
        <v>1210</v>
      </c>
      <c r="AC35" s="1">
        <v>6</v>
      </c>
      <c r="AD35" s="3">
        <f t="shared" si="8"/>
        <v>560</v>
      </c>
      <c r="AE35" s="30">
        <f t="shared" si="9"/>
        <v>1714.0787999999998</v>
      </c>
      <c r="AF35" s="31">
        <f t="shared" si="10"/>
        <v>1.5555555555555558</v>
      </c>
      <c r="AG35" s="31">
        <f t="shared" si="11"/>
        <v>1.0980955030901862</v>
      </c>
      <c r="AH35" s="12"/>
      <c r="AI35" s="13">
        <v>100</v>
      </c>
    </row>
    <row r="36" spans="19:35">
      <c r="S36" s="67"/>
      <c r="T36" s="65"/>
      <c r="U36" s="2">
        <v>790</v>
      </c>
      <c r="V36" s="1">
        <v>6</v>
      </c>
      <c r="W36" s="1">
        <f>40*V36*2</f>
        <v>480</v>
      </c>
      <c r="X36" s="4">
        <f t="shared" si="12"/>
        <v>1469.2103999999997</v>
      </c>
      <c r="Y36" s="1">
        <v>10</v>
      </c>
      <c r="Z36" s="1"/>
      <c r="AA36" s="1">
        <v>550</v>
      </c>
      <c r="AB36" s="4">
        <f t="shared" si="7"/>
        <v>1573.0000000000002</v>
      </c>
      <c r="AC36" s="1">
        <v>6</v>
      </c>
      <c r="AD36" s="3">
        <f t="shared" si="8"/>
        <v>740</v>
      </c>
      <c r="AE36" s="30">
        <f t="shared" si="9"/>
        <v>2265.0327000000002</v>
      </c>
      <c r="AF36" s="31">
        <f t="shared" si="10"/>
        <v>1.5416666666666672</v>
      </c>
      <c r="AG36" s="31">
        <f t="shared" si="11"/>
        <v>1.0706431155129317</v>
      </c>
      <c r="AH36" s="12"/>
      <c r="AI36" s="48">
        <v>130</v>
      </c>
    </row>
    <row r="37" spans="19:35">
      <c r="S37" s="67"/>
      <c r="T37" s="65"/>
      <c r="U37" s="2">
        <v>790</v>
      </c>
      <c r="V37" s="45">
        <v>12</v>
      </c>
      <c r="W37" s="1">
        <f>5*V37*2</f>
        <v>120</v>
      </c>
      <c r="X37" s="4">
        <f t="shared" si="12"/>
        <v>734.60519999999985</v>
      </c>
      <c r="Y37" s="45">
        <v>20</v>
      </c>
      <c r="Z37" s="45"/>
      <c r="AA37" s="1">
        <v>550</v>
      </c>
      <c r="AB37" s="4">
        <f t="shared" si="7"/>
        <v>847.00000000000011</v>
      </c>
      <c r="AC37" s="45">
        <v>14</v>
      </c>
      <c r="AD37" s="3">
        <f t="shared" si="8"/>
        <v>190</v>
      </c>
      <c r="AE37" s="30">
        <f t="shared" si="9"/>
        <v>1356.9790500000001</v>
      </c>
      <c r="AF37" s="31">
        <f t="shared" si="10"/>
        <v>1.8472222222222228</v>
      </c>
      <c r="AG37" s="31">
        <f t="shared" si="11"/>
        <v>1.1530002782446955</v>
      </c>
      <c r="AH37" s="12"/>
      <c r="AI37" s="13">
        <v>35</v>
      </c>
    </row>
    <row r="38" spans="19:35">
      <c r="S38" s="67"/>
      <c r="T38" s="65"/>
      <c r="U38" s="2">
        <v>790</v>
      </c>
      <c r="V38" s="45">
        <v>12</v>
      </c>
      <c r="W38" s="1">
        <f>10*V38*2</f>
        <v>240</v>
      </c>
      <c r="X38" s="46">
        <f t="shared" si="12"/>
        <v>1469.2103999999997</v>
      </c>
      <c r="Y38" s="45">
        <v>20</v>
      </c>
      <c r="Z38" s="45"/>
      <c r="AA38" s="1">
        <v>550</v>
      </c>
      <c r="AB38" s="4">
        <f t="shared" si="7"/>
        <v>1694.0000000000002</v>
      </c>
      <c r="AC38" s="45">
        <v>14</v>
      </c>
      <c r="AD38" s="3">
        <f t="shared" si="8"/>
        <v>380</v>
      </c>
      <c r="AE38" s="30">
        <f t="shared" si="9"/>
        <v>2713.9581000000003</v>
      </c>
      <c r="AF38" s="31">
        <f t="shared" si="10"/>
        <v>1.8472222222222228</v>
      </c>
      <c r="AG38" s="31">
        <f t="shared" si="11"/>
        <v>1.1530002782446955</v>
      </c>
      <c r="AH38" s="12"/>
      <c r="AI38" s="13">
        <v>70</v>
      </c>
    </row>
    <row r="39" spans="19:35">
      <c r="S39" s="67"/>
      <c r="T39" s="65"/>
      <c r="U39" s="2">
        <v>790</v>
      </c>
      <c r="V39" s="1">
        <v>12</v>
      </c>
      <c r="W39" s="1">
        <f>15*V39*2</f>
        <v>360</v>
      </c>
      <c r="X39" s="46">
        <f t="shared" si="12"/>
        <v>2203.8155999999994</v>
      </c>
      <c r="Y39" s="1">
        <v>20</v>
      </c>
      <c r="Z39" s="1"/>
      <c r="AA39" s="1">
        <v>550</v>
      </c>
      <c r="AB39" s="4">
        <f t="shared" si="7"/>
        <v>2420</v>
      </c>
      <c r="AC39" s="1">
        <v>14</v>
      </c>
      <c r="AD39" s="3">
        <f t="shared" si="8"/>
        <v>560</v>
      </c>
      <c r="AE39" s="30">
        <f t="shared" si="9"/>
        <v>3999.5172000000002</v>
      </c>
      <c r="AF39" s="31">
        <f t="shared" si="10"/>
        <v>1.8148148148148153</v>
      </c>
      <c r="AG39" s="31">
        <f t="shared" si="11"/>
        <v>1.0980955030901862</v>
      </c>
      <c r="AH39" s="12"/>
      <c r="AI39" s="13">
        <v>100</v>
      </c>
    </row>
    <row r="40" spans="19:35">
      <c r="S40" s="67"/>
      <c r="T40" s="65" t="s">
        <v>79</v>
      </c>
      <c r="U40" s="2">
        <v>590</v>
      </c>
      <c r="V40" s="1">
        <v>6</v>
      </c>
      <c r="W40" s="1">
        <f>15*V40*2</f>
        <v>180</v>
      </c>
      <c r="X40" s="4">
        <f t="shared" si="12"/>
        <v>411.47190000000001</v>
      </c>
      <c r="Y40" s="1">
        <v>10</v>
      </c>
      <c r="Z40" s="1"/>
      <c r="AA40" s="1">
        <v>550</v>
      </c>
      <c r="AB40" s="4">
        <f t="shared" si="7"/>
        <v>605</v>
      </c>
      <c r="AC40" s="1">
        <v>6</v>
      </c>
      <c r="AD40" s="3">
        <f t="shared" si="8"/>
        <v>280</v>
      </c>
      <c r="AE40" s="30">
        <f t="shared" si="9"/>
        <v>640.06740000000002</v>
      </c>
      <c r="AF40" s="31">
        <f t="shared" si="10"/>
        <v>1.5555555555555556</v>
      </c>
      <c r="AG40" s="31">
        <f t="shared" si="11"/>
        <v>1.4703312668495709</v>
      </c>
      <c r="AH40" s="12"/>
      <c r="AI40" s="13">
        <v>50</v>
      </c>
    </row>
    <row r="41" spans="19:35">
      <c r="S41" s="67"/>
      <c r="T41" s="65"/>
      <c r="U41" s="2">
        <v>590</v>
      </c>
      <c r="V41" s="1">
        <v>6</v>
      </c>
      <c r="W41" s="1">
        <f>30*V41*2</f>
        <v>360</v>
      </c>
      <c r="X41" s="4">
        <f t="shared" si="12"/>
        <v>822.94380000000001</v>
      </c>
      <c r="Y41" s="1">
        <v>10</v>
      </c>
      <c r="Z41" s="1"/>
      <c r="AA41" s="1">
        <v>550</v>
      </c>
      <c r="AB41" s="4">
        <f t="shared" si="7"/>
        <v>1210</v>
      </c>
      <c r="AC41" s="1">
        <v>6</v>
      </c>
      <c r="AD41" s="3">
        <f t="shared" si="8"/>
        <v>560</v>
      </c>
      <c r="AE41" s="30">
        <f t="shared" si="9"/>
        <v>1280.1348</v>
      </c>
      <c r="AF41" s="31">
        <f t="shared" si="10"/>
        <v>1.5555555555555556</v>
      </c>
      <c r="AG41" s="31">
        <f t="shared" si="11"/>
        <v>1.4703312668495709</v>
      </c>
      <c r="AH41" s="12"/>
      <c r="AI41" s="13">
        <v>100</v>
      </c>
    </row>
    <row r="42" spans="19:35">
      <c r="S42" s="67"/>
      <c r="T42" s="65"/>
      <c r="U42" s="2">
        <v>590</v>
      </c>
      <c r="V42" s="1">
        <v>6</v>
      </c>
      <c r="W42" s="1">
        <f>40*V42*2</f>
        <v>480</v>
      </c>
      <c r="X42" s="4">
        <f t="shared" si="12"/>
        <v>1097.2583999999999</v>
      </c>
      <c r="Y42" s="1">
        <v>10</v>
      </c>
      <c r="Z42" s="1"/>
      <c r="AA42" s="1">
        <v>550</v>
      </c>
      <c r="AB42" s="4">
        <f t="shared" si="7"/>
        <v>1452.0000000000002</v>
      </c>
      <c r="AC42" s="1">
        <v>6</v>
      </c>
      <c r="AD42" s="3">
        <f t="shared" si="8"/>
        <v>720</v>
      </c>
      <c r="AE42" s="30">
        <f t="shared" si="9"/>
        <v>1645.8875999999996</v>
      </c>
      <c r="AF42" s="31">
        <f t="shared" si="10"/>
        <v>1.4999999999999998</v>
      </c>
      <c r="AG42" s="31">
        <f t="shared" si="11"/>
        <v>1.3232981401646142</v>
      </c>
      <c r="AH42" s="12"/>
      <c r="AI42" s="13">
        <v>120</v>
      </c>
    </row>
    <row r="43" spans="19:35">
      <c r="S43" s="67"/>
      <c r="T43" s="65"/>
      <c r="U43" s="2">
        <v>590</v>
      </c>
      <c r="V43" s="45">
        <v>12</v>
      </c>
      <c r="W43" s="1">
        <f>5*V43*2</f>
        <v>120</v>
      </c>
      <c r="X43" s="4">
        <f t="shared" si="12"/>
        <v>548.62919999999997</v>
      </c>
      <c r="Y43" s="45">
        <v>20</v>
      </c>
      <c r="Z43" s="45"/>
      <c r="AA43" s="1">
        <v>550</v>
      </c>
      <c r="AB43" s="4">
        <f t="shared" si="7"/>
        <v>847.00000000000011</v>
      </c>
      <c r="AC43" s="45">
        <v>14</v>
      </c>
      <c r="AD43" s="3">
        <f t="shared" si="8"/>
        <v>190</v>
      </c>
      <c r="AE43" s="30">
        <f t="shared" si="9"/>
        <v>1013.44005</v>
      </c>
      <c r="AF43" s="31">
        <f t="shared" si="10"/>
        <v>1.8472222222222223</v>
      </c>
      <c r="AG43" s="31">
        <f t="shared" si="11"/>
        <v>1.54384783019205</v>
      </c>
      <c r="AH43" s="12"/>
      <c r="AI43" s="13">
        <v>35</v>
      </c>
    </row>
    <row r="44" spans="19:35">
      <c r="S44" s="67"/>
      <c r="T44" s="65"/>
      <c r="U44" s="2">
        <v>590</v>
      </c>
      <c r="V44" s="45">
        <v>12</v>
      </c>
      <c r="W44" s="1">
        <f>10*V44*2</f>
        <v>240</v>
      </c>
      <c r="X44" s="4">
        <f t="shared" si="12"/>
        <v>1097.2583999999999</v>
      </c>
      <c r="Y44" s="45">
        <v>20</v>
      </c>
      <c r="Z44" s="45"/>
      <c r="AA44" s="1">
        <v>550</v>
      </c>
      <c r="AB44" s="4">
        <f t="shared" si="7"/>
        <v>1694.0000000000002</v>
      </c>
      <c r="AC44" s="45">
        <v>14</v>
      </c>
      <c r="AD44" s="3">
        <f t="shared" si="8"/>
        <v>380</v>
      </c>
      <c r="AE44" s="30">
        <f t="shared" si="9"/>
        <v>2026.8801000000001</v>
      </c>
      <c r="AF44" s="31">
        <f t="shared" si="10"/>
        <v>1.8472222222222223</v>
      </c>
      <c r="AG44" s="31">
        <f t="shared" si="11"/>
        <v>1.54384783019205</v>
      </c>
      <c r="AH44" s="12"/>
      <c r="AI44" s="13">
        <v>70</v>
      </c>
    </row>
    <row r="45" spans="19:35">
      <c r="S45" s="67"/>
      <c r="T45" s="65"/>
      <c r="U45" s="2">
        <v>590</v>
      </c>
      <c r="V45" s="1">
        <v>12</v>
      </c>
      <c r="W45" s="1">
        <f>15*V45*2</f>
        <v>360</v>
      </c>
      <c r="X45" s="46">
        <f t="shared" si="12"/>
        <v>1645.8876</v>
      </c>
      <c r="Y45" s="1">
        <v>20</v>
      </c>
      <c r="Z45" s="1"/>
      <c r="AA45" s="1">
        <v>550</v>
      </c>
      <c r="AB45" s="4">
        <f t="shared" si="7"/>
        <v>2420</v>
      </c>
      <c r="AC45" s="1">
        <v>14</v>
      </c>
      <c r="AD45" s="3">
        <f t="shared" si="8"/>
        <v>560</v>
      </c>
      <c r="AE45" s="30">
        <f t="shared" si="9"/>
        <v>2986.9812000000002</v>
      </c>
      <c r="AF45" s="31">
        <f t="shared" si="10"/>
        <v>1.8148148148148149</v>
      </c>
      <c r="AG45" s="31">
        <f t="shared" si="11"/>
        <v>1.4703312668495709</v>
      </c>
      <c r="AH45" s="12"/>
      <c r="AI45" s="13">
        <v>100</v>
      </c>
    </row>
    <row r="46" spans="19:35">
      <c r="S46" s="67" t="s">
        <v>2</v>
      </c>
      <c r="T46" s="65" t="s">
        <v>5</v>
      </c>
      <c r="U46" s="2">
        <v>830</v>
      </c>
      <c r="V46" s="1">
        <v>6</v>
      </c>
      <c r="W46" s="1">
        <f>15*V46*2</f>
        <v>180</v>
      </c>
      <c r="X46" s="4">
        <f t="shared" si="12"/>
        <v>578.85029999999983</v>
      </c>
      <c r="Y46" s="1">
        <v>10</v>
      </c>
      <c r="Z46" s="1"/>
      <c r="AA46" s="1">
        <v>690</v>
      </c>
      <c r="AB46" s="4">
        <f t="shared" si="7"/>
        <v>759.00000000000011</v>
      </c>
      <c r="AC46" s="1">
        <v>6</v>
      </c>
      <c r="AD46" s="3">
        <f t="shared" si="8"/>
        <v>280</v>
      </c>
      <c r="AE46" s="30">
        <f t="shared" si="9"/>
        <v>900.43379999999991</v>
      </c>
      <c r="AF46" s="31">
        <f t="shared" si="10"/>
        <v>1.5555555555555558</v>
      </c>
      <c r="AG46" s="31">
        <f t="shared" si="11"/>
        <v>1.3112198438870988</v>
      </c>
      <c r="AH46" s="12"/>
      <c r="AI46" s="13">
        <v>50</v>
      </c>
    </row>
    <row r="47" spans="19:35">
      <c r="S47" s="67"/>
      <c r="T47" s="65"/>
      <c r="U47" s="2">
        <v>830</v>
      </c>
      <c r="V47" s="1">
        <v>6</v>
      </c>
      <c r="W47" s="1">
        <f>30*V47*2</f>
        <v>360</v>
      </c>
      <c r="X47" s="4">
        <f t="shared" si="12"/>
        <v>1157.7005999999997</v>
      </c>
      <c r="Y47" s="1">
        <v>10</v>
      </c>
      <c r="Z47" s="1"/>
      <c r="AA47" s="1">
        <v>690</v>
      </c>
      <c r="AB47" s="4">
        <f t="shared" si="7"/>
        <v>1518.0000000000002</v>
      </c>
      <c r="AC47" s="1">
        <v>6</v>
      </c>
      <c r="AD47" s="3">
        <f t="shared" si="8"/>
        <v>560</v>
      </c>
      <c r="AE47" s="30">
        <f t="shared" si="9"/>
        <v>1800.8675999999998</v>
      </c>
      <c r="AF47" s="31">
        <f t="shared" si="10"/>
        <v>1.5555555555555558</v>
      </c>
      <c r="AG47" s="31">
        <f t="shared" si="11"/>
        <v>1.3112198438870988</v>
      </c>
      <c r="AH47" s="12"/>
      <c r="AI47" s="13">
        <v>100</v>
      </c>
    </row>
    <row r="48" spans="19:35">
      <c r="S48" s="67"/>
      <c r="T48" s="65"/>
      <c r="U48" s="2">
        <v>830</v>
      </c>
      <c r="V48" s="1">
        <v>6</v>
      </c>
      <c r="W48" s="1">
        <f>40*V48*2</f>
        <v>480</v>
      </c>
      <c r="X48" s="4">
        <f t="shared" si="12"/>
        <v>1543.6007999999997</v>
      </c>
      <c r="Y48" s="1">
        <v>10</v>
      </c>
      <c r="Z48" s="1"/>
      <c r="AA48" s="1">
        <v>690</v>
      </c>
      <c r="AB48" s="4">
        <f t="shared" si="7"/>
        <v>1821.6000000000001</v>
      </c>
      <c r="AC48" s="1">
        <v>6</v>
      </c>
      <c r="AD48" s="3">
        <f t="shared" si="8"/>
        <v>720</v>
      </c>
      <c r="AE48" s="30">
        <f t="shared" si="9"/>
        <v>2315.4011999999998</v>
      </c>
      <c r="AF48" s="31">
        <f t="shared" si="10"/>
        <v>1.5000000000000002</v>
      </c>
      <c r="AG48" s="31">
        <f t="shared" si="11"/>
        <v>1.1800978594983889</v>
      </c>
      <c r="AH48" s="12"/>
      <c r="AI48" s="13">
        <v>120</v>
      </c>
    </row>
    <row r="49" spans="19:35">
      <c r="S49" s="67"/>
      <c r="T49" s="65"/>
      <c r="U49" s="2">
        <v>830</v>
      </c>
      <c r="V49" s="45">
        <v>12</v>
      </c>
      <c r="W49" s="1">
        <f>5*V49*2</f>
        <v>120</v>
      </c>
      <c r="X49" s="4">
        <f t="shared" si="12"/>
        <v>771.80039999999985</v>
      </c>
      <c r="Y49" s="45">
        <v>20</v>
      </c>
      <c r="Z49" s="45"/>
      <c r="AA49" s="1">
        <v>690</v>
      </c>
      <c r="AB49" s="4">
        <f t="shared" si="7"/>
        <v>1062.6000000000001</v>
      </c>
      <c r="AC49" s="45">
        <v>14</v>
      </c>
      <c r="AD49" s="3">
        <f t="shared" si="8"/>
        <v>190</v>
      </c>
      <c r="AE49" s="30">
        <f t="shared" si="9"/>
        <v>1425.68685</v>
      </c>
      <c r="AF49" s="31">
        <f t="shared" si="10"/>
        <v>1.8472222222222225</v>
      </c>
      <c r="AG49" s="31">
        <f t="shared" si="11"/>
        <v>1.3767808360814535</v>
      </c>
      <c r="AH49" s="12"/>
      <c r="AI49" s="13">
        <v>35</v>
      </c>
    </row>
    <row r="50" spans="19:35">
      <c r="S50" s="67"/>
      <c r="T50" s="65"/>
      <c r="U50" s="2">
        <v>830</v>
      </c>
      <c r="V50" s="45">
        <v>12</v>
      </c>
      <c r="W50" s="1">
        <f>10*V50*2</f>
        <v>240</v>
      </c>
      <c r="X50" s="46">
        <f t="shared" si="12"/>
        <v>1543.6007999999997</v>
      </c>
      <c r="Y50" s="45">
        <v>20</v>
      </c>
      <c r="Z50" s="45"/>
      <c r="AA50" s="1">
        <v>690</v>
      </c>
      <c r="AB50" s="4">
        <f t="shared" si="7"/>
        <v>2125.2000000000003</v>
      </c>
      <c r="AC50" s="45">
        <v>14</v>
      </c>
      <c r="AD50" s="3">
        <f t="shared" si="8"/>
        <v>380</v>
      </c>
      <c r="AE50" s="30">
        <f t="shared" si="9"/>
        <v>2851.3737000000001</v>
      </c>
      <c r="AF50" s="31">
        <f t="shared" si="10"/>
        <v>1.8472222222222225</v>
      </c>
      <c r="AG50" s="31">
        <f t="shared" si="11"/>
        <v>1.3767808360814535</v>
      </c>
      <c r="AH50" s="12"/>
      <c r="AI50" s="13">
        <v>70</v>
      </c>
    </row>
    <row r="51" spans="19:35">
      <c r="S51" s="67"/>
      <c r="T51" s="65"/>
      <c r="U51" s="2">
        <v>830</v>
      </c>
      <c r="V51" s="1">
        <v>12</v>
      </c>
      <c r="W51" s="1">
        <f>15*V51*2</f>
        <v>360</v>
      </c>
      <c r="X51" s="46">
        <f t="shared" si="12"/>
        <v>2315.4011999999993</v>
      </c>
      <c r="Y51" s="1">
        <v>20</v>
      </c>
      <c r="Z51" s="1"/>
      <c r="AA51" s="1">
        <v>690</v>
      </c>
      <c r="AB51" s="4">
        <f t="shared" si="7"/>
        <v>3036.0000000000005</v>
      </c>
      <c r="AC51" s="1">
        <v>14</v>
      </c>
      <c r="AD51" s="3">
        <f t="shared" si="8"/>
        <v>560</v>
      </c>
      <c r="AE51" s="30">
        <f t="shared" si="9"/>
        <v>4202.0244000000002</v>
      </c>
      <c r="AF51" s="31">
        <f t="shared" si="10"/>
        <v>1.8148148148148155</v>
      </c>
      <c r="AG51" s="31">
        <f t="shared" si="11"/>
        <v>1.3112198438870988</v>
      </c>
      <c r="AH51" s="12"/>
      <c r="AI51" s="13">
        <v>100</v>
      </c>
    </row>
    <row r="52" spans="19:35">
      <c r="S52" s="67"/>
      <c r="T52" s="65" t="s">
        <v>4</v>
      </c>
      <c r="U52" s="2">
        <v>690</v>
      </c>
      <c r="V52" s="1">
        <v>6</v>
      </c>
      <c r="W52" s="1">
        <f>15*V52*2</f>
        <v>180</v>
      </c>
      <c r="X52" s="4">
        <f t="shared" si="12"/>
        <v>481.21289999999993</v>
      </c>
      <c r="Y52" s="1">
        <v>10</v>
      </c>
      <c r="Z52" s="1"/>
      <c r="AA52" s="1">
        <v>690</v>
      </c>
      <c r="AB52" s="4">
        <f t="shared" si="7"/>
        <v>759.00000000000011</v>
      </c>
      <c r="AC52" s="1">
        <v>6</v>
      </c>
      <c r="AD52" s="3">
        <f t="shared" si="8"/>
        <v>280</v>
      </c>
      <c r="AE52" s="30">
        <f t="shared" si="9"/>
        <v>748.55340000000001</v>
      </c>
      <c r="AF52" s="31">
        <f t="shared" si="10"/>
        <v>1.5555555555555558</v>
      </c>
      <c r="AG52" s="31">
        <f t="shared" si="11"/>
        <v>1.5772644498931767</v>
      </c>
      <c r="AH52" s="12"/>
      <c r="AI52" s="13">
        <v>50</v>
      </c>
    </row>
    <row r="53" spans="19:35">
      <c r="S53" s="67"/>
      <c r="T53" s="65"/>
      <c r="U53" s="2">
        <v>690</v>
      </c>
      <c r="V53" s="1">
        <v>6</v>
      </c>
      <c r="W53" s="1">
        <f>30*V53*2</f>
        <v>360</v>
      </c>
      <c r="X53" s="4">
        <f t="shared" si="12"/>
        <v>962.42579999999987</v>
      </c>
      <c r="Y53" s="1">
        <v>10</v>
      </c>
      <c r="Z53" s="1"/>
      <c r="AA53" s="1">
        <v>690</v>
      </c>
      <c r="AB53" s="4">
        <f t="shared" si="7"/>
        <v>1518.0000000000002</v>
      </c>
      <c r="AC53" s="1">
        <v>6</v>
      </c>
      <c r="AD53" s="3">
        <f t="shared" si="8"/>
        <v>560</v>
      </c>
      <c r="AE53" s="30">
        <f t="shared" si="9"/>
        <v>1497.1068</v>
      </c>
      <c r="AF53" s="31">
        <f t="shared" si="10"/>
        <v>1.5555555555555558</v>
      </c>
      <c r="AG53" s="31">
        <f t="shared" si="11"/>
        <v>1.5772644498931767</v>
      </c>
      <c r="AH53" s="12"/>
      <c r="AI53" s="13">
        <v>100</v>
      </c>
    </row>
    <row r="54" spans="19:35">
      <c r="S54" s="67"/>
      <c r="T54" s="65"/>
      <c r="U54" s="2">
        <v>690</v>
      </c>
      <c r="V54" s="1">
        <v>6</v>
      </c>
      <c r="W54" s="1">
        <f>40*V54*2</f>
        <v>480</v>
      </c>
      <c r="X54" s="4">
        <f t="shared" si="12"/>
        <v>1283.2343999999998</v>
      </c>
      <c r="Y54" s="1">
        <v>10</v>
      </c>
      <c r="Z54" s="1"/>
      <c r="AA54" s="1">
        <v>690</v>
      </c>
      <c r="AB54" s="4">
        <f t="shared" si="7"/>
        <v>1821.6000000000001</v>
      </c>
      <c r="AC54" s="1">
        <v>6</v>
      </c>
      <c r="AD54" s="3">
        <f t="shared" si="8"/>
        <v>720</v>
      </c>
      <c r="AE54" s="30">
        <f t="shared" si="9"/>
        <v>1924.8515999999997</v>
      </c>
      <c r="AF54" s="31">
        <f t="shared" si="10"/>
        <v>1.5</v>
      </c>
      <c r="AG54" s="31">
        <f t="shared" si="11"/>
        <v>1.4195380049038588</v>
      </c>
      <c r="AH54" s="12"/>
      <c r="AI54" s="13">
        <v>120</v>
      </c>
    </row>
    <row r="55" spans="19:35">
      <c r="S55" s="67"/>
      <c r="T55" s="65"/>
      <c r="U55" s="2">
        <v>690</v>
      </c>
      <c r="V55" s="45">
        <v>12</v>
      </c>
      <c r="W55" s="1">
        <f>5*V55*2</f>
        <v>120</v>
      </c>
      <c r="X55" s="4">
        <f t="shared" si="12"/>
        <v>641.61719999999991</v>
      </c>
      <c r="Y55" s="45">
        <v>20</v>
      </c>
      <c r="Z55" s="45"/>
      <c r="AA55" s="1">
        <v>690</v>
      </c>
      <c r="AB55" s="4">
        <f t="shared" si="7"/>
        <v>1062.6000000000001</v>
      </c>
      <c r="AC55" s="45">
        <v>14</v>
      </c>
      <c r="AD55" s="3">
        <f t="shared" si="8"/>
        <v>190</v>
      </c>
      <c r="AE55" s="30">
        <f t="shared" si="9"/>
        <v>1185.20955</v>
      </c>
      <c r="AF55" s="31">
        <f t="shared" si="10"/>
        <v>1.8472222222222225</v>
      </c>
      <c r="AG55" s="31">
        <f t="shared" si="11"/>
        <v>1.6561276723878355</v>
      </c>
      <c r="AH55" s="12"/>
      <c r="AI55" s="13">
        <v>35</v>
      </c>
    </row>
    <row r="56" spans="19:35">
      <c r="S56" s="67"/>
      <c r="T56" s="65"/>
      <c r="U56" s="2">
        <v>690</v>
      </c>
      <c r="V56" s="45">
        <v>12</v>
      </c>
      <c r="W56" s="1">
        <f>10*V56*2</f>
        <v>240</v>
      </c>
      <c r="X56" s="4">
        <f t="shared" si="12"/>
        <v>1283.2343999999998</v>
      </c>
      <c r="Y56" s="45">
        <v>20</v>
      </c>
      <c r="Z56" s="45"/>
      <c r="AA56" s="1">
        <v>690</v>
      </c>
      <c r="AB56" s="4">
        <f t="shared" si="7"/>
        <v>2125.2000000000003</v>
      </c>
      <c r="AC56" s="45">
        <v>14</v>
      </c>
      <c r="AD56" s="3">
        <f t="shared" si="8"/>
        <v>380</v>
      </c>
      <c r="AE56" s="30">
        <f t="shared" si="9"/>
        <v>2370.4191000000001</v>
      </c>
      <c r="AF56" s="31">
        <f t="shared" si="10"/>
        <v>1.8472222222222225</v>
      </c>
      <c r="AG56" s="31">
        <f t="shared" si="11"/>
        <v>1.6561276723878355</v>
      </c>
      <c r="AH56" s="12"/>
      <c r="AI56" s="13">
        <v>70</v>
      </c>
    </row>
    <row r="57" spans="19:35">
      <c r="S57" s="67"/>
      <c r="T57" s="65"/>
      <c r="U57" s="2">
        <v>690</v>
      </c>
      <c r="V57" s="1">
        <v>12</v>
      </c>
      <c r="W57" s="1">
        <f>15*V57*2</f>
        <v>360</v>
      </c>
      <c r="X57" s="46">
        <f t="shared" si="12"/>
        <v>1924.8515999999997</v>
      </c>
      <c r="Y57" s="1">
        <v>20</v>
      </c>
      <c r="Z57" s="1"/>
      <c r="AA57" s="1">
        <v>690</v>
      </c>
      <c r="AB57" s="4">
        <f t="shared" si="7"/>
        <v>3036.0000000000005</v>
      </c>
      <c r="AC57" s="1">
        <v>14</v>
      </c>
      <c r="AD57" s="3">
        <f t="shared" si="8"/>
        <v>560</v>
      </c>
      <c r="AE57" s="30">
        <f t="shared" si="9"/>
        <v>3493.2492000000002</v>
      </c>
      <c r="AF57" s="31">
        <f t="shared" si="10"/>
        <v>1.8148148148148151</v>
      </c>
      <c r="AG57" s="31">
        <f t="shared" si="11"/>
        <v>1.5772644498931767</v>
      </c>
      <c r="AH57" s="12"/>
      <c r="AI57" s="13">
        <v>100</v>
      </c>
    </row>
    <row r="58" spans="19:35">
      <c r="S58" s="67" t="s">
        <v>3</v>
      </c>
      <c r="T58" s="65" t="s">
        <v>5</v>
      </c>
      <c r="U58" s="2">
        <v>830</v>
      </c>
      <c r="V58" s="1">
        <v>6</v>
      </c>
      <c r="W58" s="1">
        <f>15*V58*2</f>
        <v>180</v>
      </c>
      <c r="X58" s="4">
        <f t="shared" si="12"/>
        <v>578.85029999999983</v>
      </c>
      <c r="Y58" s="1">
        <v>10</v>
      </c>
      <c r="Z58" s="1"/>
      <c r="AA58" s="1">
        <v>890</v>
      </c>
      <c r="AB58" s="4">
        <f t="shared" si="7"/>
        <v>979.00000000000011</v>
      </c>
      <c r="AC58" s="1">
        <v>6</v>
      </c>
      <c r="AD58" s="3">
        <f t="shared" si="8"/>
        <v>280</v>
      </c>
      <c r="AE58" s="30">
        <f t="shared" si="9"/>
        <v>900.43379999999991</v>
      </c>
      <c r="AF58" s="31">
        <f t="shared" si="10"/>
        <v>1.5555555555555558</v>
      </c>
      <c r="AG58" s="31">
        <f t="shared" si="11"/>
        <v>1.6912835667529245</v>
      </c>
      <c r="AH58" s="12"/>
      <c r="AI58" s="13">
        <v>50</v>
      </c>
    </row>
    <row r="59" spans="19:35">
      <c r="S59" s="67"/>
      <c r="T59" s="65"/>
      <c r="U59" s="2">
        <v>830</v>
      </c>
      <c r="V59" s="1">
        <v>6</v>
      </c>
      <c r="W59" s="1">
        <f>30*V59*2</f>
        <v>360</v>
      </c>
      <c r="X59" s="4">
        <f t="shared" si="12"/>
        <v>1157.7005999999997</v>
      </c>
      <c r="Y59" s="1">
        <v>10</v>
      </c>
      <c r="Z59" s="1"/>
      <c r="AA59" s="1">
        <v>890</v>
      </c>
      <c r="AB59" s="4">
        <f t="shared" si="7"/>
        <v>1958.0000000000002</v>
      </c>
      <c r="AC59" s="1">
        <v>6</v>
      </c>
      <c r="AD59" s="3">
        <f t="shared" si="8"/>
        <v>560</v>
      </c>
      <c r="AE59" s="30">
        <f t="shared" si="9"/>
        <v>1800.8675999999998</v>
      </c>
      <c r="AF59" s="31">
        <f t="shared" si="10"/>
        <v>1.5555555555555558</v>
      </c>
      <c r="AG59" s="31">
        <f t="shared" si="11"/>
        <v>1.6912835667529245</v>
      </c>
      <c r="AH59" s="12"/>
      <c r="AI59" s="13">
        <v>100</v>
      </c>
    </row>
    <row r="60" spans="19:35">
      <c r="S60" s="67"/>
      <c r="T60" s="65"/>
      <c r="U60" s="2">
        <v>830</v>
      </c>
      <c r="V60" s="1">
        <v>6</v>
      </c>
      <c r="W60" s="1">
        <f>40*V60*2</f>
        <v>480</v>
      </c>
      <c r="X60" s="4">
        <f t="shared" si="12"/>
        <v>1543.6007999999997</v>
      </c>
      <c r="Y60" s="1">
        <v>10</v>
      </c>
      <c r="Z60" s="1"/>
      <c r="AA60" s="1">
        <v>890</v>
      </c>
      <c r="AB60" s="4">
        <f t="shared" si="7"/>
        <v>2349.6000000000004</v>
      </c>
      <c r="AC60" s="1">
        <v>6</v>
      </c>
      <c r="AD60" s="3">
        <f t="shared" si="8"/>
        <v>720</v>
      </c>
      <c r="AE60" s="30">
        <f t="shared" si="9"/>
        <v>2315.4011999999998</v>
      </c>
      <c r="AF60" s="31">
        <f t="shared" si="10"/>
        <v>1.5000000000000002</v>
      </c>
      <c r="AG60" s="31">
        <f t="shared" si="11"/>
        <v>1.5221552100776321</v>
      </c>
      <c r="AH60" s="12"/>
      <c r="AI60" s="13">
        <v>120</v>
      </c>
    </row>
    <row r="61" spans="19:35">
      <c r="S61" s="67"/>
      <c r="T61" s="65"/>
      <c r="U61" s="2">
        <v>830</v>
      </c>
      <c r="V61" s="45">
        <v>12</v>
      </c>
      <c r="W61" s="1">
        <f>5*V61*2</f>
        <v>120</v>
      </c>
      <c r="X61" s="4">
        <f t="shared" si="12"/>
        <v>771.80039999999985</v>
      </c>
      <c r="Y61" s="45">
        <v>20</v>
      </c>
      <c r="Z61" s="45"/>
      <c r="AA61" s="1">
        <v>890</v>
      </c>
      <c r="AB61" s="4">
        <f t="shared" si="7"/>
        <v>1370.6000000000001</v>
      </c>
      <c r="AC61" s="45">
        <v>14</v>
      </c>
      <c r="AD61" s="3">
        <f t="shared" si="8"/>
        <v>190</v>
      </c>
      <c r="AE61" s="30">
        <f t="shared" si="9"/>
        <v>1425.68685</v>
      </c>
      <c r="AF61" s="31">
        <f t="shared" si="10"/>
        <v>1.8472222222222225</v>
      </c>
      <c r="AG61" s="31">
        <f t="shared" si="11"/>
        <v>1.7758477450905705</v>
      </c>
      <c r="AH61" s="12"/>
      <c r="AI61" s="13">
        <v>35</v>
      </c>
    </row>
    <row r="62" spans="19:35">
      <c r="S62" s="67"/>
      <c r="T62" s="65"/>
      <c r="U62" s="2">
        <v>830</v>
      </c>
      <c r="V62" s="45">
        <v>12</v>
      </c>
      <c r="W62" s="1">
        <f>10*V62*2</f>
        <v>240</v>
      </c>
      <c r="X62" s="46">
        <f t="shared" si="12"/>
        <v>1543.6007999999997</v>
      </c>
      <c r="Y62" s="45">
        <v>20</v>
      </c>
      <c r="Z62" s="45"/>
      <c r="AA62" s="1">
        <v>890</v>
      </c>
      <c r="AB62" s="4">
        <f t="shared" si="7"/>
        <v>2741.2000000000003</v>
      </c>
      <c r="AC62" s="45">
        <v>14</v>
      </c>
      <c r="AD62" s="3">
        <f t="shared" si="8"/>
        <v>380</v>
      </c>
      <c r="AE62" s="30">
        <f t="shared" si="9"/>
        <v>2851.3737000000001</v>
      </c>
      <c r="AF62" s="31">
        <f t="shared" si="10"/>
        <v>1.8472222222222225</v>
      </c>
      <c r="AG62" s="31">
        <f t="shared" si="11"/>
        <v>1.7758477450905705</v>
      </c>
      <c r="AH62" s="12"/>
      <c r="AI62" s="13">
        <v>70</v>
      </c>
    </row>
    <row r="63" spans="19:35">
      <c r="S63" s="67"/>
      <c r="T63" s="65"/>
      <c r="U63" s="2">
        <v>830</v>
      </c>
      <c r="V63" s="1">
        <v>12</v>
      </c>
      <c r="W63" s="1">
        <f>15*V63*2</f>
        <v>360</v>
      </c>
      <c r="X63" s="46">
        <f t="shared" si="12"/>
        <v>2315.4011999999993</v>
      </c>
      <c r="Y63" s="1">
        <v>20</v>
      </c>
      <c r="Z63" s="1"/>
      <c r="AA63" s="1">
        <v>890</v>
      </c>
      <c r="AB63" s="4">
        <f t="shared" si="7"/>
        <v>3916.0000000000005</v>
      </c>
      <c r="AC63" s="1">
        <v>14</v>
      </c>
      <c r="AD63" s="3">
        <f t="shared" si="8"/>
        <v>560</v>
      </c>
      <c r="AE63" s="30">
        <f t="shared" si="9"/>
        <v>4202.0244000000002</v>
      </c>
      <c r="AF63" s="31">
        <f t="shared" si="10"/>
        <v>1.8148148148148155</v>
      </c>
      <c r="AG63" s="31">
        <f t="shared" si="11"/>
        <v>1.6912835667529245</v>
      </c>
      <c r="AH63" s="12"/>
      <c r="AI63" s="13">
        <v>100</v>
      </c>
    </row>
    <row r="64" spans="19:35">
      <c r="S64" s="67"/>
      <c r="T64" s="65" t="s">
        <v>81</v>
      </c>
      <c r="U64" s="2">
        <v>1020</v>
      </c>
      <c r="V64" s="1">
        <v>6</v>
      </c>
      <c r="W64" s="1">
        <f>15*V64*2</f>
        <v>180</v>
      </c>
      <c r="X64" s="4">
        <f t="shared" si="12"/>
        <v>711.3581999999999</v>
      </c>
      <c r="Y64" s="1">
        <v>10</v>
      </c>
      <c r="Z64" s="1"/>
      <c r="AA64" s="1">
        <v>890</v>
      </c>
      <c r="AB64" s="4">
        <f t="shared" si="7"/>
        <v>979.00000000000011</v>
      </c>
      <c r="AC64" s="1">
        <v>6</v>
      </c>
      <c r="AD64" s="3">
        <f t="shared" si="8"/>
        <v>280</v>
      </c>
      <c r="AE64" s="30">
        <f t="shared" si="9"/>
        <v>1106.5572</v>
      </c>
      <c r="AF64" s="31">
        <f t="shared" si="10"/>
        <v>1.5555555555555558</v>
      </c>
      <c r="AG64" s="31">
        <f t="shared" si="11"/>
        <v>1.3762405494165952</v>
      </c>
      <c r="AH64" s="12"/>
      <c r="AI64" s="13">
        <v>50</v>
      </c>
    </row>
    <row r="65" spans="1:35">
      <c r="S65" s="67"/>
      <c r="T65" s="65"/>
      <c r="U65" s="2">
        <v>1020</v>
      </c>
      <c r="V65" s="1">
        <v>6</v>
      </c>
      <c r="W65" s="1">
        <f>30*V65*2</f>
        <v>360</v>
      </c>
      <c r="X65" s="4">
        <f t="shared" si="12"/>
        <v>1422.7163999999998</v>
      </c>
      <c r="Y65" s="1">
        <v>10</v>
      </c>
      <c r="Z65" s="1"/>
      <c r="AA65" s="1">
        <v>890</v>
      </c>
      <c r="AB65" s="4">
        <f t="shared" si="7"/>
        <v>1958.0000000000002</v>
      </c>
      <c r="AC65" s="1">
        <v>6</v>
      </c>
      <c r="AD65" s="3">
        <f t="shared" si="8"/>
        <v>560</v>
      </c>
      <c r="AE65" s="30">
        <f t="shared" si="9"/>
        <v>2213.1143999999999</v>
      </c>
      <c r="AF65" s="31">
        <f t="shared" si="10"/>
        <v>1.5555555555555558</v>
      </c>
      <c r="AG65" s="31">
        <f t="shared" si="11"/>
        <v>1.3762405494165952</v>
      </c>
      <c r="AH65" s="12"/>
      <c r="AI65" s="13">
        <v>100</v>
      </c>
    </row>
    <row r="66" spans="1:35">
      <c r="S66" s="67"/>
      <c r="T66" s="65"/>
      <c r="U66" s="2">
        <v>1020</v>
      </c>
      <c r="V66" s="1">
        <v>6</v>
      </c>
      <c r="W66" s="1">
        <f>40*V66*2</f>
        <v>480</v>
      </c>
      <c r="X66" s="4">
        <f t="shared" si="12"/>
        <v>1896.9551999999996</v>
      </c>
      <c r="Y66" s="1">
        <v>10</v>
      </c>
      <c r="Z66" s="1"/>
      <c r="AA66" s="1">
        <v>890</v>
      </c>
      <c r="AB66" s="4">
        <f t="shared" si="7"/>
        <v>2349.6000000000004</v>
      </c>
      <c r="AC66" s="1">
        <v>6</v>
      </c>
      <c r="AD66" s="3">
        <f t="shared" si="8"/>
        <v>720</v>
      </c>
      <c r="AE66" s="30">
        <f t="shared" si="9"/>
        <v>2845.4327999999996</v>
      </c>
      <c r="AF66" s="31">
        <f t="shared" si="10"/>
        <v>1.5</v>
      </c>
      <c r="AG66" s="31">
        <f t="shared" si="11"/>
        <v>1.2386164944749358</v>
      </c>
      <c r="AH66" s="12"/>
      <c r="AI66" s="13">
        <v>120</v>
      </c>
    </row>
    <row r="67" spans="1:35">
      <c r="S67" s="67"/>
      <c r="T67" s="65"/>
      <c r="U67" s="2">
        <v>1020</v>
      </c>
      <c r="V67" s="45">
        <v>12</v>
      </c>
      <c r="W67" s="1">
        <f>5*V67*2</f>
        <v>120</v>
      </c>
      <c r="X67" s="4">
        <f t="shared" si="12"/>
        <v>948.47759999999982</v>
      </c>
      <c r="Y67" s="45">
        <v>20</v>
      </c>
      <c r="Z67" s="45"/>
      <c r="AA67" s="1">
        <v>890</v>
      </c>
      <c r="AB67" s="4">
        <f t="shared" si="7"/>
        <v>1370.6000000000001</v>
      </c>
      <c r="AC67" s="45">
        <v>14</v>
      </c>
      <c r="AD67" s="3">
        <f t="shared" si="8"/>
        <v>190</v>
      </c>
      <c r="AE67" s="30">
        <f t="shared" si="9"/>
        <v>1752.0489</v>
      </c>
      <c r="AF67" s="31">
        <f t="shared" si="10"/>
        <v>1.8472222222222225</v>
      </c>
      <c r="AG67" s="31">
        <f t="shared" si="11"/>
        <v>1.4450525768874252</v>
      </c>
      <c r="AH67" s="12"/>
      <c r="AI67" s="13">
        <v>35</v>
      </c>
    </row>
    <row r="68" spans="1:35">
      <c r="S68" s="67"/>
      <c r="T68" s="65"/>
      <c r="U68" s="2">
        <v>1020</v>
      </c>
      <c r="V68" s="45">
        <v>12</v>
      </c>
      <c r="W68" s="1">
        <f>10*V68*2</f>
        <v>240</v>
      </c>
      <c r="X68" s="46">
        <f t="shared" si="12"/>
        <v>1896.9551999999996</v>
      </c>
      <c r="Y68" s="45">
        <v>20</v>
      </c>
      <c r="Z68" s="45"/>
      <c r="AA68" s="1">
        <v>890</v>
      </c>
      <c r="AB68" s="4">
        <f t="shared" si="7"/>
        <v>2741.2000000000003</v>
      </c>
      <c r="AC68" s="45">
        <v>14</v>
      </c>
      <c r="AD68" s="3">
        <f t="shared" si="8"/>
        <v>380</v>
      </c>
      <c r="AE68" s="30">
        <f t="shared" si="9"/>
        <v>3504.0978</v>
      </c>
      <c r="AF68" s="31">
        <f t="shared" si="10"/>
        <v>1.8472222222222225</v>
      </c>
      <c r="AG68" s="31">
        <f t="shared" si="11"/>
        <v>1.4450525768874252</v>
      </c>
      <c r="AH68" s="12"/>
      <c r="AI68" s="13">
        <v>70</v>
      </c>
    </row>
    <row r="69" spans="1:35" ht="15" thickBot="1">
      <c r="S69" s="68"/>
      <c r="T69" s="66"/>
      <c r="U69" s="5">
        <v>1020</v>
      </c>
      <c r="V69" s="1">
        <v>12</v>
      </c>
      <c r="W69" s="1">
        <f>15*V69*2</f>
        <v>360</v>
      </c>
      <c r="X69" s="47">
        <f t="shared" si="12"/>
        <v>2845.4327999999996</v>
      </c>
      <c r="Y69" s="6">
        <v>20</v>
      </c>
      <c r="Z69" s="6"/>
      <c r="AA69" s="6">
        <v>890</v>
      </c>
      <c r="AB69" s="7">
        <f t="shared" si="7"/>
        <v>3916.0000000000005</v>
      </c>
      <c r="AC69" s="6">
        <v>14</v>
      </c>
      <c r="AD69" s="35">
        <f t="shared" si="8"/>
        <v>560</v>
      </c>
      <c r="AE69" s="36">
        <f t="shared" si="9"/>
        <v>5163.9336000000003</v>
      </c>
      <c r="AF69" s="37">
        <f t="shared" si="10"/>
        <v>1.8148148148148151</v>
      </c>
      <c r="AG69" s="37">
        <f t="shared" si="11"/>
        <v>1.3762405494165952</v>
      </c>
      <c r="AH69" s="14"/>
      <c r="AI69" s="13">
        <v>100</v>
      </c>
    </row>
    <row r="70" spans="1:35">
      <c r="A70" s="43"/>
      <c r="B70" s="65"/>
      <c r="C70" s="2"/>
      <c r="D70" s="1"/>
      <c r="E70" s="1"/>
      <c r="F70" s="4"/>
      <c r="G70" s="1"/>
      <c r="H70" s="1"/>
      <c r="I70" s="4"/>
      <c r="J70" s="1"/>
      <c r="K70" s="3"/>
      <c r="L70" s="30"/>
      <c r="M70" s="31"/>
      <c r="N70" s="31"/>
    </row>
    <row r="71" spans="1:35" ht="15" thickBot="1">
      <c r="A71" s="44"/>
      <c r="B71" s="66"/>
      <c r="C71" s="5"/>
      <c r="D71" s="6"/>
    </row>
    <row r="72" spans="1:35">
      <c r="A72" t="s">
        <v>21</v>
      </c>
    </row>
    <row r="73" spans="1:35" ht="15" thickBot="1"/>
    <row r="74" spans="1:35" ht="15" thickBot="1">
      <c r="A74" s="76"/>
      <c r="B74" s="76" t="s">
        <v>22</v>
      </c>
      <c r="C74" s="74"/>
      <c r="D74" s="70" t="s">
        <v>23</v>
      </c>
      <c r="E74" s="71"/>
      <c r="F74" s="70" t="s">
        <v>1</v>
      </c>
      <c r="G74" s="71"/>
      <c r="H74" s="70" t="s">
        <v>2</v>
      </c>
      <c r="I74" s="71"/>
      <c r="J74" s="15" t="s">
        <v>3</v>
      </c>
      <c r="K74" s="9"/>
      <c r="L74" s="9"/>
      <c r="M74" s="9"/>
      <c r="N74" s="9"/>
      <c r="O74" s="10"/>
    </row>
    <row r="75" spans="1:35" ht="15" thickBot="1">
      <c r="A75" s="82"/>
      <c r="B75" s="82"/>
      <c r="C75" s="83"/>
      <c r="D75" s="72"/>
      <c r="E75" s="73"/>
      <c r="F75" s="72"/>
      <c r="G75" s="73"/>
      <c r="H75" s="72"/>
      <c r="I75" s="73"/>
      <c r="J75" s="16"/>
      <c r="K75" s="12"/>
      <c r="L75" s="12"/>
      <c r="M75" s="12"/>
      <c r="N75" s="12"/>
      <c r="O75" s="13"/>
    </row>
    <row r="76" spans="1:35" ht="15" thickBot="1">
      <c r="A76" s="82"/>
      <c r="B76" s="82"/>
      <c r="C76" s="83"/>
      <c r="D76" s="17" t="s">
        <v>6</v>
      </c>
      <c r="E76" s="17" t="s">
        <v>24</v>
      </c>
      <c r="F76" s="17" t="s">
        <v>24</v>
      </c>
      <c r="G76" s="17" t="s">
        <v>25</v>
      </c>
      <c r="H76" s="17" t="s">
        <v>25</v>
      </c>
      <c r="I76" s="17" t="s">
        <v>26</v>
      </c>
      <c r="J76" s="17" t="s">
        <v>26</v>
      </c>
      <c r="K76" s="12"/>
      <c r="L76" s="12"/>
      <c r="M76" s="12"/>
      <c r="N76" s="12"/>
      <c r="O76" s="13"/>
    </row>
    <row r="77" spans="1:35" ht="15" thickBot="1">
      <c r="A77" s="77"/>
      <c r="B77" s="77"/>
      <c r="C77" s="75"/>
      <c r="D77" s="16"/>
      <c r="E77" s="16"/>
      <c r="F77" s="16"/>
      <c r="G77" s="16"/>
      <c r="H77" s="16"/>
      <c r="I77" s="16"/>
      <c r="J77" s="16"/>
      <c r="K77" s="12"/>
      <c r="L77" s="12"/>
      <c r="M77" s="12"/>
      <c r="N77" s="12"/>
      <c r="O77" s="13"/>
    </row>
    <row r="78" spans="1:35" ht="15" thickBot="1">
      <c r="A78" s="74"/>
      <c r="B78" s="17">
        <v>10</v>
      </c>
      <c r="C78" s="74"/>
      <c r="D78" s="76">
        <v>0.78</v>
      </c>
      <c r="E78" s="76">
        <v>0.7</v>
      </c>
      <c r="F78" s="76">
        <v>0.84</v>
      </c>
      <c r="G78" s="76">
        <v>0.67</v>
      </c>
      <c r="H78" s="76">
        <v>0.84</v>
      </c>
      <c r="I78" s="76">
        <v>0.7</v>
      </c>
      <c r="J78" s="76">
        <v>0.9</v>
      </c>
      <c r="K78" s="12"/>
      <c r="L78" s="12"/>
      <c r="M78" s="12"/>
      <c r="N78" s="12"/>
      <c r="O78" s="13"/>
      <c r="Y78" s="69"/>
      <c r="Z78" s="41"/>
    </row>
    <row r="79" spans="1:35" ht="15" thickBot="1">
      <c r="A79" s="75"/>
      <c r="B79" s="17">
        <v>20</v>
      </c>
      <c r="C79" s="75"/>
      <c r="D79" s="77"/>
      <c r="E79" s="77"/>
      <c r="F79" s="77"/>
      <c r="G79" s="77"/>
      <c r="H79" s="77"/>
      <c r="I79" s="77"/>
      <c r="J79" s="77"/>
      <c r="K79" s="12"/>
      <c r="L79" s="12"/>
      <c r="M79" s="12"/>
      <c r="N79" s="12"/>
      <c r="O79" s="13"/>
      <c r="Y79" s="69"/>
      <c r="Z79" s="41"/>
    </row>
    <row r="80" spans="1:35" ht="15" thickBot="1">
      <c r="A80" s="74"/>
      <c r="B80" s="17">
        <v>10</v>
      </c>
      <c r="C80" s="74"/>
      <c r="D80" s="76">
        <v>1.56</v>
      </c>
      <c r="E80" s="76">
        <v>1.4</v>
      </c>
      <c r="F80" s="76">
        <v>1.68</v>
      </c>
      <c r="G80" s="76">
        <v>1.34</v>
      </c>
      <c r="H80" s="76">
        <v>1.68</v>
      </c>
      <c r="I80" s="76">
        <v>1.4</v>
      </c>
      <c r="J80" s="76">
        <v>1.8</v>
      </c>
      <c r="K80" s="12"/>
      <c r="L80" s="12"/>
      <c r="M80" s="12"/>
      <c r="N80" s="12"/>
      <c r="O80" s="13"/>
    </row>
    <row r="81" spans="1:15" ht="15" thickBot="1">
      <c r="A81" s="75"/>
      <c r="B81" s="17">
        <v>20</v>
      </c>
      <c r="C81" s="75"/>
      <c r="D81" s="77"/>
      <c r="E81" s="77"/>
      <c r="F81" s="77"/>
      <c r="G81" s="77"/>
      <c r="H81" s="77"/>
      <c r="I81" s="77"/>
      <c r="J81" s="77"/>
      <c r="K81" s="12"/>
      <c r="L81" s="12"/>
      <c r="M81" s="12"/>
      <c r="N81" s="12"/>
      <c r="O81" s="13"/>
    </row>
    <row r="82" spans="1:15">
      <c r="A82" s="19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3"/>
    </row>
    <row r="83" spans="1:15">
      <c r="A83" s="19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3"/>
    </row>
    <row r="84" spans="1:15">
      <c r="A84" s="19"/>
      <c r="B84" s="12"/>
      <c r="C84" s="12"/>
      <c r="D84" s="12">
        <v>517</v>
      </c>
      <c r="E84" s="12">
        <v>288</v>
      </c>
      <c r="F84" s="20">
        <f>0.75*D84/E84</f>
        <v>1.3463541666666667</v>
      </c>
      <c r="G84" s="12">
        <f>F84*50</f>
        <v>67.317708333333343</v>
      </c>
      <c r="H84" s="12">
        <f>G84/1.125</f>
        <v>59.837962962962969</v>
      </c>
      <c r="I84" s="12"/>
      <c r="J84" s="12"/>
      <c r="K84" s="12"/>
      <c r="L84" s="12"/>
      <c r="M84" s="12"/>
      <c r="N84" s="12"/>
      <c r="O84" s="13"/>
    </row>
    <row r="85" spans="1:15">
      <c r="A85" s="19"/>
      <c r="B85" s="12"/>
      <c r="C85" s="12"/>
      <c r="D85" s="12">
        <v>517</v>
      </c>
      <c r="E85" s="12">
        <v>317</v>
      </c>
      <c r="F85" s="20">
        <f t="shared" ref="F85:F90" si="13">0.75*D85/E85</f>
        <v>1.223186119873817</v>
      </c>
      <c r="G85" s="12">
        <f t="shared" ref="G85:G90" si="14">F85*50</f>
        <v>61.15930599369085</v>
      </c>
      <c r="H85" s="12">
        <f t="shared" ref="H85:H90" si="15">G85/1.125</f>
        <v>54.363827549947423</v>
      </c>
      <c r="I85" s="12"/>
      <c r="J85" s="12"/>
      <c r="K85" s="12"/>
      <c r="L85" s="12"/>
      <c r="M85" s="12"/>
      <c r="N85" s="12"/>
      <c r="O85" s="13"/>
    </row>
    <row r="86" spans="1:15">
      <c r="A86" s="19"/>
      <c r="B86" s="12"/>
      <c r="C86" s="12"/>
      <c r="D86" s="12">
        <v>619</v>
      </c>
      <c r="E86" s="12">
        <v>317</v>
      </c>
      <c r="F86" s="20">
        <f t="shared" si="13"/>
        <v>1.4645110410094637</v>
      </c>
      <c r="G86" s="12">
        <f t="shared" si="14"/>
        <v>73.225552050473183</v>
      </c>
      <c r="H86" s="12">
        <f t="shared" si="15"/>
        <v>65.089379600420614</v>
      </c>
      <c r="I86" s="12"/>
      <c r="J86" s="12"/>
      <c r="K86" s="12"/>
      <c r="L86" s="12"/>
      <c r="M86" s="12"/>
      <c r="N86" s="12"/>
      <c r="O86" s="13"/>
    </row>
    <row r="87" spans="1:15">
      <c r="A87" s="19"/>
      <c r="B87" s="12"/>
      <c r="C87" s="12"/>
      <c r="D87" s="12">
        <v>619</v>
      </c>
      <c r="E87" s="12">
        <v>398</v>
      </c>
      <c r="F87" s="20">
        <f t="shared" si="13"/>
        <v>1.1664572864321607</v>
      </c>
      <c r="G87" s="12">
        <f t="shared" si="14"/>
        <v>58.322864321608037</v>
      </c>
      <c r="H87" s="12">
        <f t="shared" si="15"/>
        <v>51.842546063651589</v>
      </c>
      <c r="I87" s="12"/>
      <c r="J87" s="12"/>
      <c r="K87" s="12"/>
      <c r="L87" s="12"/>
      <c r="M87" s="12"/>
      <c r="N87" s="12"/>
      <c r="O87" s="13"/>
    </row>
    <row r="88" spans="1:15">
      <c r="A88" s="19"/>
      <c r="B88" s="12"/>
      <c r="C88" s="12"/>
      <c r="D88" s="12">
        <v>776</v>
      </c>
      <c r="E88" s="12">
        <v>398</v>
      </c>
      <c r="F88" s="20">
        <f t="shared" si="13"/>
        <v>1.4623115577889447</v>
      </c>
      <c r="G88" s="12">
        <f t="shared" si="14"/>
        <v>73.115577889447238</v>
      </c>
      <c r="H88" s="12">
        <f t="shared" si="15"/>
        <v>64.991624790619767</v>
      </c>
      <c r="I88" s="12"/>
      <c r="J88" s="12"/>
      <c r="K88" s="12"/>
      <c r="L88" s="12"/>
      <c r="M88" s="12"/>
      <c r="N88" s="12"/>
      <c r="O88" s="13"/>
    </row>
    <row r="89" spans="1:15">
      <c r="A89" s="19"/>
      <c r="B89" s="12"/>
      <c r="C89" s="12"/>
      <c r="D89" s="12">
        <v>776</v>
      </c>
      <c r="E89" s="12">
        <v>479</v>
      </c>
      <c r="F89" s="20">
        <f t="shared" si="13"/>
        <v>1.2150313152400836</v>
      </c>
      <c r="G89" s="12">
        <f t="shared" si="14"/>
        <v>60.751565762004176</v>
      </c>
      <c r="H89" s="12">
        <f t="shared" si="15"/>
        <v>54.00139178844816</v>
      </c>
      <c r="I89" s="12"/>
      <c r="J89" s="12"/>
      <c r="K89" s="12"/>
      <c r="L89" s="12"/>
      <c r="M89" s="12"/>
      <c r="N89" s="12"/>
      <c r="O89" s="13"/>
    </row>
    <row r="90" spans="1:15">
      <c r="A90" s="19"/>
      <c r="B90" s="12"/>
      <c r="C90" s="12"/>
      <c r="D90" s="12">
        <v>1000</v>
      </c>
      <c r="E90" s="12">
        <v>479</v>
      </c>
      <c r="F90" s="20">
        <f t="shared" si="13"/>
        <v>1.5657620041753653</v>
      </c>
      <c r="G90" s="12">
        <f t="shared" si="14"/>
        <v>78.28810020876827</v>
      </c>
      <c r="H90" s="12">
        <f t="shared" si="15"/>
        <v>69.589422407794018</v>
      </c>
      <c r="I90" s="12"/>
      <c r="J90" s="12"/>
      <c r="K90" s="12"/>
      <c r="L90" s="12"/>
      <c r="M90" s="12"/>
      <c r="N90" s="12"/>
      <c r="O90" s="13"/>
    </row>
    <row r="91" spans="1:15">
      <c r="A91" s="19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3"/>
    </row>
    <row r="92" spans="1:15">
      <c r="A92" s="19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3"/>
    </row>
    <row r="93" spans="1:15">
      <c r="A93" s="19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3"/>
    </row>
    <row r="94" spans="1:15">
      <c r="A94" s="19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3"/>
    </row>
    <row r="95" spans="1:15">
      <c r="A95" s="19"/>
      <c r="B95" s="12"/>
      <c r="C95" s="81" t="s">
        <v>35</v>
      </c>
      <c r="D95" s="80" t="s">
        <v>27</v>
      </c>
      <c r="E95" s="80"/>
      <c r="F95" s="80" t="s">
        <v>28</v>
      </c>
      <c r="G95" s="80"/>
      <c r="H95" s="80" t="s">
        <v>29</v>
      </c>
      <c r="I95" s="80"/>
      <c r="J95" s="12" t="s">
        <v>30</v>
      </c>
      <c r="K95" s="12"/>
      <c r="L95" s="12"/>
      <c r="M95" s="12"/>
      <c r="N95" s="12"/>
      <c r="O95" s="13"/>
    </row>
    <row r="96" spans="1:15">
      <c r="A96" s="19"/>
      <c r="B96" s="12"/>
      <c r="C96" s="81"/>
      <c r="D96" s="12" t="s">
        <v>31</v>
      </c>
      <c r="E96" s="12" t="s">
        <v>32</v>
      </c>
      <c r="F96" s="12" t="s">
        <v>32</v>
      </c>
      <c r="G96" s="12" t="s">
        <v>33</v>
      </c>
      <c r="H96" s="12" t="s">
        <v>33</v>
      </c>
      <c r="I96" s="12" t="s">
        <v>34</v>
      </c>
      <c r="J96" s="12" t="s">
        <v>34</v>
      </c>
      <c r="K96" s="12"/>
      <c r="L96" s="12"/>
      <c r="M96" s="12"/>
      <c r="N96" s="12"/>
      <c r="O96" s="13"/>
    </row>
    <row r="97" spans="1:26">
      <c r="A97" s="19"/>
      <c r="B97" s="12"/>
      <c r="C97" s="21" t="s">
        <v>36</v>
      </c>
      <c r="D97" s="12">
        <v>75</v>
      </c>
      <c r="E97" s="12">
        <v>75</v>
      </c>
      <c r="F97" s="12">
        <v>75</v>
      </c>
      <c r="G97" s="12">
        <v>75</v>
      </c>
      <c r="H97" s="12">
        <v>75</v>
      </c>
      <c r="I97" s="12">
        <v>75</v>
      </c>
      <c r="J97" s="12">
        <v>75</v>
      </c>
      <c r="K97" s="12"/>
      <c r="L97" s="12"/>
      <c r="M97" s="12"/>
      <c r="N97" s="12"/>
      <c r="O97" s="13"/>
    </row>
    <row r="98" spans="1:26">
      <c r="A98" s="19"/>
      <c r="B98" s="12"/>
      <c r="C98" s="21" t="s">
        <v>37</v>
      </c>
      <c r="D98" s="12">
        <v>40</v>
      </c>
      <c r="E98" s="12">
        <v>40</v>
      </c>
      <c r="F98" s="12">
        <v>40</v>
      </c>
      <c r="G98" s="12">
        <v>40</v>
      </c>
      <c r="H98" s="12">
        <v>40</v>
      </c>
      <c r="I98" s="12">
        <v>40</v>
      </c>
      <c r="J98" s="12">
        <v>40</v>
      </c>
      <c r="K98" s="12"/>
      <c r="L98" s="12"/>
      <c r="M98" s="12"/>
      <c r="N98" s="12"/>
      <c r="O98" s="13"/>
    </row>
    <row r="99" spans="1:26">
      <c r="A99" s="19"/>
      <c r="B99" s="12"/>
      <c r="C99" s="21" t="s">
        <v>75</v>
      </c>
      <c r="D99" s="22">
        <v>40</v>
      </c>
      <c r="E99" s="22">
        <v>40</v>
      </c>
      <c r="F99" s="22">
        <v>40</v>
      </c>
      <c r="G99" s="22">
        <v>40</v>
      </c>
      <c r="H99" s="22">
        <v>40</v>
      </c>
      <c r="I99" s="22">
        <v>40</v>
      </c>
      <c r="J99" s="22">
        <v>40</v>
      </c>
      <c r="K99" s="12"/>
      <c r="L99" s="12"/>
      <c r="M99" s="12"/>
      <c r="N99" s="12"/>
      <c r="O99" s="13"/>
    </row>
    <row r="100" spans="1:26">
      <c r="A100" s="19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3"/>
    </row>
    <row r="101" spans="1:26" ht="21" customHeight="1">
      <c r="A101" s="19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3"/>
    </row>
    <row r="102" spans="1:26" s="18" customFormat="1" ht="61.8" customHeight="1">
      <c r="A102" s="23" t="s">
        <v>73</v>
      </c>
      <c r="B102" s="21" t="s">
        <v>74</v>
      </c>
      <c r="C102" s="21" t="s">
        <v>47</v>
      </c>
      <c r="D102" s="21" t="s">
        <v>48</v>
      </c>
      <c r="E102" s="21" t="s">
        <v>49</v>
      </c>
      <c r="F102" s="21" t="s">
        <v>50</v>
      </c>
      <c r="G102" s="21" t="s">
        <v>51</v>
      </c>
      <c r="H102" s="21" t="s">
        <v>52</v>
      </c>
      <c r="I102" s="21" t="s">
        <v>58</v>
      </c>
      <c r="J102" s="21" t="s">
        <v>53</v>
      </c>
      <c r="K102" s="21" t="s">
        <v>54</v>
      </c>
      <c r="L102" s="21" t="s">
        <v>56</v>
      </c>
      <c r="M102" s="21" t="s">
        <v>55</v>
      </c>
      <c r="N102" s="21" t="s">
        <v>57</v>
      </c>
      <c r="O102" s="18" t="s">
        <v>72</v>
      </c>
      <c r="Y102"/>
      <c r="Z102"/>
    </row>
    <row r="103" spans="1:26">
      <c r="A103" s="19" t="s">
        <v>27</v>
      </c>
      <c r="B103" s="12" t="s">
        <v>38</v>
      </c>
      <c r="C103" s="12">
        <v>460</v>
      </c>
      <c r="D103" s="12">
        <f>C103*1</f>
        <v>460</v>
      </c>
      <c r="E103" s="12">
        <f>500</f>
        <v>500</v>
      </c>
      <c r="F103" s="12">
        <f>E103*1.2</f>
        <v>600</v>
      </c>
      <c r="G103" s="12">
        <f>F103/1.732</f>
        <v>346.42032332563508</v>
      </c>
      <c r="H103" s="12">
        <v>75</v>
      </c>
      <c r="I103" s="12">
        <v>40</v>
      </c>
      <c r="J103" s="11">
        <f>10*H103*D103/1000</f>
        <v>345</v>
      </c>
      <c r="K103" s="12">
        <f>10*I103*D103/1000</f>
        <v>184</v>
      </c>
      <c r="L103" s="12">
        <v>40</v>
      </c>
      <c r="M103" s="24">
        <f>10*L103*G103/1000</f>
        <v>138.56812933025404</v>
      </c>
      <c r="N103" s="11">
        <f>M103*2</f>
        <v>277.13625866050808</v>
      </c>
      <c r="O103">
        <f t="shared" ref="O103:O109" si="16">J103/N103</f>
        <v>1.244875</v>
      </c>
    </row>
    <row r="104" spans="1:26">
      <c r="A104" s="19"/>
      <c r="B104" s="12" t="s">
        <v>39</v>
      </c>
      <c r="C104" s="12">
        <v>460</v>
      </c>
      <c r="D104" s="12">
        <f>C104*1</f>
        <v>460</v>
      </c>
      <c r="E104" s="12">
        <v>550</v>
      </c>
      <c r="F104" s="12">
        <f t="shared" ref="F104:F109" si="17">E104*1.2</f>
        <v>660</v>
      </c>
      <c r="G104" s="12">
        <f t="shared" ref="G104:G109" si="18">F104/1.732</f>
        <v>381.06235565819861</v>
      </c>
      <c r="H104" s="12">
        <v>75</v>
      </c>
      <c r="I104" s="12">
        <v>40</v>
      </c>
      <c r="J104" s="11">
        <f t="shared" ref="J104:J109" si="19">10*H104*D104/1000</f>
        <v>345</v>
      </c>
      <c r="K104" s="12">
        <f t="shared" ref="K104:K109" si="20">10*I104*D104/1000</f>
        <v>184</v>
      </c>
      <c r="L104" s="12">
        <v>40</v>
      </c>
      <c r="M104" s="24">
        <f t="shared" ref="M104:M109" si="21">10*L104*G104/1000</f>
        <v>152.42494226327946</v>
      </c>
      <c r="N104" s="11">
        <f t="shared" ref="N104:N109" si="22">M104*2</f>
        <v>304.84988452655892</v>
      </c>
      <c r="O104">
        <f t="shared" si="16"/>
        <v>1.1317045454545454</v>
      </c>
    </row>
    <row r="105" spans="1:26">
      <c r="A105" s="19" t="s">
        <v>40</v>
      </c>
      <c r="B105" s="12" t="s">
        <v>41</v>
      </c>
      <c r="C105" s="12">
        <v>550</v>
      </c>
      <c r="D105" s="12">
        <v>650</v>
      </c>
      <c r="E105" s="12">
        <v>550</v>
      </c>
      <c r="F105" s="12">
        <f t="shared" si="17"/>
        <v>660</v>
      </c>
      <c r="G105" s="12">
        <f t="shared" si="18"/>
        <v>381.06235565819861</v>
      </c>
      <c r="H105" s="12">
        <v>75</v>
      </c>
      <c r="I105" s="12">
        <v>40</v>
      </c>
      <c r="J105" s="11">
        <f t="shared" si="19"/>
        <v>487.5</v>
      </c>
      <c r="K105" s="12">
        <f t="shared" si="20"/>
        <v>260</v>
      </c>
      <c r="L105" s="12">
        <v>40</v>
      </c>
      <c r="M105" s="24">
        <f t="shared" si="21"/>
        <v>152.42494226327946</v>
      </c>
      <c r="N105" s="11">
        <f t="shared" si="22"/>
        <v>304.84988452655892</v>
      </c>
      <c r="O105">
        <f t="shared" si="16"/>
        <v>1.599147727272727</v>
      </c>
    </row>
    <row r="106" spans="1:26">
      <c r="A106" s="19"/>
      <c r="B106" s="12" t="s">
        <v>42</v>
      </c>
      <c r="C106" s="12">
        <v>550</v>
      </c>
      <c r="D106" s="12">
        <v>650</v>
      </c>
      <c r="E106" s="12">
        <v>690</v>
      </c>
      <c r="F106" s="12">
        <f t="shared" si="17"/>
        <v>828</v>
      </c>
      <c r="G106" s="12">
        <f t="shared" si="18"/>
        <v>478.06004618937646</v>
      </c>
      <c r="H106" s="12">
        <v>75</v>
      </c>
      <c r="I106" s="12">
        <v>40</v>
      </c>
      <c r="J106" s="11">
        <f t="shared" si="19"/>
        <v>487.5</v>
      </c>
      <c r="K106" s="12">
        <f t="shared" si="20"/>
        <v>260</v>
      </c>
      <c r="L106" s="12">
        <v>40</v>
      </c>
      <c r="M106" s="24">
        <f t="shared" si="21"/>
        <v>191.22401847575057</v>
      </c>
      <c r="N106" s="11">
        <f t="shared" si="22"/>
        <v>382.44803695150114</v>
      </c>
      <c r="O106">
        <f t="shared" si="16"/>
        <v>1.2746829710144929</v>
      </c>
    </row>
    <row r="107" spans="1:26">
      <c r="A107" s="19" t="s">
        <v>46</v>
      </c>
      <c r="B107" s="12" t="s">
        <v>43</v>
      </c>
      <c r="C107" s="12">
        <v>690</v>
      </c>
      <c r="D107" s="12">
        <v>800</v>
      </c>
      <c r="E107" s="12">
        <v>690</v>
      </c>
      <c r="F107" s="12">
        <f t="shared" si="17"/>
        <v>828</v>
      </c>
      <c r="G107" s="12">
        <f t="shared" si="18"/>
        <v>478.06004618937646</v>
      </c>
      <c r="H107" s="12">
        <v>75</v>
      </c>
      <c r="I107" s="12">
        <v>40</v>
      </c>
      <c r="J107" s="11">
        <f t="shared" si="19"/>
        <v>600</v>
      </c>
      <c r="K107" s="12">
        <f t="shared" si="20"/>
        <v>320</v>
      </c>
      <c r="L107" s="12">
        <v>40</v>
      </c>
      <c r="M107" s="24">
        <f t="shared" si="21"/>
        <v>191.22401847575057</v>
      </c>
      <c r="N107" s="11">
        <f t="shared" si="22"/>
        <v>382.44803695150114</v>
      </c>
      <c r="O107">
        <f t="shared" si="16"/>
        <v>1.568840579710145</v>
      </c>
    </row>
    <row r="108" spans="1:26">
      <c r="A108" s="19"/>
      <c r="B108" s="12" t="s">
        <v>34</v>
      </c>
      <c r="C108" s="12">
        <v>690</v>
      </c>
      <c r="D108" s="12">
        <v>800</v>
      </c>
      <c r="E108" s="12">
        <v>830</v>
      </c>
      <c r="F108" s="12">
        <f t="shared" si="17"/>
        <v>996</v>
      </c>
      <c r="G108" s="12">
        <f t="shared" si="18"/>
        <v>575.05773672055432</v>
      </c>
      <c r="H108" s="12">
        <v>75</v>
      </c>
      <c r="I108" s="12">
        <v>40</v>
      </c>
      <c r="J108" s="11">
        <f t="shared" si="19"/>
        <v>600</v>
      </c>
      <c r="K108" s="12">
        <f t="shared" si="20"/>
        <v>320</v>
      </c>
      <c r="L108" s="12">
        <v>40</v>
      </c>
      <c r="M108" s="24">
        <f t="shared" si="21"/>
        <v>230.02309468822173</v>
      </c>
      <c r="N108" s="11">
        <f t="shared" si="22"/>
        <v>460.04618937644346</v>
      </c>
      <c r="O108">
        <f t="shared" si="16"/>
        <v>1.3042168674698793</v>
      </c>
    </row>
    <row r="109" spans="1:26" ht="15" thickBot="1">
      <c r="A109" s="25" t="s">
        <v>45</v>
      </c>
      <c r="B109" s="14" t="s">
        <v>44</v>
      </c>
      <c r="C109" s="14">
        <v>890</v>
      </c>
      <c r="D109" s="14">
        <v>1000</v>
      </c>
      <c r="E109" s="14">
        <v>830</v>
      </c>
      <c r="F109" s="12">
        <f t="shared" si="17"/>
        <v>996</v>
      </c>
      <c r="G109" s="14">
        <f t="shared" si="18"/>
        <v>575.05773672055432</v>
      </c>
      <c r="H109" s="12">
        <v>75</v>
      </c>
      <c r="I109" s="14">
        <v>40</v>
      </c>
      <c r="J109" s="26">
        <f t="shared" si="19"/>
        <v>750</v>
      </c>
      <c r="K109" s="14">
        <f t="shared" si="20"/>
        <v>400</v>
      </c>
      <c r="L109" s="14">
        <v>40</v>
      </c>
      <c r="M109" s="27">
        <f t="shared" si="21"/>
        <v>230.02309468822173</v>
      </c>
      <c r="N109" s="26">
        <f t="shared" si="22"/>
        <v>460.04618937644346</v>
      </c>
      <c r="O109">
        <f t="shared" si="16"/>
        <v>1.6302710843373491</v>
      </c>
    </row>
    <row r="111" spans="1:26" s="18" customFormat="1" ht="28.8">
      <c r="A111" s="18" t="s">
        <v>60</v>
      </c>
      <c r="Y111"/>
      <c r="Z111"/>
    </row>
    <row r="112" spans="1:26">
      <c r="B112" t="s">
        <v>61</v>
      </c>
      <c r="C112" t="s">
        <v>62</v>
      </c>
      <c r="D112" t="s">
        <v>63</v>
      </c>
      <c r="E112" t="s">
        <v>67</v>
      </c>
      <c r="F112" t="s">
        <v>68</v>
      </c>
    </row>
    <row r="113" spans="1:6">
      <c r="A113" t="s">
        <v>27</v>
      </c>
      <c r="B113">
        <v>464</v>
      </c>
      <c r="C113">
        <v>601</v>
      </c>
      <c r="D113">
        <v>23.5</v>
      </c>
      <c r="E113" t="s">
        <v>38</v>
      </c>
      <c r="F113" t="s">
        <v>69</v>
      </c>
    </row>
    <row r="114" spans="1:6">
      <c r="A114" t="s">
        <v>40</v>
      </c>
      <c r="B114" s="28">
        <v>677</v>
      </c>
      <c r="C114" s="28">
        <v>759</v>
      </c>
      <c r="D114">
        <v>19.5</v>
      </c>
      <c r="E114" t="s">
        <v>69</v>
      </c>
      <c r="F114" t="s">
        <v>70</v>
      </c>
    </row>
    <row r="115" spans="1:6">
      <c r="A115" s="28" t="s">
        <v>29</v>
      </c>
      <c r="B115">
        <v>825</v>
      </c>
      <c r="C115">
        <v>868</v>
      </c>
      <c r="D115">
        <v>13.5</v>
      </c>
      <c r="E115" t="s">
        <v>70</v>
      </c>
      <c r="F115" t="s">
        <v>66</v>
      </c>
    </row>
    <row r="116" spans="1:6">
      <c r="A116" t="s">
        <v>30</v>
      </c>
      <c r="B116">
        <v>1022</v>
      </c>
      <c r="C116">
        <v>1063</v>
      </c>
      <c r="D116">
        <v>14.5</v>
      </c>
      <c r="E116" t="s">
        <v>66</v>
      </c>
    </row>
    <row r="118" spans="1:6">
      <c r="A118" t="s">
        <v>38</v>
      </c>
    </row>
    <row r="119" spans="1:6">
      <c r="A119" t="s">
        <v>64</v>
      </c>
      <c r="B119">
        <v>450</v>
      </c>
      <c r="C119">
        <v>550</v>
      </c>
      <c r="D119">
        <v>22</v>
      </c>
    </row>
    <row r="120" spans="1:6">
      <c r="A120" t="s">
        <v>71</v>
      </c>
      <c r="B120">
        <v>610</v>
      </c>
      <c r="C120">
        <v>690</v>
      </c>
      <c r="D120">
        <v>16</v>
      </c>
    </row>
    <row r="121" spans="1:6">
      <c r="A121" t="s">
        <v>65</v>
      </c>
      <c r="B121">
        <v>660</v>
      </c>
      <c r="C121">
        <v>760</v>
      </c>
      <c r="D121">
        <v>15</v>
      </c>
    </row>
    <row r="122" spans="1:6">
      <c r="A122" t="s">
        <v>66</v>
      </c>
      <c r="B122">
        <v>770</v>
      </c>
      <c r="C122">
        <v>880</v>
      </c>
    </row>
  </sheetData>
  <mergeCells count="71">
    <mergeCell ref="S46:S57"/>
    <mergeCell ref="T46:T51"/>
    <mergeCell ref="T52:T57"/>
    <mergeCell ref="S58:S69"/>
    <mergeCell ref="T58:T63"/>
    <mergeCell ref="T64:T69"/>
    <mergeCell ref="T22:T27"/>
    <mergeCell ref="T28:T33"/>
    <mergeCell ref="S34:S45"/>
    <mergeCell ref="T34:T39"/>
    <mergeCell ref="T40:T45"/>
    <mergeCell ref="D95:E95"/>
    <mergeCell ref="A80:A81"/>
    <mergeCell ref="A74:A77"/>
    <mergeCell ref="B74:B77"/>
    <mergeCell ref="C74:C77"/>
    <mergeCell ref="D74:E74"/>
    <mergeCell ref="F95:G95"/>
    <mergeCell ref="H95:I95"/>
    <mergeCell ref="C95:C96"/>
    <mergeCell ref="J78:J79"/>
    <mergeCell ref="G80:G81"/>
    <mergeCell ref="H80:H81"/>
    <mergeCell ref="I80:I81"/>
    <mergeCell ref="J80:J81"/>
    <mergeCell ref="C80:C81"/>
    <mergeCell ref="D80:D81"/>
    <mergeCell ref="E80:E81"/>
    <mergeCell ref="F80:F81"/>
    <mergeCell ref="I78:I79"/>
    <mergeCell ref="D78:D79"/>
    <mergeCell ref="E78:E79"/>
    <mergeCell ref="F78:F79"/>
    <mergeCell ref="Q11:Q14"/>
    <mergeCell ref="R11:R12"/>
    <mergeCell ref="R13:R14"/>
    <mergeCell ref="Q15:Q16"/>
    <mergeCell ref="R15:R16"/>
    <mergeCell ref="R3:R4"/>
    <mergeCell ref="R5:R6"/>
    <mergeCell ref="Q1:AD1"/>
    <mergeCell ref="Q7:Q10"/>
    <mergeCell ref="R7:R8"/>
    <mergeCell ref="R9:R10"/>
    <mergeCell ref="A1:M1"/>
    <mergeCell ref="A3:A6"/>
    <mergeCell ref="B3:B4"/>
    <mergeCell ref="B5:B6"/>
    <mergeCell ref="Q3:Q6"/>
    <mergeCell ref="A7:A10"/>
    <mergeCell ref="B7:B8"/>
    <mergeCell ref="B9:B10"/>
    <mergeCell ref="A11:A14"/>
    <mergeCell ref="B11:B12"/>
    <mergeCell ref="B13:B14"/>
    <mergeCell ref="B15:B16"/>
    <mergeCell ref="B17:B18"/>
    <mergeCell ref="A15:A18"/>
    <mergeCell ref="Y78:Y79"/>
    <mergeCell ref="F74:G74"/>
    <mergeCell ref="H74:I74"/>
    <mergeCell ref="D75:E75"/>
    <mergeCell ref="F75:G75"/>
    <mergeCell ref="H75:I75"/>
    <mergeCell ref="A78:A79"/>
    <mergeCell ref="C78:C79"/>
    <mergeCell ref="G78:G79"/>
    <mergeCell ref="H78:H79"/>
    <mergeCell ref="B70:B71"/>
    <mergeCell ref="S20:AG20"/>
    <mergeCell ref="S22:S33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40" r:id="rId4">
          <objectPr defaultSize="0" autoPict="0" r:id="rId5">
            <anchor moveWithCells="1" sizeWithCells="1">
              <from>
                <xdr:col>2</xdr:col>
                <xdr:colOff>0</xdr:colOff>
                <xdr:row>73</xdr:row>
                <xdr:rowOff>0</xdr:rowOff>
              </from>
              <to>
                <xdr:col>2</xdr:col>
                <xdr:colOff>152400</xdr:colOff>
                <xdr:row>75</xdr:row>
                <xdr:rowOff>7620</xdr:rowOff>
              </to>
            </anchor>
          </objectPr>
        </oleObject>
      </mc:Choice>
      <mc:Fallback>
        <oleObject progId="Equation.DSMT4" shapeId="1040" r:id="rId4"/>
      </mc:Fallback>
    </mc:AlternateContent>
    <mc:AlternateContent xmlns:mc="http://schemas.openxmlformats.org/markup-compatibility/2006">
      <mc:Choice Requires="x14">
        <oleObject progId="Equation.DSMT4" shapeId="1039" r:id="rId6">
          <objectPr defaultSize="0" autoPict="0" r:id="rId7">
            <anchor moveWithCells="1" sizeWithCells="1">
              <from>
                <xdr:col>3</xdr:col>
                <xdr:colOff>0</xdr:colOff>
                <xdr:row>74</xdr:row>
                <xdr:rowOff>0</xdr:rowOff>
              </from>
              <to>
                <xdr:col>4</xdr:col>
                <xdr:colOff>365760</xdr:colOff>
                <xdr:row>75</xdr:row>
                <xdr:rowOff>7620</xdr:rowOff>
              </to>
            </anchor>
          </objectPr>
        </oleObject>
      </mc:Choice>
      <mc:Fallback>
        <oleObject progId="Equation.DSMT4" shapeId="1039" r:id="rId6"/>
      </mc:Fallback>
    </mc:AlternateContent>
    <mc:AlternateContent xmlns:mc="http://schemas.openxmlformats.org/markup-compatibility/2006">
      <mc:Choice Requires="x14">
        <oleObject progId="Equation.DSMT4" shapeId="1038" r:id="rId8">
          <objectPr defaultSize="0" autoPict="0" r:id="rId9">
            <anchor moveWithCells="1" sizeWithCells="1">
              <from>
                <xdr:col>5</xdr:col>
                <xdr:colOff>0</xdr:colOff>
                <xdr:row>74</xdr:row>
                <xdr:rowOff>0</xdr:rowOff>
              </from>
              <to>
                <xdr:col>5</xdr:col>
                <xdr:colOff>533400</xdr:colOff>
                <xdr:row>75</xdr:row>
                <xdr:rowOff>15240</xdr:rowOff>
              </to>
            </anchor>
          </objectPr>
        </oleObject>
      </mc:Choice>
      <mc:Fallback>
        <oleObject progId="Equation.DSMT4" shapeId="1038" r:id="rId8"/>
      </mc:Fallback>
    </mc:AlternateContent>
    <mc:AlternateContent xmlns:mc="http://schemas.openxmlformats.org/markup-compatibility/2006">
      <mc:Choice Requires="x14">
        <oleObject progId="Equation.DSMT4" shapeId="1037" r:id="rId10">
          <objectPr defaultSize="0" autoPict="0" r:id="rId11">
            <anchor moveWithCells="1" sizeWithCells="1">
              <from>
                <xdr:col>7</xdr:col>
                <xdr:colOff>0</xdr:colOff>
                <xdr:row>74</xdr:row>
                <xdr:rowOff>0</xdr:rowOff>
              </from>
              <to>
                <xdr:col>7</xdr:col>
                <xdr:colOff>533400</xdr:colOff>
                <xdr:row>75</xdr:row>
                <xdr:rowOff>15240</xdr:rowOff>
              </to>
            </anchor>
          </objectPr>
        </oleObject>
      </mc:Choice>
      <mc:Fallback>
        <oleObject progId="Equation.DSMT4" shapeId="1037" r:id="rId10"/>
      </mc:Fallback>
    </mc:AlternateContent>
    <mc:AlternateContent xmlns:mc="http://schemas.openxmlformats.org/markup-compatibility/2006">
      <mc:Choice Requires="x14">
        <oleObject progId="Equation.DSMT4" shapeId="1036" r:id="rId12">
          <objectPr defaultSize="0" autoPict="0" r:id="rId13">
            <anchor moveWithCells="1" sizeWithCells="1">
              <from>
                <xdr:col>9</xdr:col>
                <xdr:colOff>0</xdr:colOff>
                <xdr:row>74</xdr:row>
                <xdr:rowOff>0</xdr:rowOff>
              </from>
              <to>
                <xdr:col>9</xdr:col>
                <xdr:colOff>601980</xdr:colOff>
                <xdr:row>75</xdr:row>
                <xdr:rowOff>15240</xdr:rowOff>
              </to>
            </anchor>
          </objectPr>
        </oleObject>
      </mc:Choice>
      <mc:Fallback>
        <oleObject progId="Equation.DSMT4" shapeId="1036" r:id="rId12"/>
      </mc:Fallback>
    </mc:AlternateContent>
    <mc:AlternateContent xmlns:mc="http://schemas.openxmlformats.org/markup-compatibility/2006">
      <mc:Choice Requires="x14">
        <oleObject progId="Equation.DSMT4" shapeId="1035" r:id="rId14">
          <objectPr defaultSize="0" autoPict="0" r:id="rId15">
            <anchor moveWithCells="1" sizeWithCells="1">
              <from>
                <xdr:col>3</xdr:col>
                <xdr:colOff>0</xdr:colOff>
                <xdr:row>76</xdr:row>
                <xdr:rowOff>0</xdr:rowOff>
              </from>
              <to>
                <xdr:col>3</xdr:col>
                <xdr:colOff>609600</xdr:colOff>
                <xdr:row>77</xdr:row>
                <xdr:rowOff>45720</xdr:rowOff>
              </to>
            </anchor>
          </objectPr>
        </oleObject>
      </mc:Choice>
      <mc:Fallback>
        <oleObject progId="Equation.DSMT4" shapeId="1035" r:id="rId14"/>
      </mc:Fallback>
    </mc:AlternateContent>
    <mc:AlternateContent xmlns:mc="http://schemas.openxmlformats.org/markup-compatibility/2006">
      <mc:Choice Requires="x14">
        <oleObject progId="Equation.DSMT4" shapeId="1034" r:id="rId16">
          <objectPr defaultSize="0" autoPict="0" r:id="rId17">
            <anchor moveWithCells="1" sizeWithCells="1">
              <from>
                <xdr:col>4</xdr:col>
                <xdr:colOff>0</xdr:colOff>
                <xdr:row>76</xdr:row>
                <xdr:rowOff>0</xdr:rowOff>
              </from>
              <to>
                <xdr:col>4</xdr:col>
                <xdr:colOff>609600</xdr:colOff>
                <xdr:row>77</xdr:row>
                <xdr:rowOff>45720</xdr:rowOff>
              </to>
            </anchor>
          </objectPr>
        </oleObject>
      </mc:Choice>
      <mc:Fallback>
        <oleObject progId="Equation.DSMT4" shapeId="1034" r:id="rId16"/>
      </mc:Fallback>
    </mc:AlternateContent>
    <mc:AlternateContent xmlns:mc="http://schemas.openxmlformats.org/markup-compatibility/2006">
      <mc:Choice Requires="x14">
        <oleObject progId="Equation.DSMT4" shapeId="1033" r:id="rId18">
          <objectPr defaultSize="0" autoPict="0" r:id="rId17">
            <anchor moveWithCells="1" sizeWithCells="1">
              <from>
                <xdr:col>5</xdr:col>
                <xdr:colOff>0</xdr:colOff>
                <xdr:row>76</xdr:row>
                <xdr:rowOff>0</xdr:rowOff>
              </from>
              <to>
                <xdr:col>5</xdr:col>
                <xdr:colOff>609600</xdr:colOff>
                <xdr:row>77</xdr:row>
                <xdr:rowOff>45720</xdr:rowOff>
              </to>
            </anchor>
          </objectPr>
        </oleObject>
      </mc:Choice>
      <mc:Fallback>
        <oleObject progId="Equation.DSMT4" shapeId="1033" r:id="rId18"/>
      </mc:Fallback>
    </mc:AlternateContent>
    <mc:AlternateContent xmlns:mc="http://schemas.openxmlformats.org/markup-compatibility/2006">
      <mc:Choice Requires="x14">
        <oleObject progId="Equation.DSMT4" shapeId="1032" r:id="rId19">
          <objectPr defaultSize="0" autoPict="0" r:id="rId20">
            <anchor moveWithCells="1" sizeWithCells="1">
              <from>
                <xdr:col>6</xdr:col>
                <xdr:colOff>0</xdr:colOff>
                <xdr:row>76</xdr:row>
                <xdr:rowOff>0</xdr:rowOff>
              </from>
              <to>
                <xdr:col>6</xdr:col>
                <xdr:colOff>609600</xdr:colOff>
                <xdr:row>77</xdr:row>
                <xdr:rowOff>45720</xdr:rowOff>
              </to>
            </anchor>
          </objectPr>
        </oleObject>
      </mc:Choice>
      <mc:Fallback>
        <oleObject progId="Equation.DSMT4" shapeId="1032" r:id="rId19"/>
      </mc:Fallback>
    </mc:AlternateContent>
    <mc:AlternateContent xmlns:mc="http://schemas.openxmlformats.org/markup-compatibility/2006">
      <mc:Choice Requires="x14">
        <oleObject progId="Equation.DSMT4" shapeId="1031" r:id="rId21">
          <objectPr defaultSize="0" autoPict="0" r:id="rId20">
            <anchor moveWithCells="1" sizeWithCells="1">
              <from>
                <xdr:col>7</xdr:col>
                <xdr:colOff>0</xdr:colOff>
                <xdr:row>76</xdr:row>
                <xdr:rowOff>0</xdr:rowOff>
              </from>
              <to>
                <xdr:col>7</xdr:col>
                <xdr:colOff>609600</xdr:colOff>
                <xdr:row>77</xdr:row>
                <xdr:rowOff>45720</xdr:rowOff>
              </to>
            </anchor>
          </objectPr>
        </oleObject>
      </mc:Choice>
      <mc:Fallback>
        <oleObject progId="Equation.DSMT4" shapeId="1031" r:id="rId21"/>
      </mc:Fallback>
    </mc:AlternateContent>
    <mc:AlternateContent xmlns:mc="http://schemas.openxmlformats.org/markup-compatibility/2006">
      <mc:Choice Requires="x14">
        <oleObject progId="Equation.DSMT4" shapeId="1030" r:id="rId22">
          <objectPr defaultSize="0" autoPict="0" r:id="rId23">
            <anchor moveWithCells="1" sizeWithCells="1">
              <from>
                <xdr:col>8</xdr:col>
                <xdr:colOff>0</xdr:colOff>
                <xdr:row>76</xdr:row>
                <xdr:rowOff>0</xdr:rowOff>
              </from>
              <to>
                <xdr:col>8</xdr:col>
                <xdr:colOff>609600</xdr:colOff>
                <xdr:row>77</xdr:row>
                <xdr:rowOff>45720</xdr:rowOff>
              </to>
            </anchor>
          </objectPr>
        </oleObject>
      </mc:Choice>
      <mc:Fallback>
        <oleObject progId="Equation.DSMT4" shapeId="1030" r:id="rId22"/>
      </mc:Fallback>
    </mc:AlternateContent>
    <mc:AlternateContent xmlns:mc="http://schemas.openxmlformats.org/markup-compatibility/2006">
      <mc:Choice Requires="x14">
        <oleObject progId="Equation.DSMT4" shapeId="1029" r:id="rId24">
          <objectPr defaultSize="0" autoPict="0" r:id="rId23">
            <anchor moveWithCells="1" sizeWithCells="1">
              <from>
                <xdr:col>9</xdr:col>
                <xdr:colOff>0</xdr:colOff>
                <xdr:row>76</xdr:row>
                <xdr:rowOff>0</xdr:rowOff>
              </from>
              <to>
                <xdr:col>9</xdr:col>
                <xdr:colOff>609600</xdr:colOff>
                <xdr:row>77</xdr:row>
                <xdr:rowOff>45720</xdr:rowOff>
              </to>
            </anchor>
          </objectPr>
        </oleObject>
      </mc:Choice>
      <mc:Fallback>
        <oleObject progId="Equation.DSMT4" shapeId="1029" r:id="rId24"/>
      </mc:Fallback>
    </mc:AlternateContent>
    <mc:AlternateContent xmlns:mc="http://schemas.openxmlformats.org/markup-compatibility/2006">
      <mc:Choice Requires="x14">
        <oleObject progId="Equation.DSMT4" shapeId="1028" r:id="rId25">
          <objectPr defaultSize="0" autoPict="0" r:id="rId26">
            <anchor moveWithCells="1" siz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198120</xdr:colOff>
                <xdr:row>78</xdr:row>
                <xdr:rowOff>45720</xdr:rowOff>
              </to>
            </anchor>
          </objectPr>
        </oleObject>
      </mc:Choice>
      <mc:Fallback>
        <oleObject progId="Equation.DSMT4" shapeId="1028" r:id="rId25"/>
      </mc:Fallback>
    </mc:AlternateContent>
    <mc:AlternateContent xmlns:mc="http://schemas.openxmlformats.org/markup-compatibility/2006">
      <mc:Choice Requires="x14">
        <oleObject progId="Equation.DSMT4" shapeId="1027" r:id="rId27">
          <objectPr defaultSize="0" autoPict="0" r:id="rId28">
            <anchor moveWithCells="1" sizeWithCells="1">
              <from>
                <xdr:col>2</xdr:col>
                <xdr:colOff>0</xdr:colOff>
                <xdr:row>77</xdr:row>
                <xdr:rowOff>0</xdr:rowOff>
              </from>
              <to>
                <xdr:col>2</xdr:col>
                <xdr:colOff>152400</xdr:colOff>
                <xdr:row>79</xdr:row>
                <xdr:rowOff>53340</xdr:rowOff>
              </to>
            </anchor>
          </objectPr>
        </oleObject>
      </mc:Choice>
      <mc:Fallback>
        <oleObject progId="Equation.DSMT4" shapeId="1027" r:id="rId27"/>
      </mc:Fallback>
    </mc:AlternateContent>
    <mc:AlternateContent xmlns:mc="http://schemas.openxmlformats.org/markup-compatibility/2006">
      <mc:Choice Requires="x14">
        <oleObject progId="Equation.DSMT4" shapeId="1026" r:id="rId29">
          <objectPr defaultSize="0" autoPict="0" r:id="rId30">
            <anchor moveWithCells="1" sizeWithCells="1">
              <from>
                <xdr:col>0</xdr:col>
                <xdr:colOff>0</xdr:colOff>
                <xdr:row>79</xdr:row>
                <xdr:rowOff>0</xdr:rowOff>
              </from>
              <to>
                <xdr:col>0</xdr:col>
                <xdr:colOff>198120</xdr:colOff>
                <xdr:row>80</xdr:row>
                <xdr:rowOff>45720</xdr:rowOff>
              </to>
            </anchor>
          </objectPr>
        </oleObject>
      </mc:Choice>
      <mc:Fallback>
        <oleObject progId="Equation.DSMT4" shapeId="1026" r:id="rId29"/>
      </mc:Fallback>
    </mc:AlternateContent>
    <mc:AlternateContent xmlns:mc="http://schemas.openxmlformats.org/markup-compatibility/2006">
      <mc:Choice Requires="x14">
        <oleObject progId="Equation.DSMT4" shapeId="1025" r:id="rId31">
          <objectPr defaultSize="0" autoPict="0" r:id="rId32">
            <anchor moveWithCells="1" sizeWithCells="1">
              <from>
                <xdr:col>2</xdr:col>
                <xdr:colOff>0</xdr:colOff>
                <xdr:row>79</xdr:row>
                <xdr:rowOff>0</xdr:rowOff>
              </from>
              <to>
                <xdr:col>2</xdr:col>
                <xdr:colOff>152400</xdr:colOff>
                <xdr:row>81</xdr:row>
                <xdr:rowOff>53340</xdr:rowOff>
              </to>
            </anchor>
          </objectPr>
        </oleObject>
      </mc:Choice>
      <mc:Fallback>
        <oleObject progId="Equation.DSMT4" shapeId="1025" r:id="rId3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zoomScale="85" zoomScaleNormal="85" workbookViewId="0">
      <selection activeCell="E15" sqref="E15"/>
    </sheetView>
  </sheetViews>
  <sheetFormatPr defaultRowHeight="14.4"/>
  <cols>
    <col min="2" max="21" width="8.88671875" style="12"/>
  </cols>
  <sheetData>
    <row r="1" spans="1:21" ht="108.6" customHeight="1">
      <c r="B1" s="29" t="s">
        <v>7</v>
      </c>
      <c r="C1" s="29" t="s">
        <v>8</v>
      </c>
      <c r="D1" s="29" t="s">
        <v>9</v>
      </c>
      <c r="E1" s="29" t="s">
        <v>10</v>
      </c>
      <c r="F1" s="29" t="s">
        <v>11</v>
      </c>
      <c r="G1" s="29" t="s">
        <v>91</v>
      </c>
      <c r="H1" s="29" t="s">
        <v>92</v>
      </c>
      <c r="I1" s="29" t="s">
        <v>12</v>
      </c>
      <c r="J1" s="29" t="s">
        <v>94</v>
      </c>
      <c r="K1" s="29" t="s">
        <v>93</v>
      </c>
      <c r="L1" s="29" t="s">
        <v>99</v>
      </c>
      <c r="M1" s="29" t="s">
        <v>100</v>
      </c>
      <c r="N1" s="29" t="s">
        <v>19</v>
      </c>
      <c r="O1" s="8" t="s">
        <v>20</v>
      </c>
      <c r="P1" s="8" t="s">
        <v>15</v>
      </c>
      <c r="Q1" s="8" t="s">
        <v>76</v>
      </c>
      <c r="R1" s="8" t="s">
        <v>97</v>
      </c>
      <c r="S1" s="8" t="s">
        <v>98</v>
      </c>
      <c r="T1" s="8" t="s">
        <v>95</v>
      </c>
      <c r="U1" s="8" t="s">
        <v>96</v>
      </c>
    </row>
    <row r="2" spans="1:21">
      <c r="A2" s="81" t="s">
        <v>101</v>
      </c>
      <c r="B2" s="84" t="s">
        <v>2</v>
      </c>
      <c r="C2" s="65" t="s">
        <v>85</v>
      </c>
      <c r="D2" s="2">
        <v>721</v>
      </c>
      <c r="E2" s="1">
        <v>5</v>
      </c>
      <c r="F2" s="1">
        <v>50</v>
      </c>
      <c r="G2" s="4">
        <f t="shared" ref="G2:G31" si="0">0.41*D2*E2*F2/1000*2</f>
        <v>147.80499999999998</v>
      </c>
      <c r="H2" s="4">
        <f t="shared" ref="H2:H31" si="1">1/SQRT(3)*E2*F2*D2/1000*2</f>
        <v>208.13477204286011</v>
      </c>
      <c r="I2" s="1">
        <v>10</v>
      </c>
      <c r="J2" s="1">
        <v>848</v>
      </c>
      <c r="K2" s="45">
        <v>920</v>
      </c>
      <c r="L2" s="4">
        <f>J2*I2*F2/1000</f>
        <v>424</v>
      </c>
      <c r="M2" s="4">
        <f>I2*K2*F2/1000</f>
        <v>460</v>
      </c>
      <c r="N2" s="1">
        <v>10</v>
      </c>
      <c r="O2" s="1">
        <v>50</v>
      </c>
      <c r="P2" s="4">
        <f t="shared" ref="P2:P13" si="2">1/SQRT(3)*N2*O2*D2/1000*2</f>
        <v>416.26954408572021</v>
      </c>
      <c r="Q2" s="31">
        <f t="shared" ref="Q2:Q14" si="3">P2/H2</f>
        <v>2</v>
      </c>
      <c r="R2" s="31">
        <f t="shared" ref="R2:R14" si="4">L2/G2</f>
        <v>2.8686444978180714</v>
      </c>
      <c r="S2" s="31">
        <f t="shared" ref="S2:S14" si="5">L2/H2</f>
        <v>2.0371415878202606</v>
      </c>
      <c r="T2" s="31">
        <f>M2/G2</f>
        <v>3.112208653293191</v>
      </c>
      <c r="U2" s="31">
        <f>M2/H2</f>
        <v>2.2101064396163204</v>
      </c>
    </row>
    <row r="3" spans="1:21">
      <c r="A3" s="81"/>
      <c r="B3" s="84"/>
      <c r="C3" s="65"/>
      <c r="D3" s="2">
        <v>721</v>
      </c>
      <c r="E3" s="1">
        <v>6</v>
      </c>
      <c r="F3" s="1">
        <v>50</v>
      </c>
      <c r="G3" s="4">
        <f t="shared" si="0"/>
        <v>177.36600000000001</v>
      </c>
      <c r="H3" s="4">
        <f t="shared" si="1"/>
        <v>249.76172645143214</v>
      </c>
      <c r="I3" s="1">
        <v>10</v>
      </c>
      <c r="J3" s="1">
        <v>848</v>
      </c>
      <c r="K3" s="45">
        <v>920</v>
      </c>
      <c r="L3" s="4">
        <f t="shared" ref="L3:L31" si="6">J3*I3*F3/1000</f>
        <v>424</v>
      </c>
      <c r="M3" s="4">
        <f t="shared" ref="M3:M31" si="7">I3*K3*F3/1000</f>
        <v>460</v>
      </c>
      <c r="N3" s="1">
        <v>10</v>
      </c>
      <c r="O3" s="1">
        <v>50</v>
      </c>
      <c r="P3" s="4">
        <f t="shared" si="2"/>
        <v>416.26954408572021</v>
      </c>
      <c r="Q3" s="31">
        <f t="shared" si="3"/>
        <v>1.6666666666666665</v>
      </c>
      <c r="R3" s="31">
        <f t="shared" si="4"/>
        <v>2.3905370815150593</v>
      </c>
      <c r="S3" s="31">
        <f t="shared" si="5"/>
        <v>1.6976179898502171</v>
      </c>
      <c r="T3" s="31">
        <f t="shared" ref="T3:T31" si="8">M3/G3</f>
        <v>2.5935072110776582</v>
      </c>
      <c r="U3" s="31">
        <f t="shared" ref="U3:U31" si="9">M3/H3</f>
        <v>1.8417553663469335</v>
      </c>
    </row>
    <row r="4" spans="1:21">
      <c r="A4" s="81"/>
      <c r="B4" s="84"/>
      <c r="C4" s="65" t="s">
        <v>79</v>
      </c>
      <c r="D4" s="2">
        <v>867</v>
      </c>
      <c r="E4" s="1">
        <v>5</v>
      </c>
      <c r="F4" s="1">
        <v>50</v>
      </c>
      <c r="G4" s="4">
        <f t="shared" si="0"/>
        <v>177.73500000000001</v>
      </c>
      <c r="H4" s="4">
        <f t="shared" si="1"/>
        <v>250.28134169370279</v>
      </c>
      <c r="I4" s="1">
        <v>10</v>
      </c>
      <c r="J4" s="1">
        <v>848</v>
      </c>
      <c r="K4" s="45">
        <v>920</v>
      </c>
      <c r="L4" s="4">
        <f t="shared" si="6"/>
        <v>424</v>
      </c>
      <c r="M4" s="4">
        <f t="shared" si="7"/>
        <v>460</v>
      </c>
      <c r="N4" s="1">
        <v>10</v>
      </c>
      <c r="O4" s="1">
        <v>50</v>
      </c>
      <c r="P4" s="4">
        <f t="shared" si="2"/>
        <v>500.56268338740557</v>
      </c>
      <c r="Q4" s="31">
        <f t="shared" si="3"/>
        <v>2</v>
      </c>
      <c r="R4" s="31">
        <f t="shared" si="4"/>
        <v>2.3855740287506682</v>
      </c>
      <c r="S4" s="31">
        <f t="shared" si="5"/>
        <v>1.6940935234353032</v>
      </c>
      <c r="T4" s="31">
        <f t="shared" si="8"/>
        <v>2.5881227670408191</v>
      </c>
      <c r="U4" s="31">
        <f t="shared" si="9"/>
        <v>1.8379316527835836</v>
      </c>
    </row>
    <row r="5" spans="1:21">
      <c r="A5" s="81"/>
      <c r="B5" s="84"/>
      <c r="C5" s="65"/>
      <c r="D5" s="2">
        <v>867</v>
      </c>
      <c r="E5" s="1">
        <v>6</v>
      </c>
      <c r="F5" s="1">
        <v>50</v>
      </c>
      <c r="G5" s="4">
        <f t="shared" si="0"/>
        <v>213.28199999999998</v>
      </c>
      <c r="H5" s="4">
        <f t="shared" si="1"/>
        <v>300.33761003244337</v>
      </c>
      <c r="I5" s="1">
        <v>10</v>
      </c>
      <c r="J5" s="1">
        <v>848</v>
      </c>
      <c r="K5" s="45">
        <v>920</v>
      </c>
      <c r="L5" s="4">
        <f t="shared" si="6"/>
        <v>424</v>
      </c>
      <c r="M5" s="4">
        <f t="shared" si="7"/>
        <v>460</v>
      </c>
      <c r="N5" s="1">
        <v>10</v>
      </c>
      <c r="O5" s="1">
        <v>50</v>
      </c>
      <c r="P5" s="4">
        <f t="shared" si="2"/>
        <v>500.56268338740557</v>
      </c>
      <c r="Q5" s="31">
        <f t="shared" si="3"/>
        <v>1.6666666666666665</v>
      </c>
      <c r="R5" s="31">
        <f t="shared" si="4"/>
        <v>1.9879783572922236</v>
      </c>
      <c r="S5" s="31">
        <f t="shared" si="5"/>
        <v>1.4117446028627525</v>
      </c>
      <c r="T5" s="31">
        <f t="shared" si="8"/>
        <v>2.156768972534016</v>
      </c>
      <c r="U5" s="31">
        <f t="shared" si="9"/>
        <v>1.5316097106529862</v>
      </c>
    </row>
    <row r="6" spans="1:21">
      <c r="A6" s="81"/>
      <c r="B6" s="84"/>
      <c r="C6" s="65" t="s">
        <v>80</v>
      </c>
      <c r="D6" s="2">
        <v>941</v>
      </c>
      <c r="E6" s="1">
        <v>5</v>
      </c>
      <c r="F6" s="1">
        <v>50</v>
      </c>
      <c r="G6" s="4">
        <f t="shared" si="0"/>
        <v>192.905</v>
      </c>
      <c r="H6" s="4">
        <f t="shared" si="1"/>
        <v>271.64330165371894</v>
      </c>
      <c r="I6" s="1">
        <v>10</v>
      </c>
      <c r="J6" s="1">
        <v>848</v>
      </c>
      <c r="K6" s="45">
        <v>920</v>
      </c>
      <c r="L6" s="4">
        <f t="shared" si="6"/>
        <v>424</v>
      </c>
      <c r="M6" s="4">
        <f t="shared" si="7"/>
        <v>460</v>
      </c>
      <c r="N6" s="1">
        <v>10</v>
      </c>
      <c r="O6" s="1">
        <v>50</v>
      </c>
      <c r="P6" s="4">
        <f t="shared" si="2"/>
        <v>543.28660330743787</v>
      </c>
      <c r="Q6" s="31">
        <f t="shared" si="3"/>
        <v>2</v>
      </c>
      <c r="R6" s="31">
        <f t="shared" si="4"/>
        <v>2.1979730955651746</v>
      </c>
      <c r="S6" s="31">
        <f t="shared" si="5"/>
        <v>1.5608704408272134</v>
      </c>
      <c r="T6" s="31">
        <f t="shared" si="8"/>
        <v>2.3845934527358024</v>
      </c>
      <c r="U6" s="31">
        <f t="shared" si="9"/>
        <v>1.6933971763691467</v>
      </c>
    </row>
    <row r="7" spans="1:21">
      <c r="A7" s="81"/>
      <c r="B7" s="84"/>
      <c r="C7" s="65"/>
      <c r="D7" s="2">
        <v>941</v>
      </c>
      <c r="E7" s="1">
        <v>6</v>
      </c>
      <c r="F7" s="1">
        <v>50</v>
      </c>
      <c r="G7" s="4">
        <f t="shared" si="0"/>
        <v>231.48599999999999</v>
      </c>
      <c r="H7" s="4">
        <f t="shared" si="1"/>
        <v>325.97196198446272</v>
      </c>
      <c r="I7" s="1">
        <v>10</v>
      </c>
      <c r="J7" s="1">
        <v>848</v>
      </c>
      <c r="K7" s="45">
        <v>920</v>
      </c>
      <c r="L7" s="4">
        <f t="shared" si="6"/>
        <v>424</v>
      </c>
      <c r="M7" s="4">
        <f t="shared" si="7"/>
        <v>460</v>
      </c>
      <c r="N7" s="1">
        <v>10</v>
      </c>
      <c r="O7" s="1">
        <v>50</v>
      </c>
      <c r="P7" s="4">
        <f t="shared" si="2"/>
        <v>543.28660330743787</v>
      </c>
      <c r="Q7" s="31">
        <f t="shared" si="3"/>
        <v>1.6666666666666667</v>
      </c>
      <c r="R7" s="31">
        <f t="shared" si="4"/>
        <v>1.8316442463043123</v>
      </c>
      <c r="S7" s="31">
        <f t="shared" si="5"/>
        <v>1.3007253673560113</v>
      </c>
      <c r="T7" s="31">
        <f t="shared" si="8"/>
        <v>1.9871612106131689</v>
      </c>
      <c r="U7" s="31">
        <f t="shared" si="9"/>
        <v>1.4111643136409555</v>
      </c>
    </row>
    <row r="8" spans="1:21">
      <c r="A8" s="81"/>
      <c r="B8" s="84"/>
      <c r="C8" s="65" t="s">
        <v>86</v>
      </c>
      <c r="D8" s="2">
        <v>905</v>
      </c>
      <c r="E8" s="1">
        <v>5</v>
      </c>
      <c r="F8" s="1">
        <v>50</v>
      </c>
      <c r="G8" s="4">
        <f t="shared" si="0"/>
        <v>185.52499999999998</v>
      </c>
      <c r="H8" s="4">
        <f t="shared" si="1"/>
        <v>261.25099680830567</v>
      </c>
      <c r="I8" s="1">
        <v>10</v>
      </c>
      <c r="J8" s="1">
        <v>848</v>
      </c>
      <c r="K8" s="45">
        <v>920</v>
      </c>
      <c r="L8" s="4">
        <f t="shared" si="6"/>
        <v>424</v>
      </c>
      <c r="M8" s="4">
        <f t="shared" si="7"/>
        <v>460</v>
      </c>
      <c r="N8" s="1">
        <v>10</v>
      </c>
      <c r="O8" s="1">
        <v>50</v>
      </c>
      <c r="P8" s="4">
        <f t="shared" si="2"/>
        <v>522.50199361661134</v>
      </c>
      <c r="Q8" s="31">
        <f t="shared" si="3"/>
        <v>2</v>
      </c>
      <c r="R8" s="31">
        <f t="shared" si="4"/>
        <v>2.2854062794771597</v>
      </c>
      <c r="S8" s="31">
        <f t="shared" si="5"/>
        <v>1.6229603147164728</v>
      </c>
      <c r="T8" s="31">
        <f t="shared" si="8"/>
        <v>2.4794502088667301</v>
      </c>
      <c r="U8" s="31">
        <f t="shared" si="9"/>
        <v>1.7607588320037204</v>
      </c>
    </row>
    <row r="9" spans="1:21">
      <c r="A9" s="81"/>
      <c r="B9" s="84"/>
      <c r="C9" s="65"/>
      <c r="D9" s="2">
        <v>905</v>
      </c>
      <c r="E9" s="1">
        <v>6</v>
      </c>
      <c r="F9" s="1">
        <v>50</v>
      </c>
      <c r="G9" s="4">
        <f t="shared" si="0"/>
        <v>222.62999999999997</v>
      </c>
      <c r="H9" s="4">
        <f t="shared" si="1"/>
        <v>313.50119616996682</v>
      </c>
      <c r="I9" s="1">
        <v>10</v>
      </c>
      <c r="J9" s="1">
        <v>848</v>
      </c>
      <c r="K9" s="45">
        <v>920</v>
      </c>
      <c r="L9" s="4">
        <f t="shared" si="6"/>
        <v>424</v>
      </c>
      <c r="M9" s="4">
        <f t="shared" si="7"/>
        <v>460</v>
      </c>
      <c r="N9" s="1">
        <v>10</v>
      </c>
      <c r="O9" s="1">
        <v>50</v>
      </c>
      <c r="P9" s="4">
        <f t="shared" si="2"/>
        <v>522.50199361661134</v>
      </c>
      <c r="Q9" s="31">
        <f t="shared" si="3"/>
        <v>1.6666666666666665</v>
      </c>
      <c r="R9" s="31">
        <f t="shared" si="4"/>
        <v>1.9045052328976331</v>
      </c>
      <c r="S9" s="31">
        <f t="shared" si="5"/>
        <v>1.3524669289303939</v>
      </c>
      <c r="T9" s="31">
        <f t="shared" si="8"/>
        <v>2.0662085073889416</v>
      </c>
      <c r="U9" s="31">
        <f t="shared" si="9"/>
        <v>1.467299026669767</v>
      </c>
    </row>
    <row r="10" spans="1:21">
      <c r="A10" s="81"/>
      <c r="B10" s="84"/>
      <c r="C10" s="65" t="s">
        <v>5</v>
      </c>
      <c r="D10" s="2">
        <v>893</v>
      </c>
      <c r="E10" s="1">
        <v>5</v>
      </c>
      <c r="F10" s="1">
        <v>50</v>
      </c>
      <c r="G10" s="4">
        <f t="shared" si="0"/>
        <v>183.065</v>
      </c>
      <c r="H10" s="4">
        <f t="shared" si="1"/>
        <v>257.78689519316794</v>
      </c>
      <c r="I10" s="1">
        <v>10</v>
      </c>
      <c r="J10" s="1">
        <v>848</v>
      </c>
      <c r="K10" s="45">
        <v>920</v>
      </c>
      <c r="L10" s="4">
        <f t="shared" si="6"/>
        <v>424</v>
      </c>
      <c r="M10" s="4">
        <f t="shared" si="7"/>
        <v>460</v>
      </c>
      <c r="N10" s="1">
        <v>10</v>
      </c>
      <c r="O10" s="1">
        <v>50</v>
      </c>
      <c r="P10" s="4">
        <f t="shared" si="2"/>
        <v>515.57379038633587</v>
      </c>
      <c r="Q10" s="31">
        <f t="shared" si="3"/>
        <v>2</v>
      </c>
      <c r="R10" s="31">
        <f t="shared" si="4"/>
        <v>2.3161172261218694</v>
      </c>
      <c r="S10" s="31">
        <f t="shared" si="5"/>
        <v>1.6447694118907141</v>
      </c>
      <c r="T10" s="31">
        <f t="shared" si="8"/>
        <v>2.5127686887171223</v>
      </c>
      <c r="U10" s="31">
        <f t="shared" si="9"/>
        <v>1.7844196449757748</v>
      </c>
    </row>
    <row r="11" spans="1:21">
      <c r="A11" s="81"/>
      <c r="B11" s="84"/>
      <c r="C11" s="65"/>
      <c r="D11" s="2">
        <v>893</v>
      </c>
      <c r="E11" s="1">
        <v>6</v>
      </c>
      <c r="F11" s="1">
        <v>50</v>
      </c>
      <c r="G11" s="4">
        <f t="shared" si="0"/>
        <v>219.67799999999997</v>
      </c>
      <c r="H11" s="4">
        <f t="shared" si="1"/>
        <v>309.34427423180153</v>
      </c>
      <c r="I11" s="1">
        <v>10</v>
      </c>
      <c r="J11" s="1">
        <v>848</v>
      </c>
      <c r="K11" s="45">
        <v>920</v>
      </c>
      <c r="L11" s="4">
        <f t="shared" si="6"/>
        <v>424</v>
      </c>
      <c r="M11" s="4">
        <f t="shared" si="7"/>
        <v>460</v>
      </c>
      <c r="N11" s="1">
        <v>10</v>
      </c>
      <c r="O11" s="1">
        <v>50</v>
      </c>
      <c r="P11" s="4">
        <f t="shared" si="2"/>
        <v>515.57379038633587</v>
      </c>
      <c r="Q11" s="31">
        <f t="shared" si="3"/>
        <v>1.6666666666666665</v>
      </c>
      <c r="R11" s="31">
        <f t="shared" si="4"/>
        <v>1.9300976884348913</v>
      </c>
      <c r="S11" s="31">
        <f t="shared" si="5"/>
        <v>1.370641176575595</v>
      </c>
      <c r="T11" s="31">
        <f t="shared" si="8"/>
        <v>2.0939739072642691</v>
      </c>
      <c r="U11" s="31">
        <f t="shared" si="9"/>
        <v>1.4870163708131456</v>
      </c>
    </row>
    <row r="12" spans="1:21">
      <c r="A12" s="81"/>
      <c r="B12" s="84"/>
      <c r="C12" s="65" t="s">
        <v>87</v>
      </c>
      <c r="D12" s="2">
        <v>1069</v>
      </c>
      <c r="E12" s="1">
        <v>5</v>
      </c>
      <c r="F12" s="1">
        <v>50</v>
      </c>
      <c r="G12" s="4">
        <f t="shared" si="0"/>
        <v>219.14499999999998</v>
      </c>
      <c r="H12" s="4">
        <f t="shared" si="1"/>
        <v>308.59371888185501</v>
      </c>
      <c r="I12" s="1">
        <v>10</v>
      </c>
      <c r="J12" s="1">
        <v>848</v>
      </c>
      <c r="K12" s="45">
        <v>920</v>
      </c>
      <c r="L12" s="4">
        <f t="shared" si="6"/>
        <v>424</v>
      </c>
      <c r="M12" s="4">
        <f t="shared" si="7"/>
        <v>460</v>
      </c>
      <c r="N12" s="1">
        <v>10</v>
      </c>
      <c r="O12" s="1">
        <v>50</v>
      </c>
      <c r="P12" s="4">
        <f t="shared" si="2"/>
        <v>617.18743776371002</v>
      </c>
      <c r="Q12" s="31">
        <f t="shared" si="3"/>
        <v>2</v>
      </c>
      <c r="R12" s="52">
        <f t="shared" si="4"/>
        <v>1.9347920326724317</v>
      </c>
      <c r="S12" s="52">
        <f t="shared" si="5"/>
        <v>1.3739748220939267</v>
      </c>
      <c r="T12" s="31">
        <f t="shared" si="8"/>
        <v>2.0990668278993363</v>
      </c>
      <c r="U12" s="31">
        <f t="shared" si="9"/>
        <v>1.4906330617056753</v>
      </c>
    </row>
    <row r="13" spans="1:21" s="54" customFormat="1">
      <c r="A13" s="81"/>
      <c r="B13" s="84"/>
      <c r="C13" s="65"/>
      <c r="D13" s="2">
        <v>1069</v>
      </c>
      <c r="E13" s="1">
        <v>6</v>
      </c>
      <c r="F13" s="1">
        <v>50</v>
      </c>
      <c r="G13" s="4">
        <f t="shared" si="0"/>
        <v>262.97399999999999</v>
      </c>
      <c r="H13" s="4">
        <f t="shared" si="1"/>
        <v>370.31246265822602</v>
      </c>
      <c r="I13" s="1">
        <v>10</v>
      </c>
      <c r="J13" s="1">
        <v>848</v>
      </c>
      <c r="K13" s="45">
        <v>920</v>
      </c>
      <c r="L13" s="4">
        <f t="shared" si="6"/>
        <v>424</v>
      </c>
      <c r="M13" s="4">
        <f t="shared" si="7"/>
        <v>460</v>
      </c>
      <c r="N13" s="1">
        <v>10</v>
      </c>
      <c r="O13" s="1">
        <v>50</v>
      </c>
      <c r="P13" s="4">
        <f t="shared" si="2"/>
        <v>617.18743776371002</v>
      </c>
      <c r="Q13" s="31">
        <f t="shared" si="3"/>
        <v>1.6666666666666665</v>
      </c>
      <c r="R13" s="31">
        <f t="shared" si="4"/>
        <v>1.6123266938936929</v>
      </c>
      <c r="S13" s="31">
        <f t="shared" si="5"/>
        <v>1.1449790184116055</v>
      </c>
      <c r="T13" s="31">
        <f t="shared" si="8"/>
        <v>1.74922235658278</v>
      </c>
      <c r="U13" s="31">
        <f t="shared" si="9"/>
        <v>1.2421942180880627</v>
      </c>
    </row>
    <row r="14" spans="1:21">
      <c r="A14" s="81" t="s">
        <v>102</v>
      </c>
      <c r="B14" s="84" t="s">
        <v>2</v>
      </c>
      <c r="C14" s="65" t="s">
        <v>85</v>
      </c>
      <c r="D14" s="2">
        <v>721</v>
      </c>
      <c r="E14" s="1">
        <v>10</v>
      </c>
      <c r="F14" s="1">
        <v>70</v>
      </c>
      <c r="G14" s="4">
        <f t="shared" si="0"/>
        <v>413.85399999999993</v>
      </c>
      <c r="H14" s="4">
        <f t="shared" si="1"/>
        <v>582.77736172000834</v>
      </c>
      <c r="I14" s="1">
        <v>20</v>
      </c>
      <c r="J14" s="1">
        <v>848</v>
      </c>
      <c r="K14" s="45">
        <v>920</v>
      </c>
      <c r="L14" s="4">
        <f t="shared" si="6"/>
        <v>1187.2</v>
      </c>
      <c r="M14" s="4">
        <f t="shared" si="7"/>
        <v>1288</v>
      </c>
      <c r="N14" s="1">
        <v>20</v>
      </c>
      <c r="O14" s="1">
        <v>70</v>
      </c>
      <c r="P14" s="4">
        <f t="shared" ref="P14:P31" si="10">1/SQRT(3)*N14*O14*D14/1000*2</f>
        <v>1165.5547234400167</v>
      </c>
      <c r="Q14" s="31">
        <f t="shared" si="3"/>
        <v>2</v>
      </c>
      <c r="R14" s="31">
        <f t="shared" si="4"/>
        <v>2.8686444978180718</v>
      </c>
      <c r="S14" s="31">
        <f t="shared" si="5"/>
        <v>2.0371415878202606</v>
      </c>
      <c r="T14" s="31">
        <f t="shared" si="8"/>
        <v>3.112208653293191</v>
      </c>
      <c r="U14" s="31">
        <f t="shared" si="9"/>
        <v>2.2101064396163204</v>
      </c>
    </row>
    <row r="15" spans="1:21">
      <c r="A15" s="81"/>
      <c r="B15" s="84"/>
      <c r="C15" s="65"/>
      <c r="D15" s="2">
        <v>721</v>
      </c>
      <c r="E15" s="45">
        <v>12</v>
      </c>
      <c r="F15" s="45">
        <v>70</v>
      </c>
      <c r="G15" s="4">
        <f t="shared" si="0"/>
        <v>496.62479999999994</v>
      </c>
      <c r="H15" s="4">
        <f t="shared" si="1"/>
        <v>699.33283406401006</v>
      </c>
      <c r="I15" s="1">
        <v>20</v>
      </c>
      <c r="J15" s="1">
        <v>848</v>
      </c>
      <c r="K15" s="45">
        <v>920</v>
      </c>
      <c r="L15" s="4">
        <f t="shared" si="6"/>
        <v>1187.2</v>
      </c>
      <c r="M15" s="4">
        <f t="shared" si="7"/>
        <v>1288</v>
      </c>
      <c r="N15" s="1">
        <v>20</v>
      </c>
      <c r="O15" s="1">
        <v>70</v>
      </c>
      <c r="P15" s="4">
        <f t="shared" si="10"/>
        <v>1165.5547234400167</v>
      </c>
      <c r="Q15" s="31">
        <f t="shared" ref="Q15:Q31" si="11">P15/H15</f>
        <v>1.6666666666666665</v>
      </c>
      <c r="R15" s="31">
        <f t="shared" ref="R15:R31" si="12">L15/G15</f>
        <v>2.3905370815150597</v>
      </c>
      <c r="S15" s="31">
        <f t="shared" ref="S15:S31" si="13">L15/H15</f>
        <v>1.6976179898502168</v>
      </c>
      <c r="T15" s="31">
        <f t="shared" si="8"/>
        <v>2.5935072110776591</v>
      </c>
      <c r="U15" s="31">
        <f t="shared" si="9"/>
        <v>1.8417553663469333</v>
      </c>
    </row>
    <row r="16" spans="1:21">
      <c r="A16" s="81"/>
      <c r="B16" s="84"/>
      <c r="C16" s="65"/>
      <c r="D16" s="2">
        <v>721</v>
      </c>
      <c r="E16" s="1">
        <v>14</v>
      </c>
      <c r="F16" s="1">
        <v>70</v>
      </c>
      <c r="G16" s="4">
        <f t="shared" si="0"/>
        <v>579.39559999999983</v>
      </c>
      <c r="H16" s="4">
        <f t="shared" si="1"/>
        <v>815.88830640801154</v>
      </c>
      <c r="I16" s="1">
        <v>20</v>
      </c>
      <c r="J16" s="1">
        <v>848</v>
      </c>
      <c r="K16" s="45">
        <v>920</v>
      </c>
      <c r="L16" s="4">
        <f t="shared" si="6"/>
        <v>1187.2</v>
      </c>
      <c r="M16" s="4">
        <f t="shared" si="7"/>
        <v>1288</v>
      </c>
      <c r="N16" s="1">
        <v>20</v>
      </c>
      <c r="O16" s="1">
        <v>70</v>
      </c>
      <c r="P16" s="4">
        <f t="shared" si="10"/>
        <v>1165.5547234400167</v>
      </c>
      <c r="Q16" s="31">
        <f t="shared" si="11"/>
        <v>1.4285714285714288</v>
      </c>
      <c r="R16" s="31">
        <f t="shared" si="12"/>
        <v>2.0490317841557659</v>
      </c>
      <c r="S16" s="31">
        <f t="shared" si="13"/>
        <v>1.455101134157329</v>
      </c>
      <c r="T16" s="31">
        <f t="shared" si="8"/>
        <v>2.2230061809237078</v>
      </c>
      <c r="U16" s="31">
        <f t="shared" si="9"/>
        <v>1.5786474568688005</v>
      </c>
    </row>
    <row r="17" spans="1:21">
      <c r="A17" s="81"/>
      <c r="B17" s="84"/>
      <c r="C17" s="65" t="s">
        <v>79</v>
      </c>
      <c r="D17" s="2">
        <v>867</v>
      </c>
      <c r="E17" s="1">
        <v>10</v>
      </c>
      <c r="F17" s="1">
        <v>70</v>
      </c>
      <c r="G17" s="4">
        <f t="shared" si="0"/>
        <v>497.65800000000002</v>
      </c>
      <c r="H17" s="4">
        <f t="shared" si="1"/>
        <v>700.78775674236772</v>
      </c>
      <c r="I17" s="1">
        <v>20</v>
      </c>
      <c r="J17" s="1">
        <v>848</v>
      </c>
      <c r="K17" s="45">
        <v>920</v>
      </c>
      <c r="L17" s="4">
        <f t="shared" si="6"/>
        <v>1187.2</v>
      </c>
      <c r="M17" s="4">
        <f t="shared" si="7"/>
        <v>1288</v>
      </c>
      <c r="N17" s="1">
        <v>20</v>
      </c>
      <c r="O17" s="1">
        <v>70</v>
      </c>
      <c r="P17" s="4">
        <f t="shared" si="10"/>
        <v>1401.5755134847354</v>
      </c>
      <c r="Q17" s="31">
        <f t="shared" si="11"/>
        <v>2</v>
      </c>
      <c r="R17" s="31">
        <f t="shared" si="12"/>
        <v>2.3855740287506682</v>
      </c>
      <c r="S17" s="31">
        <f t="shared" si="13"/>
        <v>1.6940935234353034</v>
      </c>
      <c r="T17" s="31">
        <f t="shared" si="8"/>
        <v>2.5881227670408191</v>
      </c>
      <c r="U17" s="31">
        <f t="shared" si="9"/>
        <v>1.8379316527835838</v>
      </c>
    </row>
    <row r="18" spans="1:21">
      <c r="A18" s="81"/>
      <c r="B18" s="84"/>
      <c r="C18" s="65"/>
      <c r="D18" s="2">
        <v>867</v>
      </c>
      <c r="E18" s="45">
        <v>12</v>
      </c>
      <c r="F18" s="45">
        <v>70</v>
      </c>
      <c r="G18" s="4">
        <f t="shared" si="0"/>
        <v>597.18959999999981</v>
      </c>
      <c r="H18" s="4">
        <f t="shared" si="1"/>
        <v>840.94530809084154</v>
      </c>
      <c r="I18" s="1">
        <v>20</v>
      </c>
      <c r="J18" s="1">
        <v>848</v>
      </c>
      <c r="K18" s="45">
        <v>920</v>
      </c>
      <c r="L18" s="4">
        <f t="shared" si="6"/>
        <v>1187.2</v>
      </c>
      <c r="M18" s="4">
        <f t="shared" si="7"/>
        <v>1288</v>
      </c>
      <c r="N18" s="1">
        <v>20</v>
      </c>
      <c r="O18" s="1">
        <v>70</v>
      </c>
      <c r="P18" s="4">
        <f t="shared" si="10"/>
        <v>1401.5755134847354</v>
      </c>
      <c r="Q18" s="31">
        <f t="shared" si="11"/>
        <v>1.6666666666666661</v>
      </c>
      <c r="R18" s="31">
        <f t="shared" si="12"/>
        <v>1.9879783572922241</v>
      </c>
      <c r="S18" s="31">
        <f t="shared" si="13"/>
        <v>1.4117446028627525</v>
      </c>
      <c r="T18" s="31">
        <f t="shared" si="8"/>
        <v>2.1567689725340164</v>
      </c>
      <c r="U18" s="31">
        <f t="shared" si="9"/>
        <v>1.531609710652986</v>
      </c>
    </row>
    <row r="19" spans="1:21">
      <c r="A19" s="81"/>
      <c r="B19" s="84"/>
      <c r="C19" s="65"/>
      <c r="D19" s="2">
        <v>867</v>
      </c>
      <c r="E19" s="1">
        <v>14</v>
      </c>
      <c r="F19" s="1">
        <v>70</v>
      </c>
      <c r="G19" s="4">
        <f t="shared" si="0"/>
        <v>696.72119999999995</v>
      </c>
      <c r="H19" s="4">
        <f t="shared" si="1"/>
        <v>981.10285943931478</v>
      </c>
      <c r="I19" s="1">
        <v>20</v>
      </c>
      <c r="J19" s="1">
        <v>848</v>
      </c>
      <c r="K19" s="45">
        <v>920</v>
      </c>
      <c r="L19" s="4">
        <f t="shared" si="6"/>
        <v>1187.2</v>
      </c>
      <c r="M19" s="4">
        <f t="shared" si="7"/>
        <v>1288</v>
      </c>
      <c r="N19" s="1">
        <v>20</v>
      </c>
      <c r="O19" s="1">
        <v>70</v>
      </c>
      <c r="P19" s="4">
        <f t="shared" si="10"/>
        <v>1401.5755134847354</v>
      </c>
      <c r="Q19" s="31">
        <f t="shared" si="11"/>
        <v>1.4285714285714286</v>
      </c>
      <c r="R19" s="31">
        <f t="shared" si="12"/>
        <v>1.7039814491076202</v>
      </c>
      <c r="S19" s="31">
        <f t="shared" si="13"/>
        <v>1.2100668024537882</v>
      </c>
      <c r="T19" s="31">
        <f t="shared" si="8"/>
        <v>1.8486591193148709</v>
      </c>
      <c r="U19" s="31">
        <f t="shared" si="9"/>
        <v>1.3128083234168457</v>
      </c>
    </row>
    <row r="20" spans="1:21">
      <c r="A20" s="81"/>
      <c r="B20" s="84"/>
      <c r="C20" s="65" t="s">
        <v>80</v>
      </c>
      <c r="D20" s="2">
        <v>941</v>
      </c>
      <c r="E20" s="1">
        <v>10</v>
      </c>
      <c r="F20" s="1">
        <v>70</v>
      </c>
      <c r="G20" s="4">
        <f t="shared" si="0"/>
        <v>540.13400000000001</v>
      </c>
      <c r="H20" s="4">
        <f t="shared" si="1"/>
        <v>760.60124463041302</v>
      </c>
      <c r="I20" s="1">
        <v>20</v>
      </c>
      <c r="J20" s="1">
        <v>848</v>
      </c>
      <c r="K20" s="45">
        <v>920</v>
      </c>
      <c r="L20" s="4">
        <f t="shared" si="6"/>
        <v>1187.2</v>
      </c>
      <c r="M20" s="4">
        <f t="shared" si="7"/>
        <v>1288</v>
      </c>
      <c r="N20" s="1">
        <v>20</v>
      </c>
      <c r="O20" s="1">
        <v>70</v>
      </c>
      <c r="P20" s="4">
        <f t="shared" si="10"/>
        <v>1521.202489260826</v>
      </c>
      <c r="Q20" s="31">
        <f t="shared" si="11"/>
        <v>2</v>
      </c>
      <c r="R20" s="31">
        <f t="shared" si="12"/>
        <v>2.1979730955651746</v>
      </c>
      <c r="S20" s="31">
        <f t="shared" si="13"/>
        <v>1.5608704408272136</v>
      </c>
      <c r="T20" s="31">
        <f t="shared" si="8"/>
        <v>2.3845934527358024</v>
      </c>
      <c r="U20" s="31">
        <f t="shared" si="9"/>
        <v>1.6933971763691467</v>
      </c>
    </row>
    <row r="21" spans="1:21">
      <c r="A21" s="81"/>
      <c r="B21" s="84"/>
      <c r="C21" s="65"/>
      <c r="D21" s="2">
        <v>941</v>
      </c>
      <c r="E21" s="45">
        <v>12</v>
      </c>
      <c r="F21" s="45">
        <v>70</v>
      </c>
      <c r="G21" s="4">
        <f t="shared" si="0"/>
        <v>648.16079999999999</v>
      </c>
      <c r="H21" s="4">
        <f t="shared" si="1"/>
        <v>912.72149355649572</v>
      </c>
      <c r="I21" s="1">
        <v>20</v>
      </c>
      <c r="J21" s="1">
        <v>848</v>
      </c>
      <c r="K21" s="45">
        <v>920</v>
      </c>
      <c r="L21" s="4">
        <f t="shared" si="6"/>
        <v>1187.2</v>
      </c>
      <c r="M21" s="4">
        <f t="shared" si="7"/>
        <v>1288</v>
      </c>
      <c r="N21" s="1">
        <v>20</v>
      </c>
      <c r="O21" s="1">
        <v>70</v>
      </c>
      <c r="P21" s="4">
        <f t="shared" si="10"/>
        <v>1521.202489260826</v>
      </c>
      <c r="Q21" s="31">
        <f t="shared" si="11"/>
        <v>1.6666666666666665</v>
      </c>
      <c r="R21" s="31">
        <f t="shared" si="12"/>
        <v>1.8316442463043123</v>
      </c>
      <c r="S21" s="31">
        <f t="shared" si="13"/>
        <v>1.3007253673560111</v>
      </c>
      <c r="T21" s="31">
        <f t="shared" si="8"/>
        <v>1.9871612106131689</v>
      </c>
      <c r="U21" s="31">
        <f t="shared" si="9"/>
        <v>1.4111643136409555</v>
      </c>
    </row>
    <row r="22" spans="1:21">
      <c r="A22" s="81"/>
      <c r="B22" s="84"/>
      <c r="C22" s="65"/>
      <c r="D22" s="2">
        <v>941</v>
      </c>
      <c r="E22" s="1">
        <v>14</v>
      </c>
      <c r="F22" s="1">
        <v>70</v>
      </c>
      <c r="G22" s="4">
        <f t="shared" si="0"/>
        <v>756.18759999999997</v>
      </c>
      <c r="H22" s="4">
        <f t="shared" si="1"/>
        <v>1064.8417424825782</v>
      </c>
      <c r="I22" s="1">
        <v>20</v>
      </c>
      <c r="J22" s="1">
        <v>848</v>
      </c>
      <c r="K22" s="45">
        <v>920</v>
      </c>
      <c r="L22" s="4">
        <f t="shared" si="6"/>
        <v>1187.2</v>
      </c>
      <c r="M22" s="4">
        <f t="shared" si="7"/>
        <v>1288</v>
      </c>
      <c r="N22" s="1">
        <v>20</v>
      </c>
      <c r="O22" s="1">
        <v>70</v>
      </c>
      <c r="P22" s="4">
        <f t="shared" si="10"/>
        <v>1521.202489260826</v>
      </c>
      <c r="Q22" s="31">
        <f t="shared" si="11"/>
        <v>1.4285714285714286</v>
      </c>
      <c r="R22" s="31">
        <f t="shared" si="12"/>
        <v>1.5699807825465533</v>
      </c>
      <c r="S22" s="31">
        <f t="shared" si="13"/>
        <v>1.1149074577337239</v>
      </c>
      <c r="T22" s="31">
        <f t="shared" si="8"/>
        <v>1.7032810376684304</v>
      </c>
      <c r="U22" s="31">
        <f t="shared" si="9"/>
        <v>1.2095694116922477</v>
      </c>
    </row>
    <row r="23" spans="1:21">
      <c r="A23" s="81"/>
      <c r="B23" s="84"/>
      <c r="C23" s="65" t="s">
        <v>86</v>
      </c>
      <c r="D23" s="2">
        <v>905</v>
      </c>
      <c r="E23" s="1">
        <v>10</v>
      </c>
      <c r="F23" s="1">
        <v>70</v>
      </c>
      <c r="G23" s="4">
        <f t="shared" si="0"/>
        <v>519.46999999999991</v>
      </c>
      <c r="H23" s="4">
        <f t="shared" si="1"/>
        <v>731.50279106325581</v>
      </c>
      <c r="I23" s="1">
        <v>20</v>
      </c>
      <c r="J23" s="1">
        <v>848</v>
      </c>
      <c r="K23" s="45">
        <v>920</v>
      </c>
      <c r="L23" s="4">
        <f t="shared" si="6"/>
        <v>1187.2</v>
      </c>
      <c r="M23" s="4">
        <f t="shared" si="7"/>
        <v>1288</v>
      </c>
      <c r="N23" s="1">
        <v>20</v>
      </c>
      <c r="O23" s="1">
        <v>70</v>
      </c>
      <c r="P23" s="4">
        <f t="shared" si="10"/>
        <v>1463.0055821265116</v>
      </c>
      <c r="Q23" s="31">
        <f t="shared" si="11"/>
        <v>2</v>
      </c>
      <c r="R23" s="31">
        <f t="shared" si="12"/>
        <v>2.2854062794771597</v>
      </c>
      <c r="S23" s="31">
        <f t="shared" si="13"/>
        <v>1.6229603147164731</v>
      </c>
      <c r="T23" s="31">
        <f t="shared" si="8"/>
        <v>2.4794502088667301</v>
      </c>
      <c r="U23" s="31">
        <f t="shared" si="9"/>
        <v>1.7607588320037206</v>
      </c>
    </row>
    <row r="24" spans="1:21">
      <c r="A24" s="81"/>
      <c r="B24" s="84"/>
      <c r="C24" s="65"/>
      <c r="D24" s="2">
        <v>905</v>
      </c>
      <c r="E24" s="45">
        <v>12</v>
      </c>
      <c r="F24" s="45">
        <v>70</v>
      </c>
      <c r="G24" s="4">
        <f t="shared" si="0"/>
        <v>623.36399999999992</v>
      </c>
      <c r="H24" s="4">
        <f t="shared" si="1"/>
        <v>877.80334927590718</v>
      </c>
      <c r="I24" s="1">
        <v>20</v>
      </c>
      <c r="J24" s="1">
        <v>848</v>
      </c>
      <c r="K24" s="45">
        <v>920</v>
      </c>
      <c r="L24" s="4">
        <f t="shared" si="6"/>
        <v>1187.2</v>
      </c>
      <c r="M24" s="4">
        <f t="shared" si="7"/>
        <v>1288</v>
      </c>
      <c r="N24" s="1">
        <v>20</v>
      </c>
      <c r="O24" s="1">
        <v>70</v>
      </c>
      <c r="P24" s="4">
        <f t="shared" si="10"/>
        <v>1463.0055821265116</v>
      </c>
      <c r="Q24" s="31">
        <f t="shared" si="11"/>
        <v>1.6666666666666663</v>
      </c>
      <c r="R24" s="31">
        <f t="shared" si="12"/>
        <v>1.9045052328976331</v>
      </c>
      <c r="S24" s="31">
        <f t="shared" si="13"/>
        <v>1.3524669289303939</v>
      </c>
      <c r="T24" s="31">
        <f t="shared" si="8"/>
        <v>2.0662085073889416</v>
      </c>
      <c r="U24" s="31">
        <f t="shared" si="9"/>
        <v>1.4672990266697667</v>
      </c>
    </row>
    <row r="25" spans="1:21">
      <c r="A25" s="81"/>
      <c r="B25" s="84"/>
      <c r="C25" s="65"/>
      <c r="D25" s="2">
        <v>905</v>
      </c>
      <c r="E25" s="1">
        <v>14</v>
      </c>
      <c r="F25" s="1">
        <v>70</v>
      </c>
      <c r="G25" s="4">
        <f t="shared" si="0"/>
        <v>727.25799999999992</v>
      </c>
      <c r="H25" s="4">
        <f t="shared" si="1"/>
        <v>1024.1039074885582</v>
      </c>
      <c r="I25" s="1">
        <v>20</v>
      </c>
      <c r="J25" s="1">
        <v>848</v>
      </c>
      <c r="K25" s="45">
        <v>920</v>
      </c>
      <c r="L25" s="4">
        <f t="shared" si="6"/>
        <v>1187.2</v>
      </c>
      <c r="M25" s="4">
        <f t="shared" si="7"/>
        <v>1288</v>
      </c>
      <c r="N25" s="1">
        <v>20</v>
      </c>
      <c r="O25" s="1">
        <v>70</v>
      </c>
      <c r="P25" s="4">
        <f t="shared" si="10"/>
        <v>1463.0055821265116</v>
      </c>
      <c r="Q25" s="31">
        <f t="shared" si="11"/>
        <v>1.4285714285714284</v>
      </c>
      <c r="R25" s="31">
        <f t="shared" si="12"/>
        <v>1.6324330567693999</v>
      </c>
      <c r="S25" s="31">
        <f t="shared" si="13"/>
        <v>1.1592573676546234</v>
      </c>
      <c r="T25" s="31">
        <f t="shared" si="8"/>
        <v>1.7710358634762355</v>
      </c>
      <c r="U25" s="31">
        <f t="shared" si="9"/>
        <v>1.2576848800026574</v>
      </c>
    </row>
    <row r="26" spans="1:21">
      <c r="A26" s="81"/>
      <c r="B26" s="84"/>
      <c r="C26" s="65" t="s">
        <v>5</v>
      </c>
      <c r="D26" s="2">
        <v>893</v>
      </c>
      <c r="E26" s="1">
        <v>10</v>
      </c>
      <c r="F26" s="1">
        <v>70</v>
      </c>
      <c r="G26" s="4">
        <f t="shared" si="0"/>
        <v>512.58199999999999</v>
      </c>
      <c r="H26" s="4">
        <f t="shared" si="1"/>
        <v>721.80330654087015</v>
      </c>
      <c r="I26" s="1">
        <v>20</v>
      </c>
      <c r="J26" s="1">
        <v>848</v>
      </c>
      <c r="K26" s="45">
        <v>920</v>
      </c>
      <c r="L26" s="4">
        <f t="shared" si="6"/>
        <v>1187.2</v>
      </c>
      <c r="M26" s="4">
        <f t="shared" si="7"/>
        <v>1288</v>
      </c>
      <c r="N26" s="1">
        <v>20</v>
      </c>
      <c r="O26" s="1">
        <v>70</v>
      </c>
      <c r="P26" s="4">
        <f t="shared" si="10"/>
        <v>1443.6066130817403</v>
      </c>
      <c r="Q26" s="31">
        <f t="shared" si="11"/>
        <v>2</v>
      </c>
      <c r="R26" s="31">
        <f t="shared" si="12"/>
        <v>2.3161172261218694</v>
      </c>
      <c r="S26" s="31">
        <f t="shared" si="13"/>
        <v>1.6447694118907144</v>
      </c>
      <c r="T26" s="31">
        <f t="shared" si="8"/>
        <v>2.5127686887171223</v>
      </c>
      <c r="U26" s="31">
        <f t="shared" si="9"/>
        <v>1.784419644975775</v>
      </c>
    </row>
    <row r="27" spans="1:21">
      <c r="A27" s="81"/>
      <c r="B27" s="84"/>
      <c r="C27" s="65"/>
      <c r="D27" s="2">
        <v>893</v>
      </c>
      <c r="E27" s="45">
        <v>12</v>
      </c>
      <c r="F27" s="45">
        <v>70</v>
      </c>
      <c r="G27" s="4">
        <f t="shared" si="0"/>
        <v>615.09839999999986</v>
      </c>
      <c r="H27" s="4">
        <f t="shared" si="1"/>
        <v>866.16396784904441</v>
      </c>
      <c r="I27" s="1">
        <v>20</v>
      </c>
      <c r="J27" s="1">
        <v>848</v>
      </c>
      <c r="K27" s="45">
        <v>920</v>
      </c>
      <c r="L27" s="4">
        <f t="shared" si="6"/>
        <v>1187.2</v>
      </c>
      <c r="M27" s="4">
        <f t="shared" si="7"/>
        <v>1288</v>
      </c>
      <c r="N27" s="1">
        <v>20</v>
      </c>
      <c r="O27" s="1">
        <v>70</v>
      </c>
      <c r="P27" s="4">
        <f t="shared" si="10"/>
        <v>1443.6066130817403</v>
      </c>
      <c r="Q27" s="31">
        <f t="shared" si="11"/>
        <v>1.6666666666666663</v>
      </c>
      <c r="R27" s="31">
        <f t="shared" si="12"/>
        <v>1.9300976884348915</v>
      </c>
      <c r="S27" s="31">
        <f t="shared" si="13"/>
        <v>1.370641176575595</v>
      </c>
      <c r="T27" s="31">
        <f t="shared" si="8"/>
        <v>2.0939739072642691</v>
      </c>
      <c r="U27" s="31">
        <f t="shared" si="9"/>
        <v>1.4870163708131454</v>
      </c>
    </row>
    <row r="28" spans="1:21">
      <c r="A28" s="81"/>
      <c r="B28" s="84"/>
      <c r="C28" s="65"/>
      <c r="D28" s="2">
        <v>893</v>
      </c>
      <c r="E28" s="1">
        <v>14</v>
      </c>
      <c r="F28" s="1">
        <v>70</v>
      </c>
      <c r="G28" s="4">
        <f t="shared" si="0"/>
        <v>717.61479999999995</v>
      </c>
      <c r="H28" s="4">
        <f t="shared" si="1"/>
        <v>1010.5246291572181</v>
      </c>
      <c r="I28" s="1">
        <v>20</v>
      </c>
      <c r="J28" s="1">
        <v>848</v>
      </c>
      <c r="K28" s="45">
        <v>920</v>
      </c>
      <c r="L28" s="4">
        <f t="shared" si="6"/>
        <v>1187.2</v>
      </c>
      <c r="M28" s="4">
        <f t="shared" si="7"/>
        <v>1288</v>
      </c>
      <c r="N28" s="1">
        <v>20</v>
      </c>
      <c r="O28" s="1">
        <v>70</v>
      </c>
      <c r="P28" s="4">
        <f t="shared" si="10"/>
        <v>1443.6066130817403</v>
      </c>
      <c r="Q28" s="31">
        <f t="shared" si="11"/>
        <v>1.4285714285714288</v>
      </c>
      <c r="R28" s="31">
        <f t="shared" si="12"/>
        <v>1.6543694472299069</v>
      </c>
      <c r="S28" s="31">
        <f t="shared" si="13"/>
        <v>1.1748352942076532</v>
      </c>
      <c r="T28" s="31">
        <f t="shared" si="8"/>
        <v>1.7948347776550875</v>
      </c>
      <c r="U28" s="31">
        <f t="shared" si="9"/>
        <v>1.2745854606969822</v>
      </c>
    </row>
    <row r="29" spans="1:21">
      <c r="A29" s="81"/>
      <c r="B29" s="84"/>
      <c r="C29" s="65" t="s">
        <v>87</v>
      </c>
      <c r="D29" s="2">
        <v>1069</v>
      </c>
      <c r="E29" s="1">
        <v>10</v>
      </c>
      <c r="F29" s="1">
        <v>70</v>
      </c>
      <c r="G29" s="4">
        <f t="shared" si="0"/>
        <v>613.60599999999999</v>
      </c>
      <c r="H29" s="4">
        <f t="shared" si="1"/>
        <v>864.06241286919396</v>
      </c>
      <c r="I29" s="1">
        <v>20</v>
      </c>
      <c r="J29" s="1">
        <v>848</v>
      </c>
      <c r="K29" s="45">
        <v>920</v>
      </c>
      <c r="L29" s="4">
        <f t="shared" si="6"/>
        <v>1187.2</v>
      </c>
      <c r="M29" s="4">
        <f t="shared" si="7"/>
        <v>1288</v>
      </c>
      <c r="N29" s="1">
        <v>20</v>
      </c>
      <c r="O29" s="1">
        <v>70</v>
      </c>
      <c r="P29" s="4">
        <f t="shared" si="10"/>
        <v>1728.1248257383879</v>
      </c>
      <c r="Q29" s="31">
        <f t="shared" si="11"/>
        <v>2</v>
      </c>
      <c r="R29" s="31">
        <f t="shared" si="12"/>
        <v>1.9347920326724315</v>
      </c>
      <c r="S29" s="31">
        <f t="shared" si="13"/>
        <v>1.373974822093927</v>
      </c>
      <c r="T29" s="31">
        <f t="shared" si="8"/>
        <v>2.0990668278993363</v>
      </c>
      <c r="U29" s="31">
        <f t="shared" si="9"/>
        <v>1.4906330617056753</v>
      </c>
    </row>
    <row r="30" spans="1:21">
      <c r="A30" s="81"/>
      <c r="B30" s="84"/>
      <c r="C30" s="65"/>
      <c r="D30" s="2">
        <v>1069</v>
      </c>
      <c r="E30" s="45">
        <v>12</v>
      </c>
      <c r="F30" s="45">
        <v>70</v>
      </c>
      <c r="G30" s="4">
        <f t="shared" si="0"/>
        <v>736.32719999999995</v>
      </c>
      <c r="H30" s="4">
        <f t="shared" si="1"/>
        <v>1036.8748954430328</v>
      </c>
      <c r="I30" s="1">
        <v>20</v>
      </c>
      <c r="J30" s="1">
        <v>848</v>
      </c>
      <c r="K30" s="45">
        <v>920</v>
      </c>
      <c r="L30" s="4">
        <f t="shared" si="6"/>
        <v>1187.2</v>
      </c>
      <c r="M30" s="4">
        <f t="shared" si="7"/>
        <v>1288</v>
      </c>
      <c r="N30" s="1">
        <v>20</v>
      </c>
      <c r="O30" s="1">
        <v>70</v>
      </c>
      <c r="P30" s="4">
        <f t="shared" si="10"/>
        <v>1728.1248257383879</v>
      </c>
      <c r="Q30" s="31">
        <f t="shared" si="11"/>
        <v>1.6666666666666667</v>
      </c>
      <c r="R30" s="31">
        <f t="shared" si="12"/>
        <v>1.6123266938936931</v>
      </c>
      <c r="S30" s="31">
        <f t="shared" si="13"/>
        <v>1.1449790184116058</v>
      </c>
      <c r="T30" s="31">
        <f t="shared" si="8"/>
        <v>1.7492223565827802</v>
      </c>
      <c r="U30" s="31">
        <f t="shared" si="9"/>
        <v>1.242194218088063</v>
      </c>
    </row>
    <row r="31" spans="1:21">
      <c r="A31" s="81"/>
      <c r="B31" s="84"/>
      <c r="C31" s="65"/>
      <c r="D31" s="2">
        <v>1069</v>
      </c>
      <c r="E31" s="1">
        <v>14</v>
      </c>
      <c r="F31" s="1">
        <v>70</v>
      </c>
      <c r="G31" s="4">
        <f t="shared" si="0"/>
        <v>859.0483999999999</v>
      </c>
      <c r="H31" s="4">
        <f t="shared" si="1"/>
        <v>1209.6873780168714</v>
      </c>
      <c r="I31" s="1">
        <v>20</v>
      </c>
      <c r="J31" s="1">
        <v>848</v>
      </c>
      <c r="K31" s="45">
        <v>920</v>
      </c>
      <c r="L31" s="4">
        <f t="shared" si="6"/>
        <v>1187.2</v>
      </c>
      <c r="M31" s="4">
        <f t="shared" si="7"/>
        <v>1288</v>
      </c>
      <c r="N31" s="1">
        <v>20</v>
      </c>
      <c r="O31" s="1">
        <v>70</v>
      </c>
      <c r="P31" s="4">
        <f t="shared" si="10"/>
        <v>1728.1248257383879</v>
      </c>
      <c r="Q31" s="31">
        <f t="shared" si="11"/>
        <v>1.4285714285714286</v>
      </c>
      <c r="R31" s="31">
        <f t="shared" si="12"/>
        <v>1.381994309051737</v>
      </c>
      <c r="S31" s="31">
        <f t="shared" si="13"/>
        <v>0.98141058720994789</v>
      </c>
      <c r="T31" s="31">
        <f t="shared" si="8"/>
        <v>1.499333448499526</v>
      </c>
      <c r="U31" s="31">
        <f t="shared" si="9"/>
        <v>1.0647379012183398</v>
      </c>
    </row>
  </sheetData>
  <mergeCells count="16">
    <mergeCell ref="A2:A13"/>
    <mergeCell ref="B2:B13"/>
    <mergeCell ref="C2:C3"/>
    <mergeCell ref="C4:C5"/>
    <mergeCell ref="C6:C7"/>
    <mergeCell ref="C8:C9"/>
    <mergeCell ref="C10:C11"/>
    <mergeCell ref="C12:C13"/>
    <mergeCell ref="A14:A31"/>
    <mergeCell ref="B14:B31"/>
    <mergeCell ref="C14:C16"/>
    <mergeCell ref="C17:C19"/>
    <mergeCell ref="C20:C22"/>
    <mergeCell ref="C23:C25"/>
    <mergeCell ref="C26:C28"/>
    <mergeCell ref="C29:C3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zoomScale="85" zoomScaleNormal="85" workbookViewId="0">
      <pane xSplit="1" topLeftCell="B1" activePane="topRight" state="frozen"/>
      <selection activeCell="A7" sqref="A7"/>
      <selection pane="topRight" activeCell="H21" sqref="H21"/>
    </sheetView>
  </sheetViews>
  <sheetFormatPr defaultRowHeight="14.4"/>
  <sheetData>
    <row r="1" spans="1:26">
      <c r="A1" s="55"/>
      <c r="B1" s="55"/>
      <c r="C1" s="55"/>
      <c r="D1" s="55"/>
      <c r="E1" s="55"/>
      <c r="F1" s="55"/>
      <c r="G1" s="94" t="s">
        <v>123</v>
      </c>
      <c r="H1" s="91"/>
      <c r="I1" s="91"/>
      <c r="J1" s="91" t="s">
        <v>124</v>
      </c>
      <c r="K1" s="91"/>
      <c r="L1" s="91"/>
      <c r="U1" t="s">
        <v>139</v>
      </c>
      <c r="X1" t="s">
        <v>140</v>
      </c>
    </row>
    <row r="2" spans="1:26" s="18" customFormat="1" ht="43.2">
      <c r="A2" s="55"/>
      <c r="B2" s="53" t="s">
        <v>7</v>
      </c>
      <c r="C2" s="53" t="s">
        <v>8</v>
      </c>
      <c r="D2" s="53" t="s">
        <v>9</v>
      </c>
      <c r="E2" s="53" t="s">
        <v>10</v>
      </c>
      <c r="F2" s="53" t="s">
        <v>11</v>
      </c>
      <c r="G2" s="92" t="s">
        <v>125</v>
      </c>
      <c r="H2" s="92" t="s">
        <v>126</v>
      </c>
      <c r="I2" s="18" t="s">
        <v>130</v>
      </c>
      <c r="J2" s="92" t="s">
        <v>125</v>
      </c>
      <c r="K2" s="92" t="s">
        <v>126</v>
      </c>
      <c r="L2" s="18" t="s">
        <v>130</v>
      </c>
      <c r="M2" s="18" t="s">
        <v>128</v>
      </c>
      <c r="Q2" s="18" t="s">
        <v>131</v>
      </c>
      <c r="R2" s="18" t="s">
        <v>132</v>
      </c>
      <c r="S2" s="18" t="s">
        <v>133</v>
      </c>
      <c r="T2" s="18" t="s">
        <v>127</v>
      </c>
      <c r="U2" s="18" t="s">
        <v>141</v>
      </c>
      <c r="V2" s="18" t="s">
        <v>142</v>
      </c>
      <c r="W2" s="18" t="s">
        <v>129</v>
      </c>
      <c r="X2" s="18" t="s">
        <v>141</v>
      </c>
      <c r="Y2" s="18" t="s">
        <v>142</v>
      </c>
      <c r="Z2" s="18" t="s">
        <v>129</v>
      </c>
    </row>
    <row r="3" spans="1:26">
      <c r="A3" s="85" t="s">
        <v>101</v>
      </c>
      <c r="B3" s="86" t="s">
        <v>2</v>
      </c>
      <c r="C3" s="87" t="s">
        <v>85</v>
      </c>
      <c r="D3" s="56">
        <v>721</v>
      </c>
      <c r="E3" s="57">
        <v>5</v>
      </c>
      <c r="F3" s="57">
        <v>50</v>
      </c>
      <c r="G3" s="93">
        <f>E3/SQRT(2)*F3*D3/SQRT(3)*(1.0177*SIN(90*PI()/180)^1.2588+1)/1000*2</f>
        <v>296.95198852865155</v>
      </c>
      <c r="H3" s="93">
        <f>-26*SIN(90*PI()/180)^1.6193+45</f>
        <v>19</v>
      </c>
      <c r="I3">
        <f>IF(M3&gt;G3,0,1)</f>
        <v>0</v>
      </c>
      <c r="J3" s="93">
        <f>E3/SQRT(2)*F3*D3/SQRT(3)*(0.8329*SIN(90*PI()/180)^1.3098+1)/1000*2</f>
        <v>269.75432411863278</v>
      </c>
      <c r="K3" s="93">
        <f>-26*SIN(90*PI()/180)^2.1543+45</f>
        <v>19</v>
      </c>
      <c r="L3">
        <f>IF(M3&gt;J3,0,1)</f>
        <v>0</v>
      </c>
      <c r="M3">
        <f>10*F3*824/1000</f>
        <v>412</v>
      </c>
      <c r="Q3" t="s">
        <v>134</v>
      </c>
      <c r="R3">
        <v>721</v>
      </c>
      <c r="S3">
        <v>5</v>
      </c>
      <c r="T3" s="64">
        <v>412</v>
      </c>
      <c r="U3" s="64">
        <v>296.95198852865155</v>
      </c>
      <c r="V3" s="64">
        <v>19</v>
      </c>
      <c r="W3" s="64">
        <v>0</v>
      </c>
      <c r="X3" s="64">
        <v>269.75432411863278</v>
      </c>
      <c r="Y3" s="64">
        <v>19</v>
      </c>
      <c r="Z3" s="64">
        <v>0</v>
      </c>
    </row>
    <row r="4" spans="1:26">
      <c r="A4" s="85"/>
      <c r="B4" s="86"/>
      <c r="C4" s="87"/>
      <c r="D4" s="56">
        <v>721</v>
      </c>
      <c r="E4" s="57">
        <v>6</v>
      </c>
      <c r="F4" s="57">
        <v>50</v>
      </c>
      <c r="G4" s="93">
        <f>E4/SQRT(2)*F4*D4/SQRT(3)*(1.0177*SIN(90*PI()/180)^1.2588+1)/1000*2</f>
        <v>356.34238623438188</v>
      </c>
      <c r="H4" s="93">
        <f t="shared" ref="H4:H32" si="0">-26*SIN(90*PI()/180)^1.6193+45</f>
        <v>19</v>
      </c>
      <c r="I4">
        <f t="shared" ref="I4:I32" si="1">IF(M4&gt;G4,0,1)</f>
        <v>0</v>
      </c>
      <c r="J4" s="93">
        <f>E4/SQRT(2)*F4*D4/SQRT(3)*(0.8329*SIN(90*PI()/180)^1.3098+1)/1000*2</f>
        <v>323.70518894235943</v>
      </c>
      <c r="K4" s="93">
        <f t="shared" ref="K4:K32" si="2">-26*SIN(90*PI()/180)^2.1543+45</f>
        <v>19</v>
      </c>
      <c r="L4">
        <f t="shared" ref="L4:L32" si="3">IF(M4&gt;J4,0,1)</f>
        <v>0</v>
      </c>
      <c r="M4">
        <f>10*F4*824/1000</f>
        <v>412</v>
      </c>
      <c r="R4">
        <v>721</v>
      </c>
      <c r="S4">
        <v>6</v>
      </c>
      <c r="T4" s="64">
        <v>412</v>
      </c>
      <c r="U4" s="64">
        <v>356.34238623438188</v>
      </c>
      <c r="V4" s="64">
        <v>19</v>
      </c>
      <c r="W4" s="64">
        <v>0</v>
      </c>
      <c r="X4" s="64">
        <v>323.70518894235943</v>
      </c>
      <c r="Y4" s="64">
        <v>19</v>
      </c>
      <c r="Z4" s="64">
        <v>0</v>
      </c>
    </row>
    <row r="5" spans="1:26">
      <c r="A5" s="85"/>
      <c r="B5" s="86"/>
      <c r="C5" s="87" t="s">
        <v>79</v>
      </c>
      <c r="D5" s="56">
        <v>867</v>
      </c>
      <c r="E5" s="57">
        <v>5</v>
      </c>
      <c r="F5" s="57">
        <v>50</v>
      </c>
      <c r="G5" s="93">
        <f>E5/SQRT(2)*F5*D5/SQRT(3)*(1.0177*SIN(90*PI()/180)^1.2588+1)/1000*2</f>
        <v>357.08373655248397</v>
      </c>
      <c r="H5" s="93">
        <f t="shared" si="0"/>
        <v>19</v>
      </c>
      <c r="I5">
        <f t="shared" si="1"/>
        <v>0</v>
      </c>
      <c r="J5" s="93">
        <f>E5/SQRT(2)*F5*D5/SQRT(3)*(0.8329*SIN(90*PI()/180)^1.3098+1)/1000*2</f>
        <v>324.3786394047915</v>
      </c>
      <c r="K5" s="93">
        <f t="shared" si="2"/>
        <v>19</v>
      </c>
      <c r="L5">
        <f t="shared" si="3"/>
        <v>0</v>
      </c>
      <c r="M5">
        <f>10*F5*824/1000</f>
        <v>412</v>
      </c>
      <c r="Q5" t="s">
        <v>135</v>
      </c>
      <c r="R5">
        <v>867</v>
      </c>
      <c r="S5">
        <v>5</v>
      </c>
      <c r="T5" s="64">
        <v>412</v>
      </c>
      <c r="U5" s="64">
        <v>357.08373655248397</v>
      </c>
      <c r="V5" s="64">
        <v>19</v>
      </c>
      <c r="W5" s="64">
        <v>0</v>
      </c>
      <c r="X5" s="64">
        <v>324.3786394047915</v>
      </c>
      <c r="Y5" s="64">
        <v>19</v>
      </c>
      <c r="Z5" s="64">
        <v>0</v>
      </c>
    </row>
    <row r="6" spans="1:26">
      <c r="A6" s="85"/>
      <c r="B6" s="86"/>
      <c r="C6" s="87"/>
      <c r="D6" s="56">
        <v>867</v>
      </c>
      <c r="E6" s="57">
        <v>6</v>
      </c>
      <c r="F6" s="57">
        <v>50</v>
      </c>
      <c r="G6" s="93">
        <f>E6/SQRT(2)*F6*D6/SQRT(3)*(1.0177*SIN(90*PI()/180)^1.2588+1)/1000*2</f>
        <v>428.50048386298073</v>
      </c>
      <c r="H6" s="93">
        <f t="shared" si="0"/>
        <v>19</v>
      </c>
      <c r="I6">
        <f t="shared" si="1"/>
        <v>1</v>
      </c>
      <c r="J6" s="93">
        <f>E6/SQRT(2)*F6*D6/SQRT(3)*(0.8329*SIN(90*PI()/180)^1.3098+1)/1000*2</f>
        <v>389.25436728574982</v>
      </c>
      <c r="K6" s="93">
        <f t="shared" si="2"/>
        <v>19</v>
      </c>
      <c r="L6">
        <f t="shared" si="3"/>
        <v>0</v>
      </c>
      <c r="M6">
        <f>10*F6*824/1000</f>
        <v>412</v>
      </c>
      <c r="R6">
        <v>867</v>
      </c>
      <c r="S6">
        <v>6</v>
      </c>
      <c r="T6" s="64">
        <v>412</v>
      </c>
      <c r="U6" s="64">
        <v>428.50048386298073</v>
      </c>
      <c r="V6" s="64">
        <v>19</v>
      </c>
      <c r="W6" s="64">
        <v>1</v>
      </c>
      <c r="X6" s="64">
        <v>389.25436728574982</v>
      </c>
      <c r="Y6" s="64">
        <v>19</v>
      </c>
      <c r="Z6" s="64">
        <v>0</v>
      </c>
    </row>
    <row r="7" spans="1:26">
      <c r="A7" s="85"/>
      <c r="B7" s="86"/>
      <c r="C7" s="87" t="s">
        <v>80</v>
      </c>
      <c r="D7" s="56">
        <v>941</v>
      </c>
      <c r="E7" s="57">
        <v>5</v>
      </c>
      <c r="F7" s="57">
        <v>50</v>
      </c>
      <c r="G7" s="93">
        <f>E7/SQRT(2)*F7*D7/SQRT(3)*(1.0177*SIN(90*PI()/180)^1.2588+1)/1000*2</f>
        <v>387.56147185223455</v>
      </c>
      <c r="H7" s="93">
        <f t="shared" si="0"/>
        <v>19</v>
      </c>
      <c r="I7">
        <f t="shared" si="1"/>
        <v>0</v>
      </c>
      <c r="J7" s="93">
        <f>E7/SQRT(2)*F7*D7/SQRT(3)*(0.8329*SIN(90*PI()/180)^1.3098+1)/1000*2</f>
        <v>352.06493619366643</v>
      </c>
      <c r="K7" s="93">
        <f t="shared" si="2"/>
        <v>19</v>
      </c>
      <c r="L7">
        <f t="shared" si="3"/>
        <v>0</v>
      </c>
      <c r="M7">
        <f>10*F7*824/1000</f>
        <v>412</v>
      </c>
      <c r="Q7" t="s">
        <v>136</v>
      </c>
      <c r="R7">
        <v>941</v>
      </c>
      <c r="S7">
        <v>5</v>
      </c>
      <c r="T7" s="64">
        <v>412</v>
      </c>
      <c r="U7" s="64">
        <v>387.56147185223455</v>
      </c>
      <c r="V7" s="64">
        <v>19</v>
      </c>
      <c r="W7" s="64">
        <v>0</v>
      </c>
      <c r="X7" s="64">
        <v>352.06493619366643</v>
      </c>
      <c r="Y7" s="64">
        <v>19</v>
      </c>
      <c r="Z7" s="64">
        <v>0</v>
      </c>
    </row>
    <row r="8" spans="1:26">
      <c r="A8" s="85"/>
      <c r="B8" s="86"/>
      <c r="C8" s="87"/>
      <c r="D8" s="56">
        <v>941</v>
      </c>
      <c r="E8" s="57">
        <v>6</v>
      </c>
      <c r="F8" s="57">
        <v>50</v>
      </c>
      <c r="G8" s="93">
        <f>E8/SQRT(2)*F8*D8/SQRT(3)*(1.0177*SIN(90*PI()/180)^1.2588+1)/1000*2</f>
        <v>465.07376622268151</v>
      </c>
      <c r="H8" s="93">
        <f t="shared" si="0"/>
        <v>19</v>
      </c>
      <c r="I8">
        <f t="shared" si="1"/>
        <v>1</v>
      </c>
      <c r="J8" s="93">
        <f>E8/SQRT(2)*F8*D8/SQRT(3)*(0.8329*SIN(90*PI()/180)^1.3098+1)/1000*2</f>
        <v>422.47792343239973</v>
      </c>
      <c r="K8" s="93">
        <f t="shared" si="2"/>
        <v>19</v>
      </c>
      <c r="L8">
        <f t="shared" si="3"/>
        <v>1</v>
      </c>
      <c r="M8">
        <f>10*F8*824/1000</f>
        <v>412</v>
      </c>
      <c r="R8">
        <v>941</v>
      </c>
      <c r="S8">
        <v>6</v>
      </c>
      <c r="T8" s="64">
        <v>412</v>
      </c>
      <c r="U8" s="64">
        <v>465.07376622268151</v>
      </c>
      <c r="V8" s="64">
        <v>19</v>
      </c>
      <c r="W8" s="64">
        <v>1</v>
      </c>
      <c r="X8" s="64">
        <v>422.47792343239973</v>
      </c>
      <c r="Y8" s="64">
        <v>19</v>
      </c>
      <c r="Z8" s="64">
        <v>1</v>
      </c>
    </row>
    <row r="9" spans="1:26">
      <c r="A9" s="85"/>
      <c r="B9" s="86"/>
      <c r="C9" s="87" t="s">
        <v>86</v>
      </c>
      <c r="D9" s="56">
        <v>905</v>
      </c>
      <c r="E9" s="57">
        <v>5</v>
      </c>
      <c r="F9" s="57">
        <v>50</v>
      </c>
      <c r="G9" s="93">
        <f>E9/SQRT(2)*F9*D9/SQRT(3)*(1.0177*SIN(90*PI()/180)^1.2588+1)/1000*2</f>
        <v>372.73446549019371</v>
      </c>
      <c r="H9" s="93">
        <f t="shared" si="0"/>
        <v>19</v>
      </c>
      <c r="I9">
        <f t="shared" si="1"/>
        <v>0</v>
      </c>
      <c r="J9" s="93">
        <f>E9/SQRT(2)*F9*D9/SQRT(3)*(0.8329*SIN(90*PI()/180)^1.3098+1)/1000*2</f>
        <v>338.59592694502453</v>
      </c>
      <c r="K9" s="93">
        <f t="shared" si="2"/>
        <v>19</v>
      </c>
      <c r="L9">
        <f t="shared" si="3"/>
        <v>0</v>
      </c>
      <c r="M9">
        <f>10*F9*824/1000</f>
        <v>412</v>
      </c>
      <c r="Q9" t="s">
        <v>137</v>
      </c>
      <c r="R9">
        <v>905</v>
      </c>
      <c r="S9">
        <v>5</v>
      </c>
      <c r="T9" s="64">
        <v>412</v>
      </c>
      <c r="U9" s="64">
        <v>372.73446549019371</v>
      </c>
      <c r="V9" s="64">
        <v>19</v>
      </c>
      <c r="W9" s="64">
        <v>0</v>
      </c>
      <c r="X9" s="64">
        <v>338.59592694502453</v>
      </c>
      <c r="Y9" s="64">
        <v>19</v>
      </c>
      <c r="Z9" s="64">
        <v>0</v>
      </c>
    </row>
    <row r="10" spans="1:26">
      <c r="A10" s="85"/>
      <c r="B10" s="86"/>
      <c r="C10" s="87"/>
      <c r="D10" s="56">
        <v>905</v>
      </c>
      <c r="E10" s="57">
        <v>6</v>
      </c>
      <c r="F10" s="57">
        <v>50</v>
      </c>
      <c r="G10" s="93">
        <f>E10/SQRT(2)*F10*D10/SQRT(3)*(1.0177*SIN(90*PI()/180)^1.2588+1)/1000*2</f>
        <v>447.28135858823248</v>
      </c>
      <c r="H10" s="93">
        <f t="shared" si="0"/>
        <v>19</v>
      </c>
      <c r="I10">
        <f t="shared" si="1"/>
        <v>1</v>
      </c>
      <c r="J10" s="93">
        <f>E10/SQRT(2)*F10*D10/SQRT(3)*(0.8329*SIN(90*PI()/180)^1.3098+1)/1000*2</f>
        <v>406.31511233402944</v>
      </c>
      <c r="K10" s="93">
        <f t="shared" si="2"/>
        <v>19</v>
      </c>
      <c r="L10">
        <f t="shared" si="3"/>
        <v>0</v>
      </c>
      <c r="M10">
        <f>10*F10*824/1000</f>
        <v>412</v>
      </c>
      <c r="R10">
        <v>905</v>
      </c>
      <c r="S10">
        <v>6</v>
      </c>
      <c r="T10" s="64">
        <v>412</v>
      </c>
      <c r="U10" s="64">
        <v>447.28135858823248</v>
      </c>
      <c r="V10" s="64">
        <v>19</v>
      </c>
      <c r="W10" s="64">
        <v>1</v>
      </c>
      <c r="X10" s="64">
        <v>406.31511233402944</v>
      </c>
      <c r="Y10" s="64">
        <v>19</v>
      </c>
      <c r="Z10" s="64">
        <v>0</v>
      </c>
    </row>
    <row r="11" spans="1:26">
      <c r="A11" s="85"/>
      <c r="B11" s="86"/>
      <c r="C11" s="87" t="s">
        <v>5</v>
      </c>
      <c r="D11" s="56">
        <v>893</v>
      </c>
      <c r="E11" s="57">
        <v>5</v>
      </c>
      <c r="F11" s="57">
        <v>50</v>
      </c>
      <c r="G11" s="93">
        <f>E11/SQRT(2)*F11*D11/SQRT(3)*(1.0177*SIN(90*PI()/180)^1.2588+1)/1000*2</f>
        <v>367.79213003618008</v>
      </c>
      <c r="H11" s="93">
        <f t="shared" si="0"/>
        <v>19</v>
      </c>
      <c r="I11">
        <f t="shared" si="1"/>
        <v>0</v>
      </c>
      <c r="J11" s="93">
        <f>E11/SQRT(2)*F11*D11/SQRT(3)*(0.8329*SIN(90*PI()/180)^1.3098+1)/1000*2</f>
        <v>334.10625719547727</v>
      </c>
      <c r="K11" s="93">
        <f t="shared" si="2"/>
        <v>19</v>
      </c>
      <c r="L11">
        <f t="shared" si="3"/>
        <v>0</v>
      </c>
      <c r="M11">
        <f>10*F11*824/1000</f>
        <v>412</v>
      </c>
      <c r="Q11" t="s">
        <v>5</v>
      </c>
      <c r="R11">
        <v>893</v>
      </c>
      <c r="S11">
        <v>5</v>
      </c>
      <c r="T11" s="64">
        <v>412</v>
      </c>
      <c r="U11" s="64">
        <v>367.79213003618008</v>
      </c>
      <c r="V11" s="64">
        <v>19</v>
      </c>
      <c r="W11" s="64">
        <v>0</v>
      </c>
      <c r="X11" s="64">
        <v>334.10625719547727</v>
      </c>
      <c r="Y11" s="64">
        <v>19</v>
      </c>
      <c r="Z11" s="64">
        <v>0</v>
      </c>
    </row>
    <row r="12" spans="1:26">
      <c r="A12" s="85"/>
      <c r="B12" s="86"/>
      <c r="C12" s="87"/>
      <c r="D12" s="56">
        <v>893</v>
      </c>
      <c r="E12" s="57">
        <v>6</v>
      </c>
      <c r="F12" s="57">
        <v>50</v>
      </c>
      <c r="G12" s="93">
        <f>E12/SQRT(2)*F12*D12/SQRT(3)*(1.0177*SIN(90*PI()/180)^1.2588+1)/1000*2</f>
        <v>441.35055604341608</v>
      </c>
      <c r="H12" s="93">
        <f t="shared" si="0"/>
        <v>19</v>
      </c>
      <c r="I12">
        <f t="shared" si="1"/>
        <v>1</v>
      </c>
      <c r="J12" s="93">
        <f>E12/SQRT(2)*F12*D12/SQRT(3)*(0.8329*SIN(90*PI()/180)^1.3098+1)/1000*2</f>
        <v>400.92750863457269</v>
      </c>
      <c r="K12" s="93">
        <f t="shared" si="2"/>
        <v>19</v>
      </c>
      <c r="L12">
        <f t="shared" si="3"/>
        <v>0</v>
      </c>
      <c r="M12">
        <f>10*F12*824/1000</f>
        <v>412</v>
      </c>
      <c r="R12">
        <v>893</v>
      </c>
      <c r="S12">
        <v>6</v>
      </c>
      <c r="T12" s="64">
        <v>412</v>
      </c>
      <c r="U12" s="64">
        <v>441.35055604341608</v>
      </c>
      <c r="V12" s="64">
        <v>19</v>
      </c>
      <c r="W12" s="64">
        <v>1</v>
      </c>
      <c r="X12" s="64">
        <v>400.92750863457269</v>
      </c>
      <c r="Y12" s="64">
        <v>19</v>
      </c>
      <c r="Z12" s="64">
        <v>0</v>
      </c>
    </row>
    <row r="13" spans="1:26">
      <c r="A13" s="85"/>
      <c r="B13" s="86"/>
      <c r="C13" s="87" t="s">
        <v>81</v>
      </c>
      <c r="D13" s="56">
        <v>1069</v>
      </c>
      <c r="E13" s="57">
        <v>5</v>
      </c>
      <c r="F13" s="57">
        <v>50</v>
      </c>
      <c r="G13" s="93">
        <f>E13/SQRT(2)*F13*D13/SQRT(3)*(1.0177*SIN(90*PI()/180)^1.2588+1)/1000*2</f>
        <v>440.27971669504643</v>
      </c>
      <c r="H13" s="93">
        <f t="shared" si="0"/>
        <v>19</v>
      </c>
      <c r="I13">
        <f t="shared" si="1"/>
        <v>1</v>
      </c>
      <c r="J13" s="93">
        <f>E13/SQRT(2)*F13*D13/SQRT(3)*(0.8329*SIN(90*PI()/180)^1.3098+1)/1000*2</f>
        <v>399.95474685550414</v>
      </c>
      <c r="K13" s="93">
        <f t="shared" si="2"/>
        <v>19</v>
      </c>
      <c r="L13">
        <f t="shared" si="3"/>
        <v>0</v>
      </c>
      <c r="M13">
        <f>10*F13*824/1000</f>
        <v>412</v>
      </c>
      <c r="Q13" t="s">
        <v>138</v>
      </c>
      <c r="R13">
        <v>1069</v>
      </c>
      <c r="S13">
        <v>5</v>
      </c>
      <c r="T13" s="64">
        <v>412</v>
      </c>
      <c r="U13" s="64">
        <v>440.27971669504643</v>
      </c>
      <c r="V13" s="64">
        <v>19</v>
      </c>
      <c r="W13" s="64">
        <v>1</v>
      </c>
      <c r="X13" s="64">
        <v>399.95474685550414</v>
      </c>
      <c r="Y13" s="64">
        <v>19</v>
      </c>
      <c r="Z13" s="64">
        <v>0</v>
      </c>
    </row>
    <row r="14" spans="1:26">
      <c r="A14" s="85"/>
      <c r="B14" s="86"/>
      <c r="C14" s="87"/>
      <c r="D14" s="56">
        <v>1069</v>
      </c>
      <c r="E14" s="57">
        <v>6</v>
      </c>
      <c r="F14" s="57">
        <v>50</v>
      </c>
      <c r="G14" s="93">
        <f>E14/SQRT(2)*F14*D14/SQRT(3)*(1.0177*SIN(90*PI()/180)^1.2588+1)/1000*2</f>
        <v>528.33566003405588</v>
      </c>
      <c r="H14" s="93">
        <f t="shared" si="0"/>
        <v>19</v>
      </c>
      <c r="I14">
        <f t="shared" si="1"/>
        <v>1</v>
      </c>
      <c r="J14" s="93">
        <f>E14/SQRT(2)*F14*D14/SQRT(3)*(0.8329*SIN(90*PI()/180)^1.3098+1)/1000*2</f>
        <v>479.94569622660492</v>
      </c>
      <c r="K14" s="93">
        <f t="shared" si="2"/>
        <v>19</v>
      </c>
      <c r="L14">
        <f t="shared" si="3"/>
        <v>1</v>
      </c>
      <c r="M14">
        <f>10*F14*824/1000</f>
        <v>412</v>
      </c>
      <c r="R14">
        <v>1069</v>
      </c>
      <c r="S14">
        <v>6</v>
      </c>
      <c r="T14" s="64">
        <v>412</v>
      </c>
      <c r="U14" s="64">
        <v>528.33566003405588</v>
      </c>
      <c r="V14" s="64">
        <v>19</v>
      </c>
      <c r="W14" s="64">
        <v>1</v>
      </c>
      <c r="X14" s="64">
        <v>479.94569622660492</v>
      </c>
      <c r="Y14" s="64">
        <v>19</v>
      </c>
      <c r="Z14" s="64">
        <v>1</v>
      </c>
    </row>
    <row r="15" spans="1:26">
      <c r="A15" s="85" t="s">
        <v>102</v>
      </c>
      <c r="B15" s="86" t="s">
        <v>2</v>
      </c>
      <c r="C15" s="87" t="s">
        <v>85</v>
      </c>
      <c r="D15" s="56">
        <v>721</v>
      </c>
      <c r="E15" s="57">
        <v>10</v>
      </c>
      <c r="F15" s="57">
        <v>70</v>
      </c>
      <c r="G15" s="93">
        <f>E15/SQRT(2)*F15*D15/SQRT(3)*(1.0177*SIN(90*PI()/180)^1.2588+1)/1000*2</f>
        <v>831.4655678802244</v>
      </c>
      <c r="H15" s="93">
        <f t="shared" si="0"/>
        <v>19</v>
      </c>
      <c r="I15">
        <f t="shared" si="1"/>
        <v>0</v>
      </c>
      <c r="J15" s="93">
        <f>E15/SQRT(2)*F15*D15/SQRT(3)*(0.8329*SIN(90*PI()/180)^1.3098+1)/1000*2</f>
        <v>755.31210753217204</v>
      </c>
      <c r="K15" s="93">
        <f t="shared" si="2"/>
        <v>19</v>
      </c>
      <c r="L15">
        <f t="shared" si="3"/>
        <v>0</v>
      </c>
      <c r="M15">
        <f>20*F15*824/1000</f>
        <v>1153.5999999999999</v>
      </c>
      <c r="Q15" t="s">
        <v>134</v>
      </c>
      <c r="R15">
        <v>721</v>
      </c>
      <c r="S15">
        <v>10</v>
      </c>
      <c r="T15" s="64">
        <v>1153.5999999999999</v>
      </c>
      <c r="U15" s="64">
        <v>831.4655678802244</v>
      </c>
      <c r="V15" s="64">
        <v>19</v>
      </c>
      <c r="W15" s="64">
        <v>0</v>
      </c>
      <c r="X15" s="64">
        <v>755.31210753217204</v>
      </c>
      <c r="Y15" s="64">
        <v>19</v>
      </c>
      <c r="Z15" s="64">
        <v>0</v>
      </c>
    </row>
    <row r="16" spans="1:26">
      <c r="A16" s="85"/>
      <c r="B16" s="86"/>
      <c r="C16" s="87"/>
      <c r="D16" s="56">
        <v>721</v>
      </c>
      <c r="E16" s="58">
        <v>10</v>
      </c>
      <c r="F16" s="58">
        <v>70</v>
      </c>
      <c r="G16" s="93">
        <f>E16/SQRT(2)*F16*D16/SQRT(3)*(1.0177*SIN(90*PI()/180)^1.2588+1)/1000*2</f>
        <v>831.4655678802244</v>
      </c>
      <c r="H16" s="93">
        <f t="shared" si="0"/>
        <v>19</v>
      </c>
      <c r="I16">
        <f t="shared" si="1"/>
        <v>0</v>
      </c>
      <c r="J16" s="93">
        <f>E16/SQRT(2)*F16*D16/SQRT(3)*(0.8329*SIN(90*PI()/180)^1.3098+1)/1000*2</f>
        <v>755.31210753217204</v>
      </c>
      <c r="K16" s="93">
        <f t="shared" si="2"/>
        <v>19</v>
      </c>
      <c r="L16">
        <f t="shared" si="3"/>
        <v>0</v>
      </c>
      <c r="M16">
        <f>20*F16*824/1000</f>
        <v>1153.5999999999999</v>
      </c>
      <c r="R16">
        <v>721</v>
      </c>
      <c r="S16">
        <v>10</v>
      </c>
      <c r="T16" s="64">
        <v>1153.5999999999999</v>
      </c>
      <c r="U16" s="64">
        <v>831.4655678802244</v>
      </c>
      <c r="V16" s="64">
        <v>19</v>
      </c>
      <c r="W16" s="64">
        <v>0</v>
      </c>
      <c r="X16" s="64">
        <v>755.31210753217204</v>
      </c>
      <c r="Y16" s="64">
        <v>19</v>
      </c>
      <c r="Z16" s="64">
        <v>0</v>
      </c>
    </row>
    <row r="17" spans="1:26">
      <c r="A17" s="85"/>
      <c r="B17" s="86"/>
      <c r="C17" s="87"/>
      <c r="D17" s="56">
        <v>721</v>
      </c>
      <c r="E17" s="57">
        <v>14</v>
      </c>
      <c r="F17" s="57">
        <v>70</v>
      </c>
      <c r="G17" s="93">
        <f>E17/SQRT(2)*F17*D17/SQRT(3)*(1.0177*SIN(90*PI()/180)^1.2588+1)/1000*2</f>
        <v>1164.0517950323142</v>
      </c>
      <c r="H17" s="93">
        <f t="shared" si="0"/>
        <v>19</v>
      </c>
      <c r="I17">
        <f t="shared" si="1"/>
        <v>1</v>
      </c>
      <c r="J17" s="93">
        <f>E17/SQRT(2)*F17*D17/SQRT(3)*(0.8329*SIN(90*PI()/180)^1.3098+1)/1000*2</f>
        <v>1057.4369505450406</v>
      </c>
      <c r="K17" s="93">
        <f t="shared" si="2"/>
        <v>19</v>
      </c>
      <c r="L17">
        <f t="shared" si="3"/>
        <v>0</v>
      </c>
      <c r="M17">
        <f>20*F17*824/1000</f>
        <v>1153.5999999999999</v>
      </c>
      <c r="R17">
        <v>721</v>
      </c>
      <c r="S17">
        <v>14</v>
      </c>
      <c r="T17" s="64">
        <v>1153.5999999999999</v>
      </c>
      <c r="U17" s="64">
        <v>1164.0517950323142</v>
      </c>
      <c r="V17" s="64">
        <v>19</v>
      </c>
      <c r="W17" s="64">
        <v>1</v>
      </c>
      <c r="X17" s="64">
        <v>1057.4369505450406</v>
      </c>
      <c r="Y17" s="64">
        <v>19</v>
      </c>
      <c r="Z17" s="64">
        <v>0</v>
      </c>
    </row>
    <row r="18" spans="1:26">
      <c r="A18" s="85"/>
      <c r="B18" s="86"/>
      <c r="C18" s="87" t="s">
        <v>79</v>
      </c>
      <c r="D18" s="56">
        <v>867</v>
      </c>
      <c r="E18" s="57">
        <v>10</v>
      </c>
      <c r="F18" s="57">
        <v>70</v>
      </c>
      <c r="G18" s="93">
        <f>E18/SQRT(2)*F18*D18/SQRT(3)*(1.0177*SIN(90*PI()/180)^1.2588+1)/1000*2</f>
        <v>999.83446234695509</v>
      </c>
      <c r="H18" s="93">
        <f t="shared" si="0"/>
        <v>19</v>
      </c>
      <c r="I18">
        <f t="shared" si="1"/>
        <v>0</v>
      </c>
      <c r="J18" s="93">
        <f>E18/SQRT(2)*F18*D18/SQRT(3)*(0.8329*SIN(90*PI()/180)^1.3098+1)/1000*2</f>
        <v>908.26019033341618</v>
      </c>
      <c r="K18" s="93">
        <f t="shared" si="2"/>
        <v>19</v>
      </c>
      <c r="L18">
        <f t="shared" si="3"/>
        <v>0</v>
      </c>
      <c r="M18">
        <f>20*F18*824/1000</f>
        <v>1153.5999999999999</v>
      </c>
      <c r="Q18" t="s">
        <v>135</v>
      </c>
      <c r="R18">
        <v>867</v>
      </c>
      <c r="S18">
        <v>10</v>
      </c>
      <c r="T18" s="64">
        <v>1153.5999999999999</v>
      </c>
      <c r="U18" s="64">
        <v>999.83446234695509</v>
      </c>
      <c r="V18" s="64">
        <v>19</v>
      </c>
      <c r="W18" s="64">
        <v>0</v>
      </c>
      <c r="X18" s="64">
        <v>908.26019033341618</v>
      </c>
      <c r="Y18" s="64">
        <v>19</v>
      </c>
      <c r="Z18" s="64">
        <v>0</v>
      </c>
    </row>
    <row r="19" spans="1:26">
      <c r="A19" s="85"/>
      <c r="B19" s="86"/>
      <c r="C19" s="87"/>
      <c r="D19" s="56">
        <v>867</v>
      </c>
      <c r="E19" s="58">
        <v>10</v>
      </c>
      <c r="F19" s="58">
        <v>70</v>
      </c>
      <c r="G19" s="93">
        <f>E19/SQRT(2)*F19*D19/SQRT(3)*(1.0177*SIN(90*PI()/180)^1.2588+1)/1000*2</f>
        <v>999.83446234695509</v>
      </c>
      <c r="H19" s="93">
        <f t="shared" si="0"/>
        <v>19</v>
      </c>
      <c r="I19">
        <f t="shared" si="1"/>
        <v>0</v>
      </c>
      <c r="J19" s="93">
        <f>E19/SQRT(2)*F19*D19/SQRT(3)*(0.8329*SIN(90*PI()/180)^1.3098+1)/1000*2</f>
        <v>908.26019033341618</v>
      </c>
      <c r="K19" s="93">
        <f t="shared" si="2"/>
        <v>19</v>
      </c>
      <c r="L19">
        <f t="shared" si="3"/>
        <v>0</v>
      </c>
      <c r="M19">
        <f>20*F19*824/1000</f>
        <v>1153.5999999999999</v>
      </c>
      <c r="R19">
        <v>867</v>
      </c>
      <c r="S19">
        <v>10</v>
      </c>
      <c r="T19" s="64">
        <v>1153.5999999999999</v>
      </c>
      <c r="U19" s="64">
        <v>999.83446234695509</v>
      </c>
      <c r="V19" s="64">
        <v>19</v>
      </c>
      <c r="W19" s="64">
        <v>0</v>
      </c>
      <c r="X19" s="64">
        <v>908.26019033341618</v>
      </c>
      <c r="Y19" s="64">
        <v>19</v>
      </c>
      <c r="Z19" s="64">
        <v>0</v>
      </c>
    </row>
    <row r="20" spans="1:26">
      <c r="A20" s="85"/>
      <c r="B20" s="86"/>
      <c r="C20" s="87"/>
      <c r="D20" s="56">
        <v>867</v>
      </c>
      <c r="E20" s="57">
        <v>14</v>
      </c>
      <c r="F20" s="57">
        <v>70</v>
      </c>
      <c r="G20" s="93">
        <f>E20/SQRT(2)*F20*D20/SQRT(3)*(1.0177*SIN(90*PI()/180)^1.2588+1)/1000*2</f>
        <v>1399.7682472857373</v>
      </c>
      <c r="H20" s="93">
        <f t="shared" si="0"/>
        <v>19</v>
      </c>
      <c r="I20">
        <f t="shared" si="1"/>
        <v>1</v>
      </c>
      <c r="J20" s="93">
        <f>E20/SQRT(2)*F20*D20/SQRT(3)*(0.8329*SIN(90*PI()/180)^1.3098+1)/1000*2</f>
        <v>1271.5642664667826</v>
      </c>
      <c r="K20" s="93">
        <f t="shared" si="2"/>
        <v>19</v>
      </c>
      <c r="L20">
        <f t="shared" si="3"/>
        <v>1</v>
      </c>
      <c r="M20">
        <f>20*F20*824/1000</f>
        <v>1153.5999999999999</v>
      </c>
      <c r="R20">
        <v>867</v>
      </c>
      <c r="S20">
        <v>14</v>
      </c>
      <c r="T20" s="64">
        <v>1153.5999999999999</v>
      </c>
      <c r="U20" s="64">
        <v>1399.7682472857373</v>
      </c>
      <c r="V20" s="64">
        <v>19</v>
      </c>
      <c r="W20" s="64">
        <v>1</v>
      </c>
      <c r="X20" s="64">
        <v>1271.5642664667826</v>
      </c>
      <c r="Y20" s="64">
        <v>19</v>
      </c>
      <c r="Z20" s="64">
        <v>1</v>
      </c>
    </row>
    <row r="21" spans="1:26">
      <c r="A21" s="85"/>
      <c r="B21" s="86"/>
      <c r="C21" s="87" t="s">
        <v>80</v>
      </c>
      <c r="D21" s="56">
        <v>941</v>
      </c>
      <c r="E21" s="57">
        <v>10</v>
      </c>
      <c r="F21" s="57">
        <v>70</v>
      </c>
      <c r="G21" s="93">
        <f>E21/SQRT(2)*F21*D21/SQRT(3)*(1.0177*SIN(90*PI()/180)^1.2588+1)/1000*2</f>
        <v>1085.1721211862568</v>
      </c>
      <c r="H21" s="93">
        <f t="shared" si="0"/>
        <v>19</v>
      </c>
      <c r="I21">
        <f t="shared" si="1"/>
        <v>0</v>
      </c>
      <c r="J21" s="93">
        <f>E21/SQRT(2)*F21*D21/SQRT(3)*(0.8329*SIN(90*PI()/180)^1.3098+1)/1000*2</f>
        <v>985.78182134226608</v>
      </c>
      <c r="K21" s="93">
        <f t="shared" si="2"/>
        <v>19</v>
      </c>
      <c r="L21">
        <f t="shared" si="3"/>
        <v>0</v>
      </c>
      <c r="M21">
        <f>20*F21*824/1000</f>
        <v>1153.5999999999999</v>
      </c>
      <c r="Q21" t="s">
        <v>136</v>
      </c>
      <c r="R21">
        <v>941</v>
      </c>
      <c r="S21">
        <v>10</v>
      </c>
      <c r="T21" s="64">
        <v>1153.5999999999999</v>
      </c>
      <c r="U21" s="64">
        <v>1085.1721211862568</v>
      </c>
      <c r="V21" s="64">
        <v>19</v>
      </c>
      <c r="W21" s="64">
        <v>0</v>
      </c>
      <c r="X21" s="64">
        <v>985.78182134226608</v>
      </c>
      <c r="Y21" s="64">
        <v>19</v>
      </c>
      <c r="Z21" s="64">
        <v>0</v>
      </c>
    </row>
    <row r="22" spans="1:26">
      <c r="A22" s="85"/>
      <c r="B22" s="86"/>
      <c r="C22" s="87"/>
      <c r="D22" s="56">
        <v>941</v>
      </c>
      <c r="E22" s="58">
        <v>10</v>
      </c>
      <c r="F22" s="58">
        <v>70</v>
      </c>
      <c r="G22" s="93">
        <f>E22/SQRT(2)*F22*D22/SQRT(3)*(1.0177*SIN(90*PI()/180)^1.2588+1)/1000*2</f>
        <v>1085.1721211862568</v>
      </c>
      <c r="H22" s="93">
        <f t="shared" si="0"/>
        <v>19</v>
      </c>
      <c r="I22">
        <f t="shared" si="1"/>
        <v>0</v>
      </c>
      <c r="J22" s="93">
        <f>E22/SQRT(2)*F22*D22/SQRT(3)*(0.8329*SIN(90*PI()/180)^1.3098+1)/1000*2</f>
        <v>985.78182134226608</v>
      </c>
      <c r="K22" s="93">
        <f t="shared" si="2"/>
        <v>19</v>
      </c>
      <c r="L22">
        <f t="shared" si="3"/>
        <v>0</v>
      </c>
      <c r="M22">
        <f>20*F22*824/1000</f>
        <v>1153.5999999999999</v>
      </c>
      <c r="R22">
        <v>941</v>
      </c>
      <c r="S22">
        <v>10</v>
      </c>
      <c r="T22" s="64">
        <v>1153.5999999999999</v>
      </c>
      <c r="U22" s="64">
        <v>1085.1721211862568</v>
      </c>
      <c r="V22" s="64">
        <v>19</v>
      </c>
      <c r="W22" s="64">
        <v>0</v>
      </c>
      <c r="X22" s="64">
        <v>985.78182134226608</v>
      </c>
      <c r="Y22" s="64">
        <v>19</v>
      </c>
      <c r="Z22" s="64">
        <v>0</v>
      </c>
    </row>
    <row r="23" spans="1:26">
      <c r="A23" s="85"/>
      <c r="B23" s="86"/>
      <c r="C23" s="87"/>
      <c r="D23" s="56">
        <v>941</v>
      </c>
      <c r="E23" s="57">
        <v>14</v>
      </c>
      <c r="F23" s="57">
        <v>70</v>
      </c>
      <c r="G23" s="93">
        <f>E23/SQRT(2)*F23*D23/SQRT(3)*(1.0177*SIN(90*PI()/180)^1.2588+1)/1000*2</f>
        <v>1519.2409696607597</v>
      </c>
      <c r="H23" s="93">
        <f t="shared" si="0"/>
        <v>19</v>
      </c>
      <c r="I23">
        <f t="shared" si="1"/>
        <v>1</v>
      </c>
      <c r="J23" s="93">
        <f>E23/SQRT(2)*F23*D23/SQRT(3)*(0.8329*SIN(90*PI()/180)^1.3098+1)/1000*2</f>
        <v>1380.0945498791723</v>
      </c>
      <c r="K23" s="93">
        <f t="shared" si="2"/>
        <v>19</v>
      </c>
      <c r="L23">
        <f t="shared" si="3"/>
        <v>1</v>
      </c>
      <c r="M23">
        <f>20*F23*824/1000</f>
        <v>1153.5999999999999</v>
      </c>
      <c r="R23">
        <v>941</v>
      </c>
      <c r="S23">
        <v>14</v>
      </c>
      <c r="T23" s="64">
        <v>1153.5999999999999</v>
      </c>
      <c r="U23" s="64">
        <v>1519.2409696607597</v>
      </c>
      <c r="V23" s="64">
        <v>19</v>
      </c>
      <c r="W23" s="64">
        <v>1</v>
      </c>
      <c r="X23" s="64">
        <v>1380.0945498791723</v>
      </c>
      <c r="Y23" s="64">
        <v>19</v>
      </c>
      <c r="Z23" s="64">
        <v>1</v>
      </c>
    </row>
    <row r="24" spans="1:26">
      <c r="A24" s="85"/>
      <c r="B24" s="86"/>
      <c r="C24" s="87" t="s">
        <v>86</v>
      </c>
      <c r="D24" s="56">
        <v>905</v>
      </c>
      <c r="E24" s="57">
        <v>10</v>
      </c>
      <c r="F24" s="57">
        <v>70</v>
      </c>
      <c r="G24" s="93">
        <f>E24/SQRT(2)*F24*D24/SQRT(3)*(1.0177*SIN(90*PI()/180)^1.2588+1)/1000*2</f>
        <v>1043.6565033725424</v>
      </c>
      <c r="H24" s="93">
        <f t="shared" si="0"/>
        <v>19</v>
      </c>
      <c r="I24">
        <f t="shared" si="1"/>
        <v>0</v>
      </c>
      <c r="J24" s="93">
        <f>E24/SQRT(2)*F24*D24/SQRT(3)*(0.8329*SIN(90*PI()/180)^1.3098+1)/1000*2</f>
        <v>948.0685954460688</v>
      </c>
      <c r="K24" s="93">
        <f t="shared" si="2"/>
        <v>19</v>
      </c>
      <c r="L24">
        <f t="shared" si="3"/>
        <v>0</v>
      </c>
      <c r="M24">
        <f>20*F24*824/1000</f>
        <v>1153.5999999999999</v>
      </c>
      <c r="Q24" t="s">
        <v>137</v>
      </c>
      <c r="R24">
        <v>905</v>
      </c>
      <c r="S24">
        <v>10</v>
      </c>
      <c r="T24" s="64">
        <v>1153.5999999999999</v>
      </c>
      <c r="U24" s="64">
        <v>1043.6565033725424</v>
      </c>
      <c r="V24" s="64">
        <v>19</v>
      </c>
      <c r="W24" s="64">
        <v>0</v>
      </c>
      <c r="X24" s="64">
        <v>948.0685954460688</v>
      </c>
      <c r="Y24" s="64">
        <v>19</v>
      </c>
      <c r="Z24" s="64">
        <v>0</v>
      </c>
    </row>
    <row r="25" spans="1:26">
      <c r="A25" s="85"/>
      <c r="B25" s="86"/>
      <c r="C25" s="87"/>
      <c r="D25" s="56">
        <v>905</v>
      </c>
      <c r="E25" s="58">
        <v>10</v>
      </c>
      <c r="F25" s="58">
        <v>70</v>
      </c>
      <c r="G25" s="93">
        <f>E25/SQRT(2)*F25*D25/SQRT(3)*(1.0177*SIN(90*PI()/180)^1.2588+1)/1000*2</f>
        <v>1043.6565033725424</v>
      </c>
      <c r="H25" s="93">
        <f t="shared" si="0"/>
        <v>19</v>
      </c>
      <c r="I25">
        <f t="shared" si="1"/>
        <v>0</v>
      </c>
      <c r="J25" s="93">
        <f>E25/SQRT(2)*F25*D25/SQRT(3)*(0.8329*SIN(90*PI()/180)^1.3098+1)/1000*2</f>
        <v>948.0685954460688</v>
      </c>
      <c r="K25" s="93">
        <f t="shared" si="2"/>
        <v>19</v>
      </c>
      <c r="L25">
        <f t="shared" si="3"/>
        <v>0</v>
      </c>
      <c r="M25">
        <f>20*F25*824/1000</f>
        <v>1153.5999999999999</v>
      </c>
      <c r="R25">
        <v>905</v>
      </c>
      <c r="S25">
        <v>10</v>
      </c>
      <c r="T25" s="64">
        <v>1153.5999999999999</v>
      </c>
      <c r="U25" s="64">
        <v>1043.6565033725424</v>
      </c>
      <c r="V25" s="64">
        <v>19</v>
      </c>
      <c r="W25" s="64">
        <v>0</v>
      </c>
      <c r="X25" s="64">
        <v>948.0685954460688</v>
      </c>
      <c r="Y25" s="64">
        <v>19</v>
      </c>
      <c r="Z25" s="64">
        <v>0</v>
      </c>
    </row>
    <row r="26" spans="1:26">
      <c r="A26" s="85"/>
      <c r="B26" s="86"/>
      <c r="C26" s="87"/>
      <c r="D26" s="56">
        <v>905</v>
      </c>
      <c r="E26" s="57">
        <v>14</v>
      </c>
      <c r="F26" s="57">
        <v>70</v>
      </c>
      <c r="G26" s="93">
        <f>E26/SQRT(2)*F26*D26/SQRT(3)*(1.0177*SIN(90*PI()/180)^1.2588+1)/1000*2</f>
        <v>1461.1191047215596</v>
      </c>
      <c r="H26" s="93">
        <f t="shared" si="0"/>
        <v>19</v>
      </c>
      <c r="I26">
        <f t="shared" si="1"/>
        <v>1</v>
      </c>
      <c r="J26" s="93">
        <f>E26/SQRT(2)*F26*D26/SQRT(3)*(0.8329*SIN(90*PI()/180)^1.3098+1)/1000*2</f>
        <v>1327.2960336244962</v>
      </c>
      <c r="K26" s="93">
        <f t="shared" si="2"/>
        <v>19</v>
      </c>
      <c r="L26">
        <f t="shared" si="3"/>
        <v>1</v>
      </c>
      <c r="M26">
        <f>20*F26*824/1000</f>
        <v>1153.5999999999999</v>
      </c>
      <c r="R26">
        <v>905</v>
      </c>
      <c r="S26">
        <v>14</v>
      </c>
      <c r="T26" s="64">
        <v>1153.5999999999999</v>
      </c>
      <c r="U26" s="64">
        <v>1461.1191047215596</v>
      </c>
      <c r="V26" s="64">
        <v>19</v>
      </c>
      <c r="W26" s="64">
        <v>1</v>
      </c>
      <c r="X26" s="64">
        <v>1327.2960336244962</v>
      </c>
      <c r="Y26" s="64">
        <v>19</v>
      </c>
      <c r="Z26" s="64">
        <v>1</v>
      </c>
    </row>
    <row r="27" spans="1:26">
      <c r="A27" s="85"/>
      <c r="B27" s="86"/>
      <c r="C27" s="87" t="s">
        <v>5</v>
      </c>
      <c r="D27" s="56">
        <v>893</v>
      </c>
      <c r="E27" s="57">
        <v>10</v>
      </c>
      <c r="F27" s="57">
        <v>70</v>
      </c>
      <c r="G27" s="93">
        <f>E27/SQRT(2)*F27*D27/SQRT(3)*(1.0177*SIN(90*PI()/180)^1.2588+1)/1000*2</f>
        <v>1029.8179641013044</v>
      </c>
      <c r="H27" s="93">
        <f t="shared" si="0"/>
        <v>19</v>
      </c>
      <c r="I27">
        <f t="shared" si="1"/>
        <v>0</v>
      </c>
      <c r="J27" s="93">
        <f>E27/SQRT(2)*F27*D27/SQRT(3)*(0.8329*SIN(90*PI()/180)^1.3098+1)/1000*2</f>
        <v>935.49752014733645</v>
      </c>
      <c r="K27" s="93">
        <f t="shared" si="2"/>
        <v>19</v>
      </c>
      <c r="L27">
        <f t="shared" si="3"/>
        <v>0</v>
      </c>
      <c r="M27">
        <f>20*F27*824/1000</f>
        <v>1153.5999999999999</v>
      </c>
      <c r="Q27" t="s">
        <v>5</v>
      </c>
      <c r="R27">
        <v>893</v>
      </c>
      <c r="S27">
        <v>10</v>
      </c>
      <c r="T27" s="64">
        <v>1153.5999999999999</v>
      </c>
      <c r="U27" s="64">
        <v>1029.8179641013044</v>
      </c>
      <c r="V27" s="64">
        <v>19</v>
      </c>
      <c r="W27" s="64">
        <v>0</v>
      </c>
      <c r="X27" s="64">
        <v>935.49752014733645</v>
      </c>
      <c r="Y27" s="64">
        <v>19</v>
      </c>
      <c r="Z27" s="64">
        <v>0</v>
      </c>
    </row>
    <row r="28" spans="1:26">
      <c r="A28" s="85"/>
      <c r="B28" s="86"/>
      <c r="C28" s="87"/>
      <c r="D28" s="56">
        <v>893</v>
      </c>
      <c r="E28" s="58">
        <v>10</v>
      </c>
      <c r="F28" s="58">
        <v>70</v>
      </c>
      <c r="G28" s="93">
        <f>E28/SQRT(2)*F28*D28/SQRT(3)*(1.0177*SIN(90*PI()/180)^1.2588+1)/1000*2</f>
        <v>1029.8179641013044</v>
      </c>
      <c r="H28" s="93">
        <f t="shared" si="0"/>
        <v>19</v>
      </c>
      <c r="I28">
        <f t="shared" si="1"/>
        <v>0</v>
      </c>
      <c r="J28" s="93">
        <f>E28/SQRT(2)*F28*D28/SQRT(3)*(0.8329*SIN(90*PI()/180)^1.3098+1)/1000*2</f>
        <v>935.49752014733645</v>
      </c>
      <c r="K28" s="93">
        <f t="shared" si="2"/>
        <v>19</v>
      </c>
      <c r="L28">
        <f t="shared" si="3"/>
        <v>0</v>
      </c>
      <c r="M28">
        <f>20*F28*824/1000</f>
        <v>1153.5999999999999</v>
      </c>
      <c r="R28">
        <v>893</v>
      </c>
      <c r="S28">
        <v>10</v>
      </c>
      <c r="T28" s="64">
        <v>1153.5999999999999</v>
      </c>
      <c r="U28" s="64">
        <v>1029.8179641013044</v>
      </c>
      <c r="V28" s="64">
        <v>19</v>
      </c>
      <c r="W28" s="64">
        <v>0</v>
      </c>
      <c r="X28" s="64">
        <v>935.49752014733645</v>
      </c>
      <c r="Y28" s="64">
        <v>19</v>
      </c>
      <c r="Z28" s="64">
        <v>0</v>
      </c>
    </row>
    <row r="29" spans="1:26">
      <c r="A29" s="85"/>
      <c r="B29" s="86"/>
      <c r="C29" s="87"/>
      <c r="D29" s="56">
        <v>893</v>
      </c>
      <c r="E29" s="57">
        <v>14</v>
      </c>
      <c r="F29" s="57">
        <v>70</v>
      </c>
      <c r="G29" s="93">
        <f>E29/SQRT(2)*F29*D29/SQRT(3)*(1.0177*SIN(90*PI()/180)^1.2588+1)/1000*2</f>
        <v>1441.745149741826</v>
      </c>
      <c r="H29" s="93">
        <f t="shared" si="0"/>
        <v>19</v>
      </c>
      <c r="I29">
        <f t="shared" si="1"/>
        <v>1</v>
      </c>
      <c r="J29" s="93">
        <f>E29/SQRT(2)*F29*D29/SQRT(3)*(0.8329*SIN(90*PI()/180)^1.3098+1)/1000*2</f>
        <v>1309.6965282062711</v>
      </c>
      <c r="K29" s="93">
        <f t="shared" si="2"/>
        <v>19</v>
      </c>
      <c r="L29">
        <f t="shared" si="3"/>
        <v>1</v>
      </c>
      <c r="M29">
        <f>20*F29*824/1000</f>
        <v>1153.5999999999999</v>
      </c>
      <c r="R29">
        <v>893</v>
      </c>
      <c r="S29">
        <v>14</v>
      </c>
      <c r="T29" s="64">
        <v>1153.5999999999999</v>
      </c>
      <c r="U29" s="64">
        <v>1441.745149741826</v>
      </c>
      <c r="V29" s="64">
        <v>19</v>
      </c>
      <c r="W29" s="64">
        <v>1</v>
      </c>
      <c r="X29" s="64">
        <v>1309.6965282062711</v>
      </c>
      <c r="Y29" s="64">
        <v>19</v>
      </c>
      <c r="Z29" s="64">
        <v>1</v>
      </c>
    </row>
    <row r="30" spans="1:26">
      <c r="A30" s="85"/>
      <c r="B30" s="86"/>
      <c r="C30" s="87" t="s">
        <v>81</v>
      </c>
      <c r="D30" s="56">
        <v>1069</v>
      </c>
      <c r="E30" s="57">
        <v>10</v>
      </c>
      <c r="F30" s="57">
        <v>70</v>
      </c>
      <c r="G30" s="93">
        <f>E30/SQRT(2)*F30*D30/SQRT(3)*(1.0177*SIN(90*PI()/180)^1.2588+1)/1000*2</f>
        <v>1232.7832067461302</v>
      </c>
      <c r="H30" s="93">
        <f t="shared" si="0"/>
        <v>19</v>
      </c>
      <c r="I30">
        <f t="shared" si="1"/>
        <v>1</v>
      </c>
      <c r="J30" s="93">
        <f>E30/SQRT(2)*F30*D30/SQRT(3)*(0.8329*SIN(90*PI()/180)^1.3098+1)/1000*2</f>
        <v>1119.8732911954116</v>
      </c>
      <c r="K30" s="93">
        <f t="shared" si="2"/>
        <v>19</v>
      </c>
      <c r="L30">
        <f t="shared" si="3"/>
        <v>0</v>
      </c>
      <c r="M30">
        <f>20*F30*824/1000</f>
        <v>1153.5999999999999</v>
      </c>
      <c r="Q30" t="s">
        <v>138</v>
      </c>
      <c r="R30">
        <v>1069</v>
      </c>
      <c r="S30">
        <v>10</v>
      </c>
      <c r="T30" s="64">
        <v>1153.5999999999999</v>
      </c>
      <c r="U30" s="64">
        <v>1232.7832067461302</v>
      </c>
      <c r="V30" s="64">
        <v>19</v>
      </c>
      <c r="W30" s="64">
        <v>1</v>
      </c>
      <c r="X30" s="64">
        <v>1119.8732911954116</v>
      </c>
      <c r="Y30" s="64">
        <v>19</v>
      </c>
      <c r="Z30" s="64">
        <v>0</v>
      </c>
    </row>
    <row r="31" spans="1:26">
      <c r="A31" s="85"/>
      <c r="B31" s="86"/>
      <c r="C31" s="87"/>
      <c r="D31" s="56">
        <v>1069</v>
      </c>
      <c r="E31" s="58">
        <v>10</v>
      </c>
      <c r="F31" s="58">
        <v>70</v>
      </c>
      <c r="G31" s="93">
        <f>E31/SQRT(2)*F31*D31/SQRT(3)*(1.0177*SIN(90*PI()/180)^1.2588+1)/1000*2</f>
        <v>1232.7832067461302</v>
      </c>
      <c r="H31" s="93">
        <f t="shared" si="0"/>
        <v>19</v>
      </c>
      <c r="I31">
        <f t="shared" si="1"/>
        <v>1</v>
      </c>
      <c r="J31" s="93">
        <f>E31/SQRT(2)*F31*D31/SQRT(3)*(0.8329*SIN(90*PI()/180)^1.3098+1)/1000*2</f>
        <v>1119.8732911954116</v>
      </c>
      <c r="K31" s="93">
        <f t="shared" si="2"/>
        <v>19</v>
      </c>
      <c r="L31">
        <f t="shared" si="3"/>
        <v>0</v>
      </c>
      <c r="M31">
        <f>20*F31*824/1000</f>
        <v>1153.5999999999999</v>
      </c>
      <c r="R31">
        <v>1069</v>
      </c>
      <c r="S31">
        <v>10</v>
      </c>
      <c r="T31" s="64">
        <v>1153.5999999999999</v>
      </c>
      <c r="U31" s="64">
        <v>1232.7832067461302</v>
      </c>
      <c r="V31" s="64">
        <v>19</v>
      </c>
      <c r="W31" s="64">
        <v>1</v>
      </c>
      <c r="X31" s="64">
        <v>1119.8732911954116</v>
      </c>
      <c r="Y31" s="64">
        <v>19</v>
      </c>
      <c r="Z31" s="64">
        <v>0</v>
      </c>
    </row>
    <row r="32" spans="1:26">
      <c r="A32" s="85"/>
      <c r="B32" s="86"/>
      <c r="C32" s="87"/>
      <c r="D32" s="56">
        <v>1069</v>
      </c>
      <c r="E32" s="57">
        <v>14</v>
      </c>
      <c r="F32" s="57">
        <v>70</v>
      </c>
      <c r="G32" s="93">
        <f>E32/SQRT(2)*F32*D32/SQRT(3)*(1.0177*SIN(90*PI()/180)^1.2588+1)/1000*2</f>
        <v>1725.8964894445828</v>
      </c>
      <c r="H32" s="93">
        <f t="shared" si="0"/>
        <v>19</v>
      </c>
      <c r="I32">
        <f t="shared" si="1"/>
        <v>1</v>
      </c>
      <c r="J32" s="93">
        <f>E32/SQRT(2)*F32*D32/SQRT(3)*(0.8329*SIN(90*PI()/180)^1.3098+1)/1000*2</f>
        <v>1567.8226076735766</v>
      </c>
      <c r="K32" s="93">
        <f t="shared" si="2"/>
        <v>19</v>
      </c>
      <c r="L32">
        <f t="shared" si="3"/>
        <v>1</v>
      </c>
      <c r="M32">
        <f>20*F32*824/1000</f>
        <v>1153.5999999999999</v>
      </c>
      <c r="R32">
        <v>1069</v>
      </c>
      <c r="S32">
        <v>14</v>
      </c>
      <c r="T32" s="64">
        <v>1153.5999999999999</v>
      </c>
      <c r="U32" s="64">
        <v>1725.8964894445828</v>
      </c>
      <c r="V32" s="64">
        <v>19</v>
      </c>
      <c r="W32" s="64">
        <v>1</v>
      </c>
      <c r="X32" s="64">
        <v>1567.8226076735766</v>
      </c>
      <c r="Y32" s="64">
        <v>19</v>
      </c>
      <c r="Z32" s="64">
        <v>1</v>
      </c>
    </row>
  </sheetData>
  <mergeCells count="18">
    <mergeCell ref="J1:L1"/>
    <mergeCell ref="G1:I1"/>
    <mergeCell ref="C11:C12"/>
    <mergeCell ref="C13:C14"/>
    <mergeCell ref="A3:A14"/>
    <mergeCell ref="A15:A32"/>
    <mergeCell ref="B15:B32"/>
    <mergeCell ref="C15:C17"/>
    <mergeCell ref="C18:C20"/>
    <mergeCell ref="C21:C23"/>
    <mergeCell ref="C24:C26"/>
    <mergeCell ref="C27:C29"/>
    <mergeCell ref="C30:C32"/>
    <mergeCell ref="B3:B14"/>
    <mergeCell ref="C3:C4"/>
    <mergeCell ref="C5:C6"/>
    <mergeCell ref="C7:C8"/>
    <mergeCell ref="C9:C1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zoomScale="85" zoomScaleNormal="85" workbookViewId="0">
      <pane xSplit="1" topLeftCell="B1" activePane="topRight" state="frozen"/>
      <selection activeCell="A7" sqref="A7"/>
      <selection pane="topRight" activeCell="K20" sqref="K20"/>
    </sheetView>
  </sheetViews>
  <sheetFormatPr defaultRowHeight="14.4"/>
  <sheetData>
    <row r="1" spans="1:26">
      <c r="A1" s="55"/>
      <c r="B1" s="55"/>
      <c r="C1" s="55"/>
      <c r="D1" s="55"/>
      <c r="E1" s="55"/>
      <c r="F1" s="55"/>
      <c r="G1" s="94" t="s">
        <v>123</v>
      </c>
      <c r="H1" s="91"/>
      <c r="I1" s="91"/>
      <c r="J1" s="91" t="s">
        <v>124</v>
      </c>
      <c r="K1" s="91"/>
      <c r="L1" s="91"/>
      <c r="U1" t="s">
        <v>139</v>
      </c>
      <c r="X1" t="s">
        <v>140</v>
      </c>
    </row>
    <row r="2" spans="1:26" s="18" customFormat="1" ht="43.2">
      <c r="A2" s="55"/>
      <c r="B2" s="53" t="s">
        <v>7</v>
      </c>
      <c r="C2" s="53" t="s">
        <v>8</v>
      </c>
      <c r="D2" s="53" t="s">
        <v>9</v>
      </c>
      <c r="E2" s="53" t="s">
        <v>10</v>
      </c>
      <c r="F2" s="53" t="s">
        <v>11</v>
      </c>
      <c r="G2" s="92" t="s">
        <v>125</v>
      </c>
      <c r="H2" s="92" t="s">
        <v>126</v>
      </c>
      <c r="I2" s="18" t="s">
        <v>130</v>
      </c>
      <c r="J2" s="92" t="s">
        <v>125</v>
      </c>
      <c r="K2" s="92" t="s">
        <v>126</v>
      </c>
      <c r="L2" s="18" t="s">
        <v>130</v>
      </c>
      <c r="M2" s="18" t="s">
        <v>128</v>
      </c>
      <c r="Q2" s="18" t="s">
        <v>131</v>
      </c>
      <c r="R2" s="18" t="s">
        <v>132</v>
      </c>
      <c r="S2" s="18" t="s">
        <v>133</v>
      </c>
      <c r="T2" s="18" t="s">
        <v>127</v>
      </c>
      <c r="U2" s="18" t="s">
        <v>141</v>
      </c>
      <c r="V2" s="18" t="s">
        <v>142</v>
      </c>
      <c r="W2" s="18" t="s">
        <v>129</v>
      </c>
      <c r="X2" s="18" t="s">
        <v>141</v>
      </c>
      <c r="Y2" s="18" t="s">
        <v>142</v>
      </c>
      <c r="Z2" s="18" t="s">
        <v>129</v>
      </c>
    </row>
    <row r="3" spans="1:26">
      <c r="A3" s="85" t="s">
        <v>101</v>
      </c>
      <c r="B3" s="86" t="s">
        <v>2</v>
      </c>
      <c r="C3" s="87" t="s">
        <v>85</v>
      </c>
      <c r="D3" s="56">
        <v>721</v>
      </c>
      <c r="E3" s="57">
        <v>5</v>
      </c>
      <c r="F3" s="57">
        <v>50</v>
      </c>
      <c r="G3" s="93">
        <f>E3/SQRT(2)*F3*D3/SQRT(3)*(1.0177*SIN(90*PI()/180)^1.2588+1)/1000*2</f>
        <v>296.95198852865155</v>
      </c>
      <c r="H3" s="93">
        <f>-26*SIN(90*PI()/180)^1.6193+45</f>
        <v>19</v>
      </c>
      <c r="I3">
        <f>IF(M3&gt;G3,0,1)</f>
        <v>0</v>
      </c>
      <c r="J3" s="93">
        <f>E3/SQRT(2)*F3*D3/SQRT(3)*(0.8329*SIN(90*PI()/180)^1.3098+1)/1000*2</f>
        <v>269.75432411863278</v>
      </c>
      <c r="K3" s="93">
        <f>-26*SIN(90*PI()/180)^2.1543+45</f>
        <v>19</v>
      </c>
      <c r="L3">
        <f>IF(M3&gt;J3,0,1)</f>
        <v>0</v>
      </c>
      <c r="M3">
        <f>10*F3*824/1000</f>
        <v>412</v>
      </c>
      <c r="Q3" t="s">
        <v>134</v>
      </c>
      <c r="R3">
        <v>721</v>
      </c>
      <c r="S3">
        <v>5</v>
      </c>
      <c r="T3" s="64">
        <v>412</v>
      </c>
      <c r="U3" s="64">
        <v>296.95198852865155</v>
      </c>
      <c r="V3" s="64">
        <v>19</v>
      </c>
      <c r="W3" s="64">
        <v>0</v>
      </c>
      <c r="X3" s="64">
        <v>269.75432411863278</v>
      </c>
      <c r="Y3" s="64">
        <v>19</v>
      </c>
      <c r="Z3" s="64">
        <v>0</v>
      </c>
    </row>
    <row r="4" spans="1:26">
      <c r="A4" s="85"/>
      <c r="B4" s="86"/>
      <c r="C4" s="87"/>
      <c r="D4" s="56">
        <v>721</v>
      </c>
      <c r="E4" s="57">
        <v>6</v>
      </c>
      <c r="F4" s="57">
        <v>50</v>
      </c>
      <c r="G4" s="93">
        <f>E4/SQRT(2)*F4*D4/SQRT(3)*(1.0177*SIN(90*PI()/180)^1.2588+1)/1000*2</f>
        <v>356.34238623438188</v>
      </c>
      <c r="H4" s="93">
        <f t="shared" ref="H4:H14" si="0">-26*SIN(90*PI()/180)^1.6193+45</f>
        <v>19</v>
      </c>
      <c r="I4">
        <f t="shared" ref="I4:I14" si="1">IF(M4&gt;G4,0,1)</f>
        <v>0</v>
      </c>
      <c r="J4" s="93">
        <f>E4/SQRT(2)*F4*D4/SQRT(3)*(0.8329*SIN(90*PI()/180)^1.3098+1)/1000*2</f>
        <v>323.70518894235943</v>
      </c>
      <c r="K4" s="93">
        <f t="shared" ref="K4:K14" si="2">-26*SIN(90*PI()/180)^2.1543+45</f>
        <v>19</v>
      </c>
      <c r="L4">
        <f t="shared" ref="L4:L14" si="3">IF(M4&gt;J4,0,1)</f>
        <v>0</v>
      </c>
      <c r="M4">
        <f>10*F4*824/1000</f>
        <v>412</v>
      </c>
      <c r="R4">
        <v>721</v>
      </c>
      <c r="S4">
        <v>6</v>
      </c>
      <c r="T4" s="64">
        <v>412</v>
      </c>
      <c r="U4" s="64">
        <v>356.34238623438188</v>
      </c>
      <c r="V4" s="64">
        <v>19</v>
      </c>
      <c r="W4" s="64">
        <v>0</v>
      </c>
      <c r="X4" s="64">
        <v>323.70518894235943</v>
      </c>
      <c r="Y4" s="64">
        <v>19</v>
      </c>
      <c r="Z4" s="64">
        <v>0</v>
      </c>
    </row>
    <row r="5" spans="1:26">
      <c r="A5" s="85"/>
      <c r="B5" s="86"/>
      <c r="C5" s="87" t="s">
        <v>86</v>
      </c>
      <c r="D5" s="56">
        <v>905</v>
      </c>
      <c r="E5" s="57">
        <v>5</v>
      </c>
      <c r="F5" s="57">
        <v>50</v>
      </c>
      <c r="G5" s="93">
        <f>E5/SQRT(2)*F5*D5/SQRT(3)*(1.0177*SIN(90*PI()/180)^1.2588+1)/1000*2</f>
        <v>372.73446549019371</v>
      </c>
      <c r="H5" s="93">
        <f t="shared" si="0"/>
        <v>19</v>
      </c>
      <c r="I5">
        <f t="shared" si="1"/>
        <v>0</v>
      </c>
      <c r="J5" s="93">
        <f>E5/SQRT(2)*F5*D5/SQRT(3)*(0.8329*SIN(90*PI()/180)^1.3098+1)/1000*2</f>
        <v>338.59592694502453</v>
      </c>
      <c r="K5" s="93">
        <f t="shared" si="2"/>
        <v>19</v>
      </c>
      <c r="L5">
        <f t="shared" si="3"/>
        <v>0</v>
      </c>
      <c r="M5">
        <f>10*F5*824/1000</f>
        <v>412</v>
      </c>
      <c r="Q5" t="s">
        <v>137</v>
      </c>
      <c r="R5">
        <v>905</v>
      </c>
      <c r="S5">
        <v>5</v>
      </c>
      <c r="T5" s="64">
        <v>412</v>
      </c>
      <c r="U5" s="64">
        <v>372.73446549019371</v>
      </c>
      <c r="V5" s="64">
        <v>19</v>
      </c>
      <c r="W5" s="64">
        <v>0</v>
      </c>
      <c r="X5" s="64">
        <v>338.59592694502453</v>
      </c>
      <c r="Y5" s="64">
        <v>19</v>
      </c>
      <c r="Z5" s="64">
        <v>0</v>
      </c>
    </row>
    <row r="6" spans="1:26">
      <c r="A6" s="85"/>
      <c r="B6" s="86"/>
      <c r="C6" s="87"/>
      <c r="D6" s="56">
        <v>905</v>
      </c>
      <c r="E6" s="57">
        <v>6</v>
      </c>
      <c r="F6" s="57">
        <v>50</v>
      </c>
      <c r="G6" s="93">
        <f>E6/SQRT(2)*F6*D6/SQRT(3)*(1.0177*SIN(90*PI()/180)^1.2588+1)/1000*2</f>
        <v>447.28135858823248</v>
      </c>
      <c r="H6" s="93">
        <f t="shared" si="0"/>
        <v>19</v>
      </c>
      <c r="I6">
        <f t="shared" si="1"/>
        <v>1</v>
      </c>
      <c r="J6" s="93">
        <f>E6/SQRT(2)*F6*D6/SQRT(3)*(0.8329*SIN(90*PI()/180)^1.3098+1)/1000*2</f>
        <v>406.31511233402944</v>
      </c>
      <c r="K6" s="93">
        <f t="shared" si="2"/>
        <v>19</v>
      </c>
      <c r="L6">
        <f t="shared" si="3"/>
        <v>0</v>
      </c>
      <c r="M6">
        <f>10*F6*824/1000</f>
        <v>412</v>
      </c>
      <c r="R6">
        <v>905</v>
      </c>
      <c r="S6">
        <v>6</v>
      </c>
      <c r="T6" s="64">
        <v>412</v>
      </c>
      <c r="U6" s="64">
        <v>447.28135858823248</v>
      </c>
      <c r="V6" s="64">
        <v>19</v>
      </c>
      <c r="W6" s="64">
        <v>1</v>
      </c>
      <c r="X6" s="64">
        <v>406.31511233402944</v>
      </c>
      <c r="Y6" s="64">
        <v>19</v>
      </c>
      <c r="Z6" s="64">
        <v>0</v>
      </c>
    </row>
    <row r="7" spans="1:26">
      <c r="A7" s="85"/>
      <c r="B7" s="86"/>
      <c r="C7" s="87" t="s">
        <v>81</v>
      </c>
      <c r="D7" s="56">
        <v>1069</v>
      </c>
      <c r="E7" s="57">
        <v>5</v>
      </c>
      <c r="F7" s="57">
        <v>50</v>
      </c>
      <c r="G7" s="93">
        <f>E7/SQRT(2)*F7*D7/SQRT(3)*(1.0177*SIN(90*PI()/180)^1.2588+1)/1000*2</f>
        <v>440.27971669504643</v>
      </c>
      <c r="H7" s="93">
        <f t="shared" si="0"/>
        <v>19</v>
      </c>
      <c r="I7">
        <f t="shared" si="1"/>
        <v>1</v>
      </c>
      <c r="J7" s="93">
        <f>E7/SQRT(2)*F7*D7/SQRT(3)*(0.8329*SIN(90*PI()/180)^1.3098+1)/1000*2</f>
        <v>399.95474685550414</v>
      </c>
      <c r="K7" s="93">
        <f t="shared" si="2"/>
        <v>19</v>
      </c>
      <c r="L7">
        <f t="shared" si="3"/>
        <v>0</v>
      </c>
      <c r="M7">
        <f>10*F7*824/1000</f>
        <v>412</v>
      </c>
      <c r="Q7" t="s">
        <v>138</v>
      </c>
      <c r="R7">
        <v>1069</v>
      </c>
      <c r="S7">
        <v>5</v>
      </c>
      <c r="T7" s="64">
        <v>412</v>
      </c>
      <c r="U7" s="64">
        <v>440.27971669504643</v>
      </c>
      <c r="V7" s="64">
        <v>19</v>
      </c>
      <c r="W7" s="64">
        <v>1</v>
      </c>
      <c r="X7" s="64">
        <v>399.95474685550414</v>
      </c>
      <c r="Y7" s="64">
        <v>19</v>
      </c>
      <c r="Z7" s="64">
        <v>0</v>
      </c>
    </row>
    <row r="8" spans="1:26">
      <c r="A8" s="85"/>
      <c r="B8" s="86"/>
      <c r="C8" s="87"/>
      <c r="D8" s="56">
        <v>1069</v>
      </c>
      <c r="E8" s="57">
        <v>6</v>
      </c>
      <c r="F8" s="57">
        <v>50</v>
      </c>
      <c r="G8" s="93">
        <f>E8/SQRT(2)*F8*D8/SQRT(3)*(1.0177*SIN(90*PI()/180)^1.2588+1)/1000*2</f>
        <v>528.33566003405588</v>
      </c>
      <c r="H8" s="93">
        <f t="shared" si="0"/>
        <v>19</v>
      </c>
      <c r="I8">
        <f t="shared" si="1"/>
        <v>1</v>
      </c>
      <c r="J8" s="93">
        <f>E8/SQRT(2)*F8*D8/SQRT(3)*(0.8329*SIN(90*PI()/180)^1.3098+1)/1000*2</f>
        <v>479.94569622660492</v>
      </c>
      <c r="K8" s="93">
        <f t="shared" si="2"/>
        <v>19</v>
      </c>
      <c r="L8">
        <f t="shared" si="3"/>
        <v>1</v>
      </c>
      <c r="M8">
        <f>10*F8*824/1000</f>
        <v>412</v>
      </c>
      <c r="R8">
        <v>1069</v>
      </c>
      <c r="S8">
        <v>6</v>
      </c>
      <c r="T8" s="64">
        <v>412</v>
      </c>
      <c r="U8" s="64">
        <v>528.33566003405588</v>
      </c>
      <c r="V8" s="64">
        <v>19</v>
      </c>
      <c r="W8" s="64">
        <v>1</v>
      </c>
      <c r="X8" s="64">
        <v>479.94569622660492</v>
      </c>
      <c r="Y8" s="64">
        <v>19</v>
      </c>
      <c r="Z8" s="64">
        <v>1</v>
      </c>
    </row>
    <row r="9" spans="1:26">
      <c r="A9" s="85" t="s">
        <v>102</v>
      </c>
      <c r="B9" s="86" t="s">
        <v>2</v>
      </c>
      <c r="C9" s="87" t="s">
        <v>85</v>
      </c>
      <c r="D9" s="56">
        <v>721</v>
      </c>
      <c r="E9" s="57">
        <v>10</v>
      </c>
      <c r="F9" s="57">
        <v>70</v>
      </c>
      <c r="G9" s="93">
        <f>E9/SQRT(2)*F9*D9/SQRT(3)*(1.0177*SIN(90*PI()/180)^1.2588+1)/1000*2</f>
        <v>831.4655678802244</v>
      </c>
      <c r="H9" s="93">
        <f t="shared" si="0"/>
        <v>19</v>
      </c>
      <c r="I9">
        <f t="shared" si="1"/>
        <v>0</v>
      </c>
      <c r="J9" s="93">
        <f>E9/SQRT(2)*F9*D9/SQRT(3)*(0.8329*SIN(90*PI()/180)^1.3098+1)/1000*2</f>
        <v>755.31210753217204</v>
      </c>
      <c r="K9" s="93">
        <f t="shared" si="2"/>
        <v>19</v>
      </c>
      <c r="L9">
        <f t="shared" si="3"/>
        <v>0</v>
      </c>
      <c r="M9">
        <f>30*F9*824/1000</f>
        <v>1730.4</v>
      </c>
      <c r="Q9" t="s">
        <v>134</v>
      </c>
      <c r="R9">
        <v>721</v>
      </c>
      <c r="S9">
        <v>10</v>
      </c>
      <c r="T9" s="64">
        <v>1730.4</v>
      </c>
      <c r="U9" s="64">
        <v>831.4655678802244</v>
      </c>
      <c r="V9" s="64">
        <v>19</v>
      </c>
      <c r="W9" s="64">
        <v>0</v>
      </c>
      <c r="X9" s="64">
        <v>755.31210753217204</v>
      </c>
      <c r="Y9" s="64">
        <v>19</v>
      </c>
      <c r="Z9" s="64">
        <v>0</v>
      </c>
    </row>
    <row r="10" spans="1:26">
      <c r="A10" s="85"/>
      <c r="B10" s="86"/>
      <c r="C10" s="87"/>
      <c r="D10" s="56">
        <v>721</v>
      </c>
      <c r="E10" s="58">
        <v>12</v>
      </c>
      <c r="F10" s="58">
        <v>70</v>
      </c>
      <c r="G10" s="93">
        <f>E10/SQRT(2)*F10*D10/SQRT(3)*(1.0177*SIN(90*PI()/180)^1.2588+1)/1000*2</f>
        <v>997.75868145626919</v>
      </c>
      <c r="H10" s="93">
        <f t="shared" si="0"/>
        <v>19</v>
      </c>
      <c r="I10">
        <f t="shared" si="1"/>
        <v>0</v>
      </c>
      <c r="J10" s="93">
        <f>E10/SQRT(2)*F10*D10/SQRT(3)*(0.8329*SIN(90*PI()/180)^1.3098+1)/1000*2</f>
        <v>906.37452903860628</v>
      </c>
      <c r="K10" s="93">
        <f t="shared" si="2"/>
        <v>19</v>
      </c>
      <c r="L10">
        <f t="shared" si="3"/>
        <v>0</v>
      </c>
      <c r="M10">
        <f t="shared" ref="M10:M14" si="4">30*F10*824/1000</f>
        <v>1730.4</v>
      </c>
      <c r="R10">
        <v>721</v>
      </c>
      <c r="S10">
        <v>12</v>
      </c>
      <c r="T10" s="64">
        <v>1730.4</v>
      </c>
      <c r="U10" s="64">
        <v>997.75868145626919</v>
      </c>
      <c r="V10" s="64">
        <v>19</v>
      </c>
      <c r="W10" s="64">
        <v>0</v>
      </c>
      <c r="X10" s="64">
        <v>906.37452903860628</v>
      </c>
      <c r="Y10" s="64">
        <v>19</v>
      </c>
      <c r="Z10" s="64">
        <v>0</v>
      </c>
    </row>
    <row r="11" spans="1:26">
      <c r="A11" s="85"/>
      <c r="B11" s="86"/>
      <c r="C11" s="87"/>
      <c r="D11" s="56">
        <v>721</v>
      </c>
      <c r="E11" s="57">
        <v>14</v>
      </c>
      <c r="F11" s="57">
        <v>70</v>
      </c>
      <c r="G11" s="93">
        <f>E11/SQRT(2)*F11*D11/SQRT(3)*(1.0177*SIN(90*PI()/180)^1.2588+1)/1000*2</f>
        <v>1164.0517950323142</v>
      </c>
      <c r="H11" s="93">
        <f t="shared" si="0"/>
        <v>19</v>
      </c>
      <c r="I11">
        <f t="shared" si="1"/>
        <v>0</v>
      </c>
      <c r="J11" s="93">
        <f>E11/SQRT(2)*F11*D11/SQRT(3)*(0.8329*SIN(90*PI()/180)^1.3098+1)/1000*2</f>
        <v>1057.4369505450406</v>
      </c>
      <c r="K11" s="93">
        <f t="shared" si="2"/>
        <v>19</v>
      </c>
      <c r="L11">
        <f t="shared" si="3"/>
        <v>0</v>
      </c>
      <c r="M11">
        <f t="shared" si="4"/>
        <v>1730.4</v>
      </c>
      <c r="R11">
        <v>721</v>
      </c>
      <c r="S11">
        <v>14</v>
      </c>
      <c r="T11" s="64">
        <v>1730.4</v>
      </c>
      <c r="U11" s="64">
        <v>1164.0517950323142</v>
      </c>
      <c r="V11" s="64">
        <v>19</v>
      </c>
      <c r="W11" s="64">
        <v>0</v>
      </c>
      <c r="X11" s="64">
        <v>1057.4369505450406</v>
      </c>
      <c r="Y11" s="64">
        <v>19</v>
      </c>
      <c r="Z11" s="64">
        <v>0</v>
      </c>
    </row>
    <row r="12" spans="1:26">
      <c r="A12" s="85"/>
      <c r="B12" s="86"/>
      <c r="C12" s="87" t="s">
        <v>86</v>
      </c>
      <c r="D12" s="56">
        <v>905</v>
      </c>
      <c r="E12" s="57">
        <v>10</v>
      </c>
      <c r="F12" s="57">
        <v>70</v>
      </c>
      <c r="G12" s="93">
        <f>E12/SQRT(2)*F12*D12/SQRT(3)*(1.0177*SIN(90*PI()/180)^1.2588+1)/1000*2</f>
        <v>1043.6565033725424</v>
      </c>
      <c r="H12" s="93">
        <f t="shared" si="0"/>
        <v>19</v>
      </c>
      <c r="I12">
        <f t="shared" si="1"/>
        <v>0</v>
      </c>
      <c r="J12" s="93">
        <f>E12/SQRT(2)*F12*D12/SQRT(3)*(0.8329*SIN(90*PI()/180)^1.3098+1)/1000*2</f>
        <v>948.0685954460688</v>
      </c>
      <c r="K12" s="93">
        <f t="shared" si="2"/>
        <v>19</v>
      </c>
      <c r="L12">
        <f t="shared" si="3"/>
        <v>0</v>
      </c>
      <c r="M12">
        <f t="shared" si="4"/>
        <v>1730.4</v>
      </c>
      <c r="Q12" t="s">
        <v>137</v>
      </c>
      <c r="R12">
        <v>905</v>
      </c>
      <c r="S12">
        <v>10</v>
      </c>
      <c r="T12" s="64">
        <v>1730.4</v>
      </c>
      <c r="U12" s="64">
        <v>1043.6565033725424</v>
      </c>
      <c r="V12" s="64">
        <v>19</v>
      </c>
      <c r="W12" s="64">
        <v>0</v>
      </c>
      <c r="X12" s="64">
        <v>948.0685954460688</v>
      </c>
      <c r="Y12" s="64">
        <v>19</v>
      </c>
      <c r="Z12" s="64">
        <v>0</v>
      </c>
    </row>
    <row r="13" spans="1:26">
      <c r="A13" s="85"/>
      <c r="B13" s="86"/>
      <c r="C13" s="87"/>
      <c r="D13" s="56">
        <v>905</v>
      </c>
      <c r="E13" s="58">
        <v>12</v>
      </c>
      <c r="F13" s="58">
        <v>70</v>
      </c>
      <c r="G13" s="93">
        <f>E13/SQRT(2)*F13*D13/SQRT(3)*(1.0177*SIN(90*PI()/180)^1.2588+1)/1000*2</f>
        <v>1252.3878040470506</v>
      </c>
      <c r="H13" s="93">
        <f t="shared" si="0"/>
        <v>19</v>
      </c>
      <c r="I13">
        <f t="shared" si="1"/>
        <v>0</v>
      </c>
      <c r="J13" s="93">
        <f>E13/SQRT(2)*F13*D13/SQRT(3)*(0.8329*SIN(90*PI()/180)^1.3098+1)/1000*2</f>
        <v>1137.6823145352823</v>
      </c>
      <c r="K13" s="93">
        <f t="shared" si="2"/>
        <v>19</v>
      </c>
      <c r="L13">
        <f t="shared" si="3"/>
        <v>0</v>
      </c>
      <c r="M13">
        <f t="shared" si="4"/>
        <v>1730.4</v>
      </c>
      <c r="R13">
        <v>905</v>
      </c>
      <c r="S13">
        <v>12</v>
      </c>
      <c r="T13" s="64">
        <v>1730.4</v>
      </c>
      <c r="U13" s="64">
        <v>1252.3878040470506</v>
      </c>
      <c r="V13" s="64">
        <v>19</v>
      </c>
      <c r="W13" s="64">
        <v>0</v>
      </c>
      <c r="X13" s="64">
        <v>1137.6823145352823</v>
      </c>
      <c r="Y13" s="64">
        <v>19</v>
      </c>
      <c r="Z13" s="64">
        <v>0</v>
      </c>
    </row>
    <row r="14" spans="1:26">
      <c r="A14" s="85"/>
      <c r="B14" s="86"/>
      <c r="C14" s="87"/>
      <c r="D14" s="56">
        <v>905</v>
      </c>
      <c r="E14" s="57">
        <v>14</v>
      </c>
      <c r="F14" s="57">
        <v>70</v>
      </c>
      <c r="G14" s="93">
        <f>E14/SQRT(2)*F14*D14/SQRT(3)*(1.0177*SIN(90*PI()/180)^1.2588+1)/1000*2</f>
        <v>1461.1191047215596</v>
      </c>
      <c r="H14" s="93">
        <f t="shared" si="0"/>
        <v>19</v>
      </c>
      <c r="I14">
        <f t="shared" si="1"/>
        <v>0</v>
      </c>
      <c r="J14" s="93">
        <f>E14/SQRT(2)*F14*D14/SQRT(3)*(0.8329*SIN(90*PI()/180)^1.3098+1)/1000*2</f>
        <v>1327.2960336244962</v>
      </c>
      <c r="K14" s="93">
        <f t="shared" si="2"/>
        <v>19</v>
      </c>
      <c r="L14">
        <f t="shared" si="3"/>
        <v>0</v>
      </c>
      <c r="M14">
        <f t="shared" si="4"/>
        <v>1730.4</v>
      </c>
      <c r="R14">
        <v>905</v>
      </c>
      <c r="S14">
        <v>14</v>
      </c>
      <c r="T14" s="64">
        <v>1730.4</v>
      </c>
      <c r="U14" s="64">
        <v>1461.1191047215596</v>
      </c>
      <c r="V14" s="64">
        <v>19</v>
      </c>
      <c r="W14" s="64">
        <v>0</v>
      </c>
      <c r="X14" s="64">
        <v>1327.2960336244962</v>
      </c>
      <c r="Y14" s="64">
        <v>19</v>
      </c>
      <c r="Z14" s="64">
        <v>0</v>
      </c>
    </row>
  </sheetData>
  <mergeCells count="11">
    <mergeCell ref="C7:C8"/>
    <mergeCell ref="A9:A14"/>
    <mergeCell ref="B9:B14"/>
    <mergeCell ref="C9:C11"/>
    <mergeCell ref="C12:C14"/>
    <mergeCell ref="G1:I1"/>
    <mergeCell ref="J1:L1"/>
    <mergeCell ref="A3:A8"/>
    <mergeCell ref="B3:B8"/>
    <mergeCell ref="C3:C4"/>
    <mergeCell ref="C5:C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ySplit="1" topLeftCell="A2" activePane="bottomLeft" state="frozen"/>
      <selection pane="bottomLeft" activeCell="G2" sqref="G2"/>
    </sheetView>
  </sheetViews>
  <sheetFormatPr defaultRowHeight="14.4"/>
  <cols>
    <col min="1" max="5" width="8.88671875" style="60"/>
    <col min="6" max="6" width="8.88671875" style="60" customWidth="1"/>
    <col min="7" max="16384" width="8.88671875" style="60"/>
  </cols>
  <sheetData>
    <row r="1" spans="1:32" ht="57.6">
      <c r="A1" s="59" t="s">
        <v>7</v>
      </c>
      <c r="B1" s="51" t="s">
        <v>8</v>
      </c>
      <c r="C1" s="51" t="s">
        <v>9</v>
      </c>
      <c r="D1" s="51" t="s">
        <v>10</v>
      </c>
      <c r="E1" s="51" t="s">
        <v>11</v>
      </c>
      <c r="F1" s="51" t="s">
        <v>106</v>
      </c>
      <c r="G1" s="29" t="s">
        <v>92</v>
      </c>
      <c r="H1" s="51" t="s">
        <v>84</v>
      </c>
      <c r="I1" s="51" t="s">
        <v>89</v>
      </c>
      <c r="J1" s="51" t="s">
        <v>88</v>
      </c>
      <c r="K1" s="51" t="s">
        <v>90</v>
      </c>
      <c r="L1" s="51" t="s">
        <v>108</v>
      </c>
      <c r="M1" s="51" t="s">
        <v>109</v>
      </c>
      <c r="N1" s="51" t="s">
        <v>110</v>
      </c>
      <c r="O1" s="51" t="s">
        <v>111</v>
      </c>
      <c r="P1" s="51" t="s">
        <v>112</v>
      </c>
      <c r="Q1" s="51" t="s">
        <v>113</v>
      </c>
      <c r="R1" s="51" t="s">
        <v>17</v>
      </c>
      <c r="S1" s="51" t="s">
        <v>16</v>
      </c>
      <c r="T1" s="51" t="s">
        <v>15</v>
      </c>
      <c r="U1" s="51" t="s">
        <v>76</v>
      </c>
      <c r="V1" s="90" t="s">
        <v>114</v>
      </c>
      <c r="W1" s="90"/>
      <c r="X1" s="90" t="s">
        <v>115</v>
      </c>
      <c r="Y1" s="90"/>
      <c r="Z1" s="90" t="s">
        <v>116</v>
      </c>
      <c r="AA1" s="90"/>
      <c r="AB1" s="90" t="s">
        <v>117</v>
      </c>
      <c r="AC1" s="90"/>
      <c r="AD1" s="51" t="s">
        <v>107</v>
      </c>
      <c r="AE1" s="63" t="s">
        <v>118</v>
      </c>
      <c r="AF1" s="63" t="s">
        <v>119</v>
      </c>
    </row>
    <row r="2" spans="1:32">
      <c r="A2" s="88" t="s">
        <v>2</v>
      </c>
      <c r="B2" s="89" t="s">
        <v>85</v>
      </c>
      <c r="C2" s="61">
        <v>721</v>
      </c>
      <c r="D2" s="50">
        <v>5</v>
      </c>
      <c r="E2" s="50">
        <v>240</v>
      </c>
      <c r="F2" s="49">
        <f>D2/SQRT(2)*E2*C2/1000</f>
        <v>611.78878708260083</v>
      </c>
      <c r="G2" s="49">
        <f>1/SQRT(3)*D2*E2*C2/1000</f>
        <v>499.52345290286428</v>
      </c>
      <c r="H2" s="50">
        <v>10</v>
      </c>
      <c r="I2" s="50">
        <v>75</v>
      </c>
      <c r="J2" s="50">
        <v>20</v>
      </c>
      <c r="K2" s="50">
        <v>100</v>
      </c>
      <c r="L2" s="50">
        <v>848</v>
      </c>
      <c r="M2" s="50">
        <v>920</v>
      </c>
      <c r="N2" s="50">
        <f>H2*I2*L2*2/1000</f>
        <v>1272</v>
      </c>
      <c r="O2" s="49">
        <f>J2*K2*L2/1000</f>
        <v>1696</v>
      </c>
      <c r="P2" s="50">
        <f>H2*I2*M2*2/1000</f>
        <v>1380</v>
      </c>
      <c r="Q2" s="49">
        <f>J2*K2*M2/1000</f>
        <v>1840</v>
      </c>
      <c r="R2" s="50">
        <v>8</v>
      </c>
      <c r="S2" s="49">
        <v>390</v>
      </c>
      <c r="T2" s="49">
        <f>1/SQRT(3)*C2*R2*S2/1000</f>
        <v>1298.7609775474471</v>
      </c>
      <c r="U2" s="62">
        <f t="shared" ref="U2:U19" si="0">T2/G2</f>
        <v>2.5999999999999996</v>
      </c>
      <c r="V2" s="62">
        <f>N2/G2</f>
        <v>2.5464269847753256</v>
      </c>
      <c r="W2" s="62">
        <f>N2/F2</f>
        <v>2.0791489266511527</v>
      </c>
      <c r="X2" s="62">
        <f>O2/G2</f>
        <v>3.3952359797004341</v>
      </c>
      <c r="Y2" s="62">
        <f>O2/F2</f>
        <v>2.7721985688682032</v>
      </c>
      <c r="Z2" s="62">
        <f>P2/G2</f>
        <v>2.7626330495204003</v>
      </c>
      <c r="AA2" s="62">
        <f>P2/F2</f>
        <v>2.2556804392913445</v>
      </c>
      <c r="AB2" s="62">
        <f>Q2/G2</f>
        <v>3.683510732693867</v>
      </c>
      <c r="AC2" s="62">
        <f>Q2/F2</f>
        <v>3.0075739190551261</v>
      </c>
      <c r="AD2" s="60" t="s">
        <v>122</v>
      </c>
      <c r="AE2" s="60" t="s">
        <v>120</v>
      </c>
      <c r="AF2" s="60" t="s">
        <v>120</v>
      </c>
    </row>
    <row r="3" spans="1:32">
      <c r="A3" s="88"/>
      <c r="B3" s="89"/>
      <c r="C3" s="61">
        <v>721</v>
      </c>
      <c r="D3" s="50">
        <v>5</v>
      </c>
      <c r="E3" s="50">
        <v>360</v>
      </c>
      <c r="F3" s="49">
        <f t="shared" ref="F3:F19" si="1">D3/SQRT(2)*E3*C3/1000</f>
        <v>917.68318062390119</v>
      </c>
      <c r="G3" s="49">
        <f t="shared" ref="G3:G19" si="2">1/SQRT(3)*D3*E3*C3/1000</f>
        <v>749.28517935429625</v>
      </c>
      <c r="H3" s="50">
        <v>10</v>
      </c>
      <c r="I3" s="50">
        <v>75</v>
      </c>
      <c r="J3" s="50">
        <v>20</v>
      </c>
      <c r="K3" s="50">
        <v>100</v>
      </c>
      <c r="L3" s="50">
        <v>848</v>
      </c>
      <c r="M3" s="50">
        <v>920</v>
      </c>
      <c r="N3" s="50">
        <f t="shared" ref="N3:N19" si="3">H3*I3*L3*2/1000</f>
        <v>1272</v>
      </c>
      <c r="O3" s="49">
        <f t="shared" ref="O3:O19" si="4">J3*K3*L3/1000</f>
        <v>1696</v>
      </c>
      <c r="P3" s="50">
        <f t="shared" ref="P3:P19" si="5">H3*I3*M3*2/1000</f>
        <v>1380</v>
      </c>
      <c r="Q3" s="49">
        <f t="shared" ref="Q3:Q19" si="6">J3*K3*M3/1000</f>
        <v>1840</v>
      </c>
      <c r="R3" s="50">
        <v>8</v>
      </c>
      <c r="S3" s="49">
        <v>510</v>
      </c>
      <c r="T3" s="49">
        <f>1/SQRT(3)*C3*R3*S3/1000</f>
        <v>1698.3797398697384</v>
      </c>
      <c r="U3" s="62">
        <f t="shared" si="0"/>
        <v>2.2666666666666671</v>
      </c>
      <c r="V3" s="62">
        <f t="shared" ref="V3:V19" si="7">N3/G3</f>
        <v>1.6976179898502173</v>
      </c>
      <c r="W3" s="62">
        <f t="shared" ref="W3:W19" si="8">N3/F3</f>
        <v>1.3860992844341018</v>
      </c>
      <c r="X3" s="62">
        <f t="shared" ref="X3:X19" si="9">O3/G3</f>
        <v>2.2634906531336232</v>
      </c>
      <c r="Y3" s="62">
        <f t="shared" ref="Y3:Y19" si="10">O3/F3</f>
        <v>1.8481323792454689</v>
      </c>
      <c r="Z3" s="62">
        <f t="shared" ref="Z3:Z19" si="11">P3/G3</f>
        <v>1.8417553663469339</v>
      </c>
      <c r="AA3" s="62">
        <f t="shared" ref="AA3:AA19" si="12">P3/F3</f>
        <v>1.5037869595275632</v>
      </c>
      <c r="AB3" s="62">
        <f t="shared" ref="AB3:AB19" si="13">Q3/G3</f>
        <v>2.4556738217959118</v>
      </c>
      <c r="AC3" s="62">
        <f t="shared" ref="AC3:AC19" si="14">Q3/F3</f>
        <v>2.0050492793700845</v>
      </c>
      <c r="AD3" s="60" t="s">
        <v>122</v>
      </c>
      <c r="AE3" s="60" t="s">
        <v>120</v>
      </c>
      <c r="AF3" s="60" t="s">
        <v>120</v>
      </c>
    </row>
    <row r="4" spans="1:32">
      <c r="A4" s="88"/>
      <c r="B4" s="89"/>
      <c r="C4" s="61">
        <v>721</v>
      </c>
      <c r="D4" s="50">
        <v>10</v>
      </c>
      <c r="E4" s="50">
        <v>280</v>
      </c>
      <c r="F4" s="49">
        <f t="shared" si="1"/>
        <v>1427.5071698594022</v>
      </c>
      <c r="G4" s="49">
        <f t="shared" si="2"/>
        <v>1165.5547234400167</v>
      </c>
      <c r="H4" s="50">
        <v>30</v>
      </c>
      <c r="I4" s="50">
        <v>75</v>
      </c>
      <c r="J4" s="50">
        <v>30</v>
      </c>
      <c r="K4" s="50">
        <v>110</v>
      </c>
      <c r="L4" s="50">
        <v>848</v>
      </c>
      <c r="M4" s="50">
        <v>920</v>
      </c>
      <c r="N4" s="50">
        <f t="shared" si="3"/>
        <v>3816</v>
      </c>
      <c r="O4" s="49">
        <f t="shared" si="4"/>
        <v>2798.4</v>
      </c>
      <c r="P4" s="50">
        <f t="shared" si="5"/>
        <v>4140</v>
      </c>
      <c r="Q4" s="49">
        <f t="shared" si="6"/>
        <v>3036</v>
      </c>
      <c r="R4" s="50">
        <v>20</v>
      </c>
      <c r="S4" s="49">
        <v>430</v>
      </c>
      <c r="T4" s="49">
        <f t="shared" ref="T4:T9" si="15">0.7*0.41*S4*R4*2/1000*C4*1.125</f>
        <v>4004.0374500000003</v>
      </c>
      <c r="U4" s="62">
        <f t="shared" si="0"/>
        <v>3.4353062704619215</v>
      </c>
      <c r="V4" s="62">
        <f t="shared" si="7"/>
        <v>3.27397755185399</v>
      </c>
      <c r="W4" s="62">
        <f t="shared" si="8"/>
        <v>2.6731914771229097</v>
      </c>
      <c r="X4" s="62">
        <f t="shared" si="9"/>
        <v>2.4009168713595925</v>
      </c>
      <c r="Y4" s="62">
        <f t="shared" si="10"/>
        <v>1.9603404165568006</v>
      </c>
      <c r="Z4" s="62">
        <f t="shared" si="11"/>
        <v>3.5519567779548002</v>
      </c>
      <c r="AA4" s="62">
        <f t="shared" si="12"/>
        <v>2.9001605648031568</v>
      </c>
      <c r="AB4" s="62">
        <f t="shared" si="13"/>
        <v>2.6047683038335201</v>
      </c>
      <c r="AC4" s="62">
        <f t="shared" si="14"/>
        <v>2.1267844141889816</v>
      </c>
      <c r="AD4" s="60" t="s">
        <v>122</v>
      </c>
      <c r="AE4" s="60" t="s">
        <v>120</v>
      </c>
      <c r="AF4" s="60" t="s">
        <v>120</v>
      </c>
    </row>
    <row r="5" spans="1:32">
      <c r="A5" s="88"/>
      <c r="B5" s="89"/>
      <c r="C5" s="61">
        <v>721</v>
      </c>
      <c r="D5" s="50">
        <v>5</v>
      </c>
      <c r="E5" s="50">
        <v>560</v>
      </c>
      <c r="F5" s="49">
        <f t="shared" si="1"/>
        <v>1427.5071698594022</v>
      </c>
      <c r="G5" s="49">
        <f t="shared" si="2"/>
        <v>1165.5547234400167</v>
      </c>
      <c r="H5" s="50">
        <v>30</v>
      </c>
      <c r="I5" s="50">
        <v>75</v>
      </c>
      <c r="J5" s="50">
        <v>30</v>
      </c>
      <c r="K5" s="50">
        <v>110</v>
      </c>
      <c r="L5" s="50">
        <v>848</v>
      </c>
      <c r="M5" s="50">
        <v>920</v>
      </c>
      <c r="N5" s="50">
        <f t="shared" si="3"/>
        <v>3816</v>
      </c>
      <c r="O5" s="49">
        <f t="shared" si="4"/>
        <v>2798.4</v>
      </c>
      <c r="P5" s="50">
        <f t="shared" si="5"/>
        <v>4140</v>
      </c>
      <c r="Q5" s="49">
        <f t="shared" si="6"/>
        <v>3036</v>
      </c>
      <c r="R5" s="50">
        <v>20</v>
      </c>
      <c r="S5" s="49">
        <v>710</v>
      </c>
      <c r="T5" s="49">
        <f t="shared" si="15"/>
        <v>6611.3176499999981</v>
      </c>
      <c r="U5" s="62">
        <f t="shared" si="0"/>
        <v>5.6722498884371246</v>
      </c>
      <c r="V5" s="62">
        <f t="shared" si="7"/>
        <v>3.27397755185399</v>
      </c>
      <c r="W5" s="62">
        <f t="shared" si="8"/>
        <v>2.6731914771229097</v>
      </c>
      <c r="X5" s="62">
        <f t="shared" si="9"/>
        <v>2.4009168713595925</v>
      </c>
      <c r="Y5" s="62">
        <f t="shared" si="10"/>
        <v>1.9603404165568006</v>
      </c>
      <c r="Z5" s="62">
        <f t="shared" si="11"/>
        <v>3.5519567779548002</v>
      </c>
      <c r="AA5" s="62">
        <f t="shared" si="12"/>
        <v>2.9001605648031568</v>
      </c>
      <c r="AB5" s="62">
        <f t="shared" si="13"/>
        <v>2.6047683038335201</v>
      </c>
      <c r="AC5" s="62">
        <f t="shared" si="14"/>
        <v>2.1267844141889816</v>
      </c>
      <c r="AD5" s="60" t="s">
        <v>122</v>
      </c>
      <c r="AE5" s="60" t="s">
        <v>120</v>
      </c>
      <c r="AF5" s="60" t="s">
        <v>120</v>
      </c>
    </row>
    <row r="6" spans="1:32">
      <c r="A6" s="88"/>
      <c r="B6" s="89" t="s">
        <v>103</v>
      </c>
      <c r="C6" s="61">
        <v>867</v>
      </c>
      <c r="D6" s="50">
        <v>10</v>
      </c>
      <c r="E6" s="50">
        <v>280</v>
      </c>
      <c r="F6" s="49">
        <f t="shared" si="1"/>
        <v>1716.5724220084628</v>
      </c>
      <c r="G6" s="49">
        <f t="shared" si="2"/>
        <v>1401.5755134847354</v>
      </c>
      <c r="H6" s="50">
        <v>30</v>
      </c>
      <c r="I6" s="50">
        <v>75</v>
      </c>
      <c r="J6" s="50">
        <v>30</v>
      </c>
      <c r="K6" s="50">
        <v>110</v>
      </c>
      <c r="L6" s="50">
        <v>848</v>
      </c>
      <c r="M6" s="50">
        <v>920</v>
      </c>
      <c r="N6" s="50">
        <f t="shared" si="3"/>
        <v>3816</v>
      </c>
      <c r="O6" s="49">
        <f t="shared" si="4"/>
        <v>2798.4</v>
      </c>
      <c r="P6" s="50">
        <f t="shared" si="5"/>
        <v>4140</v>
      </c>
      <c r="Q6" s="49">
        <f t="shared" si="6"/>
        <v>3036</v>
      </c>
      <c r="R6" s="50">
        <v>20</v>
      </c>
      <c r="S6" s="49">
        <v>430</v>
      </c>
      <c r="T6" s="49">
        <f t="shared" si="15"/>
        <v>4814.8411500000002</v>
      </c>
      <c r="U6" s="62">
        <f t="shared" si="0"/>
        <v>3.4353062704619224</v>
      </c>
      <c r="V6" s="62">
        <f t="shared" si="7"/>
        <v>2.7226503055210234</v>
      </c>
      <c r="W6" s="62">
        <f t="shared" si="8"/>
        <v>2.2230346655197439</v>
      </c>
      <c r="X6" s="62">
        <f t="shared" si="9"/>
        <v>1.9966102240487504</v>
      </c>
      <c r="Y6" s="62">
        <f t="shared" si="10"/>
        <v>1.6302254213811456</v>
      </c>
      <c r="Z6" s="62">
        <f t="shared" si="11"/>
        <v>2.9538187276879024</v>
      </c>
      <c r="AA6" s="62">
        <f t="shared" si="12"/>
        <v>2.4117828918374582</v>
      </c>
      <c r="AB6" s="62">
        <f t="shared" si="13"/>
        <v>2.1661337336377953</v>
      </c>
      <c r="AC6" s="62">
        <f t="shared" si="14"/>
        <v>1.7686407873474692</v>
      </c>
      <c r="AD6" s="60" t="s">
        <v>122</v>
      </c>
      <c r="AE6" s="60" t="s">
        <v>120</v>
      </c>
      <c r="AF6" s="60" t="s">
        <v>120</v>
      </c>
    </row>
    <row r="7" spans="1:32">
      <c r="A7" s="88"/>
      <c r="B7" s="89"/>
      <c r="C7" s="61">
        <v>867</v>
      </c>
      <c r="D7" s="50">
        <v>5</v>
      </c>
      <c r="E7" s="50">
        <v>560</v>
      </c>
      <c r="F7" s="49">
        <f t="shared" si="1"/>
        <v>1716.5724220084628</v>
      </c>
      <c r="G7" s="49">
        <f t="shared" si="2"/>
        <v>1401.5755134847354</v>
      </c>
      <c r="H7" s="50">
        <v>30</v>
      </c>
      <c r="I7" s="50">
        <v>75</v>
      </c>
      <c r="J7" s="50">
        <v>30</v>
      </c>
      <c r="K7" s="50">
        <v>110</v>
      </c>
      <c r="L7" s="50">
        <v>848</v>
      </c>
      <c r="M7" s="50">
        <v>920</v>
      </c>
      <c r="N7" s="50">
        <f t="shared" si="3"/>
        <v>3816</v>
      </c>
      <c r="O7" s="49">
        <f t="shared" si="4"/>
        <v>2798.4</v>
      </c>
      <c r="P7" s="50">
        <f t="shared" si="5"/>
        <v>4140</v>
      </c>
      <c r="Q7" s="49">
        <f t="shared" si="6"/>
        <v>3036</v>
      </c>
      <c r="R7" s="50">
        <v>20</v>
      </c>
      <c r="S7" s="49">
        <v>710</v>
      </c>
      <c r="T7" s="49">
        <f t="shared" si="15"/>
        <v>7950.0865499999991</v>
      </c>
      <c r="U7" s="62">
        <f t="shared" si="0"/>
        <v>5.6722498884371264</v>
      </c>
      <c r="V7" s="62">
        <f t="shared" si="7"/>
        <v>2.7226503055210234</v>
      </c>
      <c r="W7" s="62">
        <f t="shared" si="8"/>
        <v>2.2230346655197439</v>
      </c>
      <c r="X7" s="62">
        <f t="shared" si="9"/>
        <v>1.9966102240487504</v>
      </c>
      <c r="Y7" s="62">
        <f t="shared" si="10"/>
        <v>1.6302254213811456</v>
      </c>
      <c r="Z7" s="62">
        <f t="shared" si="11"/>
        <v>2.9538187276879024</v>
      </c>
      <c r="AA7" s="62">
        <f t="shared" si="12"/>
        <v>2.4117828918374582</v>
      </c>
      <c r="AB7" s="62">
        <f t="shared" si="13"/>
        <v>2.1661337336377953</v>
      </c>
      <c r="AC7" s="62">
        <f t="shared" si="14"/>
        <v>1.7686407873474692</v>
      </c>
      <c r="AD7" s="60" t="s">
        <v>122</v>
      </c>
      <c r="AE7" s="60" t="s">
        <v>120</v>
      </c>
      <c r="AF7" s="60" t="s">
        <v>120</v>
      </c>
    </row>
    <row r="8" spans="1:32">
      <c r="A8" s="88"/>
      <c r="B8" s="89" t="s">
        <v>104</v>
      </c>
      <c r="C8" s="61">
        <v>941</v>
      </c>
      <c r="D8" s="50">
        <v>10</v>
      </c>
      <c r="E8" s="50">
        <v>280</v>
      </c>
      <c r="F8" s="49">
        <f t="shared" si="1"/>
        <v>1863.0849470703151</v>
      </c>
      <c r="G8" s="49">
        <f t="shared" si="2"/>
        <v>1521.202489260826</v>
      </c>
      <c r="H8" s="50">
        <v>30</v>
      </c>
      <c r="I8" s="50">
        <v>75</v>
      </c>
      <c r="J8" s="50">
        <v>30</v>
      </c>
      <c r="K8" s="50">
        <v>110</v>
      </c>
      <c r="L8" s="50">
        <v>848</v>
      </c>
      <c r="M8" s="50">
        <v>920</v>
      </c>
      <c r="N8" s="50">
        <f t="shared" si="3"/>
        <v>3816</v>
      </c>
      <c r="O8" s="49">
        <f t="shared" si="4"/>
        <v>2798.4</v>
      </c>
      <c r="P8" s="50">
        <f t="shared" si="5"/>
        <v>4140</v>
      </c>
      <c r="Q8" s="49">
        <f t="shared" si="6"/>
        <v>3036</v>
      </c>
      <c r="R8" s="50">
        <v>20</v>
      </c>
      <c r="S8" s="49">
        <v>430</v>
      </c>
      <c r="T8" s="49">
        <f t="shared" si="15"/>
        <v>5225.7964499999998</v>
      </c>
      <c r="U8" s="62">
        <f t="shared" si="0"/>
        <v>3.4353062704619215</v>
      </c>
      <c r="V8" s="62">
        <f t="shared" si="7"/>
        <v>2.5085417799008787</v>
      </c>
      <c r="W8" s="62">
        <f t="shared" si="8"/>
        <v>2.0482157864034201</v>
      </c>
      <c r="X8" s="62">
        <f t="shared" si="9"/>
        <v>1.8395973052606445</v>
      </c>
      <c r="Y8" s="62">
        <f t="shared" si="10"/>
        <v>1.5020249100291749</v>
      </c>
      <c r="Z8" s="62">
        <f t="shared" si="11"/>
        <v>2.7215311763075571</v>
      </c>
      <c r="AA8" s="62">
        <f t="shared" si="12"/>
        <v>2.2221209003433331</v>
      </c>
      <c r="AB8" s="62">
        <f t="shared" si="13"/>
        <v>1.9957895292922085</v>
      </c>
      <c r="AC8" s="62">
        <f t="shared" si="14"/>
        <v>1.6295553269184444</v>
      </c>
      <c r="AD8" s="60" t="s">
        <v>122</v>
      </c>
      <c r="AE8" s="60" t="s">
        <v>120</v>
      </c>
      <c r="AF8" s="60" t="s">
        <v>120</v>
      </c>
    </row>
    <row r="9" spans="1:32">
      <c r="A9" s="88"/>
      <c r="B9" s="89"/>
      <c r="C9" s="61">
        <v>941</v>
      </c>
      <c r="D9" s="50">
        <v>5</v>
      </c>
      <c r="E9" s="50">
        <v>560</v>
      </c>
      <c r="F9" s="49">
        <f t="shared" si="1"/>
        <v>1863.0849470703151</v>
      </c>
      <c r="G9" s="49">
        <f t="shared" si="2"/>
        <v>1521.202489260826</v>
      </c>
      <c r="H9" s="50">
        <v>30</v>
      </c>
      <c r="I9" s="50">
        <v>75</v>
      </c>
      <c r="J9" s="50">
        <v>30</v>
      </c>
      <c r="K9" s="50">
        <v>110</v>
      </c>
      <c r="L9" s="50">
        <v>848</v>
      </c>
      <c r="M9" s="50">
        <v>920</v>
      </c>
      <c r="N9" s="50">
        <f t="shared" si="3"/>
        <v>3816</v>
      </c>
      <c r="O9" s="49">
        <f t="shared" si="4"/>
        <v>2798.4</v>
      </c>
      <c r="P9" s="50">
        <f t="shared" si="5"/>
        <v>4140</v>
      </c>
      <c r="Q9" s="49">
        <f t="shared" si="6"/>
        <v>3036</v>
      </c>
      <c r="R9" s="50">
        <v>20</v>
      </c>
      <c r="S9" s="49">
        <v>710</v>
      </c>
      <c r="T9" s="49">
        <f t="shared" si="15"/>
        <v>8628.6406499999994</v>
      </c>
      <c r="U9" s="62">
        <f t="shared" si="0"/>
        <v>5.6722498884371264</v>
      </c>
      <c r="V9" s="62">
        <f t="shared" si="7"/>
        <v>2.5085417799008787</v>
      </c>
      <c r="W9" s="62">
        <f t="shared" si="8"/>
        <v>2.0482157864034201</v>
      </c>
      <c r="X9" s="62">
        <f t="shared" si="9"/>
        <v>1.8395973052606445</v>
      </c>
      <c r="Y9" s="62">
        <f t="shared" si="10"/>
        <v>1.5020249100291749</v>
      </c>
      <c r="Z9" s="62">
        <f t="shared" si="11"/>
        <v>2.7215311763075571</v>
      </c>
      <c r="AA9" s="62">
        <f t="shared" si="12"/>
        <v>2.2221209003433331</v>
      </c>
      <c r="AB9" s="62">
        <f t="shared" si="13"/>
        <v>1.9957895292922085</v>
      </c>
      <c r="AC9" s="62">
        <f t="shared" si="14"/>
        <v>1.6295553269184444</v>
      </c>
      <c r="AD9" s="60" t="s">
        <v>122</v>
      </c>
      <c r="AE9" s="60" t="s">
        <v>120</v>
      </c>
      <c r="AF9" s="60" t="s">
        <v>120</v>
      </c>
    </row>
    <row r="10" spans="1:32">
      <c r="A10" s="88"/>
      <c r="B10" s="89" t="s">
        <v>86</v>
      </c>
      <c r="C10" s="61">
        <v>905</v>
      </c>
      <c r="D10" s="50">
        <v>5</v>
      </c>
      <c r="E10" s="50">
        <v>240</v>
      </c>
      <c r="F10" s="49">
        <f t="shared" si="1"/>
        <v>767.91796436859045</v>
      </c>
      <c r="G10" s="49">
        <f t="shared" si="2"/>
        <v>627.00239233993364</v>
      </c>
      <c r="H10" s="50">
        <v>10</v>
      </c>
      <c r="I10" s="50">
        <v>75</v>
      </c>
      <c r="J10" s="50">
        <v>20</v>
      </c>
      <c r="K10" s="50">
        <v>100</v>
      </c>
      <c r="L10" s="50">
        <v>848</v>
      </c>
      <c r="M10" s="50">
        <v>920</v>
      </c>
      <c r="N10" s="50">
        <f t="shared" si="3"/>
        <v>1272</v>
      </c>
      <c r="O10" s="49">
        <f t="shared" si="4"/>
        <v>1696</v>
      </c>
      <c r="P10" s="50">
        <f t="shared" si="5"/>
        <v>1380</v>
      </c>
      <c r="Q10" s="49">
        <f t="shared" si="6"/>
        <v>1840</v>
      </c>
      <c r="R10" s="50">
        <v>8</v>
      </c>
      <c r="S10" s="49">
        <v>390</v>
      </c>
      <c r="T10" s="49">
        <f>1/SQRT(3)*C10*R10*S10/1000</f>
        <v>1630.2062200838275</v>
      </c>
      <c r="U10" s="62">
        <f t="shared" si="0"/>
        <v>2.6</v>
      </c>
      <c r="V10" s="62">
        <f t="shared" si="7"/>
        <v>2.0287003933955909</v>
      </c>
      <c r="W10" s="62">
        <f t="shared" si="8"/>
        <v>1.6564269349342333</v>
      </c>
      <c r="X10" s="62">
        <f t="shared" si="9"/>
        <v>2.7049338578607878</v>
      </c>
      <c r="Y10" s="62">
        <f t="shared" si="10"/>
        <v>2.2085692465789775</v>
      </c>
      <c r="Z10" s="62">
        <f t="shared" si="11"/>
        <v>2.2009485400046507</v>
      </c>
      <c r="AA10" s="62">
        <f t="shared" si="12"/>
        <v>1.797066957711668</v>
      </c>
      <c r="AB10" s="62">
        <f t="shared" si="13"/>
        <v>2.9345980533395339</v>
      </c>
      <c r="AC10" s="62">
        <f t="shared" si="14"/>
        <v>2.3960892769488908</v>
      </c>
      <c r="AD10" s="60" t="s">
        <v>122</v>
      </c>
      <c r="AE10" s="60" t="s">
        <v>120</v>
      </c>
      <c r="AF10" s="60" t="s">
        <v>120</v>
      </c>
    </row>
    <row r="11" spans="1:32">
      <c r="A11" s="88"/>
      <c r="B11" s="89"/>
      <c r="C11" s="61">
        <v>905</v>
      </c>
      <c r="D11" s="50">
        <v>5</v>
      </c>
      <c r="E11" s="50">
        <v>360</v>
      </c>
      <c r="F11" s="49">
        <f t="shared" si="1"/>
        <v>1151.8769465528858</v>
      </c>
      <c r="G11" s="49">
        <f t="shared" si="2"/>
        <v>940.5035885099004</v>
      </c>
      <c r="H11" s="50">
        <v>10</v>
      </c>
      <c r="I11" s="50">
        <v>75</v>
      </c>
      <c r="J11" s="50">
        <v>20</v>
      </c>
      <c r="K11" s="50">
        <v>100</v>
      </c>
      <c r="L11" s="50">
        <v>848</v>
      </c>
      <c r="M11" s="50">
        <v>920</v>
      </c>
      <c r="N11" s="50">
        <f t="shared" si="3"/>
        <v>1272</v>
      </c>
      <c r="O11" s="49">
        <f t="shared" si="4"/>
        <v>1696</v>
      </c>
      <c r="P11" s="50">
        <f t="shared" si="5"/>
        <v>1380</v>
      </c>
      <c r="Q11" s="49">
        <f t="shared" si="6"/>
        <v>1840</v>
      </c>
      <c r="R11" s="50">
        <v>8</v>
      </c>
      <c r="S11" s="49">
        <v>510</v>
      </c>
      <c r="T11" s="49">
        <f>1/SQRT(3)*C11*R11*S11/1000</f>
        <v>2131.8081339557743</v>
      </c>
      <c r="U11" s="62">
        <f t="shared" si="0"/>
        <v>2.2666666666666666</v>
      </c>
      <c r="V11" s="62">
        <f t="shared" si="7"/>
        <v>1.3524669289303941</v>
      </c>
      <c r="W11" s="62">
        <f t="shared" si="8"/>
        <v>1.1042846232894887</v>
      </c>
      <c r="X11" s="62">
        <f t="shared" si="9"/>
        <v>1.8032892385738586</v>
      </c>
      <c r="Y11" s="62">
        <f t="shared" si="10"/>
        <v>1.4723794977193183</v>
      </c>
      <c r="Z11" s="62">
        <f t="shared" si="11"/>
        <v>1.4672990266697672</v>
      </c>
      <c r="AA11" s="62">
        <f t="shared" si="12"/>
        <v>1.1980446384744452</v>
      </c>
      <c r="AB11" s="62">
        <f t="shared" si="13"/>
        <v>1.956398702226356</v>
      </c>
      <c r="AC11" s="62">
        <f t="shared" si="14"/>
        <v>1.5973928512992603</v>
      </c>
      <c r="AD11" s="60" t="s">
        <v>122</v>
      </c>
      <c r="AE11" s="60" t="s">
        <v>120</v>
      </c>
      <c r="AF11" s="60" t="s">
        <v>120</v>
      </c>
    </row>
    <row r="12" spans="1:32">
      <c r="A12" s="88"/>
      <c r="B12" s="89"/>
      <c r="C12" s="61">
        <v>905</v>
      </c>
      <c r="D12" s="50">
        <v>10</v>
      </c>
      <c r="E12" s="50">
        <v>280</v>
      </c>
      <c r="F12" s="49">
        <f t="shared" si="1"/>
        <v>1791.8085835267111</v>
      </c>
      <c r="G12" s="49">
        <f t="shared" si="2"/>
        <v>1463.0055821265116</v>
      </c>
      <c r="H12" s="50">
        <v>30</v>
      </c>
      <c r="I12" s="50">
        <v>75</v>
      </c>
      <c r="J12" s="50">
        <v>30</v>
      </c>
      <c r="K12" s="50">
        <v>110</v>
      </c>
      <c r="L12" s="50">
        <v>848</v>
      </c>
      <c r="M12" s="50">
        <v>920</v>
      </c>
      <c r="N12" s="50">
        <f t="shared" si="3"/>
        <v>3816</v>
      </c>
      <c r="O12" s="49">
        <f t="shared" si="4"/>
        <v>2798.4</v>
      </c>
      <c r="P12" s="50">
        <f t="shared" si="5"/>
        <v>4140</v>
      </c>
      <c r="Q12" s="49">
        <f t="shared" si="6"/>
        <v>3036</v>
      </c>
      <c r="R12" s="50">
        <v>14</v>
      </c>
      <c r="S12" s="49">
        <v>430</v>
      </c>
      <c r="T12" s="49">
        <f>0.7*0.41*S12*R12*2/1000*C12*1.125</f>
        <v>3518.1105750000002</v>
      </c>
      <c r="U12" s="62">
        <f t="shared" si="0"/>
        <v>2.4047143893233458</v>
      </c>
      <c r="V12" s="62">
        <f t="shared" si="7"/>
        <v>2.6083290772229031</v>
      </c>
      <c r="W12" s="62">
        <f t="shared" si="8"/>
        <v>2.1296917734868712</v>
      </c>
      <c r="X12" s="62">
        <f t="shared" si="9"/>
        <v>1.9127746566301289</v>
      </c>
      <c r="Y12" s="62">
        <f t="shared" si="10"/>
        <v>1.5617739672237057</v>
      </c>
      <c r="Z12" s="62">
        <f t="shared" si="11"/>
        <v>2.8297909800059795</v>
      </c>
      <c r="AA12" s="62">
        <f t="shared" si="12"/>
        <v>2.3105146599150017</v>
      </c>
      <c r="AB12" s="62">
        <f t="shared" si="13"/>
        <v>2.0751800520043848</v>
      </c>
      <c r="AC12" s="62">
        <f t="shared" si="14"/>
        <v>1.6943774172710013</v>
      </c>
      <c r="AD12" s="60" t="s">
        <v>122</v>
      </c>
      <c r="AE12" s="60" t="s">
        <v>120</v>
      </c>
      <c r="AF12" s="60" t="s">
        <v>120</v>
      </c>
    </row>
    <row r="13" spans="1:32">
      <c r="A13" s="88"/>
      <c r="B13" s="89"/>
      <c r="C13" s="61">
        <v>905</v>
      </c>
      <c r="D13" s="50">
        <v>5</v>
      </c>
      <c r="E13" s="50">
        <v>560</v>
      </c>
      <c r="F13" s="49">
        <f t="shared" si="1"/>
        <v>1791.8085835267111</v>
      </c>
      <c r="G13" s="49">
        <f t="shared" si="2"/>
        <v>1463.0055821265116</v>
      </c>
      <c r="H13" s="50">
        <v>30</v>
      </c>
      <c r="I13" s="50">
        <v>75</v>
      </c>
      <c r="J13" s="50">
        <v>30</v>
      </c>
      <c r="K13" s="50">
        <v>110</v>
      </c>
      <c r="L13" s="50">
        <v>848</v>
      </c>
      <c r="M13" s="50">
        <v>920</v>
      </c>
      <c r="N13" s="50">
        <f t="shared" si="3"/>
        <v>3816</v>
      </c>
      <c r="O13" s="49">
        <f t="shared" si="4"/>
        <v>2798.4</v>
      </c>
      <c r="P13" s="50">
        <f t="shared" si="5"/>
        <v>4140</v>
      </c>
      <c r="Q13" s="49">
        <f t="shared" si="6"/>
        <v>3036</v>
      </c>
      <c r="R13" s="50">
        <v>14</v>
      </c>
      <c r="S13" s="49">
        <v>710</v>
      </c>
      <c r="T13" s="49">
        <f>0.7*0.41*S13*R13*2/1000*C13*1.125</f>
        <v>5808.9732749999994</v>
      </c>
      <c r="U13" s="62">
        <f t="shared" si="0"/>
        <v>3.9705749219059885</v>
      </c>
      <c r="V13" s="62">
        <f t="shared" si="7"/>
        <v>2.6083290772229031</v>
      </c>
      <c r="W13" s="62">
        <f t="shared" si="8"/>
        <v>2.1296917734868712</v>
      </c>
      <c r="X13" s="62">
        <f t="shared" si="9"/>
        <v>1.9127746566301289</v>
      </c>
      <c r="Y13" s="62">
        <f t="shared" si="10"/>
        <v>1.5617739672237057</v>
      </c>
      <c r="Z13" s="62">
        <f t="shared" si="11"/>
        <v>2.8297909800059795</v>
      </c>
      <c r="AA13" s="62">
        <f t="shared" si="12"/>
        <v>2.3105146599150017</v>
      </c>
      <c r="AB13" s="62">
        <f t="shared" si="13"/>
        <v>2.0751800520043848</v>
      </c>
      <c r="AC13" s="62">
        <f t="shared" si="14"/>
        <v>1.6943774172710013</v>
      </c>
      <c r="AD13" s="60" t="s">
        <v>122</v>
      </c>
      <c r="AE13" s="60" t="s">
        <v>120</v>
      </c>
      <c r="AF13" s="60" t="s">
        <v>120</v>
      </c>
    </row>
    <row r="14" spans="1:32">
      <c r="A14" s="88"/>
      <c r="B14" s="89" t="s">
        <v>105</v>
      </c>
      <c r="C14" s="61">
        <v>893</v>
      </c>
      <c r="D14" s="50">
        <v>10</v>
      </c>
      <c r="E14" s="50">
        <v>280</v>
      </c>
      <c r="F14" s="49">
        <f t="shared" si="1"/>
        <v>1768.0497956788433</v>
      </c>
      <c r="G14" s="49">
        <f t="shared" si="2"/>
        <v>1443.6066130817403</v>
      </c>
      <c r="H14" s="50">
        <v>30</v>
      </c>
      <c r="I14" s="50">
        <v>75</v>
      </c>
      <c r="J14" s="50">
        <v>30</v>
      </c>
      <c r="K14" s="50">
        <v>110</v>
      </c>
      <c r="L14" s="50">
        <v>848</v>
      </c>
      <c r="M14" s="50">
        <v>920</v>
      </c>
      <c r="N14" s="50">
        <f t="shared" si="3"/>
        <v>3816</v>
      </c>
      <c r="O14" s="49">
        <f t="shared" si="4"/>
        <v>2798.4</v>
      </c>
      <c r="P14" s="50">
        <f t="shared" si="5"/>
        <v>4140</v>
      </c>
      <c r="Q14" s="49">
        <f t="shared" si="6"/>
        <v>3036</v>
      </c>
      <c r="R14" s="50">
        <v>20</v>
      </c>
      <c r="S14" s="49">
        <v>430</v>
      </c>
      <c r="T14" s="49">
        <f>0.7*0.41*S14*R14*2/1000*C14*1.125</f>
        <v>4959.2308499999999</v>
      </c>
      <c r="U14" s="62">
        <f t="shared" si="0"/>
        <v>3.4353062704619219</v>
      </c>
      <c r="V14" s="62">
        <f t="shared" si="7"/>
        <v>2.6433794119672194</v>
      </c>
      <c r="W14" s="62">
        <f t="shared" si="8"/>
        <v>2.158310251965978</v>
      </c>
      <c r="X14" s="62">
        <f t="shared" si="9"/>
        <v>1.9384782354426278</v>
      </c>
      <c r="Y14" s="62">
        <f t="shared" si="10"/>
        <v>1.5827608514417171</v>
      </c>
      <c r="Z14" s="62">
        <f t="shared" si="11"/>
        <v>2.8678172865682097</v>
      </c>
      <c r="AA14" s="62">
        <f t="shared" si="12"/>
        <v>2.3415630092083721</v>
      </c>
      <c r="AB14" s="62">
        <f t="shared" si="13"/>
        <v>2.1030660101500205</v>
      </c>
      <c r="AC14" s="62">
        <f t="shared" si="14"/>
        <v>1.7171462067528063</v>
      </c>
      <c r="AD14" s="60" t="s">
        <v>122</v>
      </c>
      <c r="AE14" s="60" t="s">
        <v>120</v>
      </c>
      <c r="AF14" s="60" t="s">
        <v>120</v>
      </c>
    </row>
    <row r="15" spans="1:32">
      <c r="A15" s="88"/>
      <c r="B15" s="89"/>
      <c r="C15" s="61">
        <v>893</v>
      </c>
      <c r="D15" s="50">
        <v>5</v>
      </c>
      <c r="E15" s="50">
        <v>560</v>
      </c>
      <c r="F15" s="49">
        <f t="shared" si="1"/>
        <v>1768.0497956788433</v>
      </c>
      <c r="G15" s="49">
        <f t="shared" si="2"/>
        <v>1443.6066130817403</v>
      </c>
      <c r="H15" s="50">
        <v>30</v>
      </c>
      <c r="I15" s="50">
        <v>75</v>
      </c>
      <c r="J15" s="50">
        <v>30</v>
      </c>
      <c r="K15" s="50">
        <v>110</v>
      </c>
      <c r="L15" s="50">
        <v>848</v>
      </c>
      <c r="M15" s="50">
        <v>920</v>
      </c>
      <c r="N15" s="50">
        <f t="shared" si="3"/>
        <v>3816</v>
      </c>
      <c r="O15" s="49">
        <f t="shared" si="4"/>
        <v>2798.4</v>
      </c>
      <c r="P15" s="50">
        <f t="shared" si="5"/>
        <v>4140</v>
      </c>
      <c r="Q15" s="49">
        <f t="shared" si="6"/>
        <v>3036</v>
      </c>
      <c r="R15" s="50">
        <v>20</v>
      </c>
      <c r="S15" s="49">
        <v>710</v>
      </c>
      <c r="T15" s="49">
        <f>0.7*0.41*S15*R15*2/1000*C15*1.125</f>
        <v>8188.4974499999989</v>
      </c>
      <c r="U15" s="62">
        <f t="shared" si="0"/>
        <v>5.6722498884371264</v>
      </c>
      <c r="V15" s="62">
        <f t="shared" si="7"/>
        <v>2.6433794119672194</v>
      </c>
      <c r="W15" s="62">
        <f t="shared" si="8"/>
        <v>2.158310251965978</v>
      </c>
      <c r="X15" s="62">
        <f t="shared" si="9"/>
        <v>1.9384782354426278</v>
      </c>
      <c r="Y15" s="62">
        <f t="shared" si="10"/>
        <v>1.5827608514417171</v>
      </c>
      <c r="Z15" s="62">
        <f t="shared" si="11"/>
        <v>2.8678172865682097</v>
      </c>
      <c r="AA15" s="62">
        <f t="shared" si="12"/>
        <v>2.3415630092083721</v>
      </c>
      <c r="AB15" s="62">
        <f t="shared" si="13"/>
        <v>2.1030660101500205</v>
      </c>
      <c r="AC15" s="62">
        <f t="shared" si="14"/>
        <v>1.7171462067528063</v>
      </c>
      <c r="AD15" s="60" t="s">
        <v>122</v>
      </c>
      <c r="AE15" s="60" t="s">
        <v>120</v>
      </c>
      <c r="AF15" s="60" t="s">
        <v>120</v>
      </c>
    </row>
    <row r="16" spans="1:32">
      <c r="A16" s="88"/>
      <c r="B16" s="89" t="s">
        <v>81</v>
      </c>
      <c r="C16" s="61">
        <v>1069</v>
      </c>
      <c r="D16" s="50">
        <v>5</v>
      </c>
      <c r="E16" s="50">
        <v>240</v>
      </c>
      <c r="F16" s="49">
        <f t="shared" si="1"/>
        <v>907.07657890610301</v>
      </c>
      <c r="G16" s="49">
        <f t="shared" si="2"/>
        <v>740.62492531645205</v>
      </c>
      <c r="H16" s="50">
        <v>10</v>
      </c>
      <c r="I16" s="50">
        <v>75</v>
      </c>
      <c r="J16" s="50">
        <v>20</v>
      </c>
      <c r="K16" s="50">
        <v>100</v>
      </c>
      <c r="L16" s="50">
        <v>848</v>
      </c>
      <c r="M16" s="50">
        <v>920</v>
      </c>
      <c r="N16" s="50">
        <f t="shared" si="3"/>
        <v>1272</v>
      </c>
      <c r="O16" s="49">
        <f t="shared" si="4"/>
        <v>1696</v>
      </c>
      <c r="P16" s="50">
        <f t="shared" si="5"/>
        <v>1380</v>
      </c>
      <c r="Q16" s="49">
        <f t="shared" si="6"/>
        <v>1840</v>
      </c>
      <c r="R16" s="50">
        <v>8</v>
      </c>
      <c r="S16" s="49">
        <v>390</v>
      </c>
      <c r="T16" s="49">
        <f>1/SQRT(3)*C16*R16*S16/1000</f>
        <v>1925.6248058227752</v>
      </c>
      <c r="U16" s="62">
        <f t="shared" si="0"/>
        <v>2.5999999999999996</v>
      </c>
      <c r="V16" s="62">
        <f t="shared" si="7"/>
        <v>1.7174685276174084</v>
      </c>
      <c r="W16" s="62">
        <f t="shared" si="8"/>
        <v>1.4023071806505902</v>
      </c>
      <c r="X16" s="62">
        <f t="shared" si="9"/>
        <v>2.2899580368232111</v>
      </c>
      <c r="Y16" s="62">
        <f t="shared" si="10"/>
        <v>1.8697429075341203</v>
      </c>
      <c r="Z16" s="62">
        <f t="shared" si="11"/>
        <v>1.8632913271320941</v>
      </c>
      <c r="AA16" s="62">
        <f t="shared" si="12"/>
        <v>1.5213709978756405</v>
      </c>
      <c r="AB16" s="62">
        <f t="shared" si="13"/>
        <v>2.4843884361761255</v>
      </c>
      <c r="AC16" s="62">
        <f t="shared" si="14"/>
        <v>2.0284946638341874</v>
      </c>
      <c r="AD16" s="60" t="s">
        <v>122</v>
      </c>
      <c r="AE16" s="60" t="s">
        <v>120</v>
      </c>
      <c r="AF16" s="60" t="s">
        <v>120</v>
      </c>
    </row>
    <row r="17" spans="1:32">
      <c r="A17" s="88"/>
      <c r="B17" s="89"/>
      <c r="C17" s="61">
        <v>1069</v>
      </c>
      <c r="D17" s="50">
        <v>5</v>
      </c>
      <c r="E17" s="50">
        <v>360</v>
      </c>
      <c r="F17" s="49">
        <f t="shared" si="1"/>
        <v>1360.6148683591546</v>
      </c>
      <c r="G17" s="49">
        <f t="shared" si="2"/>
        <v>1110.9373879746779</v>
      </c>
      <c r="H17" s="50">
        <v>10</v>
      </c>
      <c r="I17" s="50">
        <v>75</v>
      </c>
      <c r="J17" s="50">
        <v>20</v>
      </c>
      <c r="K17" s="50">
        <v>100</v>
      </c>
      <c r="L17" s="50">
        <v>848</v>
      </c>
      <c r="M17" s="50">
        <v>920</v>
      </c>
      <c r="N17" s="50">
        <f t="shared" si="3"/>
        <v>1272</v>
      </c>
      <c r="O17" s="49">
        <f t="shared" si="4"/>
        <v>1696</v>
      </c>
      <c r="P17" s="50">
        <f t="shared" si="5"/>
        <v>1380</v>
      </c>
      <c r="Q17" s="49">
        <f t="shared" si="6"/>
        <v>1840</v>
      </c>
      <c r="R17" s="50">
        <v>8</v>
      </c>
      <c r="S17" s="49">
        <v>510</v>
      </c>
      <c r="T17" s="49">
        <f>1/SQRT(3)*C17*R17*S17/1000</f>
        <v>2518.1247460759369</v>
      </c>
      <c r="U17" s="62">
        <f t="shared" si="0"/>
        <v>2.2666666666666671</v>
      </c>
      <c r="V17" s="62">
        <f t="shared" si="7"/>
        <v>1.1449790184116058</v>
      </c>
      <c r="W17" s="62">
        <f t="shared" si="8"/>
        <v>0.93487145376706016</v>
      </c>
      <c r="X17" s="62">
        <f t="shared" si="9"/>
        <v>1.5266386912154744</v>
      </c>
      <c r="Y17" s="62">
        <f t="shared" si="10"/>
        <v>1.2464952716894135</v>
      </c>
      <c r="Z17" s="62">
        <f t="shared" si="11"/>
        <v>1.242194218088063</v>
      </c>
      <c r="AA17" s="62">
        <f t="shared" si="12"/>
        <v>1.0142473319170935</v>
      </c>
      <c r="AB17" s="62">
        <f t="shared" si="13"/>
        <v>1.6562589574507505</v>
      </c>
      <c r="AC17" s="62">
        <f t="shared" si="14"/>
        <v>1.3523297758894581</v>
      </c>
      <c r="AD17" s="60" t="s">
        <v>122</v>
      </c>
      <c r="AE17" s="60" t="s">
        <v>121</v>
      </c>
      <c r="AF17" s="60" t="s">
        <v>120</v>
      </c>
    </row>
    <row r="18" spans="1:32">
      <c r="A18" s="88"/>
      <c r="B18" s="89"/>
      <c r="C18" s="61">
        <v>1069</v>
      </c>
      <c r="D18" s="50">
        <v>10</v>
      </c>
      <c r="E18" s="50">
        <v>280</v>
      </c>
      <c r="F18" s="49">
        <f t="shared" si="1"/>
        <v>2116.5120174475742</v>
      </c>
      <c r="G18" s="49">
        <f t="shared" si="2"/>
        <v>1728.1248257383879</v>
      </c>
      <c r="H18" s="50">
        <v>30</v>
      </c>
      <c r="I18" s="50">
        <v>75</v>
      </c>
      <c r="J18" s="50">
        <v>30</v>
      </c>
      <c r="K18" s="50">
        <v>110</v>
      </c>
      <c r="L18" s="50">
        <v>848</v>
      </c>
      <c r="M18" s="50">
        <v>920</v>
      </c>
      <c r="N18" s="50">
        <f t="shared" si="3"/>
        <v>3816</v>
      </c>
      <c r="O18" s="49">
        <f t="shared" si="4"/>
        <v>2798.4</v>
      </c>
      <c r="P18" s="50">
        <f t="shared" si="5"/>
        <v>4140</v>
      </c>
      <c r="Q18" s="49">
        <f t="shared" si="6"/>
        <v>3036</v>
      </c>
      <c r="R18" s="50">
        <v>14</v>
      </c>
      <c r="S18" s="49">
        <v>430</v>
      </c>
      <c r="T18" s="49">
        <f>0.7*0.41*S18*R18*2/1000*C18*1.125</f>
        <v>4155.6466350000001</v>
      </c>
      <c r="U18" s="62">
        <f t="shared" si="0"/>
        <v>2.4047143893233454</v>
      </c>
      <c r="V18" s="62">
        <f t="shared" si="7"/>
        <v>2.2081738212223825</v>
      </c>
      <c r="W18" s="62">
        <f t="shared" si="8"/>
        <v>1.8029663751221872</v>
      </c>
      <c r="X18" s="62">
        <f t="shared" si="9"/>
        <v>1.6193274688964139</v>
      </c>
      <c r="Y18" s="62">
        <f t="shared" si="10"/>
        <v>1.3221753417562705</v>
      </c>
      <c r="Z18" s="62">
        <f t="shared" si="11"/>
        <v>2.3956602777412641</v>
      </c>
      <c r="AA18" s="62">
        <f t="shared" si="12"/>
        <v>1.9560484258401085</v>
      </c>
      <c r="AB18" s="62">
        <f t="shared" si="13"/>
        <v>1.7568175370102603</v>
      </c>
      <c r="AC18" s="62">
        <f t="shared" si="14"/>
        <v>1.4344355122827464</v>
      </c>
      <c r="AD18" s="60" t="s">
        <v>122</v>
      </c>
      <c r="AE18" s="60" t="s">
        <v>120</v>
      </c>
      <c r="AF18" s="60" t="s">
        <v>120</v>
      </c>
    </row>
    <row r="19" spans="1:32">
      <c r="A19" s="88"/>
      <c r="B19" s="89"/>
      <c r="C19" s="61">
        <v>1069</v>
      </c>
      <c r="D19" s="50">
        <v>5</v>
      </c>
      <c r="E19" s="50">
        <v>560</v>
      </c>
      <c r="F19" s="49">
        <f t="shared" si="1"/>
        <v>2116.5120174475742</v>
      </c>
      <c r="G19" s="49">
        <f t="shared" si="2"/>
        <v>1728.1248257383879</v>
      </c>
      <c r="H19" s="50">
        <v>30</v>
      </c>
      <c r="I19" s="50">
        <v>75</v>
      </c>
      <c r="J19" s="50">
        <v>30</v>
      </c>
      <c r="K19" s="50">
        <v>110</v>
      </c>
      <c r="L19" s="50">
        <v>848</v>
      </c>
      <c r="M19" s="50">
        <v>920</v>
      </c>
      <c r="N19" s="50">
        <f t="shared" si="3"/>
        <v>3816</v>
      </c>
      <c r="O19" s="49">
        <f t="shared" si="4"/>
        <v>2798.4</v>
      </c>
      <c r="P19" s="50">
        <f t="shared" si="5"/>
        <v>4140</v>
      </c>
      <c r="Q19" s="49">
        <f t="shared" si="6"/>
        <v>3036</v>
      </c>
      <c r="R19" s="50">
        <v>14</v>
      </c>
      <c r="S19" s="49">
        <v>710</v>
      </c>
      <c r="T19" s="49">
        <f>0.7*0.41*S19*R19*2/1000*C19*1.125</f>
        <v>6861.6490949999998</v>
      </c>
      <c r="U19" s="62">
        <f t="shared" si="0"/>
        <v>3.9705749219059885</v>
      </c>
      <c r="V19" s="62">
        <f t="shared" si="7"/>
        <v>2.2081738212223825</v>
      </c>
      <c r="W19" s="62">
        <f t="shared" si="8"/>
        <v>1.8029663751221872</v>
      </c>
      <c r="X19" s="62">
        <f t="shared" si="9"/>
        <v>1.6193274688964139</v>
      </c>
      <c r="Y19" s="62">
        <f t="shared" si="10"/>
        <v>1.3221753417562705</v>
      </c>
      <c r="Z19" s="62">
        <f t="shared" si="11"/>
        <v>2.3956602777412641</v>
      </c>
      <c r="AA19" s="62">
        <f t="shared" si="12"/>
        <v>1.9560484258401085</v>
      </c>
      <c r="AB19" s="62">
        <f t="shared" si="13"/>
        <v>1.7568175370102603</v>
      </c>
      <c r="AC19" s="62">
        <f t="shared" si="14"/>
        <v>1.4344355122827464</v>
      </c>
      <c r="AD19" s="60" t="s">
        <v>122</v>
      </c>
      <c r="AE19" s="60" t="s">
        <v>120</v>
      </c>
      <c r="AF19" s="60" t="s">
        <v>120</v>
      </c>
    </row>
  </sheetData>
  <mergeCells count="11">
    <mergeCell ref="V1:W1"/>
    <mergeCell ref="X1:Y1"/>
    <mergeCell ref="Z1:AA1"/>
    <mergeCell ref="AB1:AC1"/>
    <mergeCell ref="B16:B19"/>
    <mergeCell ref="A2:A19"/>
    <mergeCell ref="B2:B5"/>
    <mergeCell ref="B10:B13"/>
    <mergeCell ref="B6:B7"/>
    <mergeCell ref="B8:B9"/>
    <mergeCell ref="B14:B15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="85" zoomScaleNormal="85" workbookViewId="0">
      <pane xSplit="1" topLeftCell="B1" activePane="topRight" state="frozen"/>
      <selection activeCell="A7" sqref="A7"/>
      <selection pane="topRight" activeCell="S23" sqref="S23"/>
    </sheetView>
  </sheetViews>
  <sheetFormatPr defaultRowHeight="14.4"/>
  <sheetData>
    <row r="1" spans="1:24">
      <c r="A1" s="55"/>
      <c r="B1" s="55"/>
      <c r="C1" s="55"/>
      <c r="D1" s="55"/>
      <c r="E1" s="94" t="s">
        <v>123</v>
      </c>
      <c r="F1" s="91"/>
      <c r="G1" s="91"/>
      <c r="H1" s="91" t="s">
        <v>124</v>
      </c>
      <c r="I1" s="91"/>
      <c r="J1" s="91"/>
    </row>
    <row r="2" spans="1:24" s="18" customFormat="1" ht="43.2">
      <c r="A2" s="53" t="s">
        <v>8</v>
      </c>
      <c r="B2" s="53" t="s">
        <v>9</v>
      </c>
      <c r="C2" s="53" t="s">
        <v>10</v>
      </c>
      <c r="D2" s="53" t="s">
        <v>11</v>
      </c>
      <c r="E2" s="92" t="s">
        <v>125</v>
      </c>
      <c r="F2" s="92" t="s">
        <v>126</v>
      </c>
      <c r="G2" s="18" t="s">
        <v>130</v>
      </c>
      <c r="H2" s="92" t="s">
        <v>125</v>
      </c>
      <c r="I2" s="92" t="s">
        <v>126</v>
      </c>
      <c r="J2" s="18" t="s">
        <v>130</v>
      </c>
      <c r="K2" s="18" t="s">
        <v>128</v>
      </c>
    </row>
    <row r="3" spans="1:24" ht="14.4" customHeight="1">
      <c r="A3" s="95" t="s">
        <v>143</v>
      </c>
      <c r="B3" s="61">
        <v>721</v>
      </c>
      <c r="C3" s="50">
        <v>5</v>
      </c>
      <c r="D3" s="50">
        <v>240</v>
      </c>
      <c r="E3" s="93">
        <f>C3/SQRT(2)*D3*B3/SQRT(3)*(1.0177*(SIN(0*PI()/180))^1.2588+1)/1000</f>
        <v>353.21642090933426</v>
      </c>
      <c r="F3" s="93">
        <f>-26*SIN(0*PI()/180)^1.6193+45</f>
        <v>45</v>
      </c>
      <c r="G3">
        <f>IF(K3&gt;E3,0,1)</f>
        <v>0</v>
      </c>
      <c r="H3" s="93">
        <f>C3/SQRT(2)*D3*B3/SQRT(3)*(0.8329*SIN(0*PI()/180)^1.3098+1)/1000</f>
        <v>353.21642090933426</v>
      </c>
      <c r="I3" s="93">
        <f>-26*SIN(0*PI()/180)^2.1543+45</f>
        <v>45</v>
      </c>
      <c r="J3">
        <f>IF(K3&gt;H3,0,1)</f>
        <v>0</v>
      </c>
      <c r="K3">
        <f>10*75*2*824/1000</f>
        <v>1236</v>
      </c>
      <c r="R3" s="64"/>
      <c r="S3" s="64"/>
      <c r="T3" s="64"/>
      <c r="U3" s="64"/>
      <c r="V3" s="64"/>
      <c r="W3" s="64"/>
      <c r="X3" s="64"/>
    </row>
    <row r="4" spans="1:24">
      <c r="A4" s="96"/>
      <c r="B4" s="61">
        <v>721</v>
      </c>
      <c r="C4" s="50">
        <v>5</v>
      </c>
      <c r="D4" s="50">
        <v>360</v>
      </c>
      <c r="E4" s="93">
        <f t="shared" ref="E4:E20" si="0">C4/SQRT(2)*D4*B4/SQRT(3)*(1.0177*(SIN(0*PI()/180))^1.2588+1)/1000</f>
        <v>529.82463136400133</v>
      </c>
      <c r="F4" s="93">
        <f t="shared" ref="F4:F20" si="1">-26*SIN(0*PI()/180)^1.6193+45</f>
        <v>45</v>
      </c>
      <c r="G4">
        <f>IF(K4&gt;E4,0,1)</f>
        <v>0</v>
      </c>
      <c r="H4" s="93">
        <f t="shared" ref="H4:H20" si="2">C4/SQRT(2)*D4*B4/SQRT(3)*(0.8329*SIN(0*PI()/180)^1.3098+1)/1000</f>
        <v>529.82463136400133</v>
      </c>
      <c r="I4" s="93">
        <f t="shared" ref="I4:I20" si="3">-26*SIN(0*PI()/180)^2.1543+45</f>
        <v>45</v>
      </c>
      <c r="J4">
        <f>IF(K4&gt;H4,0,1)</f>
        <v>0</v>
      </c>
      <c r="K4">
        <f t="shared" ref="K4:K20" si="4">10*75*2*824/1000</f>
        <v>1236</v>
      </c>
      <c r="R4" s="64"/>
      <c r="S4" s="64"/>
      <c r="T4" s="64"/>
      <c r="U4" s="64"/>
      <c r="V4" s="64"/>
      <c r="W4" s="64"/>
      <c r="X4" s="64"/>
    </row>
    <row r="5" spans="1:24">
      <c r="A5" s="96"/>
      <c r="B5" s="61">
        <v>721</v>
      </c>
      <c r="C5" s="50">
        <v>10</v>
      </c>
      <c r="D5" s="50">
        <v>280</v>
      </c>
      <c r="E5" s="93">
        <f t="shared" si="0"/>
        <v>824.17164878844665</v>
      </c>
      <c r="F5" s="93">
        <f t="shared" si="1"/>
        <v>45</v>
      </c>
      <c r="G5">
        <f>IF(K5&gt;E5,0,1)</f>
        <v>0</v>
      </c>
      <c r="H5" s="93">
        <f t="shared" si="2"/>
        <v>824.17164878844665</v>
      </c>
      <c r="I5" s="93">
        <f t="shared" si="3"/>
        <v>45</v>
      </c>
      <c r="J5">
        <f>IF(K5&gt;H5,0,1)</f>
        <v>0</v>
      </c>
      <c r="K5">
        <f>30*75*2*824/1000</f>
        <v>3708</v>
      </c>
      <c r="R5" s="64"/>
      <c r="S5" s="64"/>
      <c r="T5" s="64"/>
      <c r="U5" s="64"/>
      <c r="V5" s="64"/>
      <c r="W5" s="64"/>
      <c r="X5" s="64"/>
    </row>
    <row r="6" spans="1:24">
      <c r="A6" s="97"/>
      <c r="B6" s="61">
        <v>721</v>
      </c>
      <c r="C6" s="50">
        <v>5</v>
      </c>
      <c r="D6" s="50">
        <v>560</v>
      </c>
      <c r="E6" s="93">
        <f t="shared" si="0"/>
        <v>824.17164878844665</v>
      </c>
      <c r="F6" s="93">
        <f t="shared" si="1"/>
        <v>45</v>
      </c>
      <c r="G6">
        <f>IF(K6&gt;E6,0,1)</f>
        <v>0</v>
      </c>
      <c r="H6" s="93">
        <f t="shared" si="2"/>
        <v>824.17164878844665</v>
      </c>
      <c r="I6" s="93">
        <f t="shared" si="3"/>
        <v>45</v>
      </c>
      <c r="J6">
        <f>IF(K6&gt;H6,0,1)</f>
        <v>0</v>
      </c>
      <c r="K6">
        <f t="shared" si="4"/>
        <v>1236</v>
      </c>
      <c r="R6" s="64"/>
      <c r="S6" s="64"/>
      <c r="T6" s="64"/>
      <c r="U6" s="64"/>
      <c r="V6" s="64"/>
      <c r="W6" s="64"/>
      <c r="X6" s="64"/>
    </row>
    <row r="7" spans="1:24">
      <c r="A7" s="87" t="s">
        <v>144</v>
      </c>
      <c r="B7" s="61">
        <v>867</v>
      </c>
      <c r="C7" s="50">
        <v>10</v>
      </c>
      <c r="D7" s="50">
        <v>280</v>
      </c>
      <c r="E7" s="93">
        <f t="shared" si="0"/>
        <v>991.06354993007392</v>
      </c>
      <c r="F7" s="93">
        <f t="shared" si="1"/>
        <v>45</v>
      </c>
      <c r="G7">
        <f>IF(K7&gt;E7,0,1)</f>
        <v>0</v>
      </c>
      <c r="H7" s="93">
        <f t="shared" si="2"/>
        <v>991.06354993007392</v>
      </c>
      <c r="I7" s="93">
        <f t="shared" si="3"/>
        <v>45</v>
      </c>
      <c r="J7">
        <f>IF(K7&gt;H7,0,1)</f>
        <v>0</v>
      </c>
      <c r="K7">
        <f>30*75*2*824/1000</f>
        <v>3708</v>
      </c>
      <c r="R7" s="64"/>
      <c r="S7" s="64"/>
      <c r="T7" s="64"/>
      <c r="U7" s="64"/>
      <c r="V7" s="64"/>
      <c r="W7" s="64"/>
      <c r="X7" s="64"/>
    </row>
    <row r="8" spans="1:24">
      <c r="A8" s="87"/>
      <c r="B8" s="61">
        <v>867</v>
      </c>
      <c r="C8" s="50">
        <v>5</v>
      </c>
      <c r="D8" s="50">
        <v>560</v>
      </c>
      <c r="E8" s="93">
        <f t="shared" si="0"/>
        <v>991.06354993007392</v>
      </c>
      <c r="F8" s="93">
        <f t="shared" si="1"/>
        <v>45</v>
      </c>
      <c r="G8">
        <f>IF(K8&gt;E8,0,1)</f>
        <v>0</v>
      </c>
      <c r="H8" s="93">
        <f t="shared" si="2"/>
        <v>991.06354993007392</v>
      </c>
      <c r="I8" s="93">
        <f t="shared" si="3"/>
        <v>45</v>
      </c>
      <c r="J8">
        <f>IF(K8&gt;H8,0,1)</f>
        <v>0</v>
      </c>
      <c r="K8">
        <f t="shared" si="4"/>
        <v>1236</v>
      </c>
      <c r="R8" s="64"/>
      <c r="S8" s="64"/>
      <c r="T8" s="64"/>
      <c r="U8" s="64"/>
      <c r="V8" s="64"/>
      <c r="W8" s="64"/>
      <c r="X8" s="64"/>
    </row>
    <row r="9" spans="1:24">
      <c r="A9" s="87" t="s">
        <v>145</v>
      </c>
      <c r="B9" s="61">
        <v>941</v>
      </c>
      <c r="C9" s="50">
        <v>10</v>
      </c>
      <c r="D9" s="50">
        <v>280</v>
      </c>
      <c r="E9" s="93">
        <f t="shared" si="0"/>
        <v>1075.6525957141864</v>
      </c>
      <c r="F9" s="93">
        <f t="shared" si="1"/>
        <v>45</v>
      </c>
      <c r="G9">
        <f>IF(K9&gt;E9,0,1)</f>
        <v>0</v>
      </c>
      <c r="H9" s="93">
        <f t="shared" si="2"/>
        <v>1075.6525957141864</v>
      </c>
      <c r="I9" s="93">
        <f t="shared" si="3"/>
        <v>45</v>
      </c>
      <c r="J9">
        <f>IF(K9&gt;H9,0,1)</f>
        <v>0</v>
      </c>
      <c r="K9">
        <f>30*75*2*824/1000</f>
        <v>3708</v>
      </c>
      <c r="R9" s="64"/>
      <c r="S9" s="64"/>
      <c r="T9" s="64"/>
      <c r="U9" s="64"/>
      <c r="V9" s="64"/>
      <c r="W9" s="64"/>
      <c r="X9" s="64"/>
    </row>
    <row r="10" spans="1:24">
      <c r="A10" s="87"/>
      <c r="B10" s="61">
        <v>941</v>
      </c>
      <c r="C10" s="50">
        <v>5</v>
      </c>
      <c r="D10" s="50">
        <v>560</v>
      </c>
      <c r="E10" s="93">
        <f t="shared" si="0"/>
        <v>1075.6525957141864</v>
      </c>
      <c r="F10" s="93">
        <f t="shared" si="1"/>
        <v>45</v>
      </c>
      <c r="G10">
        <f>IF(K10&gt;E10,0,1)</f>
        <v>0</v>
      </c>
      <c r="H10" s="93">
        <f t="shared" si="2"/>
        <v>1075.6525957141864</v>
      </c>
      <c r="I10" s="93">
        <f t="shared" si="3"/>
        <v>45</v>
      </c>
      <c r="J10">
        <f>IF(K10&gt;H10,0,1)</f>
        <v>0</v>
      </c>
      <c r="K10">
        <f t="shared" si="4"/>
        <v>1236</v>
      </c>
      <c r="R10" s="64"/>
      <c r="S10" s="64"/>
      <c r="T10" s="64"/>
      <c r="U10" s="64"/>
      <c r="V10" s="64"/>
      <c r="W10" s="64"/>
      <c r="X10" s="64"/>
    </row>
    <row r="11" spans="1:24">
      <c r="A11" s="95" t="s">
        <v>146</v>
      </c>
      <c r="B11" s="61">
        <v>905</v>
      </c>
      <c r="C11" s="50">
        <v>5</v>
      </c>
      <c r="D11" s="50">
        <v>240</v>
      </c>
      <c r="E11" s="93">
        <f t="shared" si="0"/>
        <v>443.35764344375525</v>
      </c>
      <c r="F11" s="93">
        <f t="shared" si="1"/>
        <v>45</v>
      </c>
      <c r="G11">
        <f>IF(K11&gt;E11,0,1)</f>
        <v>0</v>
      </c>
      <c r="H11" s="93">
        <f t="shared" si="2"/>
        <v>443.35764344375525</v>
      </c>
      <c r="I11" s="93">
        <f t="shared" si="3"/>
        <v>45</v>
      </c>
      <c r="J11">
        <f>IF(K11&gt;H11,0,1)</f>
        <v>0</v>
      </c>
      <c r="K11">
        <f t="shared" si="4"/>
        <v>1236</v>
      </c>
      <c r="R11" s="64"/>
      <c r="S11" s="64"/>
      <c r="T11" s="64"/>
      <c r="U11" s="64"/>
      <c r="V11" s="64"/>
      <c r="W11" s="64"/>
      <c r="X11" s="64"/>
    </row>
    <row r="12" spans="1:24">
      <c r="A12" s="96"/>
      <c r="B12" s="61">
        <v>905</v>
      </c>
      <c r="C12" s="50">
        <v>5</v>
      </c>
      <c r="D12" s="50">
        <v>360</v>
      </c>
      <c r="E12" s="93">
        <f t="shared" si="0"/>
        <v>665.03646516563276</v>
      </c>
      <c r="F12" s="93">
        <f t="shared" si="1"/>
        <v>45</v>
      </c>
      <c r="G12">
        <f>IF(K12&gt;E12,0,1)</f>
        <v>0</v>
      </c>
      <c r="H12" s="93">
        <f t="shared" si="2"/>
        <v>665.03646516563276</v>
      </c>
      <c r="I12" s="93">
        <f t="shared" si="3"/>
        <v>45</v>
      </c>
      <c r="J12">
        <f>IF(K12&gt;H12,0,1)</f>
        <v>0</v>
      </c>
      <c r="K12">
        <f t="shared" si="4"/>
        <v>1236</v>
      </c>
      <c r="R12" s="64"/>
      <c r="S12" s="64"/>
      <c r="T12" s="64"/>
      <c r="U12" s="64"/>
      <c r="V12" s="64"/>
      <c r="W12" s="64"/>
      <c r="X12" s="64"/>
    </row>
    <row r="13" spans="1:24">
      <c r="A13" s="96"/>
      <c r="B13" s="61">
        <v>905</v>
      </c>
      <c r="C13" s="50">
        <v>10</v>
      </c>
      <c r="D13" s="50">
        <v>280</v>
      </c>
      <c r="E13" s="93">
        <f t="shared" si="0"/>
        <v>1034.5011680354289</v>
      </c>
      <c r="F13" s="93">
        <f t="shared" si="1"/>
        <v>45</v>
      </c>
      <c r="G13">
        <f>IF(K13&gt;E13,0,1)</f>
        <v>0</v>
      </c>
      <c r="H13" s="93">
        <f t="shared" si="2"/>
        <v>1034.5011680354289</v>
      </c>
      <c r="I13" s="93">
        <f t="shared" si="3"/>
        <v>45</v>
      </c>
      <c r="J13">
        <f>IF(K13&gt;H13,0,1)</f>
        <v>0</v>
      </c>
      <c r="K13">
        <f>30*75*2*824/1000</f>
        <v>3708</v>
      </c>
      <c r="R13" s="64"/>
      <c r="S13" s="64"/>
      <c r="T13" s="64"/>
      <c r="U13" s="64"/>
      <c r="V13" s="64"/>
      <c r="W13" s="64"/>
      <c r="X13" s="64"/>
    </row>
    <row r="14" spans="1:24">
      <c r="A14" s="97"/>
      <c r="B14" s="61">
        <v>905</v>
      </c>
      <c r="C14" s="50">
        <v>5</v>
      </c>
      <c r="D14" s="50">
        <v>560</v>
      </c>
      <c r="E14" s="93">
        <f t="shared" si="0"/>
        <v>1034.5011680354289</v>
      </c>
      <c r="F14" s="93">
        <f t="shared" si="1"/>
        <v>45</v>
      </c>
      <c r="G14">
        <f>IF(K14&gt;E14,0,1)</f>
        <v>0</v>
      </c>
      <c r="H14" s="93">
        <f t="shared" si="2"/>
        <v>1034.5011680354289</v>
      </c>
      <c r="I14" s="93">
        <f t="shared" si="3"/>
        <v>45</v>
      </c>
      <c r="J14">
        <f>IF(K14&gt;H14,0,1)</f>
        <v>0</v>
      </c>
      <c r="K14">
        <f t="shared" si="4"/>
        <v>1236</v>
      </c>
      <c r="R14" s="64"/>
      <c r="S14" s="64"/>
      <c r="T14" s="64"/>
      <c r="U14" s="64"/>
      <c r="V14" s="64"/>
      <c r="W14" s="64"/>
      <c r="X14" s="64"/>
    </row>
    <row r="15" spans="1:24" ht="14.4" customHeight="1">
      <c r="A15" s="95" t="s">
        <v>147</v>
      </c>
      <c r="B15" s="61">
        <v>893</v>
      </c>
      <c r="C15" s="50">
        <v>10</v>
      </c>
      <c r="D15" s="50">
        <v>280</v>
      </c>
      <c r="E15" s="93">
        <f t="shared" si="0"/>
        <v>1020.7840254758431</v>
      </c>
      <c r="F15" s="93">
        <f t="shared" si="1"/>
        <v>45</v>
      </c>
      <c r="G15">
        <f>IF(K15&gt;E15,0,1)</f>
        <v>0</v>
      </c>
      <c r="H15" s="93">
        <f t="shared" si="2"/>
        <v>1020.7840254758431</v>
      </c>
      <c r="I15" s="93">
        <f t="shared" si="3"/>
        <v>45</v>
      </c>
      <c r="J15">
        <f>IF(K15&gt;H15,0,1)</f>
        <v>0</v>
      </c>
      <c r="K15">
        <f>30*75*2*824/1000</f>
        <v>3708</v>
      </c>
      <c r="R15" s="64"/>
      <c r="S15" s="64"/>
      <c r="T15" s="64"/>
      <c r="U15" s="64"/>
      <c r="V15" s="64"/>
      <c r="W15" s="64"/>
      <c r="X15" s="64"/>
    </row>
    <row r="16" spans="1:24">
      <c r="A16" s="97"/>
      <c r="B16" s="61">
        <v>893</v>
      </c>
      <c r="C16" s="50">
        <v>5</v>
      </c>
      <c r="D16" s="50">
        <v>560</v>
      </c>
      <c r="E16" s="93">
        <f t="shared" si="0"/>
        <v>1020.7840254758431</v>
      </c>
      <c r="F16" s="93">
        <f t="shared" si="1"/>
        <v>45</v>
      </c>
      <c r="G16">
        <f>IF(K16&gt;E16,0,1)</f>
        <v>0</v>
      </c>
      <c r="H16" s="93">
        <f t="shared" si="2"/>
        <v>1020.7840254758431</v>
      </c>
      <c r="I16" s="93">
        <f t="shared" si="3"/>
        <v>45</v>
      </c>
      <c r="J16">
        <f>IF(K16&gt;H16,0,1)</f>
        <v>0</v>
      </c>
      <c r="K16">
        <f t="shared" si="4"/>
        <v>1236</v>
      </c>
      <c r="R16" s="64"/>
      <c r="S16" s="64"/>
      <c r="T16" s="64"/>
      <c r="U16" s="64"/>
      <c r="V16" s="64"/>
      <c r="W16" s="64"/>
      <c r="X16" s="64"/>
    </row>
    <row r="17" spans="1:24">
      <c r="A17" s="95" t="s">
        <v>148</v>
      </c>
      <c r="B17" s="61">
        <v>1069</v>
      </c>
      <c r="C17" s="50">
        <v>5</v>
      </c>
      <c r="D17" s="50">
        <v>240</v>
      </c>
      <c r="E17" s="93">
        <f t="shared" si="0"/>
        <v>523.70090700704338</v>
      </c>
      <c r="F17" s="93">
        <f t="shared" si="1"/>
        <v>45</v>
      </c>
      <c r="G17">
        <f>IF(K17&gt;E17,0,1)</f>
        <v>0</v>
      </c>
      <c r="H17" s="93">
        <f t="shared" si="2"/>
        <v>523.70090700704338</v>
      </c>
      <c r="I17" s="93">
        <f t="shared" si="3"/>
        <v>45</v>
      </c>
      <c r="J17">
        <f>IF(K17&gt;H17,0,1)</f>
        <v>0</v>
      </c>
      <c r="K17">
        <f t="shared" si="4"/>
        <v>1236</v>
      </c>
      <c r="R17" s="64"/>
      <c r="S17" s="64"/>
      <c r="T17" s="64"/>
      <c r="U17" s="64"/>
      <c r="V17" s="64"/>
      <c r="W17" s="64"/>
      <c r="X17" s="64"/>
    </row>
    <row r="18" spans="1:24">
      <c r="A18" s="96"/>
      <c r="B18" s="61">
        <v>1069</v>
      </c>
      <c r="C18" s="50">
        <v>5</v>
      </c>
      <c r="D18" s="50">
        <v>360</v>
      </c>
      <c r="E18" s="93">
        <f t="shared" si="0"/>
        <v>785.55136051056513</v>
      </c>
      <c r="F18" s="93">
        <f t="shared" si="1"/>
        <v>45</v>
      </c>
      <c r="G18">
        <f>IF(K18&gt;E18,0,1)</f>
        <v>0</v>
      </c>
      <c r="H18" s="93">
        <f t="shared" si="2"/>
        <v>785.55136051056513</v>
      </c>
      <c r="I18" s="93">
        <f t="shared" si="3"/>
        <v>45</v>
      </c>
      <c r="J18">
        <f>IF(K18&gt;H18,0,1)</f>
        <v>0</v>
      </c>
      <c r="K18">
        <f t="shared" si="4"/>
        <v>1236</v>
      </c>
      <c r="R18" s="64"/>
      <c r="S18" s="64"/>
      <c r="T18" s="64"/>
      <c r="U18" s="64"/>
      <c r="V18" s="64"/>
      <c r="W18" s="64"/>
      <c r="X18" s="64"/>
    </row>
    <row r="19" spans="1:24">
      <c r="A19" s="96"/>
      <c r="B19" s="61">
        <v>1069</v>
      </c>
      <c r="C19" s="50">
        <v>10</v>
      </c>
      <c r="D19" s="50">
        <v>280</v>
      </c>
      <c r="E19" s="93">
        <f t="shared" si="0"/>
        <v>1221.9687830164348</v>
      </c>
      <c r="F19" s="93">
        <f t="shared" si="1"/>
        <v>45</v>
      </c>
      <c r="G19">
        <f>IF(K19&gt;E19,0,1)</f>
        <v>0</v>
      </c>
      <c r="H19" s="93">
        <f t="shared" si="2"/>
        <v>1221.9687830164348</v>
      </c>
      <c r="I19" s="93">
        <f t="shared" si="3"/>
        <v>45</v>
      </c>
      <c r="J19">
        <f>IF(K19&gt;H19,0,1)</f>
        <v>0</v>
      </c>
      <c r="K19">
        <f>30*75*2*824/1000</f>
        <v>3708</v>
      </c>
      <c r="R19" s="64"/>
      <c r="S19" s="64"/>
      <c r="T19" s="64"/>
      <c r="U19" s="64"/>
      <c r="V19" s="64"/>
      <c r="W19" s="64"/>
      <c r="X19" s="64"/>
    </row>
    <row r="20" spans="1:24">
      <c r="A20" s="97"/>
      <c r="B20" s="61">
        <v>1069</v>
      </c>
      <c r="C20" s="50">
        <v>5</v>
      </c>
      <c r="D20" s="50">
        <v>560</v>
      </c>
      <c r="E20" s="93">
        <f t="shared" si="0"/>
        <v>1221.9687830164348</v>
      </c>
      <c r="F20" s="93">
        <f t="shared" si="1"/>
        <v>45</v>
      </c>
      <c r="G20">
        <f>IF(K20&gt;E20,0,1)</f>
        <v>0</v>
      </c>
      <c r="H20" s="93">
        <f t="shared" si="2"/>
        <v>1221.9687830164348</v>
      </c>
      <c r="I20" s="93">
        <f t="shared" si="3"/>
        <v>45</v>
      </c>
      <c r="J20">
        <f>IF(K20&gt;H20,0,1)</f>
        <v>0</v>
      </c>
      <c r="K20">
        <f t="shared" si="4"/>
        <v>1236</v>
      </c>
      <c r="R20" s="64"/>
      <c r="S20" s="64"/>
      <c r="T20" s="64"/>
      <c r="U20" s="64"/>
      <c r="V20" s="64"/>
      <c r="W20" s="64"/>
      <c r="X20" s="64"/>
    </row>
  </sheetData>
  <mergeCells count="8">
    <mergeCell ref="A3:A6"/>
    <mergeCell ref="A11:A14"/>
    <mergeCell ref="A15:A16"/>
    <mergeCell ref="A17:A20"/>
    <mergeCell ref="E1:G1"/>
    <mergeCell ref="H1:J1"/>
    <mergeCell ref="A7:A8"/>
    <mergeCell ref="A9:A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焊缝计算过程</vt:lpstr>
      <vt:lpstr>正面角焊缝</vt:lpstr>
      <vt:lpstr>根据简化公式预测破坏位置（正面）</vt:lpstr>
      <vt:lpstr>根据简化公式预测破坏位置（十字）</vt:lpstr>
      <vt:lpstr>侧面角焊缝（5mm10mm）</vt:lpstr>
      <vt:lpstr>根据简化公式预测破坏位置（侧面）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2015-08-09T04:47:13Z</dcterms:created>
  <dcterms:modified xsi:type="dcterms:W3CDTF">2016-09-09T06:06:05Z</dcterms:modified>
</cp:coreProperties>
</file>