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85"/>
  </bookViews>
  <sheets>
    <sheet name="首页" sheetId="1" r:id="rId1"/>
    <sheet name="辅助数据1" sheetId="2" r:id="rId2"/>
    <sheet name="辅助数据2" sheetId="4" r:id="rId3"/>
    <sheet name="辅助数据3" sheetId="6" r:id="rId4"/>
    <sheet name="辅助数据4" sheetId="8" r:id="rId5"/>
    <sheet name="辅助数据5" sheetId="10" r:id="rId6"/>
  </sheet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D5" authorId="0">
      <text>
        <r>
          <rPr>
            <b/>
            <sz val="10"/>
            <rFont val="宋体"/>
            <charset val="134"/>
          </rPr>
          <t>该表中黄色区域为手动修改（黄色区域数据是为了提供已知条件，根据已知条件判断结果）</t>
        </r>
      </text>
    </comment>
    <comment ref="E5" authorId="0">
      <text>
        <r>
          <rPr>
            <sz val="9"/>
            <rFont val="宋体"/>
            <charset val="134"/>
          </rPr>
          <t xml:space="preserve">限制输入目前只能输入“3的倍数”与”5的倍数”可维护
</t>
        </r>
      </text>
    </comment>
    <comment ref="G5" authorId="0">
      <text>
        <r>
          <rPr>
            <sz val="9"/>
            <rFont val="宋体"/>
            <charset val="134"/>
          </rPr>
          <t>限制输入目前只能输入“3米”或”5米”可维护</t>
        </r>
      </text>
    </comment>
    <comment ref="H5" authorId="0">
      <text>
        <r>
          <rPr>
            <sz val="9"/>
            <rFont val="宋体"/>
            <charset val="134"/>
          </rPr>
          <t xml:space="preserve">限制输入目前只能输入“4米”或”5米”等可维护
</t>
        </r>
      </text>
    </comment>
    <comment ref="I5" authorId="0">
      <text>
        <r>
          <rPr>
            <sz val="9"/>
            <rFont val="宋体"/>
            <charset val="134"/>
          </rPr>
          <t xml:space="preserve">限制输入目前只能输入“88料”或”150料”等可维护
</t>
        </r>
      </text>
    </comment>
    <comment ref="J5" authorId="0">
      <text>
        <r>
          <rPr>
            <sz val="9"/>
            <rFont val="宋体"/>
            <charset val="134"/>
          </rPr>
          <t>限制输入目前只能输入“中网框”或”小吨石”等可维护</t>
        </r>
      </text>
    </comment>
    <comment ref="K5" authorId="0">
      <text>
        <r>
          <rPr>
            <sz val="9"/>
            <rFont val="宋体"/>
            <charset val="134"/>
          </rPr>
          <t>手动修改</t>
        </r>
      </text>
    </comment>
    <comment ref="M5" authorId="0">
      <text>
        <r>
          <rPr>
            <sz val="9"/>
            <rFont val="宋体"/>
            <charset val="134"/>
          </rPr>
          <t>在该表中的“辅助数据”里面提取该篷房最长件</t>
        </r>
      </text>
    </comment>
    <comment ref="N5" authorId="0">
      <text>
        <r>
          <rPr>
            <sz val="9"/>
            <rFont val="宋体"/>
            <charset val="134"/>
          </rPr>
          <t xml:space="preserve">在该表中的“辅助数据”里面提取该篷房的篷房重量
</t>
        </r>
      </text>
    </comment>
    <comment ref="O5" authorId="0">
      <text>
        <r>
          <rPr>
            <sz val="9"/>
            <rFont val="宋体"/>
            <charset val="134"/>
          </rPr>
          <t>在该表中的“辅助数据”里面提取该篷房提供的固定方式里的配重重量</t>
        </r>
      </text>
    </comment>
    <comment ref="P5" authorId="0">
      <text>
        <r>
          <rPr>
            <sz val="9"/>
            <rFont val="宋体"/>
            <charset val="134"/>
          </rPr>
          <t>将前面的“篷房重量与配重重量相加，一是方便数据汇总，二是可以单独查看该篷房重量</t>
        </r>
      </text>
    </comment>
    <comment ref="D6" authorId="0">
      <text>
        <r>
          <rPr>
            <sz val="9"/>
            <rFont val="宋体"/>
            <charset val="134"/>
          </rPr>
          <t>=（篷房长度/间距）*数量</t>
        </r>
      </text>
    </comment>
    <comment ref="E6" authorId="0">
      <text>
        <r>
          <rPr>
            <sz val="9"/>
            <rFont val="宋体"/>
            <charset val="134"/>
          </rPr>
          <t xml:space="preserve">=（篷房长度/间距+1）*数量
</t>
        </r>
      </text>
    </comment>
    <comment ref="F6" authorId="0">
      <text>
        <r>
          <rPr>
            <sz val="9"/>
            <rFont val="宋体"/>
            <charset val="134"/>
          </rPr>
          <t>=篷房数量*2</t>
        </r>
      </text>
    </comment>
    <comment ref="G6" authorId="0">
      <text>
        <r>
          <rPr>
            <sz val="9"/>
            <rFont val="宋体"/>
            <charset val="134"/>
          </rPr>
          <t>=篷房跨度*长度*数量</t>
        </r>
      </text>
    </comment>
    <comment ref="H6" authorId="0">
      <text>
        <r>
          <rPr>
            <sz val="9"/>
            <rFont val="宋体"/>
            <charset val="134"/>
          </rPr>
          <t>=E6单元格中的（排数*2）+F6单元格的（山尖数*辅助数据中的V8单元格</t>
        </r>
      </text>
    </comment>
    <comment ref="E16" authorId="0">
      <text>
        <r>
          <rPr>
            <sz val="9"/>
            <rFont val="宋体"/>
            <charset val="134"/>
          </rPr>
          <t>提取输入的所有篷房中的最长件，(或提取该表中“M列”里的最大值)</t>
        </r>
      </text>
    </comment>
    <comment ref="F16" authorId="0">
      <text>
        <r>
          <rPr>
            <sz val="9"/>
            <rFont val="宋体"/>
            <charset val="134"/>
          </rPr>
          <t>合计所有，提供已知篷房的，”篷房重量“</t>
        </r>
      </text>
    </comment>
    <comment ref="G16" authorId="0">
      <text>
        <r>
          <rPr>
            <sz val="9"/>
            <rFont val="宋体"/>
            <charset val="134"/>
          </rPr>
          <t xml:space="preserve">合计所有，提供已知篷房的，”配重重量“
</t>
        </r>
      </text>
    </comment>
    <comment ref="H16" authorId="0">
      <text>
        <r>
          <rPr>
            <sz val="9"/>
            <rFont val="宋体"/>
            <charset val="134"/>
          </rPr>
          <t>合计所有，提供已知篷房的，”篷房重量+配重重量=合计重量“</t>
        </r>
      </text>
    </comment>
    <comment ref="H18" authorId="0">
      <text>
        <r>
          <rPr>
            <sz val="9"/>
            <rFont val="宋体"/>
            <charset val="134"/>
          </rPr>
          <t>车辆规格下面的车型如“6.8米车”，是固定的，害怕以后如果有增加或是修改，希望可以维护</t>
        </r>
      </text>
    </comment>
    <comment ref="I18" authorId="0">
      <text>
        <r>
          <rPr>
            <sz val="9"/>
            <rFont val="宋体"/>
            <charset val="134"/>
          </rPr>
          <t xml:space="preserve">车辆吨位下面的吨位如“10”，是固定的，害怕以后如果有增加或是修改，希望可以维护
</t>
        </r>
      </text>
    </comment>
    <comment ref="J18" authorId="0">
      <text>
        <r>
          <rPr>
            <sz val="9"/>
            <rFont val="宋体"/>
            <charset val="134"/>
          </rPr>
          <t>单程运费下面的数值是根据提供的“所属城市”+“车辆状态”+“车辆规格”在运费数据库中提取的
希望单程运费里面以后有2个数据，一个是在运费数据库里面提取（公里数*每公里价格），另一个是提取该城市最近一次发车的实际价格，给业务员参考。（可以在单程运费旁增加一列）</t>
        </r>
      </text>
    </comment>
    <comment ref="E19" authorId="0">
      <text>
        <r>
          <rPr>
            <sz val="9"/>
            <rFont val="宋体"/>
            <charset val="134"/>
          </rPr>
          <t>手动修改，该表中目前是到城市就截止了，希望可以精确到区县一级</t>
        </r>
      </text>
    </comment>
    <comment ref="F19" authorId="0">
      <text>
        <r>
          <rPr>
            <sz val="9"/>
            <rFont val="宋体"/>
            <charset val="134"/>
          </rPr>
          <t>限制输入目前只能输入“发车”或”回车”可维护（因为发车与回车的价格会有差异）</t>
        </r>
      </text>
    </comment>
    <comment ref="G19" authorId="0">
      <text>
        <r>
          <rPr>
            <sz val="9"/>
            <rFont val="宋体"/>
            <charset val="134"/>
          </rPr>
          <t xml:space="preserve">在数据库中提取输入所属城市的公里数，
</t>
        </r>
      </text>
    </comment>
  </commentList>
</comments>
</file>

<file path=xl/comments2.xml><?xml version="1.0" encoding="utf-8"?>
<comments xmlns="http://schemas.openxmlformats.org/spreadsheetml/2006/main">
  <authors>
    <author>TianFangZhen</author>
  </authors>
  <commentList>
    <comment ref="G1" authorId="0">
      <text>
        <r>
          <rPr>
            <sz val="9"/>
            <rFont val="宋体"/>
            <charset val="134"/>
          </rPr>
          <t>该列数据是“首页”中提供的篷房排数</t>
        </r>
      </text>
    </comment>
    <comment ref="H1" authorId="0">
      <text>
        <r>
          <rPr>
            <sz val="9"/>
            <rFont val="宋体"/>
            <charset val="134"/>
          </rPr>
          <t>该列数据是由篷房“排数”*“吨位/排”的数据得来的</t>
        </r>
      </text>
    </comment>
    <comment ref="AE2" authorId="0">
      <text>
        <r>
          <rPr>
            <sz val="9"/>
            <rFont val="宋体"/>
            <charset val="134"/>
          </rPr>
          <t>该列中的”单重“数据是手动填写的，希望以后可以添加新的种类（可维护）</t>
        </r>
      </text>
    </comment>
    <comment ref="AF2" authorId="0">
      <text>
        <r>
          <rPr>
            <sz val="9"/>
            <rFont val="宋体"/>
            <charset val="134"/>
          </rPr>
          <t>该列中“小计/吨”的数据是”首页“里输入篷房的总配重点乘上该列前面的单重</t>
        </r>
      </text>
    </comment>
    <comment ref="V8" authorId="0">
      <text>
        <r>
          <rPr>
            <sz val="9"/>
            <rFont val="宋体"/>
            <charset val="134"/>
          </rPr>
          <t xml:space="preserve">该单元格是根据提供的跨度判断不同端面（也叫山墙面）有多少个配重点，从而计算该篷房配重点总数，表格中“首页”的H6单元格的数据中就有这个单元格的数据（希望可以维护）
</t>
        </r>
        <r>
          <rPr>
            <sz val="12"/>
            <rFont val="宋体"/>
            <charset val="134"/>
          </rPr>
          <t xml:space="preserve">
另该单元格的数据是提取上面紫色区域内的数据（</t>
        </r>
        <r>
          <rPr>
            <sz val="10"/>
            <rFont val="宋体"/>
            <charset val="134"/>
          </rPr>
          <t>紫色区域的数据是根据不同跨度判断端面有多少个配重点</t>
        </r>
        <r>
          <rPr>
            <sz val="12"/>
            <rFont val="宋体"/>
            <charset val="134"/>
          </rPr>
          <t>）</t>
        </r>
      </text>
    </comment>
  </commentList>
</comments>
</file>

<file path=xl/sharedStrings.xml><?xml version="1.0" encoding="utf-8"?>
<sst xmlns="http://schemas.openxmlformats.org/spreadsheetml/2006/main" count="55">
  <si>
    <t>篷房规格：</t>
  </si>
  <si>
    <t>跨度</t>
  </si>
  <si>
    <t>长度</t>
  </si>
  <si>
    <t>数量</t>
  </si>
  <si>
    <t>间距</t>
  </si>
  <si>
    <t>边高</t>
  </si>
  <si>
    <t>型材规格</t>
  </si>
  <si>
    <t>固定方式</t>
  </si>
  <si>
    <t>每点配重数量</t>
  </si>
  <si>
    <t>篷房最长件</t>
  </si>
  <si>
    <t>篷房重量</t>
  </si>
  <si>
    <t>配重重量</t>
  </si>
  <si>
    <t>合计重量</t>
  </si>
  <si>
    <t>中网框（空）</t>
  </si>
  <si>
    <t>篷房长件</t>
  </si>
  <si>
    <t>数据汇总：</t>
  </si>
  <si>
    <t>所属城市</t>
  </si>
  <si>
    <t>车辆状态</t>
  </si>
  <si>
    <t>距离</t>
  </si>
  <si>
    <t>车辆规格</t>
  </si>
  <si>
    <t>车辆吨位</t>
  </si>
  <si>
    <t>实际运费</t>
  </si>
  <si>
    <t>预算运费</t>
  </si>
  <si>
    <t>所属城市：</t>
  </si>
  <si>
    <t>北京市</t>
  </si>
  <si>
    <t>发车</t>
  </si>
  <si>
    <t>吨位/排</t>
  </si>
  <si>
    <t>最长件</t>
  </si>
  <si>
    <t>排数</t>
  </si>
  <si>
    <t>吨数</t>
  </si>
  <si>
    <t>篷房端面立柱判断逻辑：</t>
  </si>
  <si>
    <t>3米弧形</t>
  </si>
  <si>
    <t>25米</t>
  </si>
  <si>
    <t>型材选择</t>
  </si>
  <si>
    <t>配重类型选择</t>
  </si>
  <si>
    <t>名称</t>
  </si>
  <si>
    <t>单重/吨</t>
  </si>
  <si>
    <t>小计/吨</t>
  </si>
  <si>
    <t>间距选择</t>
  </si>
  <si>
    <t>边高选择</t>
  </si>
  <si>
    <t>6米-12米</t>
  </si>
  <si>
    <t>30米</t>
  </si>
  <si>
    <t>无</t>
  </si>
  <si>
    <t>15米</t>
  </si>
  <si>
    <t>40米</t>
  </si>
  <si>
    <t>18米</t>
  </si>
  <si>
    <t>50米</t>
  </si>
  <si>
    <t>大网框（空）</t>
  </si>
  <si>
    <t>20米</t>
  </si>
  <si>
    <t>中网框+小石块</t>
  </si>
  <si>
    <t>21米</t>
  </si>
  <si>
    <t>大网框+小石块</t>
  </si>
  <si>
    <t>判断结果：</t>
  </si>
  <si>
    <t>大吨石0.9t</t>
  </si>
  <si>
    <t>小吨石0.4t</t>
  </si>
</sst>
</file>

<file path=xl/styles.xml><?xml version="1.0" encoding="utf-8"?>
<styleSheet xmlns="http://schemas.openxmlformats.org/spreadsheetml/2006/main">
  <numFmts count="2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&quot;组&quot;"/>
    <numFmt numFmtId="177" formatCode="0.0&quot;吨&quot;"/>
    <numFmt numFmtId="178" formatCode="0.0&quot;米&quot;"/>
    <numFmt numFmtId="179" formatCode="0.0&quot;吨/排&quot;"/>
    <numFmt numFmtId="180" formatCode="0.0&quot;米&quot;&quot;边&quot;&quot;高&quot;"/>
    <numFmt numFmtId="181" formatCode="0&quot;米&quot;"/>
    <numFmt numFmtId="182" formatCode="0&quot;米&quot;&quot;挂&quot;&quot;车&quot;"/>
    <numFmt numFmtId="183" formatCode="00&quot;料&quot;"/>
    <numFmt numFmtId="184" formatCode="0&quot;㎡&quot;"/>
    <numFmt numFmtId="185" formatCode="0&quot;山&quot;&quot;尖&quot;"/>
    <numFmt numFmtId="186" formatCode="0&quot;米&quot;&quot;间&quot;&quot;距&quot;"/>
    <numFmt numFmtId="187" formatCode="0.00&quot;吨&quot;"/>
    <numFmt numFmtId="188" formatCode="0&quot;排&quot;"/>
    <numFmt numFmtId="189" formatCode="0.0&quot;米&quot;&quot;板&quot;&quot;车&quot;"/>
    <numFmt numFmtId="190" formatCode="0&quot;座&quot;"/>
    <numFmt numFmtId="191" formatCode="0&quot;间&quot;"/>
    <numFmt numFmtId="192" formatCode="0&quot;料&quot;"/>
    <numFmt numFmtId="193" formatCode="0&quot;个&quot;"/>
    <numFmt numFmtId="194" formatCode="0&quot;根&quot;"/>
    <numFmt numFmtId="195" formatCode="0.00_ "/>
    <numFmt numFmtId="196" formatCode="0&quot;个&quot;&quot;配&quot;&quot;重&quot;&quot;点&quot;"/>
    <numFmt numFmtId="197" formatCode="0&quot;公&quot;&quot;里&quot;"/>
    <numFmt numFmtId="198" formatCode="0.0&quot;米&quot;&quot;车&quot;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name val="仿宋"/>
      <charset val="134"/>
    </font>
    <font>
      <b/>
      <sz val="11"/>
      <color theme="1"/>
      <name val="仿宋"/>
      <charset val="134"/>
    </font>
    <font>
      <sz val="10"/>
      <name val="宋体"/>
      <charset val="134"/>
    </font>
    <font>
      <sz val="10"/>
      <color theme="1"/>
      <name val="宋体"/>
      <charset val="134"/>
      <scheme val="major"/>
    </font>
    <font>
      <sz val="10"/>
      <name val="宋体"/>
      <charset val="134"/>
      <scheme val="major"/>
    </font>
    <font>
      <sz val="11"/>
      <color rgb="FFFF0000"/>
      <name val="宋体"/>
      <charset val="134"/>
      <scheme val="minor"/>
    </font>
    <font>
      <b/>
      <sz val="10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name val="宋体"/>
      <charset val="134"/>
      <scheme val="major"/>
    </font>
    <font>
      <b/>
      <sz val="10.5"/>
      <name val="楷体"/>
      <charset val="134"/>
    </font>
    <font>
      <sz val="10"/>
      <name val="楷体"/>
      <charset val="134"/>
    </font>
    <font>
      <b/>
      <sz val="10"/>
      <name val="楷体"/>
      <charset val="134"/>
    </font>
    <font>
      <b/>
      <sz val="11"/>
      <color rgb="FF7030A0"/>
      <name val="宋体"/>
      <charset val="134"/>
      <scheme val="major"/>
    </font>
    <font>
      <sz val="10.5"/>
      <name val="楷体"/>
      <charset val="134"/>
    </font>
    <font>
      <b/>
      <u/>
      <sz val="10.5"/>
      <name val="楷体"/>
      <charset val="0"/>
    </font>
    <font>
      <b/>
      <sz val="10.5"/>
      <name val="仿宋"/>
      <charset val="134"/>
    </font>
    <font>
      <sz val="10.5"/>
      <name val="宋体"/>
      <charset val="134"/>
      <scheme val="minor"/>
    </font>
    <font>
      <b/>
      <sz val="10.5"/>
      <name val="宋体"/>
      <charset val="134"/>
      <scheme val="minor"/>
    </font>
    <font>
      <sz val="11"/>
      <name val="楷体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 style="mediumDashed">
        <color auto="1"/>
      </left>
      <right/>
      <top/>
      <bottom/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ashDot">
        <color theme="1"/>
      </right>
      <top style="dashDot">
        <color theme="1"/>
      </top>
      <bottom style="dashDot">
        <color theme="1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 style="dashDot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1" fillId="1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23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1" fillId="8" borderId="27" applyNumberFormat="0" applyAlignment="0" applyProtection="0">
      <alignment vertical="center"/>
    </xf>
    <xf numFmtId="0" fontId="28" fillId="8" borderId="22" applyNumberFormat="0" applyAlignment="0" applyProtection="0">
      <alignment vertical="center"/>
    </xf>
    <xf numFmtId="0" fontId="40" fillId="23" borderId="2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6" fillId="0" borderId="0"/>
  </cellStyleXfs>
  <cellXfs count="1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3" fontId="5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86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8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/>
    </xf>
    <xf numFmtId="190" fontId="7" fillId="0" borderId="0" xfId="0" applyNumberFormat="1" applyFont="1" applyFill="1" applyBorder="1" applyAlignment="1">
      <alignment horizontal="center" vertical="center"/>
    </xf>
    <xf numFmtId="186" fontId="7" fillId="0" borderId="0" xfId="0" applyNumberFormat="1" applyFont="1" applyFill="1" applyBorder="1" applyAlignment="1">
      <alignment horizontal="center" vertical="center"/>
    </xf>
    <xf numFmtId="180" fontId="7" fillId="0" borderId="0" xfId="0" applyNumberFormat="1" applyFont="1" applyFill="1" applyBorder="1" applyAlignment="1">
      <alignment horizontal="center" vertical="center"/>
    </xf>
    <xf numFmtId="192" fontId="6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58" fontId="9" fillId="0" borderId="1" xfId="0" applyNumberFormat="1" applyFont="1" applyFill="1" applyBorder="1" applyAlignment="1">
      <alignment horizontal="center" vertical="center"/>
    </xf>
    <xf numFmtId="194" fontId="10" fillId="0" borderId="1" xfId="0" applyNumberFormat="1" applyFont="1" applyFill="1" applyBorder="1" applyAlignment="1">
      <alignment horizontal="center" vertical="center"/>
    </xf>
    <xf numFmtId="58" fontId="9" fillId="0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9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255"/>
    </xf>
    <xf numFmtId="192" fontId="2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9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86" fontId="2" fillId="0" borderId="0" xfId="0" applyNumberFormat="1" applyFont="1" applyAlignment="1">
      <alignment horizontal="center" vertical="center"/>
    </xf>
    <xf numFmtId="180" fontId="2" fillId="0" borderId="0" xfId="0" applyNumberFormat="1" applyFont="1">
      <alignment vertical="center"/>
    </xf>
    <xf numFmtId="183" fontId="5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86" fontId="5" fillId="2" borderId="1" xfId="0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181" fontId="7" fillId="3" borderId="0" xfId="0" applyNumberFormat="1" applyFont="1" applyFill="1" applyBorder="1" applyAlignment="1">
      <alignment horizontal="center" vertical="center"/>
    </xf>
    <xf numFmtId="190" fontId="7" fillId="3" borderId="0" xfId="0" applyNumberFormat="1" applyFont="1" applyFill="1" applyBorder="1" applyAlignment="1">
      <alignment horizontal="center" vertical="center"/>
    </xf>
    <xf numFmtId="186" fontId="7" fillId="3" borderId="0" xfId="0" applyNumberFormat="1" applyFont="1" applyFill="1" applyBorder="1" applyAlignment="1">
      <alignment horizontal="center" vertical="center"/>
    </xf>
    <xf numFmtId="180" fontId="7" fillId="3" borderId="0" xfId="0" applyNumberFormat="1" applyFont="1" applyFill="1" applyBorder="1" applyAlignment="1">
      <alignment horizontal="center" vertical="center"/>
    </xf>
    <xf numFmtId="192" fontId="6" fillId="3" borderId="0" xfId="0" applyNumberFormat="1" applyFont="1" applyFill="1" applyBorder="1" applyAlignment="1">
      <alignment horizontal="center" vertical="center"/>
    </xf>
    <xf numFmtId="177" fontId="12" fillId="4" borderId="0" xfId="0" applyNumberFormat="1" applyFont="1" applyFill="1" applyAlignment="1">
      <alignment horizontal="center" vertical="center"/>
    </xf>
    <xf numFmtId="178" fontId="12" fillId="4" borderId="0" xfId="0" applyNumberFormat="1" applyFont="1" applyFill="1" applyAlignment="1">
      <alignment horizontal="center" vertical="center"/>
    </xf>
    <xf numFmtId="194" fontId="8" fillId="5" borderId="1" xfId="0" applyNumberFormat="1" applyFont="1" applyFill="1" applyBorder="1" applyAlignment="1">
      <alignment horizontal="center" vertical="center"/>
    </xf>
    <xf numFmtId="192" fontId="2" fillId="0" borderId="0" xfId="0" applyNumberFormat="1" applyFont="1" applyAlignment="1">
      <alignment horizontal="center" vertical="center"/>
    </xf>
    <xf numFmtId="0" fontId="13" fillId="0" borderId="0" xfId="0" applyFont="1" applyFill="1" applyBorder="1" applyProtection="1">
      <alignment vertical="center"/>
    </xf>
    <xf numFmtId="0" fontId="13" fillId="0" borderId="0" xfId="0" applyFont="1" applyFill="1" applyBorder="1" applyAlignment="1" applyProtection="1">
      <alignment horizontal="center" vertical="center"/>
    </xf>
    <xf numFmtId="0" fontId="13" fillId="0" borderId="3" xfId="0" applyFont="1" applyFill="1" applyBorder="1" applyAlignment="1" applyProtection="1">
      <alignment horizontal="center" vertical="center"/>
    </xf>
    <xf numFmtId="0" fontId="13" fillId="6" borderId="4" xfId="0" applyFont="1" applyFill="1" applyBorder="1" applyProtection="1">
      <alignment vertical="center"/>
    </xf>
    <xf numFmtId="0" fontId="13" fillId="6" borderId="0" xfId="0" applyFont="1" applyFill="1" applyBorder="1" applyAlignment="1" applyProtection="1">
      <alignment horizontal="center" vertical="center"/>
    </xf>
    <xf numFmtId="0" fontId="13" fillId="6" borderId="0" xfId="0" applyFont="1" applyFill="1" applyBorder="1" applyProtection="1">
      <alignment vertical="center"/>
    </xf>
    <xf numFmtId="0" fontId="14" fillId="6" borderId="0" xfId="0" applyNumberFormat="1" applyFont="1" applyFill="1" applyBorder="1" applyAlignment="1" applyProtection="1">
      <alignment horizontal="right" vertical="center"/>
    </xf>
    <xf numFmtId="0" fontId="14" fillId="6" borderId="0" xfId="0" applyFont="1" applyFill="1" applyBorder="1" applyAlignment="1" applyProtection="1">
      <alignment horizontal="center" vertical="center"/>
    </xf>
    <xf numFmtId="0" fontId="15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16" fillId="6" borderId="0" xfId="0" applyFont="1" applyFill="1" applyBorder="1" applyAlignment="1" applyProtection="1">
      <alignment horizontal="center" vertical="center"/>
    </xf>
    <xf numFmtId="181" fontId="17" fillId="2" borderId="5" xfId="0" applyNumberFormat="1" applyFont="1" applyFill="1" applyBorder="1" applyAlignment="1" applyProtection="1">
      <alignment horizontal="center" vertical="center"/>
      <protection locked="0"/>
    </xf>
    <xf numFmtId="190" fontId="17" fillId="2" borderId="5" xfId="0" applyNumberFormat="1" applyFont="1" applyFill="1" applyBorder="1" applyAlignment="1" applyProtection="1">
      <alignment horizontal="center" vertical="center"/>
      <protection locked="0"/>
    </xf>
    <xf numFmtId="186" fontId="17" fillId="2" borderId="5" xfId="0" applyNumberFormat="1" applyFont="1" applyFill="1" applyBorder="1" applyAlignment="1" applyProtection="1">
      <alignment horizontal="center" vertical="center"/>
      <protection locked="0"/>
    </xf>
    <xf numFmtId="180" fontId="17" fillId="2" borderId="5" xfId="0" applyNumberFormat="1" applyFont="1" applyFill="1" applyBorder="1" applyAlignment="1" applyProtection="1">
      <alignment horizontal="center" vertical="center"/>
      <protection locked="0"/>
    </xf>
    <xf numFmtId="0" fontId="16" fillId="6" borderId="0" xfId="0" applyNumberFormat="1" applyFont="1" applyFill="1" applyBorder="1" applyAlignment="1" applyProtection="1">
      <alignment horizontal="center" vertical="center"/>
    </xf>
    <xf numFmtId="191" fontId="7" fillId="6" borderId="0" xfId="0" applyNumberFormat="1" applyFont="1" applyFill="1" applyBorder="1" applyAlignment="1" applyProtection="1">
      <alignment horizontal="center" vertical="center"/>
      <protection hidden="1"/>
    </xf>
    <xf numFmtId="188" fontId="7" fillId="6" borderId="0" xfId="0" applyNumberFormat="1" applyFont="1" applyFill="1" applyBorder="1" applyAlignment="1" applyProtection="1">
      <alignment horizontal="center" vertical="center"/>
      <protection hidden="1"/>
    </xf>
    <xf numFmtId="185" fontId="7" fillId="6" borderId="0" xfId="0" applyNumberFormat="1" applyFont="1" applyFill="1" applyBorder="1" applyAlignment="1" applyProtection="1">
      <alignment horizontal="center" vertical="center"/>
      <protection hidden="1"/>
    </xf>
    <xf numFmtId="184" fontId="7" fillId="6" borderId="0" xfId="0" applyNumberFormat="1" applyFont="1" applyFill="1" applyBorder="1" applyAlignment="1" applyProtection="1">
      <alignment horizontal="center" vertical="center"/>
      <protection hidden="1"/>
    </xf>
    <xf numFmtId="196" fontId="7" fillId="6" borderId="0" xfId="0" applyNumberFormat="1" applyFont="1" applyFill="1" applyBorder="1" applyAlignment="1" applyProtection="1">
      <alignment horizontal="center" vertical="center"/>
      <protection hidden="1"/>
    </xf>
    <xf numFmtId="181" fontId="17" fillId="6" borderId="5" xfId="0" applyNumberFormat="1" applyFont="1" applyFill="1" applyBorder="1" applyAlignment="1" applyProtection="1">
      <alignment horizontal="center" vertical="center"/>
      <protection locked="0"/>
    </xf>
    <xf numFmtId="190" fontId="17" fillId="6" borderId="5" xfId="0" applyNumberFormat="1" applyFont="1" applyFill="1" applyBorder="1" applyAlignment="1" applyProtection="1">
      <alignment horizontal="center" vertical="center"/>
      <protection locked="0"/>
    </xf>
    <xf numFmtId="186" fontId="17" fillId="6" borderId="5" xfId="0" applyNumberFormat="1" applyFont="1" applyFill="1" applyBorder="1" applyAlignment="1" applyProtection="1">
      <alignment horizontal="center" vertical="center"/>
      <protection locked="0"/>
    </xf>
    <xf numFmtId="180" fontId="17" fillId="6" borderId="5" xfId="0" applyNumberFormat="1" applyFont="1" applyFill="1" applyBorder="1" applyAlignment="1" applyProtection="1">
      <alignment horizontal="center" vertical="center"/>
      <protection locked="0"/>
    </xf>
    <xf numFmtId="191" fontId="7" fillId="6" borderId="0" xfId="0" applyNumberFormat="1" applyFont="1" applyFill="1" applyBorder="1" applyAlignment="1" applyProtection="1">
      <alignment horizontal="center" vertical="center"/>
    </xf>
    <xf numFmtId="188" fontId="7" fillId="6" borderId="0" xfId="0" applyNumberFormat="1" applyFont="1" applyFill="1" applyBorder="1" applyAlignment="1" applyProtection="1">
      <alignment horizontal="center" vertical="center"/>
    </xf>
    <xf numFmtId="185" fontId="7" fillId="6" borderId="0" xfId="0" applyNumberFormat="1" applyFont="1" applyFill="1" applyBorder="1" applyAlignment="1" applyProtection="1">
      <alignment horizontal="center" vertical="center"/>
    </xf>
    <xf numFmtId="184" fontId="7" fillId="6" borderId="0" xfId="0" applyNumberFormat="1" applyFont="1" applyFill="1" applyBorder="1" applyAlignment="1" applyProtection="1">
      <alignment horizontal="center" vertical="center"/>
    </xf>
    <xf numFmtId="196" fontId="7" fillId="6" borderId="0" xfId="0" applyNumberFormat="1" applyFont="1" applyFill="1" applyBorder="1" applyAlignment="1" applyProtection="1">
      <alignment horizontal="center" vertical="center"/>
    </xf>
    <xf numFmtId="0" fontId="14" fillId="6" borderId="6" xfId="0" applyNumberFormat="1" applyFont="1" applyFill="1" applyBorder="1" applyAlignment="1" applyProtection="1">
      <alignment horizontal="center" vertical="center"/>
    </xf>
    <xf numFmtId="0" fontId="14" fillId="6" borderId="0" xfId="0" applyNumberFormat="1" applyFont="1" applyFill="1" applyBorder="1" applyAlignment="1" applyProtection="1">
      <alignment vertical="center"/>
    </xf>
    <xf numFmtId="178" fontId="18" fillId="6" borderId="6" xfId="0" applyNumberFormat="1" applyFont="1" applyFill="1" applyBorder="1" applyAlignment="1" applyProtection="1">
      <alignment horizontal="center" vertical="center"/>
      <protection hidden="1"/>
    </xf>
    <xf numFmtId="187" fontId="18" fillId="6" borderId="6" xfId="0" applyNumberFormat="1" applyFont="1" applyFill="1" applyBorder="1" applyAlignment="1" applyProtection="1">
      <alignment horizontal="center" vertical="center"/>
      <protection hidden="1"/>
    </xf>
    <xf numFmtId="0" fontId="18" fillId="6" borderId="0" xfId="0" applyNumberFormat="1" applyFont="1" applyFill="1" applyBorder="1" applyAlignment="1" applyProtection="1">
      <alignment horizontal="center" vertical="center"/>
    </xf>
    <xf numFmtId="0" fontId="10" fillId="6" borderId="0" xfId="0" applyNumberFormat="1" applyFont="1" applyFill="1" applyBorder="1" applyProtection="1">
      <alignment vertical="center"/>
    </xf>
    <xf numFmtId="0" fontId="14" fillId="6" borderId="0" xfId="0" applyNumberFormat="1" applyFont="1" applyFill="1" applyBorder="1" applyAlignment="1" applyProtection="1">
      <alignment horizontal="center" vertical="center"/>
    </xf>
    <xf numFmtId="197" fontId="18" fillId="6" borderId="7" xfId="0" applyNumberFormat="1" applyFont="1" applyFill="1" applyBorder="1" applyAlignment="1" applyProtection="1">
      <alignment horizontal="center" vertical="center"/>
      <protection hidden="1"/>
    </xf>
    <xf numFmtId="198" fontId="18" fillId="6" borderId="8" xfId="0" applyNumberFormat="1" applyFont="1" applyFill="1" applyBorder="1" applyAlignment="1" applyProtection="1">
      <alignment horizontal="center" vertical="center"/>
    </xf>
    <xf numFmtId="0" fontId="19" fillId="6" borderId="0" xfId="10" applyNumberFormat="1" applyFont="1" applyFill="1" applyBorder="1" applyProtection="1">
      <alignment vertical="center"/>
      <protection hidden="1"/>
    </xf>
    <xf numFmtId="0" fontId="20" fillId="6" borderId="0" xfId="0" applyNumberFormat="1" applyFont="1" applyFill="1" applyBorder="1" applyProtection="1">
      <alignment vertical="center"/>
    </xf>
    <xf numFmtId="0" fontId="21" fillId="6" borderId="0" xfId="0" applyNumberFormat="1" applyFont="1" applyFill="1" applyBorder="1" applyProtection="1">
      <alignment vertical="center"/>
    </xf>
    <xf numFmtId="0" fontId="9" fillId="6" borderId="0" xfId="0" applyNumberFormat="1" applyFont="1" applyFill="1" applyBorder="1" applyAlignment="1" applyProtection="1">
      <alignment vertical="center"/>
    </xf>
    <xf numFmtId="0" fontId="22" fillId="6" borderId="0" xfId="0" applyNumberFormat="1" applyFont="1" applyFill="1" applyBorder="1" applyAlignment="1" applyProtection="1">
      <alignment horizontal="center" vertical="center"/>
    </xf>
    <xf numFmtId="182" fontId="18" fillId="6" borderId="8" xfId="0" applyNumberFormat="1" applyFont="1" applyFill="1" applyBorder="1" applyAlignment="1" applyProtection="1">
      <alignment horizontal="center" vertical="center"/>
    </xf>
    <xf numFmtId="189" fontId="18" fillId="6" borderId="8" xfId="0" applyNumberFormat="1" applyFont="1" applyFill="1" applyBorder="1" applyAlignment="1" applyProtection="1">
      <alignment horizontal="center" vertical="center"/>
    </xf>
    <xf numFmtId="0" fontId="13" fillId="6" borderId="9" xfId="0" applyFont="1" applyFill="1" applyBorder="1" applyProtection="1">
      <alignment vertical="center"/>
    </xf>
    <xf numFmtId="0" fontId="13" fillId="6" borderId="3" xfId="0" applyFont="1" applyFill="1" applyBorder="1" applyAlignment="1" applyProtection="1">
      <alignment horizontal="center" vertical="center"/>
    </xf>
    <xf numFmtId="0" fontId="13" fillId="6" borderId="3" xfId="0" applyFont="1" applyFill="1" applyBorder="1" applyProtection="1">
      <alignment vertical="center"/>
    </xf>
    <xf numFmtId="0" fontId="23" fillId="6" borderId="3" xfId="0" applyFont="1" applyFill="1" applyBorder="1" applyProtection="1">
      <alignment vertical="center"/>
    </xf>
    <xf numFmtId="0" fontId="13" fillId="0" borderId="10" xfId="0" applyFont="1" applyFill="1" applyBorder="1" applyProtection="1">
      <alignment vertical="center"/>
    </xf>
    <xf numFmtId="0" fontId="13" fillId="0" borderId="3" xfId="0" applyFont="1" applyFill="1" applyBorder="1" applyAlignment="1" applyProtection="1">
      <alignment horizontal="centerContinuous" vertical="center"/>
    </xf>
    <xf numFmtId="0" fontId="14" fillId="6" borderId="11" xfId="0" applyFont="1" applyFill="1" applyBorder="1" applyAlignment="1" applyProtection="1">
      <alignment horizontal="center" vertical="center"/>
    </xf>
    <xf numFmtId="0" fontId="14" fillId="6" borderId="12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7" fillId="6" borderId="14" xfId="0" applyFont="1" applyFill="1" applyBorder="1" applyAlignment="1" applyProtection="1">
      <alignment horizontal="center" vertical="center"/>
    </xf>
    <xf numFmtId="0" fontId="7" fillId="6" borderId="15" xfId="0" applyFont="1" applyFill="1" applyBorder="1" applyAlignment="1" applyProtection="1">
      <alignment horizontal="center" vertical="center"/>
    </xf>
    <xf numFmtId="192" fontId="17" fillId="2" borderId="5" xfId="0" applyNumberFormat="1" applyFont="1" applyFill="1" applyBorder="1" applyAlignment="1" applyProtection="1">
      <alignment horizontal="center" vertical="center"/>
      <protection locked="0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193" fontId="17" fillId="2" borderId="5" xfId="0" applyNumberFormat="1" applyFont="1" applyFill="1" applyBorder="1" applyAlignment="1" applyProtection="1">
      <alignment horizontal="center" vertical="center"/>
      <protection locked="0"/>
    </xf>
    <xf numFmtId="193" fontId="7" fillId="6" borderId="0" xfId="0" applyNumberFormat="1" applyFont="1" applyFill="1" applyBorder="1" applyAlignment="1" applyProtection="1">
      <alignment horizontal="center" vertical="center"/>
    </xf>
    <xf numFmtId="178" fontId="18" fillId="6" borderId="14" xfId="0" applyNumberFormat="1" applyFont="1" applyFill="1" applyBorder="1" applyAlignment="1" applyProtection="1">
      <alignment horizontal="center" vertical="center"/>
      <protection hidden="1"/>
    </xf>
    <xf numFmtId="177" fontId="18" fillId="6" borderId="0" xfId="0" applyNumberFormat="1" applyFont="1" applyFill="1" applyBorder="1" applyAlignment="1" applyProtection="1">
      <alignment horizontal="center" vertical="center"/>
      <protection hidden="1"/>
    </xf>
    <xf numFmtId="187" fontId="18" fillId="6" borderId="0" xfId="0" applyNumberFormat="1" applyFont="1" applyFill="1" applyBorder="1" applyAlignment="1" applyProtection="1">
      <alignment horizontal="center" vertical="center"/>
      <protection hidden="1"/>
    </xf>
    <xf numFmtId="177" fontId="18" fillId="6" borderId="15" xfId="0" applyNumberFormat="1" applyFont="1" applyFill="1" applyBorder="1" applyAlignment="1" applyProtection="1">
      <alignment horizontal="center" vertical="center"/>
      <protection hidden="1"/>
    </xf>
    <xf numFmtId="0" fontId="13" fillId="6" borderId="0" xfId="0" applyFont="1" applyFill="1" applyBorder="1" applyProtection="1">
      <alignment vertical="center"/>
      <protection hidden="1"/>
    </xf>
    <xf numFmtId="0" fontId="18" fillId="6" borderId="14" xfId="0" applyFont="1" applyFill="1" applyBorder="1" applyProtection="1">
      <alignment vertical="center"/>
    </xf>
    <xf numFmtId="0" fontId="18" fillId="6" borderId="0" xfId="0" applyFont="1" applyFill="1" applyBorder="1" applyProtection="1">
      <alignment vertical="center"/>
    </xf>
    <xf numFmtId="0" fontId="18" fillId="6" borderId="15" xfId="0" applyFont="1" applyFill="1" applyBorder="1" applyProtection="1">
      <alignment vertical="center"/>
    </xf>
    <xf numFmtId="192" fontId="17" fillId="6" borderId="5" xfId="0" applyNumberFormat="1" applyFont="1" applyFill="1" applyBorder="1" applyAlignment="1" applyProtection="1">
      <alignment horizontal="center" vertical="center"/>
      <protection locked="0"/>
    </xf>
    <xf numFmtId="0" fontId="17" fillId="6" borderId="5" xfId="0" applyFont="1" applyFill="1" applyBorder="1" applyAlignment="1" applyProtection="1">
      <alignment horizontal="center" vertical="center"/>
      <protection locked="0"/>
    </xf>
    <xf numFmtId="193" fontId="17" fillId="6" borderId="5" xfId="0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Protection="1">
      <alignment vertical="center"/>
      <protection hidden="1"/>
    </xf>
    <xf numFmtId="0" fontId="10" fillId="6" borderId="0" xfId="0" applyFont="1" applyFill="1" applyProtection="1">
      <alignment vertical="center"/>
    </xf>
    <xf numFmtId="178" fontId="18" fillId="6" borderId="16" xfId="0" applyNumberFormat="1" applyFont="1" applyFill="1" applyBorder="1" applyAlignment="1" applyProtection="1">
      <alignment horizontal="center" vertical="center"/>
      <protection hidden="1"/>
    </xf>
    <xf numFmtId="177" fontId="18" fillId="6" borderId="17" xfId="0" applyNumberFormat="1" applyFont="1" applyFill="1" applyBorder="1" applyAlignment="1" applyProtection="1">
      <alignment horizontal="center" vertical="center"/>
      <protection hidden="1"/>
    </xf>
    <xf numFmtId="187" fontId="18" fillId="6" borderId="17" xfId="0" applyNumberFormat="1" applyFont="1" applyFill="1" applyBorder="1" applyAlignment="1" applyProtection="1">
      <alignment horizontal="center" vertical="center"/>
      <protection hidden="1"/>
    </xf>
    <xf numFmtId="177" fontId="18" fillId="6" borderId="18" xfId="0" applyNumberFormat="1" applyFont="1" applyFill="1" applyBorder="1" applyAlignment="1" applyProtection="1">
      <alignment horizontal="center" vertical="center"/>
      <protection hidden="1"/>
    </xf>
    <xf numFmtId="0" fontId="18" fillId="6" borderId="8" xfId="0" applyNumberFormat="1" applyFont="1" applyFill="1" applyBorder="1" applyAlignment="1" applyProtection="1">
      <alignment horizontal="center" vertical="center"/>
      <protection hidden="1"/>
    </xf>
    <xf numFmtId="0" fontId="13" fillId="0" borderId="4" xfId="0" applyFont="1" applyFill="1" applyBorder="1" applyProtection="1">
      <alignment vertical="center"/>
    </xf>
    <xf numFmtId="0" fontId="13" fillId="6" borderId="19" xfId="0" applyFont="1" applyFill="1" applyBorder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E0F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106045</xdr:colOff>
      <xdr:row>9</xdr:row>
      <xdr:rowOff>95250</xdr:rowOff>
    </xdr:from>
    <xdr:to>
      <xdr:col>3</xdr:col>
      <xdr:colOff>257175</xdr:colOff>
      <xdr:row>18</xdr:row>
      <xdr:rowOff>170180</xdr:rowOff>
    </xdr:to>
    <xdr:sp>
      <xdr:nvSpPr>
        <xdr:cNvPr id="3" name="文本框 2"/>
        <xdr:cNvSpPr txBox="1"/>
      </xdr:nvSpPr>
      <xdr:spPr>
        <a:xfrm>
          <a:off x="106045" y="2305050"/>
          <a:ext cx="1837055" cy="2360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目前该表中只能同时输入</a:t>
          </a:r>
          <a:r>
            <a:rPr lang="en-US" altLang="zh-CN" sz="1100"/>
            <a:t>5</a:t>
          </a:r>
          <a:r>
            <a:rPr lang="zh-CN" altLang="en-US" sz="1100"/>
            <a:t>个不同的篷房，希望可以随意增加或可以同时输入更多的篷房，</a:t>
          </a:r>
          <a:endParaRPr lang="zh-CN" altLang="en-US" sz="1100"/>
        </a:p>
        <a:p>
          <a:pPr algn="l"/>
          <a:endParaRPr lang="en-US" altLang="zh-CN" sz="110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l"/>
          <a:r>
            <a:rPr lang="zh-CN" altLang="en-US" sz="1100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另希望在此面板内做一个文本框，里面写上使用此功能的注意事项等（可维护）</a:t>
          </a:r>
          <a:endParaRPr lang="en-US" altLang="zh-CN" sz="1100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l"/>
          <a:endParaRPr lang="en-US" altLang="zh-CN" sz="1100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l"/>
          <a:r>
            <a:rPr lang="zh-CN" altLang="en-US" sz="1100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另红色标记的工作表中有其它说明</a:t>
          </a:r>
          <a:endParaRPr lang="en-US" altLang="zh-CN" sz="1100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247650</xdr:colOff>
      <xdr:row>11</xdr:row>
      <xdr:rowOff>15875</xdr:rowOff>
    </xdr:from>
    <xdr:to>
      <xdr:col>12</xdr:col>
      <xdr:colOff>295275</xdr:colOff>
      <xdr:row>13</xdr:row>
      <xdr:rowOff>159385</xdr:rowOff>
    </xdr:to>
    <xdr:sp>
      <xdr:nvSpPr>
        <xdr:cNvPr id="2" name="文本框 1"/>
        <xdr:cNvSpPr txBox="1"/>
      </xdr:nvSpPr>
      <xdr:spPr>
        <a:xfrm>
          <a:off x="6724650" y="2809875"/>
          <a:ext cx="279082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该表中黄色区域为手动填写数据，希望如果以后增加篷房，可维护</a:t>
          </a:r>
          <a:endParaRPr lang="zh-CN" altLang="en-US" sz="1100"/>
        </a:p>
      </xdr:txBody>
    </xdr:sp>
    <xdr:clientData/>
  </xdr:twoCellAnchor>
  <xdr:twoCellAnchor>
    <xdr:from>
      <xdr:col>5</xdr:col>
      <xdr:colOff>561975</xdr:colOff>
      <xdr:row>10</xdr:row>
      <xdr:rowOff>209550</xdr:rowOff>
    </xdr:from>
    <xdr:to>
      <xdr:col>8</xdr:col>
      <xdr:colOff>247650</xdr:colOff>
      <xdr:row>12</xdr:row>
      <xdr:rowOff>87630</xdr:rowOff>
    </xdr:to>
    <xdr:cxnSp>
      <xdr:nvCxnSpPr>
        <xdr:cNvPr id="3" name="直接箭头连接符 2"/>
        <xdr:cNvCxnSpPr>
          <a:stCxn id="2" idx="1"/>
        </xdr:cNvCxnSpPr>
      </xdr:nvCxnSpPr>
      <xdr:spPr>
        <a:xfrm flipH="1" flipV="1">
          <a:off x="4610100" y="2749550"/>
          <a:ext cx="2114550" cy="386080"/>
        </a:xfrm>
        <a:prstGeom prst="straightConnector1">
          <a:avLst/>
        </a:prstGeom>
        <a:ln>
          <a:solidFill>
            <a:srgbClr val="FF0000"/>
          </a:solidFill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</xdr:row>
      <xdr:rowOff>190500</xdr:rowOff>
    </xdr:from>
    <xdr:to>
      <xdr:col>14</xdr:col>
      <xdr:colOff>390525</xdr:colOff>
      <xdr:row>7</xdr:row>
      <xdr:rowOff>208915</xdr:rowOff>
    </xdr:to>
    <xdr:sp>
      <xdr:nvSpPr>
        <xdr:cNvPr id="4" name="文本框 3"/>
        <xdr:cNvSpPr txBox="1"/>
      </xdr:nvSpPr>
      <xdr:spPr>
        <a:xfrm>
          <a:off x="8848725" y="952500"/>
          <a:ext cx="2133600" cy="1034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蓝色区域数据是提取</a:t>
          </a:r>
          <a:r>
            <a:rPr lang="en-US" altLang="zh-CN" sz="1100"/>
            <a:t>“</a:t>
          </a:r>
          <a:r>
            <a:rPr lang="zh-CN" altLang="en-US" sz="1100"/>
            <a:t>首页</a:t>
          </a:r>
          <a:r>
            <a:rPr lang="en-US" altLang="zh-CN" sz="1100"/>
            <a:t>”</a:t>
          </a:r>
          <a:r>
            <a:rPr lang="zh-CN" altLang="en-US" sz="1100"/>
            <a:t>输入</a:t>
          </a:r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该列数据是</a:t>
          </a:r>
          <a:r>
            <a:rPr lang="en-US" altLang="zh-CN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“</a:t>
          </a:r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首页</a:t>
          </a:r>
          <a:r>
            <a:rPr lang="en-US" altLang="zh-CN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”</a:t>
          </a:r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中提供的篷房排数</a:t>
          </a:r>
          <a:r>
            <a:rPr lang="zh-CN" altLang="en-US" sz="1100"/>
            <a:t>的篷房条件（作用是为了下一步提取输入篷房的最长件、篷房重量、做准备）</a:t>
          </a:r>
          <a:endParaRPr lang="zh-CN" altLang="en-US" sz="1100"/>
        </a:p>
      </xdr:txBody>
    </xdr:sp>
    <xdr:clientData/>
  </xdr:twoCellAnchor>
  <xdr:twoCellAnchor>
    <xdr:from>
      <xdr:col>12</xdr:col>
      <xdr:colOff>676275</xdr:colOff>
      <xdr:row>2</xdr:row>
      <xdr:rowOff>85725</xdr:rowOff>
    </xdr:from>
    <xdr:to>
      <xdr:col>13</xdr:col>
      <xdr:colOff>9525</xdr:colOff>
      <xdr:row>3</xdr:row>
      <xdr:rowOff>190500</xdr:rowOff>
    </xdr:to>
    <xdr:cxnSp>
      <xdr:nvCxnSpPr>
        <xdr:cNvPr id="5" name="直接箭头连接符 4"/>
        <xdr:cNvCxnSpPr>
          <a:stCxn id="4" idx="0"/>
        </xdr:cNvCxnSpPr>
      </xdr:nvCxnSpPr>
      <xdr:spPr>
        <a:xfrm flipH="1" flipV="1">
          <a:off x="9896475" y="593725"/>
          <a:ext cx="19050" cy="3587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469900</xdr:colOff>
      <xdr:row>3</xdr:row>
      <xdr:rowOff>244475</xdr:rowOff>
    </xdr:from>
    <xdr:to>
      <xdr:col>18</xdr:col>
      <xdr:colOff>546100</xdr:colOff>
      <xdr:row>7</xdr:row>
      <xdr:rowOff>206375</xdr:rowOff>
    </xdr:to>
    <xdr:sp>
      <xdr:nvSpPr>
        <xdr:cNvPr id="6" name="文本框 5"/>
        <xdr:cNvSpPr txBox="1"/>
      </xdr:nvSpPr>
      <xdr:spPr>
        <a:xfrm>
          <a:off x="11747500" y="1006475"/>
          <a:ext cx="21336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绿色区域数据是根据蓝色区域所提供的条件，在黄色区域中不断缩小范围从而提取最终结果</a:t>
          </a:r>
          <a:endParaRPr lang="zh-CN" altLang="en-US" sz="1100"/>
        </a:p>
      </xdr:txBody>
    </xdr:sp>
    <xdr:clientData/>
  </xdr:twoCellAnchor>
  <xdr:twoCellAnchor>
    <xdr:from>
      <xdr:col>16</xdr:col>
      <xdr:colOff>631825</xdr:colOff>
      <xdr:row>1</xdr:row>
      <xdr:rowOff>250825</xdr:rowOff>
    </xdr:from>
    <xdr:to>
      <xdr:col>17</xdr:col>
      <xdr:colOff>165100</xdr:colOff>
      <xdr:row>3</xdr:row>
      <xdr:rowOff>244475</xdr:rowOff>
    </xdr:to>
    <xdr:cxnSp>
      <xdr:nvCxnSpPr>
        <xdr:cNvPr id="7" name="直接箭头连接符 6"/>
        <xdr:cNvCxnSpPr>
          <a:stCxn id="6" idx="0"/>
        </xdr:cNvCxnSpPr>
      </xdr:nvCxnSpPr>
      <xdr:spPr>
        <a:xfrm flipH="1" flipV="1">
          <a:off x="12595225" y="504825"/>
          <a:ext cx="219075" cy="5016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B1:R25"/>
  <sheetViews>
    <sheetView showGridLines="0" tabSelected="1" topLeftCell="A4" workbookViewId="0">
      <selection activeCell="K5" sqref="K5"/>
    </sheetView>
  </sheetViews>
  <sheetFormatPr defaultColWidth="9" defaultRowHeight="20" customHeight="1"/>
  <cols>
    <col min="1" max="1" width="5.875" style="51" customWidth="1"/>
    <col min="2" max="2" width="5.625" style="51" customWidth="1"/>
    <col min="3" max="3" width="10.625" style="52" customWidth="1"/>
    <col min="4" max="7" width="10.625" style="51" customWidth="1"/>
    <col min="8" max="8" width="12.375" style="51" customWidth="1"/>
    <col min="9" max="9" width="10.625" style="51" customWidth="1"/>
    <col min="10" max="10" width="12.875" style="51" customWidth="1"/>
    <col min="11" max="11" width="11.25" style="51" customWidth="1"/>
    <col min="12" max="12" width="1.5" style="51" customWidth="1"/>
    <col min="13" max="16" width="11.625" style="51" customWidth="1"/>
    <col min="17" max="17" width="5.625" style="51" customWidth="1"/>
    <col min="18" max="16384" width="9" style="51"/>
  </cols>
  <sheetData>
    <row r="1" ht="28" customHeight="1" spans="2:17">
      <c r="B1" s="53"/>
      <c r="C1" s="53"/>
      <c r="D1" s="53"/>
      <c r="E1" s="53"/>
      <c r="F1" s="53"/>
      <c r="G1" s="53"/>
      <c r="H1" s="53"/>
      <c r="I1" s="53"/>
      <c r="J1" s="53"/>
      <c r="K1" s="53"/>
      <c r="L1" s="102"/>
      <c r="M1" s="102"/>
      <c r="N1" s="102"/>
      <c r="O1" s="102"/>
      <c r="P1" s="102"/>
      <c r="Q1" s="102"/>
    </row>
    <row r="2" customHeight="1" spans="2:18">
      <c r="B2" s="54"/>
      <c r="C2" s="55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130"/>
    </row>
    <row r="3" customHeight="1" spans="2:18">
      <c r="B3" s="54"/>
      <c r="C3" s="57" t="s">
        <v>0</v>
      </c>
      <c r="D3" s="58" t="s">
        <v>1</v>
      </c>
      <c r="E3" s="58" t="s">
        <v>2</v>
      </c>
      <c r="F3" s="58" t="s">
        <v>3</v>
      </c>
      <c r="G3" s="58" t="s">
        <v>4</v>
      </c>
      <c r="H3" s="58" t="s">
        <v>5</v>
      </c>
      <c r="I3" s="58" t="s">
        <v>6</v>
      </c>
      <c r="J3" s="58" t="s">
        <v>7</v>
      </c>
      <c r="K3" s="58" t="s">
        <v>8</v>
      </c>
      <c r="L3" s="61"/>
      <c r="M3" s="103" t="s">
        <v>9</v>
      </c>
      <c r="N3" s="104" t="s">
        <v>10</v>
      </c>
      <c r="O3" s="104" t="s">
        <v>11</v>
      </c>
      <c r="P3" s="105" t="s">
        <v>12</v>
      </c>
      <c r="Q3" s="56"/>
      <c r="R3" s="130"/>
    </row>
    <row r="4" ht="6" customHeight="1" spans="2:18">
      <c r="B4" s="54"/>
      <c r="C4" s="59"/>
      <c r="D4" s="60"/>
      <c r="E4" s="60"/>
      <c r="F4" s="60"/>
      <c r="G4" s="60"/>
      <c r="H4" s="60"/>
      <c r="I4" s="60"/>
      <c r="J4" s="60"/>
      <c r="K4" s="60"/>
      <c r="L4" s="60"/>
      <c r="M4" s="106"/>
      <c r="N4" s="60"/>
      <c r="O4" s="60"/>
      <c r="P4" s="107"/>
      <c r="Q4" s="56"/>
      <c r="R4" s="130"/>
    </row>
    <row r="5" customHeight="1" spans="2:18">
      <c r="B5" s="54"/>
      <c r="C5" s="61">
        <v>1</v>
      </c>
      <c r="D5" s="62">
        <v>10</v>
      </c>
      <c r="E5" s="62">
        <v>20</v>
      </c>
      <c r="F5" s="63">
        <v>1</v>
      </c>
      <c r="G5" s="64">
        <v>5</v>
      </c>
      <c r="H5" s="65">
        <v>4</v>
      </c>
      <c r="I5" s="108">
        <v>150</v>
      </c>
      <c r="J5" s="109" t="s">
        <v>13</v>
      </c>
      <c r="K5" s="110">
        <v>1</v>
      </c>
      <c r="L5" s="111"/>
      <c r="M5" s="112">
        <f>辅助数据1!R2</f>
        <v>5.5</v>
      </c>
      <c r="N5" s="113">
        <f>辅助数据1!Q2</f>
        <v>2.5</v>
      </c>
      <c r="O5" s="114">
        <f>SUMIFS(辅助数据1!$AF$3:$AF$9,辅助数据1!$AD$3:$AD$9,$J$5)</f>
        <v>0.48</v>
      </c>
      <c r="P5" s="115">
        <f>N5+O5</f>
        <v>2.98</v>
      </c>
      <c r="Q5" s="56"/>
      <c r="R5" s="130"/>
    </row>
    <row r="6" customHeight="1" spans="2:18">
      <c r="B6" s="54"/>
      <c r="C6" s="66"/>
      <c r="D6" s="67">
        <f>(E5/G5)*F5</f>
        <v>4</v>
      </c>
      <c r="E6" s="68">
        <f>(E5/G5+1)*F5</f>
        <v>5</v>
      </c>
      <c r="F6" s="69">
        <f>F5*2</f>
        <v>2</v>
      </c>
      <c r="G6" s="70">
        <f>(D5*E5)*F5</f>
        <v>200</v>
      </c>
      <c r="H6" s="71">
        <f>(E6*2)+(F6*辅助数据1!V8)</f>
        <v>12</v>
      </c>
      <c r="I6" s="116"/>
      <c r="J6" s="116"/>
      <c r="K6" s="116"/>
      <c r="L6" s="56"/>
      <c r="M6" s="117"/>
      <c r="N6" s="118"/>
      <c r="O6" s="118"/>
      <c r="P6" s="119"/>
      <c r="Q6" s="56"/>
      <c r="R6" s="130"/>
    </row>
    <row r="7" customHeight="1" spans="2:18">
      <c r="B7" s="54"/>
      <c r="C7" s="66">
        <v>2</v>
      </c>
      <c r="D7" s="72">
        <v>50</v>
      </c>
      <c r="E7" s="72">
        <v>20</v>
      </c>
      <c r="F7" s="73">
        <v>1</v>
      </c>
      <c r="G7" s="74">
        <v>5</v>
      </c>
      <c r="H7" s="75">
        <v>6.4</v>
      </c>
      <c r="I7" s="120">
        <v>350</v>
      </c>
      <c r="J7" s="121" t="s">
        <v>13</v>
      </c>
      <c r="K7" s="122">
        <v>1</v>
      </c>
      <c r="L7" s="111"/>
      <c r="M7" s="112">
        <f>辅助数据2!R2</f>
        <v>12</v>
      </c>
      <c r="N7" s="113">
        <f>辅助数据2!Q2</f>
        <v>15</v>
      </c>
      <c r="O7" s="114">
        <f>SUMIFS(辅助数据2!$AE$3:$AE$9,辅助数据2!$AC$3:$AC$9,$J$7)</f>
        <v>1.12</v>
      </c>
      <c r="P7" s="115">
        <f t="shared" ref="P7:P11" si="0">N7+O7</f>
        <v>16.12</v>
      </c>
      <c r="Q7" s="56"/>
      <c r="R7" s="130"/>
    </row>
    <row r="8" customHeight="1" spans="2:18">
      <c r="B8" s="54"/>
      <c r="C8" s="66"/>
      <c r="D8" s="67">
        <f t="shared" ref="D8:D12" si="1">(E7/G7)*F7</f>
        <v>4</v>
      </c>
      <c r="E8" s="68">
        <f t="shared" ref="E8:E12" si="2">(E7/G7+1)*F7</f>
        <v>5</v>
      </c>
      <c r="F8" s="69">
        <f t="shared" ref="F8:F12" si="3">F7*2</f>
        <v>2</v>
      </c>
      <c r="G8" s="70">
        <f t="shared" ref="G8:G12" si="4">(D7*E7)*F7</f>
        <v>1000</v>
      </c>
      <c r="H8" s="71">
        <f>(E8*2)+(F8*辅助数据2!V8)</f>
        <v>28</v>
      </c>
      <c r="I8" s="123"/>
      <c r="J8" s="123"/>
      <c r="K8" s="123"/>
      <c r="L8" s="124"/>
      <c r="M8" s="117"/>
      <c r="N8" s="118"/>
      <c r="O8" s="118"/>
      <c r="P8" s="119"/>
      <c r="Q8" s="56"/>
      <c r="R8" s="130"/>
    </row>
    <row r="9" customHeight="1" spans="2:18">
      <c r="B9" s="54"/>
      <c r="C9" s="66">
        <v>3</v>
      </c>
      <c r="D9" s="72"/>
      <c r="E9" s="72"/>
      <c r="F9" s="73"/>
      <c r="G9" s="74"/>
      <c r="H9" s="75"/>
      <c r="I9" s="120"/>
      <c r="J9" s="121"/>
      <c r="K9" s="122">
        <v>1</v>
      </c>
      <c r="L9" s="111"/>
      <c r="M9" s="112">
        <f>辅助数据3!R2</f>
        <v>0</v>
      </c>
      <c r="N9" s="113">
        <f>辅助数据3!Q2</f>
        <v>0</v>
      </c>
      <c r="O9" s="114">
        <f>SUMIFS(辅助数据3!$AE$3:$AE$9,辅助数据3!$AC$3:$AC$9,$J$9)</f>
        <v>0</v>
      </c>
      <c r="P9" s="115">
        <f t="shared" si="0"/>
        <v>0</v>
      </c>
      <c r="Q9" s="56"/>
      <c r="R9" s="130"/>
    </row>
    <row r="10" customHeight="1" spans="2:18">
      <c r="B10" s="54"/>
      <c r="C10" s="61"/>
      <c r="D10" s="67" t="e">
        <f t="shared" si="1"/>
        <v>#DIV/0!</v>
      </c>
      <c r="E10" s="68" t="e">
        <f t="shared" si="2"/>
        <v>#DIV/0!</v>
      </c>
      <c r="F10" s="69">
        <f t="shared" si="3"/>
        <v>0</v>
      </c>
      <c r="G10" s="70">
        <f t="shared" si="4"/>
        <v>0</v>
      </c>
      <c r="H10" s="71" t="e">
        <f>(E10*2)+(F10*辅助数据3!V8)</f>
        <v>#DIV/0!</v>
      </c>
      <c r="I10" s="123"/>
      <c r="J10" s="123"/>
      <c r="K10" s="123"/>
      <c r="L10" s="124"/>
      <c r="M10" s="117"/>
      <c r="N10" s="118"/>
      <c r="O10" s="118"/>
      <c r="P10" s="119"/>
      <c r="Q10" s="56"/>
      <c r="R10" s="130"/>
    </row>
    <row r="11" customHeight="1" spans="2:18">
      <c r="B11" s="54"/>
      <c r="C11" s="61">
        <v>4</v>
      </c>
      <c r="D11" s="72"/>
      <c r="E11" s="72"/>
      <c r="F11" s="73"/>
      <c r="G11" s="74"/>
      <c r="H11" s="75"/>
      <c r="I11" s="120"/>
      <c r="J11" s="121"/>
      <c r="K11" s="122">
        <v>1</v>
      </c>
      <c r="L11" s="111"/>
      <c r="M11" s="112">
        <f>辅助数据4!R2</f>
        <v>0</v>
      </c>
      <c r="N11" s="113">
        <f>辅助数据4!Q2</f>
        <v>0</v>
      </c>
      <c r="O11" s="114">
        <f>SUMIFS(辅助数据4!$AE$3:$AE$9,辅助数据4!$AC$3:$AC$9,$J$11)</f>
        <v>0</v>
      </c>
      <c r="P11" s="115">
        <f t="shared" si="0"/>
        <v>0</v>
      </c>
      <c r="Q11" s="56"/>
      <c r="R11" s="130"/>
    </row>
    <row r="12" customHeight="1" spans="2:18">
      <c r="B12" s="54"/>
      <c r="C12" s="61"/>
      <c r="D12" s="67" t="e">
        <f t="shared" si="1"/>
        <v>#DIV/0!</v>
      </c>
      <c r="E12" s="68" t="e">
        <f t="shared" si="2"/>
        <v>#DIV/0!</v>
      </c>
      <c r="F12" s="69">
        <f t="shared" si="3"/>
        <v>0</v>
      </c>
      <c r="G12" s="70">
        <f t="shared" si="4"/>
        <v>0</v>
      </c>
      <c r="H12" s="71" t="e">
        <f>(E12*2)+(F12*辅助数据4!V8)</f>
        <v>#DIV/0!</v>
      </c>
      <c r="I12" s="123"/>
      <c r="J12" s="123"/>
      <c r="K12" s="123"/>
      <c r="L12" s="124"/>
      <c r="M12" s="117"/>
      <c r="N12" s="118"/>
      <c r="O12" s="118"/>
      <c r="P12" s="119"/>
      <c r="Q12" s="56"/>
      <c r="R12" s="130"/>
    </row>
    <row r="13" customHeight="1" spans="2:18">
      <c r="B13" s="54"/>
      <c r="C13" s="61">
        <v>5</v>
      </c>
      <c r="D13" s="72"/>
      <c r="E13" s="72"/>
      <c r="F13" s="73"/>
      <c r="G13" s="74"/>
      <c r="H13" s="75"/>
      <c r="I13" s="120"/>
      <c r="J13" s="121"/>
      <c r="K13" s="122">
        <v>1</v>
      </c>
      <c r="L13" s="111"/>
      <c r="M13" s="125">
        <f>辅助数据5!R2</f>
        <v>0</v>
      </c>
      <c r="N13" s="126">
        <f>辅助数据5!Q2</f>
        <v>0</v>
      </c>
      <c r="O13" s="127">
        <f>SUMIFS(辅助数据5!$AE$3:$AE$9,辅助数据5!$AC$3:$AC$9,$J$13)</f>
        <v>0</v>
      </c>
      <c r="P13" s="128">
        <f>N13+O13</f>
        <v>0</v>
      </c>
      <c r="Q13" s="56"/>
      <c r="R13" s="130"/>
    </row>
    <row r="14" customHeight="1" spans="2:18">
      <c r="B14" s="54"/>
      <c r="C14" s="59"/>
      <c r="D14" s="76" t="e">
        <f>(E13/G13)*F13</f>
        <v>#DIV/0!</v>
      </c>
      <c r="E14" s="77" t="e">
        <f>(E13/G13+1)*F13</f>
        <v>#DIV/0!</v>
      </c>
      <c r="F14" s="78">
        <f>F13*2</f>
        <v>0</v>
      </c>
      <c r="G14" s="79">
        <f>(D13*E13)*F13</f>
        <v>0</v>
      </c>
      <c r="H14" s="80" t="e">
        <f>(E14*2)+(F14*辅助数据5!V8)</f>
        <v>#DIV/0!</v>
      </c>
      <c r="I14" s="124"/>
      <c r="J14" s="124"/>
      <c r="K14" s="124"/>
      <c r="L14" s="124"/>
      <c r="M14" s="124"/>
      <c r="N14" s="124"/>
      <c r="O14" s="124"/>
      <c r="P14" s="124"/>
      <c r="Q14" s="56"/>
      <c r="R14" s="130"/>
    </row>
    <row r="15" customHeight="1" spans="2:18">
      <c r="B15" s="54"/>
      <c r="C15" s="55"/>
      <c r="D15" s="56"/>
      <c r="E15" s="81" t="s">
        <v>14</v>
      </c>
      <c r="F15" s="81" t="s">
        <v>10</v>
      </c>
      <c r="G15" s="81" t="s">
        <v>11</v>
      </c>
      <c r="H15" s="81" t="s">
        <v>12</v>
      </c>
      <c r="I15" s="56"/>
      <c r="J15" s="56"/>
      <c r="K15" s="56"/>
      <c r="L15" s="56"/>
      <c r="M15" s="56"/>
      <c r="N15" s="56"/>
      <c r="O15" s="56"/>
      <c r="P15" s="56"/>
      <c r="Q15" s="56"/>
      <c r="R15" s="130"/>
    </row>
    <row r="16" customHeight="1" spans="2:18">
      <c r="B16" s="54"/>
      <c r="C16" s="55"/>
      <c r="D16" s="82" t="s">
        <v>15</v>
      </c>
      <c r="E16" s="83">
        <f>MAX(M5:M13)</f>
        <v>12</v>
      </c>
      <c r="F16" s="84">
        <f>SUM(N5:N13)</f>
        <v>17.5</v>
      </c>
      <c r="G16" s="84">
        <f>SUM(O5:O13)</f>
        <v>1.6</v>
      </c>
      <c r="H16" s="84">
        <f>F16+G16</f>
        <v>19.1</v>
      </c>
      <c r="I16" s="56"/>
      <c r="J16" s="56"/>
      <c r="K16" s="56"/>
      <c r="L16" s="56"/>
      <c r="M16" s="56"/>
      <c r="N16" s="56"/>
      <c r="O16" s="56"/>
      <c r="P16" s="56"/>
      <c r="Q16" s="56"/>
      <c r="R16" s="130"/>
    </row>
    <row r="17" customHeight="1" spans="2:18">
      <c r="B17" s="54"/>
      <c r="C17" s="55"/>
      <c r="D17" s="82"/>
      <c r="E17" s="85"/>
      <c r="F17" s="85"/>
      <c r="G17" s="85"/>
      <c r="H17" s="85"/>
      <c r="I17" s="55"/>
      <c r="J17" s="56"/>
      <c r="K17" s="56"/>
      <c r="L17" s="56"/>
      <c r="M17" s="56"/>
      <c r="N17" s="56"/>
      <c r="O17" s="56"/>
      <c r="P17" s="56"/>
      <c r="Q17" s="56"/>
      <c r="R17" s="130"/>
    </row>
    <row r="18" customHeight="1" spans="2:18">
      <c r="B18" s="54"/>
      <c r="C18" s="55"/>
      <c r="D18" s="86"/>
      <c r="E18" s="87" t="s">
        <v>16</v>
      </c>
      <c r="F18" s="87" t="s">
        <v>17</v>
      </c>
      <c r="G18" s="87" t="s">
        <v>18</v>
      </c>
      <c r="H18" s="87" t="s">
        <v>19</v>
      </c>
      <c r="I18" s="87" t="s">
        <v>20</v>
      </c>
      <c r="J18" s="87" t="s">
        <v>21</v>
      </c>
      <c r="K18" s="56" t="s">
        <v>22</v>
      </c>
      <c r="L18" s="56"/>
      <c r="M18" s="56"/>
      <c r="N18" s="56"/>
      <c r="O18" s="56"/>
      <c r="P18" s="56"/>
      <c r="Q18" s="56"/>
      <c r="R18" s="130"/>
    </row>
    <row r="19" customHeight="1" spans="2:18">
      <c r="B19" s="54"/>
      <c r="C19" s="55"/>
      <c r="D19" s="82" t="s">
        <v>23</v>
      </c>
      <c r="E19" s="62" t="s">
        <v>24</v>
      </c>
      <c r="F19" s="62" t="s">
        <v>25</v>
      </c>
      <c r="G19" s="88" t="str">
        <f>IFERROR(DGET(#REF!,G18,E18:F19),"-")</f>
        <v>-</v>
      </c>
      <c r="H19" s="89">
        <v>6.8</v>
      </c>
      <c r="I19" s="129">
        <v>10</v>
      </c>
      <c r="J19" s="129" t="str">
        <f>IFERROR(DGET(#REF!,H19&amp;"米",E18:F19),"-")</f>
        <v>-</v>
      </c>
      <c r="K19" s="129" t="str">
        <f>IFERROR(DGET(#REF!,H19&amp;"米",#REF!),"-")</f>
        <v>-</v>
      </c>
      <c r="L19" s="56"/>
      <c r="M19" s="56"/>
      <c r="N19" s="56"/>
      <c r="O19" s="56"/>
      <c r="P19" s="56"/>
      <c r="Q19" s="56"/>
      <c r="R19" s="130"/>
    </row>
    <row r="20" customHeight="1" spans="2:17">
      <c r="B20" s="54"/>
      <c r="C20" s="55"/>
      <c r="D20" s="86"/>
      <c r="E20" s="90" t="str">
        <f>HYPERLINK("https://www.baidu.com/s?wd="&amp;E19&amp;"‘货站’、‘物流公司’","搜索当地货站")</f>
        <v>搜索当地货站</v>
      </c>
      <c r="F20" s="91"/>
      <c r="G20" s="92"/>
      <c r="H20" s="89">
        <v>9.6</v>
      </c>
      <c r="I20" s="129">
        <v>18</v>
      </c>
      <c r="J20" s="129" t="str">
        <f>IFERROR(DGET(#REF!,H20&amp;"米",E18:F19),"-")</f>
        <v>-</v>
      </c>
      <c r="K20" s="129"/>
      <c r="L20" s="56"/>
      <c r="M20" s="56"/>
      <c r="N20" s="56"/>
      <c r="O20" s="56"/>
      <c r="P20" s="56"/>
      <c r="Q20" s="131"/>
    </row>
    <row r="21" customHeight="1" spans="2:18">
      <c r="B21" s="54"/>
      <c r="C21" s="55"/>
      <c r="D21" s="93"/>
      <c r="E21" s="90" t="str">
        <f>HYPERLINK("http://ditu.amap.com/search?query=""辽中到"&amp;E19&amp;"市","查看距离路线")</f>
        <v>查看距离路线</v>
      </c>
      <c r="F21" s="91"/>
      <c r="G21" s="94"/>
      <c r="H21" s="95">
        <v>13</v>
      </c>
      <c r="I21" s="129">
        <v>30</v>
      </c>
      <c r="J21" s="129" t="str">
        <f>IFERROR(DGET(#REF!,H21&amp;"米",E18:F19),"-")</f>
        <v>-</v>
      </c>
      <c r="K21" s="129"/>
      <c r="L21" s="56"/>
      <c r="M21" s="56"/>
      <c r="N21" s="56"/>
      <c r="O21" s="56"/>
      <c r="P21" s="56"/>
      <c r="Q21" s="56"/>
      <c r="R21" s="130"/>
    </row>
    <row r="22" customHeight="1" spans="2:17">
      <c r="B22" s="54"/>
      <c r="C22" s="55"/>
      <c r="D22" s="93"/>
      <c r="E22" s="90" t="str">
        <f>HYPERLINK("http://ditu.amap.com/search?query="&amp;E19,"查看地图位置")</f>
        <v>查看地图位置</v>
      </c>
      <c r="F22" s="91"/>
      <c r="G22" s="94"/>
      <c r="H22" s="96">
        <v>17.5</v>
      </c>
      <c r="I22" s="129">
        <v>30</v>
      </c>
      <c r="J22" s="129" t="str">
        <f>IFERROR(DGET(#REF!,H22&amp;"米",E18:F19),"-")</f>
        <v>-</v>
      </c>
      <c r="K22" s="129"/>
      <c r="L22" s="56"/>
      <c r="M22" s="56"/>
      <c r="N22" s="56"/>
      <c r="O22" s="56"/>
      <c r="P22" s="56"/>
      <c r="Q22" s="131"/>
    </row>
    <row r="23" customHeight="1" spans="2:17">
      <c r="B23" s="54"/>
      <c r="C23" s="55"/>
      <c r="D23" s="86"/>
      <c r="E23" s="90" t="str">
        <f>HYPERLINK("https://www.baidu.com/s?wd="&amp;E19&amp;"天气预报","查看当地天气")</f>
        <v>查看当地天气</v>
      </c>
      <c r="F23" s="91"/>
      <c r="G23" s="92"/>
      <c r="H23" s="92"/>
      <c r="I23" s="92"/>
      <c r="J23" s="92"/>
      <c r="K23" s="56"/>
      <c r="L23" s="56"/>
      <c r="M23" s="56"/>
      <c r="N23" s="56"/>
      <c r="O23" s="56"/>
      <c r="P23" s="56"/>
      <c r="Q23" s="131"/>
    </row>
    <row r="24" customHeight="1" spans="2:18">
      <c r="B24" s="97"/>
      <c r="C24" s="98"/>
      <c r="D24" s="99"/>
      <c r="E24" s="100"/>
      <c r="F24" s="99"/>
      <c r="G24" s="56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30"/>
    </row>
    <row r="25" customHeight="1" spans="7:7">
      <c r="G25" s="101"/>
    </row>
  </sheetData>
  <dataValidations count="21">
    <dataValidation type="list" allowBlank="1" showInputMessage="1" showErrorMessage="1" sqref="G5">
      <formula1>辅助数据1!$AI$2:$AI$3</formula1>
    </dataValidation>
    <dataValidation type="list" allowBlank="1" showInputMessage="1" showErrorMessage="1" sqref="H5">
      <formula1>辅助数据1!$AL$2:$AL$7</formula1>
    </dataValidation>
    <dataValidation type="list" allowBlank="1" showInputMessage="1" showErrorMessage="1" sqref="I5">
      <formula1>辅助数据1!$AA$2:$AA$7</formula1>
    </dataValidation>
    <dataValidation type="list" allowBlank="1" showInputMessage="1" showErrorMessage="1" sqref="J5">
      <formula1>辅助数据1!$AD$3:$AD$9</formula1>
    </dataValidation>
    <dataValidation type="list" allowBlank="1" showInputMessage="1" showErrorMessage="1" sqref="G7">
      <formula1>辅助数据2!$AH$2:$AH$3</formula1>
    </dataValidation>
    <dataValidation type="list" allowBlank="1" showInputMessage="1" showErrorMessage="1" sqref="H7">
      <formula1>辅助数据2!$AK$2:$AK$7</formula1>
    </dataValidation>
    <dataValidation type="list" allowBlank="1" showInputMessage="1" showErrorMessage="1" sqref="I7">
      <formula1>辅助数据2!$AA$2:$AA$7</formula1>
    </dataValidation>
    <dataValidation type="list" allowBlank="1" showInputMessage="1" showErrorMessage="1" sqref="J7">
      <formula1>辅助数据2!$AC$3:$AC$9</formula1>
    </dataValidation>
    <dataValidation type="list" allowBlank="1" showInputMessage="1" showErrorMessage="1" sqref="G9">
      <formula1>辅助数据3!$AH$2:$AH$3</formula1>
    </dataValidation>
    <dataValidation type="list" allowBlank="1" showInputMessage="1" showErrorMessage="1" sqref="H9">
      <formula1>辅助数据3!$AK$2:$AK$7</formula1>
    </dataValidation>
    <dataValidation type="list" allowBlank="1" showInputMessage="1" showErrorMessage="1" sqref="I9">
      <formula1>辅助数据3!$AA$2:$AA$7</formula1>
    </dataValidation>
    <dataValidation type="list" allowBlank="1" showInputMessage="1" showErrorMessage="1" sqref="J9">
      <formula1>辅助数据3!$AC$3:$AC$9</formula1>
    </dataValidation>
    <dataValidation type="list" allowBlank="1" showInputMessage="1" showErrorMessage="1" sqref="G11">
      <formula1>辅助数据4!$AH$2:$AH$3</formula1>
    </dataValidation>
    <dataValidation type="list" allowBlank="1" showInputMessage="1" showErrorMessage="1" sqref="H11">
      <formula1>辅助数据4!$AK$2:$AK$7</formula1>
    </dataValidation>
    <dataValidation type="list" allowBlank="1" showInputMessage="1" showErrorMessage="1" sqref="I11">
      <formula1>辅助数据4!$AA$2:$AA$7</formula1>
    </dataValidation>
    <dataValidation type="list" allowBlank="1" showInputMessage="1" showErrorMessage="1" sqref="J11">
      <formula1>辅助数据4!$AC$3:$AC$9</formula1>
    </dataValidation>
    <dataValidation type="list" allowBlank="1" showInputMessage="1" showErrorMessage="1" sqref="G13">
      <formula1>辅助数据5!$AH$2:$AH$3</formula1>
    </dataValidation>
    <dataValidation type="list" allowBlank="1" showInputMessage="1" showErrorMessage="1" sqref="H13">
      <formula1>辅助数据5!$AK$2:$AK$7</formula1>
    </dataValidation>
    <dataValidation type="list" allowBlank="1" showInputMessage="1" showErrorMessage="1" sqref="I13">
      <formula1>辅助数据5!$AA$2:$AA$7</formula1>
    </dataValidation>
    <dataValidation type="list" allowBlank="1" showInputMessage="1" showErrorMessage="1" sqref="J13">
      <formula1>辅助数据5!$AC$3:$AC$9</formula1>
    </dataValidation>
    <dataValidation type="list" allowBlank="1" showInputMessage="1" showErrorMessage="1" sqref="F19">
      <formula1>"发车,回车"</formula1>
    </dataValidation>
  </dataValidations>
  <pageMargins left="0.75" right="0.75" top="1" bottom="1" header="0.511805555555556" footer="0.511805555555556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L24"/>
  <sheetViews>
    <sheetView showGridLines="0" workbookViewId="0">
      <selection activeCell="A25" sqref="A25"/>
    </sheetView>
  </sheetViews>
  <sheetFormatPr defaultColWidth="9" defaultRowHeight="20" customHeight="1"/>
  <cols>
    <col min="1" max="8" width="10.625" style="2" customWidth="1"/>
    <col min="9" max="29" width="9" style="2"/>
    <col min="30" max="30" width="13.375" style="2" customWidth="1"/>
    <col min="31" max="16384" width="9" style="2"/>
  </cols>
  <sheetData>
    <row r="1" s="1" customFormat="1" customHeight="1" spans="1:24">
      <c r="A1" s="3" t="s">
        <v>6</v>
      </c>
      <c r="B1" s="3" t="s">
        <v>1</v>
      </c>
      <c r="C1" s="3" t="s">
        <v>26</v>
      </c>
      <c r="D1" s="3" t="s">
        <v>27</v>
      </c>
      <c r="E1" s="3" t="s">
        <v>4</v>
      </c>
      <c r="F1" s="3" t="s">
        <v>5</v>
      </c>
      <c r="G1" s="4" t="s">
        <v>28</v>
      </c>
      <c r="H1" s="4" t="s">
        <v>29</v>
      </c>
      <c r="J1" s="14"/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10</v>
      </c>
      <c r="R1" s="14" t="s">
        <v>9</v>
      </c>
      <c r="U1" s="21" t="s">
        <v>30</v>
      </c>
      <c r="V1" s="22"/>
      <c r="W1" s="22"/>
      <c r="X1" s="22"/>
    </row>
    <row r="2" customHeight="1" spans="1:38">
      <c r="A2" s="37">
        <v>84</v>
      </c>
      <c r="B2" s="13">
        <v>6</v>
      </c>
      <c r="C2" s="38">
        <v>0.2</v>
      </c>
      <c r="D2" s="39">
        <v>3.5</v>
      </c>
      <c r="E2" s="40">
        <v>3</v>
      </c>
      <c r="F2" s="41">
        <v>2.8</v>
      </c>
      <c r="G2" s="11">
        <f>首页!$E$6</f>
        <v>5</v>
      </c>
      <c r="H2" s="12">
        <f>C2*G2</f>
        <v>1</v>
      </c>
      <c r="J2" s="15" t="s">
        <v>0</v>
      </c>
      <c r="K2" s="42">
        <f>首页!D5</f>
        <v>10</v>
      </c>
      <c r="L2" s="42">
        <f>首页!E5</f>
        <v>20</v>
      </c>
      <c r="M2" s="43">
        <f>首页!F5</f>
        <v>1</v>
      </c>
      <c r="N2" s="44">
        <f>首页!G5</f>
        <v>5</v>
      </c>
      <c r="O2" s="45">
        <f>首页!H5</f>
        <v>4</v>
      </c>
      <c r="P2" s="46">
        <f>首页!I5</f>
        <v>150</v>
      </c>
      <c r="Q2" s="47">
        <f>IFERROR(SUMIFS(H:H,B:B,K2,E:E,N2,F:F,O2,A:A,P2),"-")</f>
        <v>2.5</v>
      </c>
      <c r="R2" s="48">
        <f>IFERROR(SUMIFS(D:D,B:B,K2,E:E,N2,F:F,O2,A:A,P2),"-")</f>
        <v>5.5</v>
      </c>
      <c r="U2" s="25" t="s">
        <v>31</v>
      </c>
      <c r="V2" s="49" t="str">
        <f>IF(AND(首页!D5=3,首页!D5&lt;=3),0,"")</f>
        <v/>
      </c>
      <c r="W2" s="25" t="s">
        <v>32</v>
      </c>
      <c r="X2" s="49" t="str">
        <f>IF(AND(首页!D5&gt;=25,首页!D5&lt;=25),4,"")</f>
        <v/>
      </c>
      <c r="Z2" s="30" t="s">
        <v>33</v>
      </c>
      <c r="AA2" s="31">
        <v>84</v>
      </c>
      <c r="AB2" s="50"/>
      <c r="AC2" s="30" t="s">
        <v>34</v>
      </c>
      <c r="AD2" s="28" t="s">
        <v>35</v>
      </c>
      <c r="AE2" s="28" t="s">
        <v>36</v>
      </c>
      <c r="AF2" s="28" t="s">
        <v>37</v>
      </c>
      <c r="AH2" s="34" t="s">
        <v>38</v>
      </c>
      <c r="AI2" s="35">
        <v>3</v>
      </c>
      <c r="AK2" s="2" t="s">
        <v>39</v>
      </c>
      <c r="AL2" s="36">
        <v>2.8</v>
      </c>
    </row>
    <row r="3" customHeight="1" spans="1:38">
      <c r="A3" s="37">
        <v>84</v>
      </c>
      <c r="B3" s="13">
        <v>8</v>
      </c>
      <c r="C3" s="38">
        <v>0.2</v>
      </c>
      <c r="D3" s="39">
        <v>4.5</v>
      </c>
      <c r="E3" s="40">
        <v>3</v>
      </c>
      <c r="F3" s="41">
        <v>2.8</v>
      </c>
      <c r="G3" s="11">
        <f>首页!$E$6</f>
        <v>5</v>
      </c>
      <c r="H3" s="12">
        <f t="shared" ref="H3:H24" si="0">C3*G3</f>
        <v>1</v>
      </c>
      <c r="U3" s="25" t="s">
        <v>40</v>
      </c>
      <c r="V3" s="49">
        <f>IF(AND(首页!D5&gt;=6,首页!D5&lt;=12),1,"")</f>
        <v>1</v>
      </c>
      <c r="W3" s="25" t="s">
        <v>41</v>
      </c>
      <c r="X3" s="49" t="str">
        <f>IF(AND(首页!D5&gt;=30,首页!D5&lt;=30),5,"")</f>
        <v/>
      </c>
      <c r="Z3" s="30"/>
      <c r="AA3" s="31">
        <v>130</v>
      </c>
      <c r="AB3" s="50"/>
      <c r="AC3" s="30"/>
      <c r="AD3" s="28" t="s">
        <v>42</v>
      </c>
      <c r="AE3" s="28">
        <v>0</v>
      </c>
      <c r="AF3" s="28">
        <v>0</v>
      </c>
      <c r="AH3" s="34"/>
      <c r="AI3" s="35">
        <v>5</v>
      </c>
      <c r="AL3" s="36">
        <v>4</v>
      </c>
    </row>
    <row r="4" customHeight="1" spans="1:38">
      <c r="A4" s="37">
        <v>84</v>
      </c>
      <c r="B4" s="13">
        <v>10</v>
      </c>
      <c r="C4" s="38">
        <v>0.2</v>
      </c>
      <c r="D4" s="39">
        <v>5.5</v>
      </c>
      <c r="E4" s="40">
        <v>3</v>
      </c>
      <c r="F4" s="41">
        <v>2.8</v>
      </c>
      <c r="G4" s="11">
        <f>首页!$E$6</f>
        <v>5</v>
      </c>
      <c r="H4" s="12">
        <f t="shared" si="0"/>
        <v>1</v>
      </c>
      <c r="U4" s="25" t="s">
        <v>43</v>
      </c>
      <c r="V4" s="49" t="str">
        <f>IF(AND(首页!D5&gt;=15,首页!D5&lt;=15),2,"")</f>
        <v/>
      </c>
      <c r="W4" s="25" t="s">
        <v>44</v>
      </c>
      <c r="X4" s="49" t="str">
        <f>IF(AND(首页!D5&gt;=40,首页!D5&lt;=40),7,"")</f>
        <v/>
      </c>
      <c r="Z4" s="30"/>
      <c r="AA4" s="31">
        <v>150</v>
      </c>
      <c r="AB4" s="50"/>
      <c r="AC4" s="30"/>
      <c r="AD4" s="32" t="s">
        <v>13</v>
      </c>
      <c r="AE4" s="28">
        <v>0.04</v>
      </c>
      <c r="AF4" s="33">
        <f>首页!$H$6*首页!$K$5*AE4</f>
        <v>0.48</v>
      </c>
      <c r="AL4" s="36">
        <v>5</v>
      </c>
    </row>
    <row r="5" customHeight="1" spans="1:38">
      <c r="A5" s="37">
        <v>130</v>
      </c>
      <c r="B5" s="13">
        <v>10</v>
      </c>
      <c r="C5" s="38">
        <v>0.5</v>
      </c>
      <c r="D5" s="39">
        <v>5.5</v>
      </c>
      <c r="E5" s="40">
        <v>5</v>
      </c>
      <c r="F5" s="41">
        <v>4</v>
      </c>
      <c r="G5" s="11">
        <f>首页!$E$6</f>
        <v>5</v>
      </c>
      <c r="H5" s="12">
        <f t="shared" si="0"/>
        <v>2.5</v>
      </c>
      <c r="U5" s="25" t="s">
        <v>45</v>
      </c>
      <c r="V5" s="49" t="str">
        <f>IF(AND(首页!D5&gt;=18,首页!D5&lt;=18),3,"")</f>
        <v/>
      </c>
      <c r="W5" s="25" t="s">
        <v>46</v>
      </c>
      <c r="X5" s="49" t="str">
        <f>IF(AND(首页!D5&gt;=50,首页!D5&lt;=50),9,"")</f>
        <v/>
      </c>
      <c r="Z5" s="30"/>
      <c r="AA5" s="31">
        <v>203</v>
      </c>
      <c r="AB5" s="50"/>
      <c r="AC5" s="30"/>
      <c r="AD5" s="32" t="s">
        <v>47</v>
      </c>
      <c r="AE5" s="28">
        <v>0.45</v>
      </c>
      <c r="AF5" s="33">
        <f>首页!$H$6*首页!$K$5*AE5</f>
        <v>5.4</v>
      </c>
      <c r="AL5" s="36">
        <v>6</v>
      </c>
    </row>
    <row r="6" customHeight="1" spans="1:38">
      <c r="A6" s="37">
        <v>150</v>
      </c>
      <c r="B6" s="13">
        <v>10</v>
      </c>
      <c r="C6" s="38">
        <v>0.5</v>
      </c>
      <c r="D6" s="39">
        <v>5.5</v>
      </c>
      <c r="E6" s="40">
        <v>5</v>
      </c>
      <c r="F6" s="41">
        <v>4</v>
      </c>
      <c r="G6" s="11">
        <f>首页!$E$6</f>
        <v>5</v>
      </c>
      <c r="H6" s="12">
        <f t="shared" si="0"/>
        <v>2.5</v>
      </c>
      <c r="U6" s="25" t="s">
        <v>48</v>
      </c>
      <c r="V6" s="49" t="str">
        <f>IF(AND(首页!D5&gt;=20,首页!D5&lt;=20),3,"")</f>
        <v/>
      </c>
      <c r="W6" s="25"/>
      <c r="X6" s="49"/>
      <c r="Z6" s="30"/>
      <c r="AA6" s="31">
        <v>300</v>
      </c>
      <c r="AB6" s="50"/>
      <c r="AC6" s="30"/>
      <c r="AD6" s="28" t="s">
        <v>49</v>
      </c>
      <c r="AE6" s="28">
        <v>0.32</v>
      </c>
      <c r="AF6" s="33">
        <f>首页!$H$6*首页!$K$5*AE6</f>
        <v>3.84</v>
      </c>
      <c r="AL6" s="36">
        <v>5.4</v>
      </c>
    </row>
    <row r="7" customHeight="1" spans="1:38">
      <c r="A7" s="37">
        <v>150</v>
      </c>
      <c r="B7" s="13">
        <v>12</v>
      </c>
      <c r="C7" s="38">
        <v>0.6</v>
      </c>
      <c r="D7" s="39">
        <v>5.5</v>
      </c>
      <c r="E7" s="40">
        <v>5</v>
      </c>
      <c r="F7" s="41">
        <v>4</v>
      </c>
      <c r="G7" s="11">
        <f>首页!$E$6</f>
        <v>5</v>
      </c>
      <c r="H7" s="12">
        <f t="shared" si="0"/>
        <v>3</v>
      </c>
      <c r="U7" s="25" t="s">
        <v>50</v>
      </c>
      <c r="V7" s="49" t="str">
        <f>IF(AND(首页!D5&gt;=21,首页!D5&lt;=21),3,"")</f>
        <v/>
      </c>
      <c r="W7" s="27"/>
      <c r="X7" s="49"/>
      <c r="Z7" s="30"/>
      <c r="AA7" s="31">
        <v>350</v>
      </c>
      <c r="AB7" s="50"/>
      <c r="AC7" s="30"/>
      <c r="AD7" s="28" t="s">
        <v>51</v>
      </c>
      <c r="AE7" s="28">
        <v>1.15</v>
      </c>
      <c r="AF7" s="33">
        <f>首页!$H$6*首页!$K$5*AE7</f>
        <v>13.8</v>
      </c>
      <c r="AL7" s="36">
        <v>6.4</v>
      </c>
    </row>
    <row r="8" customHeight="1" spans="1:32">
      <c r="A8" s="37">
        <v>150</v>
      </c>
      <c r="B8" s="13">
        <v>15</v>
      </c>
      <c r="C8" s="38">
        <v>0.6</v>
      </c>
      <c r="D8" s="39">
        <v>7.5</v>
      </c>
      <c r="E8" s="40">
        <v>5</v>
      </c>
      <c r="F8" s="41">
        <v>4</v>
      </c>
      <c r="G8" s="11">
        <f>首页!$E$6</f>
        <v>5</v>
      </c>
      <c r="H8" s="12">
        <f t="shared" si="0"/>
        <v>3</v>
      </c>
      <c r="U8" s="28" t="s">
        <v>52</v>
      </c>
      <c r="V8" s="29">
        <f>SUM(V2:V7,X2:X7)</f>
        <v>1</v>
      </c>
      <c r="AC8" s="30"/>
      <c r="AD8" s="32" t="s">
        <v>53</v>
      </c>
      <c r="AE8" s="28">
        <v>0.93</v>
      </c>
      <c r="AF8" s="33">
        <f>首页!$H$6*首页!$K$5*AE8</f>
        <v>11.16</v>
      </c>
    </row>
    <row r="9" customHeight="1" spans="1:32">
      <c r="A9" s="37">
        <v>150</v>
      </c>
      <c r="B9" s="13">
        <v>18</v>
      </c>
      <c r="C9" s="38">
        <v>0.75</v>
      </c>
      <c r="D9" s="39">
        <v>9.6</v>
      </c>
      <c r="E9" s="40">
        <v>5</v>
      </c>
      <c r="F9" s="41">
        <v>4</v>
      </c>
      <c r="G9" s="11">
        <f>首页!$E$6</f>
        <v>5</v>
      </c>
      <c r="H9" s="12">
        <f t="shared" si="0"/>
        <v>3.75</v>
      </c>
      <c r="AC9" s="30"/>
      <c r="AD9" s="32" t="s">
        <v>54</v>
      </c>
      <c r="AE9" s="28">
        <v>0.43</v>
      </c>
      <c r="AF9" s="33">
        <f>首页!$H$6*首页!$K$5*AE9</f>
        <v>5.16</v>
      </c>
    </row>
    <row r="10" customHeight="1" spans="1:8">
      <c r="A10" s="37">
        <v>203</v>
      </c>
      <c r="B10" s="13">
        <v>15</v>
      </c>
      <c r="C10" s="38">
        <v>0.7</v>
      </c>
      <c r="D10" s="39">
        <v>7.5</v>
      </c>
      <c r="E10" s="40">
        <v>5</v>
      </c>
      <c r="F10" s="41">
        <v>4</v>
      </c>
      <c r="G10" s="11">
        <f>首页!$E$6</f>
        <v>5</v>
      </c>
      <c r="H10" s="12">
        <f t="shared" si="0"/>
        <v>3.5</v>
      </c>
    </row>
    <row r="11" customHeight="1" spans="1:8">
      <c r="A11" s="37">
        <v>203</v>
      </c>
      <c r="B11" s="13">
        <v>18</v>
      </c>
      <c r="C11" s="38">
        <v>0.75</v>
      </c>
      <c r="D11" s="39">
        <v>9.6</v>
      </c>
      <c r="E11" s="40">
        <v>5</v>
      </c>
      <c r="F11" s="41">
        <v>4</v>
      </c>
      <c r="G11" s="11">
        <f>首页!$E$6</f>
        <v>5</v>
      </c>
      <c r="H11" s="12">
        <f t="shared" si="0"/>
        <v>3.75</v>
      </c>
    </row>
    <row r="12" customHeight="1" spans="1:8">
      <c r="A12" s="37">
        <v>203</v>
      </c>
      <c r="B12" s="13">
        <v>20</v>
      </c>
      <c r="C12" s="38">
        <v>0.8</v>
      </c>
      <c r="D12" s="39">
        <v>11.2</v>
      </c>
      <c r="E12" s="40">
        <v>5</v>
      </c>
      <c r="F12" s="41">
        <v>4</v>
      </c>
      <c r="G12" s="11">
        <f>首页!$E$6</f>
        <v>5</v>
      </c>
      <c r="H12" s="12">
        <f t="shared" si="0"/>
        <v>4</v>
      </c>
    </row>
    <row r="13" customHeight="1" spans="1:8">
      <c r="A13" s="37">
        <v>203</v>
      </c>
      <c r="B13" s="13">
        <v>21</v>
      </c>
      <c r="C13" s="38">
        <v>0.8</v>
      </c>
      <c r="D13" s="39">
        <v>11.2</v>
      </c>
      <c r="E13" s="40">
        <v>5</v>
      </c>
      <c r="F13" s="41">
        <v>4</v>
      </c>
      <c r="G13" s="11">
        <f>首页!$E$6</f>
        <v>5</v>
      </c>
      <c r="H13" s="12">
        <f t="shared" si="0"/>
        <v>4</v>
      </c>
    </row>
    <row r="14" customHeight="1" spans="1:8">
      <c r="A14" s="37">
        <v>203</v>
      </c>
      <c r="B14" s="13">
        <v>25</v>
      </c>
      <c r="C14" s="38">
        <v>0.9</v>
      </c>
      <c r="D14" s="39">
        <v>11.2</v>
      </c>
      <c r="E14" s="40">
        <v>5</v>
      </c>
      <c r="F14" s="41">
        <v>4</v>
      </c>
      <c r="G14" s="11">
        <f>首页!$E$6</f>
        <v>5</v>
      </c>
      <c r="H14" s="12">
        <f t="shared" si="0"/>
        <v>4.5</v>
      </c>
    </row>
    <row r="15" customHeight="1" spans="1:8">
      <c r="A15" s="37">
        <v>203</v>
      </c>
      <c r="B15" s="13">
        <v>25</v>
      </c>
      <c r="C15" s="38">
        <v>1</v>
      </c>
      <c r="D15" s="39">
        <v>11.2</v>
      </c>
      <c r="E15" s="40">
        <v>5</v>
      </c>
      <c r="F15" s="41">
        <v>5</v>
      </c>
      <c r="G15" s="11">
        <f>首页!$E$6</f>
        <v>5</v>
      </c>
      <c r="H15" s="12">
        <f t="shared" si="0"/>
        <v>5</v>
      </c>
    </row>
    <row r="16" customHeight="1" spans="1:8">
      <c r="A16" s="37">
        <v>203</v>
      </c>
      <c r="B16" s="13">
        <v>25</v>
      </c>
      <c r="C16" s="38">
        <v>1.5</v>
      </c>
      <c r="D16" s="39">
        <v>11.2</v>
      </c>
      <c r="E16" s="40">
        <v>5</v>
      </c>
      <c r="F16" s="41">
        <v>6</v>
      </c>
      <c r="G16" s="11">
        <f>首页!$E$6</f>
        <v>5</v>
      </c>
      <c r="H16" s="12">
        <f t="shared" si="0"/>
        <v>7.5</v>
      </c>
    </row>
    <row r="17" customHeight="1" spans="1:8">
      <c r="A17" s="37">
        <v>203</v>
      </c>
      <c r="B17" s="13">
        <v>25.1</v>
      </c>
      <c r="C17" s="38">
        <v>1.5</v>
      </c>
      <c r="D17" s="39">
        <v>11.2</v>
      </c>
      <c r="E17" s="40">
        <v>5</v>
      </c>
      <c r="F17" s="41">
        <v>5</v>
      </c>
      <c r="G17" s="11">
        <f>首页!$E$6</f>
        <v>5</v>
      </c>
      <c r="H17" s="12">
        <f t="shared" si="0"/>
        <v>7.5</v>
      </c>
    </row>
    <row r="18" customHeight="1" spans="1:8">
      <c r="A18" s="37">
        <v>203</v>
      </c>
      <c r="B18" s="13">
        <v>25.1</v>
      </c>
      <c r="C18" s="38">
        <v>1.5</v>
      </c>
      <c r="D18" s="39">
        <v>11.2</v>
      </c>
      <c r="E18" s="40">
        <v>5</v>
      </c>
      <c r="F18" s="41">
        <v>6</v>
      </c>
      <c r="G18" s="11">
        <f>首页!$E$6</f>
        <v>5</v>
      </c>
      <c r="H18" s="12">
        <f t="shared" si="0"/>
        <v>7.5</v>
      </c>
    </row>
    <row r="19" customHeight="1" spans="1:8">
      <c r="A19" s="37">
        <v>203</v>
      </c>
      <c r="B19" s="13">
        <v>30</v>
      </c>
      <c r="C19" s="38">
        <v>1.5</v>
      </c>
      <c r="D19" s="39">
        <v>12</v>
      </c>
      <c r="E19" s="40">
        <v>5</v>
      </c>
      <c r="F19" s="41">
        <v>5</v>
      </c>
      <c r="G19" s="11">
        <f>首页!$E$6</f>
        <v>5</v>
      </c>
      <c r="H19" s="12">
        <f t="shared" si="0"/>
        <v>7.5</v>
      </c>
    </row>
    <row r="20" customHeight="1" spans="1:8">
      <c r="A20" s="37">
        <v>300</v>
      </c>
      <c r="B20" s="13">
        <v>30</v>
      </c>
      <c r="C20" s="38">
        <v>2</v>
      </c>
      <c r="D20" s="39">
        <v>12</v>
      </c>
      <c r="E20" s="40">
        <v>5</v>
      </c>
      <c r="F20" s="41">
        <v>6.4</v>
      </c>
      <c r="G20" s="11">
        <f>首页!$E$6</f>
        <v>5</v>
      </c>
      <c r="H20" s="12">
        <f t="shared" si="0"/>
        <v>10</v>
      </c>
    </row>
    <row r="21" customHeight="1" spans="1:8">
      <c r="A21" s="37">
        <v>300</v>
      </c>
      <c r="B21" s="13">
        <v>40</v>
      </c>
      <c r="C21" s="38">
        <v>2</v>
      </c>
      <c r="D21" s="39">
        <v>12</v>
      </c>
      <c r="E21" s="40">
        <v>5</v>
      </c>
      <c r="F21" s="41">
        <v>5.4</v>
      </c>
      <c r="G21" s="11">
        <f>首页!$E$6</f>
        <v>5</v>
      </c>
      <c r="H21" s="12">
        <f t="shared" si="0"/>
        <v>10</v>
      </c>
    </row>
    <row r="22" customHeight="1" spans="1:8">
      <c r="A22" s="37">
        <v>350</v>
      </c>
      <c r="B22" s="13">
        <v>30</v>
      </c>
      <c r="C22" s="38">
        <v>2.5</v>
      </c>
      <c r="D22" s="39">
        <v>12</v>
      </c>
      <c r="E22" s="40">
        <v>5</v>
      </c>
      <c r="F22" s="41">
        <v>6.4</v>
      </c>
      <c r="G22" s="11">
        <f>首页!$E$6</f>
        <v>5</v>
      </c>
      <c r="H22" s="12">
        <f t="shared" si="0"/>
        <v>12.5</v>
      </c>
    </row>
    <row r="23" customHeight="1" spans="1:8">
      <c r="A23" s="37">
        <v>350</v>
      </c>
      <c r="B23" s="13">
        <v>50</v>
      </c>
      <c r="C23" s="38">
        <v>3</v>
      </c>
      <c r="D23" s="39">
        <v>12</v>
      </c>
      <c r="E23" s="40">
        <v>5</v>
      </c>
      <c r="F23" s="41">
        <v>6.4</v>
      </c>
      <c r="G23" s="11">
        <f>首页!$E$6</f>
        <v>5</v>
      </c>
      <c r="H23" s="12">
        <f t="shared" si="0"/>
        <v>15</v>
      </c>
    </row>
    <row r="24" customHeight="1" spans="1:8">
      <c r="A24" s="37">
        <v>350</v>
      </c>
      <c r="B24" s="13">
        <v>40</v>
      </c>
      <c r="C24" s="38">
        <v>2.5</v>
      </c>
      <c r="D24" s="39">
        <v>12</v>
      </c>
      <c r="E24" s="40">
        <v>5</v>
      </c>
      <c r="F24" s="41">
        <v>6.4</v>
      </c>
      <c r="G24" s="11">
        <f>首页!$E$6</f>
        <v>5</v>
      </c>
      <c r="H24" s="12">
        <f t="shared" si="0"/>
        <v>12.5</v>
      </c>
    </row>
  </sheetData>
  <mergeCells count="2">
    <mergeCell ref="Z2:Z7"/>
    <mergeCell ref="AC2:AC9"/>
  </mergeCells>
  <dataValidations count="1">
    <dataValidation type="list" allowBlank="1" showInputMessage="1" showErrorMessage="1" sqref="P2">
      <formula1>$B$35:$B$40</formula1>
    </dataValidation>
  </dataValidations>
  <pageMargins left="0.75" right="0.75" top="1" bottom="1" header="0.511805555555556" footer="0.511805555555556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4"/>
  <sheetViews>
    <sheetView showGridLines="0" workbookViewId="0">
      <selection activeCell="A23" sqref="A23:F23"/>
    </sheetView>
  </sheetViews>
  <sheetFormatPr defaultColWidth="9" defaultRowHeight="20" customHeight="1"/>
  <cols>
    <col min="1" max="8" width="10.625" style="2" customWidth="1"/>
    <col min="9" max="28" width="9" style="2"/>
    <col min="29" max="29" width="13.375" style="2" customWidth="1"/>
    <col min="30" max="16384" width="9" style="2"/>
  </cols>
  <sheetData>
    <row r="1" s="1" customFormat="1" customHeight="1" spans="1:24">
      <c r="A1" s="3" t="s">
        <v>6</v>
      </c>
      <c r="B1" s="3" t="s">
        <v>1</v>
      </c>
      <c r="C1" s="3" t="s">
        <v>26</v>
      </c>
      <c r="D1" s="3" t="s">
        <v>27</v>
      </c>
      <c r="E1" s="3" t="s">
        <v>4</v>
      </c>
      <c r="F1" s="3" t="s">
        <v>5</v>
      </c>
      <c r="G1" s="4" t="s">
        <v>28</v>
      </c>
      <c r="H1" s="4" t="s">
        <v>29</v>
      </c>
      <c r="J1" s="14"/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10</v>
      </c>
      <c r="R1" s="14" t="s">
        <v>9</v>
      </c>
      <c r="U1" s="21" t="s">
        <v>30</v>
      </c>
      <c r="V1" s="22"/>
      <c r="W1" s="22"/>
      <c r="X1" s="22"/>
    </row>
    <row r="2" customHeight="1" spans="1:37">
      <c r="A2" s="5">
        <v>84</v>
      </c>
      <c r="B2" s="6">
        <v>6</v>
      </c>
      <c r="C2" s="7">
        <v>0.2</v>
      </c>
      <c r="D2" s="8">
        <v>3.5</v>
      </c>
      <c r="E2" s="9">
        <v>3</v>
      </c>
      <c r="F2" s="10">
        <v>2.8</v>
      </c>
      <c r="G2" s="11">
        <f>首页!$E$8</f>
        <v>5</v>
      </c>
      <c r="H2" s="12">
        <f t="shared" ref="H2:H24" si="0">C2*G2</f>
        <v>1</v>
      </c>
      <c r="J2" s="15" t="s">
        <v>0</v>
      </c>
      <c r="K2" s="16">
        <f>首页!D7</f>
        <v>50</v>
      </c>
      <c r="L2" s="16">
        <f>首页!E7</f>
        <v>20</v>
      </c>
      <c r="M2" s="17">
        <f>首页!F7</f>
        <v>1</v>
      </c>
      <c r="N2" s="18">
        <f>首页!G7</f>
        <v>5</v>
      </c>
      <c r="O2" s="19">
        <f>首页!H7</f>
        <v>6.4</v>
      </c>
      <c r="P2" s="20">
        <f>首页!I7</f>
        <v>350</v>
      </c>
      <c r="Q2" s="23">
        <f>IFERROR(SUMIFS(H:H,B:B,K2,E:E,N2,F:F,O2,A:A,P2),"-")</f>
        <v>15</v>
      </c>
      <c r="R2" s="24">
        <f>IFERROR(SUMIFS(D:D,B:B,K2,E:E,N2,F:F,O2,A:A,P2),"-")</f>
        <v>12</v>
      </c>
      <c r="U2" s="25" t="s">
        <v>31</v>
      </c>
      <c r="V2" s="26" t="str">
        <f>IF(AND(首页!D7=3,首页!D7&lt;=3),0,"")</f>
        <v/>
      </c>
      <c r="W2" s="25" t="s">
        <v>32</v>
      </c>
      <c r="X2" s="26" t="str">
        <f>IF(AND(首页!D7&gt;=25,首页!D7&lt;=25),4,"")</f>
        <v/>
      </c>
      <c r="Z2" s="30" t="s">
        <v>33</v>
      </c>
      <c r="AA2" s="31">
        <v>84</v>
      </c>
      <c r="AC2" s="28" t="s">
        <v>35</v>
      </c>
      <c r="AD2" s="28" t="s">
        <v>36</v>
      </c>
      <c r="AE2" s="28" t="s">
        <v>37</v>
      </c>
      <c r="AG2" s="34" t="s">
        <v>38</v>
      </c>
      <c r="AH2" s="35">
        <v>3</v>
      </c>
      <c r="AJ2" s="2" t="s">
        <v>39</v>
      </c>
      <c r="AK2" s="36">
        <v>2.8</v>
      </c>
    </row>
    <row r="3" customHeight="1" spans="1:37">
      <c r="A3" s="5">
        <v>84</v>
      </c>
      <c r="B3" s="6">
        <v>8</v>
      </c>
      <c r="C3" s="7">
        <v>0.2</v>
      </c>
      <c r="D3" s="8">
        <v>4.5</v>
      </c>
      <c r="E3" s="9">
        <v>3</v>
      </c>
      <c r="F3" s="10">
        <v>2.8</v>
      </c>
      <c r="G3" s="11">
        <f>首页!$E$8</f>
        <v>5</v>
      </c>
      <c r="H3" s="12">
        <f t="shared" si="0"/>
        <v>1</v>
      </c>
      <c r="U3" s="25" t="s">
        <v>40</v>
      </c>
      <c r="V3" s="26" t="str">
        <f>IF(AND(首页!D7&gt;=6,首页!D7&lt;=12),1,"")</f>
        <v/>
      </c>
      <c r="W3" s="25" t="s">
        <v>41</v>
      </c>
      <c r="X3" s="26" t="str">
        <f>IF(AND(首页!D7&gt;=30,首页!D7&lt;=30),5,"")</f>
        <v/>
      </c>
      <c r="Z3" s="30"/>
      <c r="AA3" s="31">
        <v>130</v>
      </c>
      <c r="AC3" s="28" t="s">
        <v>42</v>
      </c>
      <c r="AD3" s="28">
        <v>0</v>
      </c>
      <c r="AE3" s="28">
        <v>0</v>
      </c>
      <c r="AG3" s="34"/>
      <c r="AH3" s="35">
        <v>5</v>
      </c>
      <c r="AK3" s="36">
        <v>4</v>
      </c>
    </row>
    <row r="4" customHeight="1" spans="1:37">
      <c r="A4" s="5">
        <v>84</v>
      </c>
      <c r="B4" s="6">
        <v>10</v>
      </c>
      <c r="C4" s="7">
        <v>0.2</v>
      </c>
      <c r="D4" s="8">
        <v>5.5</v>
      </c>
      <c r="E4" s="9">
        <v>3</v>
      </c>
      <c r="F4" s="10">
        <v>2.8</v>
      </c>
      <c r="G4" s="11">
        <f>首页!$E$8</f>
        <v>5</v>
      </c>
      <c r="H4" s="12">
        <f t="shared" si="0"/>
        <v>1</v>
      </c>
      <c r="U4" s="25" t="s">
        <v>43</v>
      </c>
      <c r="V4" s="26" t="str">
        <f>IF(AND(首页!D7&gt;=15,首页!D7&lt;=15),2,"")</f>
        <v/>
      </c>
      <c r="W4" s="25" t="s">
        <v>44</v>
      </c>
      <c r="X4" s="26" t="str">
        <f>IF(AND(首页!D7&gt;=40,首页!D7&lt;=40),7,"")</f>
        <v/>
      </c>
      <c r="Z4" s="30"/>
      <c r="AA4" s="31">
        <v>150</v>
      </c>
      <c r="AC4" s="32" t="s">
        <v>13</v>
      </c>
      <c r="AD4" s="28">
        <v>0.04</v>
      </c>
      <c r="AE4" s="33">
        <f>首页!$H$8*首页!$K$7*AD4</f>
        <v>1.12</v>
      </c>
      <c r="AK4" s="36">
        <v>5</v>
      </c>
    </row>
    <row r="5" customHeight="1" spans="1:37">
      <c r="A5" s="5">
        <v>130</v>
      </c>
      <c r="B5" s="6">
        <v>10</v>
      </c>
      <c r="C5" s="7">
        <v>0.5</v>
      </c>
      <c r="D5" s="8">
        <v>5.5</v>
      </c>
      <c r="E5" s="9">
        <v>5</v>
      </c>
      <c r="F5" s="10">
        <v>4</v>
      </c>
      <c r="G5" s="11">
        <f>首页!$E$8</f>
        <v>5</v>
      </c>
      <c r="H5" s="12">
        <f t="shared" si="0"/>
        <v>2.5</v>
      </c>
      <c r="U5" s="25" t="s">
        <v>45</v>
      </c>
      <c r="V5" s="26" t="str">
        <f>IF(AND(首页!D7&gt;=18,首页!D7&lt;=18),3,"")</f>
        <v/>
      </c>
      <c r="W5" s="25" t="s">
        <v>46</v>
      </c>
      <c r="X5" s="26">
        <f>IF(AND(首页!D7&gt;=50,首页!D7&lt;=50),9,"")</f>
        <v>9</v>
      </c>
      <c r="Z5" s="30"/>
      <c r="AA5" s="31">
        <v>203</v>
      </c>
      <c r="AC5" s="32" t="s">
        <v>47</v>
      </c>
      <c r="AD5" s="28">
        <v>0.45</v>
      </c>
      <c r="AE5" s="33">
        <f>首页!$H$8*首页!$K$7*AD5</f>
        <v>12.6</v>
      </c>
      <c r="AK5" s="36">
        <v>6</v>
      </c>
    </row>
    <row r="6" customHeight="1" spans="1:37">
      <c r="A6" s="5">
        <v>150</v>
      </c>
      <c r="B6" s="6">
        <v>10</v>
      </c>
      <c r="C6" s="7">
        <v>0.5</v>
      </c>
      <c r="D6" s="8">
        <v>5.5</v>
      </c>
      <c r="E6" s="9">
        <v>5</v>
      </c>
      <c r="F6" s="10">
        <v>4</v>
      </c>
      <c r="G6" s="11">
        <f>首页!$E$8</f>
        <v>5</v>
      </c>
      <c r="H6" s="12">
        <f t="shared" si="0"/>
        <v>2.5</v>
      </c>
      <c r="U6" s="25" t="s">
        <v>48</v>
      </c>
      <c r="V6" s="26" t="str">
        <f>IF(AND(首页!D7&gt;=20,首页!D7&lt;=20),3,"")</f>
        <v/>
      </c>
      <c r="W6" s="25"/>
      <c r="X6" s="26"/>
      <c r="Z6" s="30"/>
      <c r="AA6" s="31">
        <v>300</v>
      </c>
      <c r="AC6" s="28" t="s">
        <v>49</v>
      </c>
      <c r="AD6" s="28">
        <v>0.32</v>
      </c>
      <c r="AE6" s="33">
        <f>首页!$H$8*首页!$K$7*AD6</f>
        <v>8.96</v>
      </c>
      <c r="AK6" s="36">
        <v>5.4</v>
      </c>
    </row>
    <row r="7" customHeight="1" spans="1:37">
      <c r="A7" s="5">
        <v>150</v>
      </c>
      <c r="B7" s="6">
        <v>12</v>
      </c>
      <c r="C7" s="7">
        <v>0.6</v>
      </c>
      <c r="D7" s="8">
        <v>5.5</v>
      </c>
      <c r="E7" s="9">
        <v>5</v>
      </c>
      <c r="F7" s="10">
        <v>4</v>
      </c>
      <c r="G7" s="11">
        <f>首页!$E$8</f>
        <v>5</v>
      </c>
      <c r="H7" s="12">
        <f t="shared" si="0"/>
        <v>3</v>
      </c>
      <c r="U7" s="25" t="s">
        <v>50</v>
      </c>
      <c r="V7" s="26" t="str">
        <f>IF(AND(首页!D7&gt;=21,首页!D7&lt;=21),3,"")</f>
        <v/>
      </c>
      <c r="W7" s="27"/>
      <c r="X7" s="26"/>
      <c r="Z7" s="30"/>
      <c r="AA7" s="31">
        <v>350</v>
      </c>
      <c r="AC7" s="28" t="s">
        <v>51</v>
      </c>
      <c r="AD7" s="28">
        <v>1.15</v>
      </c>
      <c r="AE7" s="33">
        <f>首页!$H$8*首页!$K$7*AD7</f>
        <v>32.2</v>
      </c>
      <c r="AK7" s="36">
        <v>6.4</v>
      </c>
    </row>
    <row r="8" customHeight="1" spans="1:31">
      <c r="A8" s="5">
        <v>150</v>
      </c>
      <c r="B8" s="6">
        <v>15</v>
      </c>
      <c r="C8" s="7">
        <v>0.6</v>
      </c>
      <c r="D8" s="8">
        <v>7.5</v>
      </c>
      <c r="E8" s="9">
        <v>5</v>
      </c>
      <c r="F8" s="10">
        <v>4</v>
      </c>
      <c r="G8" s="11">
        <f>首页!$E$8</f>
        <v>5</v>
      </c>
      <c r="H8" s="12">
        <f t="shared" si="0"/>
        <v>3</v>
      </c>
      <c r="U8" s="28" t="s">
        <v>52</v>
      </c>
      <c r="V8" s="29">
        <f>SUM(V2:V7,X2:X7)</f>
        <v>9</v>
      </c>
      <c r="AC8" s="32" t="s">
        <v>53</v>
      </c>
      <c r="AD8" s="28">
        <v>0.93</v>
      </c>
      <c r="AE8" s="33">
        <f>首页!$H$8*首页!$K$7*AD8</f>
        <v>26.04</v>
      </c>
    </row>
    <row r="9" customHeight="1" spans="1:31">
      <c r="A9" s="5">
        <v>150</v>
      </c>
      <c r="B9" s="6">
        <v>18</v>
      </c>
      <c r="C9" s="7">
        <v>0.75</v>
      </c>
      <c r="D9" s="8">
        <v>9.6</v>
      </c>
      <c r="E9" s="9">
        <v>5</v>
      </c>
      <c r="F9" s="10">
        <v>4</v>
      </c>
      <c r="G9" s="11">
        <f>首页!$E$8</f>
        <v>5</v>
      </c>
      <c r="H9" s="12">
        <f t="shared" si="0"/>
        <v>3.75</v>
      </c>
      <c r="AC9" s="32" t="s">
        <v>54</v>
      </c>
      <c r="AD9" s="28">
        <v>0.43</v>
      </c>
      <c r="AE9" s="33">
        <f>首页!$H$8*首页!$K$7*AD9</f>
        <v>12.04</v>
      </c>
    </row>
    <row r="10" customHeight="1" spans="1:8">
      <c r="A10" s="5">
        <v>203</v>
      </c>
      <c r="B10" s="6">
        <v>15</v>
      </c>
      <c r="C10" s="7">
        <v>0.7</v>
      </c>
      <c r="D10" s="8">
        <v>7.5</v>
      </c>
      <c r="E10" s="9">
        <v>5</v>
      </c>
      <c r="F10" s="10">
        <v>4</v>
      </c>
      <c r="G10" s="11">
        <f>首页!$E$8</f>
        <v>5</v>
      </c>
      <c r="H10" s="12">
        <f t="shared" si="0"/>
        <v>3.5</v>
      </c>
    </row>
    <row r="11" customHeight="1" spans="1:8">
      <c r="A11" s="5">
        <v>203</v>
      </c>
      <c r="B11" s="6">
        <v>18</v>
      </c>
      <c r="C11" s="7">
        <v>0.75</v>
      </c>
      <c r="D11" s="8">
        <v>9.6</v>
      </c>
      <c r="E11" s="9">
        <v>5</v>
      </c>
      <c r="F11" s="10">
        <v>4</v>
      </c>
      <c r="G11" s="11">
        <f>首页!$E$8</f>
        <v>5</v>
      </c>
      <c r="H11" s="12">
        <f t="shared" si="0"/>
        <v>3.75</v>
      </c>
    </row>
    <row r="12" customHeight="1" spans="1:8">
      <c r="A12" s="5">
        <v>203</v>
      </c>
      <c r="B12" s="6">
        <v>20</v>
      </c>
      <c r="C12" s="7">
        <v>0.8</v>
      </c>
      <c r="D12" s="8">
        <v>11.2</v>
      </c>
      <c r="E12" s="9">
        <v>5</v>
      </c>
      <c r="F12" s="10">
        <v>4</v>
      </c>
      <c r="G12" s="11">
        <f>首页!$E$8</f>
        <v>5</v>
      </c>
      <c r="H12" s="12">
        <f t="shared" si="0"/>
        <v>4</v>
      </c>
    </row>
    <row r="13" customHeight="1" spans="1:8">
      <c r="A13" s="5">
        <v>203</v>
      </c>
      <c r="B13" s="6">
        <v>21</v>
      </c>
      <c r="C13" s="7">
        <v>0.8</v>
      </c>
      <c r="D13" s="8">
        <v>11.2</v>
      </c>
      <c r="E13" s="9">
        <v>5</v>
      </c>
      <c r="F13" s="10">
        <v>4</v>
      </c>
      <c r="G13" s="11">
        <f>首页!$E$8</f>
        <v>5</v>
      </c>
      <c r="H13" s="12">
        <f t="shared" si="0"/>
        <v>4</v>
      </c>
    </row>
    <row r="14" customHeight="1" spans="1:8">
      <c r="A14" s="5">
        <v>203</v>
      </c>
      <c r="B14" s="6">
        <v>25</v>
      </c>
      <c r="C14" s="7">
        <v>0.9</v>
      </c>
      <c r="D14" s="8">
        <v>11.2</v>
      </c>
      <c r="E14" s="9">
        <v>5</v>
      </c>
      <c r="F14" s="10">
        <v>4</v>
      </c>
      <c r="G14" s="11">
        <f>首页!$E$8</f>
        <v>5</v>
      </c>
      <c r="H14" s="12">
        <f t="shared" si="0"/>
        <v>4.5</v>
      </c>
    </row>
    <row r="15" customHeight="1" spans="1:8">
      <c r="A15" s="5">
        <v>203</v>
      </c>
      <c r="B15" s="6">
        <v>25</v>
      </c>
      <c r="C15" s="7">
        <v>1</v>
      </c>
      <c r="D15" s="8">
        <v>11.2</v>
      </c>
      <c r="E15" s="9">
        <v>5</v>
      </c>
      <c r="F15" s="10">
        <v>5</v>
      </c>
      <c r="G15" s="11">
        <f>首页!$E$8</f>
        <v>5</v>
      </c>
      <c r="H15" s="12">
        <f t="shared" si="0"/>
        <v>5</v>
      </c>
    </row>
    <row r="16" customHeight="1" spans="1:8">
      <c r="A16" s="5">
        <v>203</v>
      </c>
      <c r="B16" s="6">
        <v>25</v>
      </c>
      <c r="C16" s="7">
        <v>1.5</v>
      </c>
      <c r="D16" s="8">
        <v>11.2</v>
      </c>
      <c r="E16" s="9">
        <v>5</v>
      </c>
      <c r="F16" s="10">
        <v>6</v>
      </c>
      <c r="G16" s="11">
        <f>首页!$E$8</f>
        <v>5</v>
      </c>
      <c r="H16" s="12">
        <f t="shared" si="0"/>
        <v>7.5</v>
      </c>
    </row>
    <row r="17" customHeight="1" spans="1:8">
      <c r="A17" s="5">
        <v>203</v>
      </c>
      <c r="B17" s="13">
        <v>25.1</v>
      </c>
      <c r="C17" s="7">
        <v>1.5</v>
      </c>
      <c r="D17" s="8">
        <v>11.2</v>
      </c>
      <c r="E17" s="9">
        <v>5</v>
      </c>
      <c r="F17" s="10">
        <v>5</v>
      </c>
      <c r="G17" s="11">
        <f>首页!$E$8</f>
        <v>5</v>
      </c>
      <c r="H17" s="12">
        <f t="shared" si="0"/>
        <v>7.5</v>
      </c>
    </row>
    <row r="18" customHeight="1" spans="1:8">
      <c r="A18" s="5">
        <v>203</v>
      </c>
      <c r="B18" s="13">
        <v>25.1</v>
      </c>
      <c r="C18" s="7">
        <v>1.5</v>
      </c>
      <c r="D18" s="8">
        <v>11.2</v>
      </c>
      <c r="E18" s="9">
        <v>5</v>
      </c>
      <c r="F18" s="10">
        <v>6</v>
      </c>
      <c r="G18" s="11">
        <f>首页!$E$8</f>
        <v>5</v>
      </c>
      <c r="H18" s="12">
        <f t="shared" si="0"/>
        <v>7.5</v>
      </c>
    </row>
    <row r="19" customHeight="1" spans="1:8">
      <c r="A19" s="5">
        <v>203</v>
      </c>
      <c r="B19" s="6">
        <v>30</v>
      </c>
      <c r="C19" s="7">
        <v>1.5</v>
      </c>
      <c r="D19" s="8">
        <v>12</v>
      </c>
      <c r="E19" s="9">
        <v>5</v>
      </c>
      <c r="F19" s="10">
        <v>5</v>
      </c>
      <c r="G19" s="11">
        <f>首页!$E$8</f>
        <v>5</v>
      </c>
      <c r="H19" s="12">
        <f t="shared" si="0"/>
        <v>7.5</v>
      </c>
    </row>
    <row r="20" customHeight="1" spans="1:8">
      <c r="A20" s="5">
        <v>300</v>
      </c>
      <c r="B20" s="6">
        <v>30</v>
      </c>
      <c r="C20" s="7">
        <v>2</v>
      </c>
      <c r="D20" s="8">
        <v>12</v>
      </c>
      <c r="E20" s="9">
        <v>5</v>
      </c>
      <c r="F20" s="10">
        <v>6.4</v>
      </c>
      <c r="G20" s="11">
        <f>首页!$E$8</f>
        <v>5</v>
      </c>
      <c r="H20" s="12">
        <f t="shared" si="0"/>
        <v>10</v>
      </c>
    </row>
    <row r="21" customHeight="1" spans="1:8">
      <c r="A21" s="5">
        <v>300</v>
      </c>
      <c r="B21" s="6">
        <v>40</v>
      </c>
      <c r="C21" s="7">
        <v>2</v>
      </c>
      <c r="D21" s="8">
        <v>12</v>
      </c>
      <c r="E21" s="9">
        <v>5</v>
      </c>
      <c r="F21" s="10">
        <v>5.4</v>
      </c>
      <c r="G21" s="11">
        <f>首页!$E$8</f>
        <v>5</v>
      </c>
      <c r="H21" s="12">
        <f t="shared" si="0"/>
        <v>10</v>
      </c>
    </row>
    <row r="22" customHeight="1" spans="1:8">
      <c r="A22" s="5">
        <v>350</v>
      </c>
      <c r="B22" s="6">
        <v>30</v>
      </c>
      <c r="C22" s="7">
        <v>2.5</v>
      </c>
      <c r="D22" s="8">
        <v>12</v>
      </c>
      <c r="E22" s="9">
        <v>5</v>
      </c>
      <c r="F22" s="10">
        <v>6.4</v>
      </c>
      <c r="G22" s="11">
        <f>首页!$E$8</f>
        <v>5</v>
      </c>
      <c r="H22" s="12">
        <f t="shared" si="0"/>
        <v>12.5</v>
      </c>
    </row>
    <row r="23" customHeight="1" spans="1:8">
      <c r="A23" s="5">
        <v>350</v>
      </c>
      <c r="B23" s="6">
        <v>50</v>
      </c>
      <c r="C23" s="7">
        <v>3</v>
      </c>
      <c r="D23" s="8">
        <v>12</v>
      </c>
      <c r="E23" s="9">
        <v>5</v>
      </c>
      <c r="F23" s="10">
        <v>6.4</v>
      </c>
      <c r="G23" s="11">
        <f>首页!$E$8</f>
        <v>5</v>
      </c>
      <c r="H23" s="12">
        <f t="shared" si="0"/>
        <v>15</v>
      </c>
    </row>
    <row r="24" customHeight="1" spans="1:8">
      <c r="A24" s="5">
        <v>350</v>
      </c>
      <c r="B24" s="6">
        <v>40</v>
      </c>
      <c r="C24" s="7">
        <v>2.5</v>
      </c>
      <c r="D24" s="8">
        <v>12</v>
      </c>
      <c r="E24" s="9">
        <v>5</v>
      </c>
      <c r="F24" s="10">
        <v>6.4</v>
      </c>
      <c r="G24" s="11">
        <f>首页!$E$8</f>
        <v>5</v>
      </c>
      <c r="H24" s="12">
        <f t="shared" si="0"/>
        <v>12.5</v>
      </c>
    </row>
  </sheetData>
  <mergeCells count="1">
    <mergeCell ref="Z2:Z7"/>
  </mergeCells>
  <dataValidations count="1">
    <dataValidation type="list" allowBlank="1" showInputMessage="1" showErrorMessage="1" sqref="P2">
      <formula1>$B$35:$B$40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4"/>
  <sheetViews>
    <sheetView showGridLines="0" workbookViewId="0">
      <selection activeCell="A23" sqref="A23:F23"/>
    </sheetView>
  </sheetViews>
  <sheetFormatPr defaultColWidth="9" defaultRowHeight="20" customHeight="1"/>
  <cols>
    <col min="1" max="8" width="10.625" style="2" customWidth="1"/>
    <col min="9" max="28" width="9" style="2"/>
    <col min="29" max="29" width="13.375" style="2" customWidth="1"/>
    <col min="30" max="16384" width="9" style="2"/>
  </cols>
  <sheetData>
    <row r="1" s="1" customFormat="1" customHeight="1" spans="1:24">
      <c r="A1" s="3" t="s">
        <v>6</v>
      </c>
      <c r="B1" s="3" t="s">
        <v>1</v>
      </c>
      <c r="C1" s="3" t="s">
        <v>26</v>
      </c>
      <c r="D1" s="3" t="s">
        <v>27</v>
      </c>
      <c r="E1" s="3" t="s">
        <v>4</v>
      </c>
      <c r="F1" s="3" t="s">
        <v>5</v>
      </c>
      <c r="G1" s="4" t="s">
        <v>28</v>
      </c>
      <c r="H1" s="4" t="s">
        <v>29</v>
      </c>
      <c r="J1" s="14"/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10</v>
      </c>
      <c r="R1" s="14" t="s">
        <v>9</v>
      </c>
      <c r="U1" s="21" t="s">
        <v>30</v>
      </c>
      <c r="V1" s="22"/>
      <c r="W1" s="22"/>
      <c r="X1" s="22"/>
    </row>
    <row r="2" customHeight="1" spans="1:37">
      <c r="A2" s="5">
        <v>84</v>
      </c>
      <c r="B2" s="6">
        <v>6</v>
      </c>
      <c r="C2" s="7">
        <v>0.2</v>
      </c>
      <c r="D2" s="8">
        <v>3.5</v>
      </c>
      <c r="E2" s="9">
        <v>3</v>
      </c>
      <c r="F2" s="10">
        <v>2.8</v>
      </c>
      <c r="G2" s="11" t="e">
        <f>首页!$E$10</f>
        <v>#DIV/0!</v>
      </c>
      <c r="H2" s="12" t="e">
        <f t="shared" ref="H2:H24" si="0">C2*G2</f>
        <v>#DIV/0!</v>
      </c>
      <c r="J2" s="15" t="s">
        <v>0</v>
      </c>
      <c r="K2" s="16">
        <f>首页!D9</f>
        <v>0</v>
      </c>
      <c r="L2" s="16">
        <f>首页!E9</f>
        <v>0</v>
      </c>
      <c r="M2" s="17">
        <f>首页!F9</f>
        <v>0</v>
      </c>
      <c r="N2" s="18">
        <f>首页!G9</f>
        <v>0</v>
      </c>
      <c r="O2" s="19">
        <f>首页!H9</f>
        <v>0</v>
      </c>
      <c r="P2" s="20">
        <f>首页!I9</f>
        <v>0</v>
      </c>
      <c r="Q2" s="23">
        <f>IFERROR(SUMIFS(H:H,B:B,K2,E:E,N2,F:F,O2,A:A,P2),"-")</f>
        <v>0</v>
      </c>
      <c r="R2" s="24">
        <f>IFERROR(SUMIFS(D:D,B:B,K2,E:E,N2,F:F,O2,A:A,P2),"-")</f>
        <v>0</v>
      </c>
      <c r="U2" s="25" t="s">
        <v>31</v>
      </c>
      <c r="V2" s="26" t="str">
        <f>IF(AND(首页!D9=3,首页!D9&lt;=3),0,"")</f>
        <v/>
      </c>
      <c r="W2" s="25" t="s">
        <v>32</v>
      </c>
      <c r="X2" s="26" t="str">
        <f>IF(AND(首页!D9&gt;=25,首页!D9&lt;=25),4,"")</f>
        <v/>
      </c>
      <c r="Z2" s="30" t="s">
        <v>33</v>
      </c>
      <c r="AA2" s="31">
        <v>84</v>
      </c>
      <c r="AC2" s="28" t="s">
        <v>35</v>
      </c>
      <c r="AD2" s="28" t="s">
        <v>36</v>
      </c>
      <c r="AE2" s="28" t="s">
        <v>37</v>
      </c>
      <c r="AG2" s="34" t="s">
        <v>38</v>
      </c>
      <c r="AH2" s="35">
        <v>3</v>
      </c>
      <c r="AJ2" s="2" t="s">
        <v>39</v>
      </c>
      <c r="AK2" s="36">
        <v>2.8</v>
      </c>
    </row>
    <row r="3" customHeight="1" spans="1:37">
      <c r="A3" s="5">
        <v>84</v>
      </c>
      <c r="B3" s="6">
        <v>8</v>
      </c>
      <c r="C3" s="7">
        <v>0.2</v>
      </c>
      <c r="D3" s="8">
        <v>4.5</v>
      </c>
      <c r="E3" s="9">
        <v>3</v>
      </c>
      <c r="F3" s="10">
        <v>2.8</v>
      </c>
      <c r="G3" s="11" t="e">
        <f>首页!$E$10</f>
        <v>#DIV/0!</v>
      </c>
      <c r="H3" s="12" t="e">
        <f t="shared" si="0"/>
        <v>#DIV/0!</v>
      </c>
      <c r="U3" s="25" t="s">
        <v>40</v>
      </c>
      <c r="V3" s="26" t="str">
        <f>IF(AND(首页!D9&gt;=6,首页!D9&lt;=12),1,"")</f>
        <v/>
      </c>
      <c r="W3" s="25" t="s">
        <v>41</v>
      </c>
      <c r="X3" s="26" t="str">
        <f>IF(AND(首页!D9&gt;=30,首页!D9&lt;=30),5,"")</f>
        <v/>
      </c>
      <c r="Z3" s="30"/>
      <c r="AA3" s="31">
        <v>130</v>
      </c>
      <c r="AC3" s="28" t="s">
        <v>42</v>
      </c>
      <c r="AD3" s="28">
        <v>0</v>
      </c>
      <c r="AE3" s="28">
        <v>0</v>
      </c>
      <c r="AG3" s="34"/>
      <c r="AH3" s="35">
        <v>5</v>
      </c>
      <c r="AK3" s="36">
        <v>4</v>
      </c>
    </row>
    <row r="4" customHeight="1" spans="1:37">
      <c r="A4" s="5">
        <v>84</v>
      </c>
      <c r="B4" s="6">
        <v>10</v>
      </c>
      <c r="C4" s="7">
        <v>0.2</v>
      </c>
      <c r="D4" s="8">
        <v>5.5</v>
      </c>
      <c r="E4" s="9">
        <v>3</v>
      </c>
      <c r="F4" s="10">
        <v>2.8</v>
      </c>
      <c r="G4" s="11" t="e">
        <f>首页!$E$10</f>
        <v>#DIV/0!</v>
      </c>
      <c r="H4" s="12" t="e">
        <f t="shared" si="0"/>
        <v>#DIV/0!</v>
      </c>
      <c r="U4" s="25" t="s">
        <v>43</v>
      </c>
      <c r="V4" s="26" t="str">
        <f>IF(AND(首页!D9&gt;=15,首页!D9&lt;=15),2,"")</f>
        <v/>
      </c>
      <c r="W4" s="25" t="s">
        <v>44</v>
      </c>
      <c r="X4" s="26" t="str">
        <f>IF(AND(首页!D9&gt;=40,首页!D9&lt;=40),7,"")</f>
        <v/>
      </c>
      <c r="Z4" s="30"/>
      <c r="AA4" s="31">
        <v>150</v>
      </c>
      <c r="AC4" s="32" t="s">
        <v>13</v>
      </c>
      <c r="AD4" s="28">
        <v>0.04</v>
      </c>
      <c r="AE4" s="33" t="e">
        <f>首页!$H$10*首页!$K$9*AD4</f>
        <v>#DIV/0!</v>
      </c>
      <c r="AK4" s="36">
        <v>5</v>
      </c>
    </row>
    <row r="5" customHeight="1" spans="1:37">
      <c r="A5" s="5">
        <v>130</v>
      </c>
      <c r="B5" s="6">
        <v>10</v>
      </c>
      <c r="C5" s="7">
        <v>0.5</v>
      </c>
      <c r="D5" s="8">
        <v>5.5</v>
      </c>
      <c r="E5" s="9">
        <v>5</v>
      </c>
      <c r="F5" s="10">
        <v>4</v>
      </c>
      <c r="G5" s="11" t="e">
        <f>首页!$E$10</f>
        <v>#DIV/0!</v>
      </c>
      <c r="H5" s="12" t="e">
        <f t="shared" si="0"/>
        <v>#DIV/0!</v>
      </c>
      <c r="U5" s="25" t="s">
        <v>45</v>
      </c>
      <c r="V5" s="26" t="str">
        <f>IF(AND(首页!D9&gt;=18,首页!D9&lt;=18),3,"")</f>
        <v/>
      </c>
      <c r="W5" s="25" t="s">
        <v>46</v>
      </c>
      <c r="X5" s="26" t="str">
        <f>IF(AND(首页!D9&gt;=50,首页!D9&lt;=50),9,"")</f>
        <v/>
      </c>
      <c r="Z5" s="30"/>
      <c r="AA5" s="31">
        <v>203</v>
      </c>
      <c r="AC5" s="32" t="s">
        <v>47</v>
      </c>
      <c r="AD5" s="28">
        <v>0.45</v>
      </c>
      <c r="AE5" s="33" t="e">
        <f>首页!$H$10*首页!$K$9*AD5</f>
        <v>#DIV/0!</v>
      </c>
      <c r="AK5" s="36">
        <v>6</v>
      </c>
    </row>
    <row r="6" customHeight="1" spans="1:37">
      <c r="A6" s="5">
        <v>150</v>
      </c>
      <c r="B6" s="6">
        <v>10</v>
      </c>
      <c r="C6" s="7">
        <v>0.5</v>
      </c>
      <c r="D6" s="8">
        <v>5.5</v>
      </c>
      <c r="E6" s="9">
        <v>5</v>
      </c>
      <c r="F6" s="10">
        <v>4</v>
      </c>
      <c r="G6" s="11" t="e">
        <f>首页!$E$10</f>
        <v>#DIV/0!</v>
      </c>
      <c r="H6" s="12" t="e">
        <f t="shared" si="0"/>
        <v>#DIV/0!</v>
      </c>
      <c r="U6" s="25" t="s">
        <v>48</v>
      </c>
      <c r="V6" s="26" t="str">
        <f>IF(AND(首页!D9&gt;=20,首页!D9&lt;=20),3,"")</f>
        <v/>
      </c>
      <c r="W6" s="25"/>
      <c r="X6" s="26"/>
      <c r="Z6" s="30"/>
      <c r="AA6" s="31">
        <v>300</v>
      </c>
      <c r="AC6" s="28" t="s">
        <v>49</v>
      </c>
      <c r="AD6" s="28">
        <v>0.32</v>
      </c>
      <c r="AE6" s="33" t="e">
        <f>首页!$H$10*首页!$K$9*AD6</f>
        <v>#DIV/0!</v>
      </c>
      <c r="AK6" s="36">
        <v>5.4</v>
      </c>
    </row>
    <row r="7" customHeight="1" spans="1:37">
      <c r="A7" s="5">
        <v>150</v>
      </c>
      <c r="B7" s="6">
        <v>12</v>
      </c>
      <c r="C7" s="7">
        <v>0.6</v>
      </c>
      <c r="D7" s="8">
        <v>5.5</v>
      </c>
      <c r="E7" s="9">
        <v>5</v>
      </c>
      <c r="F7" s="10">
        <v>4</v>
      </c>
      <c r="G7" s="11" t="e">
        <f>首页!$E$10</f>
        <v>#DIV/0!</v>
      </c>
      <c r="H7" s="12" t="e">
        <f t="shared" si="0"/>
        <v>#DIV/0!</v>
      </c>
      <c r="U7" s="25" t="s">
        <v>50</v>
      </c>
      <c r="V7" s="26" t="str">
        <f>IF(AND(首页!D9&gt;=21,首页!D9&lt;=21),3,"")</f>
        <v/>
      </c>
      <c r="W7" s="27"/>
      <c r="X7" s="26"/>
      <c r="Z7" s="30"/>
      <c r="AA7" s="31">
        <v>350</v>
      </c>
      <c r="AC7" s="28" t="s">
        <v>51</v>
      </c>
      <c r="AD7" s="28">
        <v>1.15</v>
      </c>
      <c r="AE7" s="33" t="e">
        <f>首页!$H$10*首页!$K$9*AD7</f>
        <v>#DIV/0!</v>
      </c>
      <c r="AK7" s="36">
        <v>6.4</v>
      </c>
    </row>
    <row r="8" customHeight="1" spans="1:31">
      <c r="A8" s="5">
        <v>150</v>
      </c>
      <c r="B8" s="6">
        <v>15</v>
      </c>
      <c r="C8" s="7">
        <v>0.6</v>
      </c>
      <c r="D8" s="8">
        <v>7.5</v>
      </c>
      <c r="E8" s="9">
        <v>5</v>
      </c>
      <c r="F8" s="10">
        <v>4</v>
      </c>
      <c r="G8" s="11" t="e">
        <f>首页!$E$10</f>
        <v>#DIV/0!</v>
      </c>
      <c r="H8" s="12" t="e">
        <f t="shared" si="0"/>
        <v>#DIV/0!</v>
      </c>
      <c r="U8" s="28" t="s">
        <v>52</v>
      </c>
      <c r="V8" s="29">
        <f>SUM(V2:V7,X2:X7)</f>
        <v>0</v>
      </c>
      <c r="AC8" s="32" t="s">
        <v>53</v>
      </c>
      <c r="AD8" s="28">
        <v>0.93</v>
      </c>
      <c r="AE8" s="33" t="e">
        <f>首页!$H$10*首页!$K$9*AD8</f>
        <v>#DIV/0!</v>
      </c>
    </row>
    <row r="9" customHeight="1" spans="1:31">
      <c r="A9" s="5">
        <v>150</v>
      </c>
      <c r="B9" s="6">
        <v>18</v>
      </c>
      <c r="C9" s="7">
        <v>0.75</v>
      </c>
      <c r="D9" s="8">
        <v>9.6</v>
      </c>
      <c r="E9" s="9">
        <v>5</v>
      </c>
      <c r="F9" s="10">
        <v>4</v>
      </c>
      <c r="G9" s="11" t="e">
        <f>首页!$E$10</f>
        <v>#DIV/0!</v>
      </c>
      <c r="H9" s="12" t="e">
        <f t="shared" si="0"/>
        <v>#DIV/0!</v>
      </c>
      <c r="AC9" s="32" t="s">
        <v>54</v>
      </c>
      <c r="AD9" s="28">
        <v>0.43</v>
      </c>
      <c r="AE9" s="33" t="e">
        <f>首页!$H$10*首页!$K$9*AD9</f>
        <v>#DIV/0!</v>
      </c>
    </row>
    <row r="10" customHeight="1" spans="1:8">
      <c r="A10" s="5">
        <v>203</v>
      </c>
      <c r="B10" s="6">
        <v>15</v>
      </c>
      <c r="C10" s="7">
        <v>0.7</v>
      </c>
      <c r="D10" s="8">
        <v>7.5</v>
      </c>
      <c r="E10" s="9">
        <v>5</v>
      </c>
      <c r="F10" s="10">
        <v>4</v>
      </c>
      <c r="G10" s="11" t="e">
        <f>首页!$E$10</f>
        <v>#DIV/0!</v>
      </c>
      <c r="H10" s="12" t="e">
        <f t="shared" si="0"/>
        <v>#DIV/0!</v>
      </c>
    </row>
    <row r="11" customHeight="1" spans="1:8">
      <c r="A11" s="5">
        <v>203</v>
      </c>
      <c r="B11" s="6">
        <v>18</v>
      </c>
      <c r="C11" s="7">
        <v>0.75</v>
      </c>
      <c r="D11" s="8">
        <v>9.6</v>
      </c>
      <c r="E11" s="9">
        <v>5</v>
      </c>
      <c r="F11" s="10">
        <v>4</v>
      </c>
      <c r="G11" s="11" t="e">
        <f>首页!$E$10</f>
        <v>#DIV/0!</v>
      </c>
      <c r="H11" s="12" t="e">
        <f t="shared" si="0"/>
        <v>#DIV/0!</v>
      </c>
    </row>
    <row r="12" customHeight="1" spans="1:8">
      <c r="A12" s="5">
        <v>203</v>
      </c>
      <c r="B12" s="6">
        <v>20</v>
      </c>
      <c r="C12" s="7">
        <v>0.8</v>
      </c>
      <c r="D12" s="8">
        <v>11.2</v>
      </c>
      <c r="E12" s="9">
        <v>5</v>
      </c>
      <c r="F12" s="10">
        <v>4</v>
      </c>
      <c r="G12" s="11" t="e">
        <f>首页!$E$10</f>
        <v>#DIV/0!</v>
      </c>
      <c r="H12" s="12" t="e">
        <f t="shared" si="0"/>
        <v>#DIV/0!</v>
      </c>
    </row>
    <row r="13" customHeight="1" spans="1:8">
      <c r="A13" s="5">
        <v>203</v>
      </c>
      <c r="B13" s="6">
        <v>21</v>
      </c>
      <c r="C13" s="7">
        <v>0.8</v>
      </c>
      <c r="D13" s="8">
        <v>11.2</v>
      </c>
      <c r="E13" s="9">
        <v>5</v>
      </c>
      <c r="F13" s="10">
        <v>4</v>
      </c>
      <c r="G13" s="11" t="e">
        <f>首页!$E$10</f>
        <v>#DIV/0!</v>
      </c>
      <c r="H13" s="12" t="e">
        <f t="shared" si="0"/>
        <v>#DIV/0!</v>
      </c>
    </row>
    <row r="14" customHeight="1" spans="1:8">
      <c r="A14" s="5">
        <v>203</v>
      </c>
      <c r="B14" s="6">
        <v>25</v>
      </c>
      <c r="C14" s="7">
        <v>0.9</v>
      </c>
      <c r="D14" s="8">
        <v>11.2</v>
      </c>
      <c r="E14" s="9">
        <v>5</v>
      </c>
      <c r="F14" s="10">
        <v>4</v>
      </c>
      <c r="G14" s="11" t="e">
        <f>首页!$E$10</f>
        <v>#DIV/0!</v>
      </c>
      <c r="H14" s="12" t="e">
        <f t="shared" si="0"/>
        <v>#DIV/0!</v>
      </c>
    </row>
    <row r="15" customHeight="1" spans="1:8">
      <c r="A15" s="5">
        <v>203</v>
      </c>
      <c r="B15" s="6">
        <v>25</v>
      </c>
      <c r="C15" s="7">
        <v>1</v>
      </c>
      <c r="D15" s="8">
        <v>11.2</v>
      </c>
      <c r="E15" s="9">
        <v>5</v>
      </c>
      <c r="F15" s="10">
        <v>5</v>
      </c>
      <c r="G15" s="11" t="e">
        <f>首页!$E$10</f>
        <v>#DIV/0!</v>
      </c>
      <c r="H15" s="12" t="e">
        <f t="shared" si="0"/>
        <v>#DIV/0!</v>
      </c>
    </row>
    <row r="16" customHeight="1" spans="1:8">
      <c r="A16" s="5">
        <v>203</v>
      </c>
      <c r="B16" s="6">
        <v>25</v>
      </c>
      <c r="C16" s="7">
        <v>1.5</v>
      </c>
      <c r="D16" s="8">
        <v>11.2</v>
      </c>
      <c r="E16" s="9">
        <v>5</v>
      </c>
      <c r="F16" s="10">
        <v>6</v>
      </c>
      <c r="G16" s="11" t="e">
        <f>首页!$E$10</f>
        <v>#DIV/0!</v>
      </c>
      <c r="H16" s="12" t="e">
        <f t="shared" si="0"/>
        <v>#DIV/0!</v>
      </c>
    </row>
    <row r="17" customHeight="1" spans="1:8">
      <c r="A17" s="5">
        <v>203</v>
      </c>
      <c r="B17" s="13">
        <v>25.1</v>
      </c>
      <c r="C17" s="7">
        <v>1.5</v>
      </c>
      <c r="D17" s="8">
        <v>11.2</v>
      </c>
      <c r="E17" s="9">
        <v>5</v>
      </c>
      <c r="F17" s="10">
        <v>5</v>
      </c>
      <c r="G17" s="11" t="e">
        <f>首页!$E$10</f>
        <v>#DIV/0!</v>
      </c>
      <c r="H17" s="12" t="e">
        <f t="shared" si="0"/>
        <v>#DIV/0!</v>
      </c>
    </row>
    <row r="18" customHeight="1" spans="1:8">
      <c r="A18" s="5">
        <v>203</v>
      </c>
      <c r="B18" s="13">
        <v>25.1</v>
      </c>
      <c r="C18" s="7">
        <v>1.5</v>
      </c>
      <c r="D18" s="8">
        <v>11.2</v>
      </c>
      <c r="E18" s="9">
        <v>5</v>
      </c>
      <c r="F18" s="10">
        <v>6</v>
      </c>
      <c r="G18" s="11" t="e">
        <f>首页!$E$10</f>
        <v>#DIV/0!</v>
      </c>
      <c r="H18" s="12" t="e">
        <f t="shared" si="0"/>
        <v>#DIV/0!</v>
      </c>
    </row>
    <row r="19" customHeight="1" spans="1:8">
      <c r="A19" s="5">
        <v>203</v>
      </c>
      <c r="B19" s="6">
        <v>30</v>
      </c>
      <c r="C19" s="7">
        <v>1.5</v>
      </c>
      <c r="D19" s="8">
        <v>12</v>
      </c>
      <c r="E19" s="9">
        <v>5</v>
      </c>
      <c r="F19" s="10">
        <v>5</v>
      </c>
      <c r="G19" s="11" t="e">
        <f>首页!$E$10</f>
        <v>#DIV/0!</v>
      </c>
      <c r="H19" s="12" t="e">
        <f t="shared" si="0"/>
        <v>#DIV/0!</v>
      </c>
    </row>
    <row r="20" customHeight="1" spans="1:8">
      <c r="A20" s="5">
        <v>300</v>
      </c>
      <c r="B20" s="6">
        <v>30</v>
      </c>
      <c r="C20" s="7">
        <v>2</v>
      </c>
      <c r="D20" s="8">
        <v>12</v>
      </c>
      <c r="E20" s="9">
        <v>5</v>
      </c>
      <c r="F20" s="10">
        <v>6.4</v>
      </c>
      <c r="G20" s="11" t="e">
        <f>首页!$E$10</f>
        <v>#DIV/0!</v>
      </c>
      <c r="H20" s="12" t="e">
        <f t="shared" si="0"/>
        <v>#DIV/0!</v>
      </c>
    </row>
    <row r="21" customHeight="1" spans="1:8">
      <c r="A21" s="5">
        <v>300</v>
      </c>
      <c r="B21" s="6">
        <v>40</v>
      </c>
      <c r="C21" s="7">
        <v>2</v>
      </c>
      <c r="D21" s="8">
        <v>12</v>
      </c>
      <c r="E21" s="9">
        <v>5</v>
      </c>
      <c r="F21" s="10">
        <v>5.4</v>
      </c>
      <c r="G21" s="11" t="e">
        <f>首页!$E$10</f>
        <v>#DIV/0!</v>
      </c>
      <c r="H21" s="12" t="e">
        <f t="shared" si="0"/>
        <v>#DIV/0!</v>
      </c>
    </row>
    <row r="22" customHeight="1" spans="1:8">
      <c r="A22" s="5">
        <v>350</v>
      </c>
      <c r="B22" s="6">
        <v>30</v>
      </c>
      <c r="C22" s="7">
        <v>2.5</v>
      </c>
      <c r="D22" s="8">
        <v>12</v>
      </c>
      <c r="E22" s="9">
        <v>5</v>
      </c>
      <c r="F22" s="10">
        <v>6.4</v>
      </c>
      <c r="G22" s="11" t="e">
        <f>首页!$E$10</f>
        <v>#DIV/0!</v>
      </c>
      <c r="H22" s="12" t="e">
        <f t="shared" si="0"/>
        <v>#DIV/0!</v>
      </c>
    </row>
    <row r="23" customHeight="1" spans="1:8">
      <c r="A23" s="5">
        <v>350</v>
      </c>
      <c r="B23" s="6">
        <v>50</v>
      </c>
      <c r="C23" s="7">
        <v>3</v>
      </c>
      <c r="D23" s="8">
        <v>12</v>
      </c>
      <c r="E23" s="9">
        <v>5</v>
      </c>
      <c r="F23" s="10">
        <v>6.4</v>
      </c>
      <c r="G23" s="11" t="e">
        <f>首页!$E$10</f>
        <v>#DIV/0!</v>
      </c>
      <c r="H23" s="12" t="e">
        <f t="shared" si="0"/>
        <v>#DIV/0!</v>
      </c>
    </row>
    <row r="24" customHeight="1" spans="1:8">
      <c r="A24" s="5">
        <v>350</v>
      </c>
      <c r="B24" s="6">
        <v>40</v>
      </c>
      <c r="C24" s="7">
        <v>2.5</v>
      </c>
      <c r="D24" s="8">
        <v>12</v>
      </c>
      <c r="E24" s="9">
        <v>5</v>
      </c>
      <c r="F24" s="10">
        <v>6.4</v>
      </c>
      <c r="G24" s="11" t="e">
        <f>首页!$E$10</f>
        <v>#DIV/0!</v>
      </c>
      <c r="H24" s="12" t="e">
        <f t="shared" si="0"/>
        <v>#DIV/0!</v>
      </c>
    </row>
  </sheetData>
  <mergeCells count="1">
    <mergeCell ref="Z2:Z7"/>
  </mergeCells>
  <dataValidations count="1">
    <dataValidation type="list" allowBlank="1" showInputMessage="1" showErrorMessage="1" sqref="P2">
      <formula1>$B$35:$B$40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4"/>
  <sheetViews>
    <sheetView showGridLines="0" workbookViewId="0">
      <selection activeCell="F23" sqref="A23:F23"/>
    </sheetView>
  </sheetViews>
  <sheetFormatPr defaultColWidth="9" defaultRowHeight="20" customHeight="1"/>
  <cols>
    <col min="1" max="8" width="10.625" style="2" customWidth="1"/>
    <col min="9" max="28" width="9" style="2"/>
    <col min="29" max="29" width="13.375" style="2" customWidth="1"/>
    <col min="30" max="16384" width="9" style="2"/>
  </cols>
  <sheetData>
    <row r="1" s="1" customFormat="1" customHeight="1" spans="1:24">
      <c r="A1" s="3" t="s">
        <v>6</v>
      </c>
      <c r="B1" s="3" t="s">
        <v>1</v>
      </c>
      <c r="C1" s="3" t="s">
        <v>26</v>
      </c>
      <c r="D1" s="3" t="s">
        <v>27</v>
      </c>
      <c r="E1" s="3" t="s">
        <v>4</v>
      </c>
      <c r="F1" s="3" t="s">
        <v>5</v>
      </c>
      <c r="G1" s="4" t="s">
        <v>28</v>
      </c>
      <c r="H1" s="4" t="s">
        <v>29</v>
      </c>
      <c r="J1" s="14"/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10</v>
      </c>
      <c r="R1" s="14" t="s">
        <v>9</v>
      </c>
      <c r="U1" s="21" t="s">
        <v>30</v>
      </c>
      <c r="V1" s="22"/>
      <c r="W1" s="22"/>
      <c r="X1" s="22"/>
    </row>
    <row r="2" customHeight="1" spans="1:37">
      <c r="A2" s="5">
        <v>84</v>
      </c>
      <c r="B2" s="6">
        <v>6</v>
      </c>
      <c r="C2" s="7">
        <v>0.2</v>
      </c>
      <c r="D2" s="8">
        <v>3.5</v>
      </c>
      <c r="E2" s="9">
        <v>3</v>
      </c>
      <c r="F2" s="10">
        <v>2.8</v>
      </c>
      <c r="G2" s="11" t="e">
        <f>首页!$E$12</f>
        <v>#DIV/0!</v>
      </c>
      <c r="H2" s="12" t="e">
        <f t="shared" ref="H2:H24" si="0">C2*G2</f>
        <v>#DIV/0!</v>
      </c>
      <c r="J2" s="15" t="s">
        <v>0</v>
      </c>
      <c r="K2" s="16">
        <f>首页!D11</f>
        <v>0</v>
      </c>
      <c r="L2" s="16">
        <f>首页!E11</f>
        <v>0</v>
      </c>
      <c r="M2" s="17">
        <f>首页!F11</f>
        <v>0</v>
      </c>
      <c r="N2" s="18">
        <f>首页!G11</f>
        <v>0</v>
      </c>
      <c r="O2" s="19">
        <f>首页!H11</f>
        <v>0</v>
      </c>
      <c r="P2" s="20">
        <f>首页!I11</f>
        <v>0</v>
      </c>
      <c r="Q2" s="23">
        <f>IFERROR(SUMIFS(H:H,B:B,K2,E:E,N2,F:F,O2,A:A,P2),"-")</f>
        <v>0</v>
      </c>
      <c r="R2" s="24">
        <f>IFERROR(SUMIFS(D:D,B:B,K2,E:E,N2,F:F,O2,A:A,P2),"-")</f>
        <v>0</v>
      </c>
      <c r="U2" s="25" t="s">
        <v>31</v>
      </c>
      <c r="V2" s="26" t="str">
        <f>IF(AND(首页!D11=3,首页!D11&lt;=3),0,"")</f>
        <v/>
      </c>
      <c r="W2" s="25" t="s">
        <v>32</v>
      </c>
      <c r="X2" s="26" t="str">
        <f>IF(AND(首页!D11&gt;=25,首页!D11&lt;=25),4,"")</f>
        <v/>
      </c>
      <c r="Z2" s="30" t="s">
        <v>33</v>
      </c>
      <c r="AA2" s="31">
        <v>84</v>
      </c>
      <c r="AC2" s="28" t="s">
        <v>35</v>
      </c>
      <c r="AD2" s="28" t="s">
        <v>36</v>
      </c>
      <c r="AE2" s="28" t="s">
        <v>37</v>
      </c>
      <c r="AG2" s="34" t="s">
        <v>38</v>
      </c>
      <c r="AH2" s="35">
        <v>3</v>
      </c>
      <c r="AJ2" s="2" t="s">
        <v>39</v>
      </c>
      <c r="AK2" s="36">
        <v>2.8</v>
      </c>
    </row>
    <row r="3" customHeight="1" spans="1:37">
      <c r="A3" s="5">
        <v>84</v>
      </c>
      <c r="B3" s="6">
        <v>8</v>
      </c>
      <c r="C3" s="7">
        <v>0.2</v>
      </c>
      <c r="D3" s="8">
        <v>4.5</v>
      </c>
      <c r="E3" s="9">
        <v>3</v>
      </c>
      <c r="F3" s="10">
        <v>2.8</v>
      </c>
      <c r="G3" s="11" t="e">
        <f>首页!$E$12</f>
        <v>#DIV/0!</v>
      </c>
      <c r="H3" s="12" t="e">
        <f t="shared" si="0"/>
        <v>#DIV/0!</v>
      </c>
      <c r="U3" s="25" t="s">
        <v>40</v>
      </c>
      <c r="V3" s="26" t="str">
        <f>IF(AND(首页!D11&gt;=6,首页!D11&lt;=12),1,"")</f>
        <v/>
      </c>
      <c r="W3" s="25" t="s">
        <v>41</v>
      </c>
      <c r="X3" s="26" t="str">
        <f>IF(AND(首页!D11&gt;=30,首页!D11&lt;=30),5,"")</f>
        <v/>
      </c>
      <c r="Z3" s="30"/>
      <c r="AA3" s="31">
        <v>130</v>
      </c>
      <c r="AC3" s="28" t="s">
        <v>42</v>
      </c>
      <c r="AD3" s="28">
        <v>0</v>
      </c>
      <c r="AE3" s="28">
        <v>0</v>
      </c>
      <c r="AG3" s="34"/>
      <c r="AH3" s="35">
        <v>5</v>
      </c>
      <c r="AK3" s="36">
        <v>4</v>
      </c>
    </row>
    <row r="4" customHeight="1" spans="1:37">
      <c r="A4" s="5">
        <v>84</v>
      </c>
      <c r="B4" s="6">
        <v>10</v>
      </c>
      <c r="C4" s="7">
        <v>0.2</v>
      </c>
      <c r="D4" s="8">
        <v>5.5</v>
      </c>
      <c r="E4" s="9">
        <v>3</v>
      </c>
      <c r="F4" s="10">
        <v>2.8</v>
      </c>
      <c r="G4" s="11" t="e">
        <f>首页!$E$12</f>
        <v>#DIV/0!</v>
      </c>
      <c r="H4" s="12" t="e">
        <f t="shared" si="0"/>
        <v>#DIV/0!</v>
      </c>
      <c r="U4" s="25" t="s">
        <v>43</v>
      </c>
      <c r="V4" s="26" t="str">
        <f>IF(AND(首页!D11&gt;=15,首页!D11&lt;=15),2,"")</f>
        <v/>
      </c>
      <c r="W4" s="25" t="s">
        <v>44</v>
      </c>
      <c r="X4" s="26" t="str">
        <f>IF(AND(首页!D11&gt;=40,首页!D11&lt;=40),7,"")</f>
        <v/>
      </c>
      <c r="Z4" s="30"/>
      <c r="AA4" s="31">
        <v>150</v>
      </c>
      <c r="AC4" s="32" t="s">
        <v>13</v>
      </c>
      <c r="AD4" s="28">
        <v>0.04</v>
      </c>
      <c r="AE4" s="33" t="e">
        <f>首页!$H$12*首页!$K$11*AD4</f>
        <v>#DIV/0!</v>
      </c>
      <c r="AK4" s="36">
        <v>5</v>
      </c>
    </row>
    <row r="5" customHeight="1" spans="1:37">
      <c r="A5" s="5">
        <v>130</v>
      </c>
      <c r="B5" s="6">
        <v>10</v>
      </c>
      <c r="C5" s="7">
        <v>0.5</v>
      </c>
      <c r="D5" s="8">
        <v>5.5</v>
      </c>
      <c r="E5" s="9">
        <v>5</v>
      </c>
      <c r="F5" s="10">
        <v>4</v>
      </c>
      <c r="G5" s="11" t="e">
        <f>首页!$E$12</f>
        <v>#DIV/0!</v>
      </c>
      <c r="H5" s="12" t="e">
        <f t="shared" si="0"/>
        <v>#DIV/0!</v>
      </c>
      <c r="U5" s="25" t="s">
        <v>45</v>
      </c>
      <c r="V5" s="26" t="str">
        <f>IF(AND(首页!D11&gt;=18,首页!D11&lt;=18),3,"")</f>
        <v/>
      </c>
      <c r="W5" s="25" t="s">
        <v>46</v>
      </c>
      <c r="X5" s="26" t="str">
        <f>IF(AND(首页!D11&gt;=50,首页!D11&lt;=50),9,"")</f>
        <v/>
      </c>
      <c r="Z5" s="30"/>
      <c r="AA5" s="31">
        <v>203</v>
      </c>
      <c r="AC5" s="32" t="s">
        <v>47</v>
      </c>
      <c r="AD5" s="28">
        <v>0.45</v>
      </c>
      <c r="AE5" s="33" t="e">
        <f>首页!$H$12*首页!$K$11*AD5</f>
        <v>#DIV/0!</v>
      </c>
      <c r="AK5" s="36">
        <v>6</v>
      </c>
    </row>
    <row r="6" customHeight="1" spans="1:37">
      <c r="A6" s="5">
        <v>150</v>
      </c>
      <c r="B6" s="6">
        <v>10</v>
      </c>
      <c r="C6" s="7">
        <v>0.5</v>
      </c>
      <c r="D6" s="8">
        <v>5.5</v>
      </c>
      <c r="E6" s="9">
        <v>5</v>
      </c>
      <c r="F6" s="10">
        <v>4</v>
      </c>
      <c r="G6" s="11" t="e">
        <f>首页!$E$12</f>
        <v>#DIV/0!</v>
      </c>
      <c r="H6" s="12" t="e">
        <f t="shared" si="0"/>
        <v>#DIV/0!</v>
      </c>
      <c r="U6" s="25" t="s">
        <v>48</v>
      </c>
      <c r="V6" s="26" t="str">
        <f>IF(AND(首页!D11&gt;=20,首页!D11&lt;=20),3,"")</f>
        <v/>
      </c>
      <c r="W6" s="25"/>
      <c r="X6" s="26"/>
      <c r="Z6" s="30"/>
      <c r="AA6" s="31">
        <v>300</v>
      </c>
      <c r="AC6" s="28" t="s">
        <v>49</v>
      </c>
      <c r="AD6" s="28">
        <v>0.32</v>
      </c>
      <c r="AE6" s="33" t="e">
        <f>首页!$H$12*首页!$K$11*AD6</f>
        <v>#DIV/0!</v>
      </c>
      <c r="AK6" s="36">
        <v>5.4</v>
      </c>
    </row>
    <row r="7" customHeight="1" spans="1:37">
      <c r="A7" s="5">
        <v>150</v>
      </c>
      <c r="B7" s="6">
        <v>12</v>
      </c>
      <c r="C7" s="7">
        <v>0.6</v>
      </c>
      <c r="D7" s="8">
        <v>5.5</v>
      </c>
      <c r="E7" s="9">
        <v>5</v>
      </c>
      <c r="F7" s="10">
        <v>4</v>
      </c>
      <c r="G7" s="11" t="e">
        <f>首页!$E$12</f>
        <v>#DIV/0!</v>
      </c>
      <c r="H7" s="12" t="e">
        <f t="shared" si="0"/>
        <v>#DIV/0!</v>
      </c>
      <c r="U7" s="25" t="s">
        <v>50</v>
      </c>
      <c r="V7" s="26" t="str">
        <f>IF(AND(首页!D11&gt;=21,首页!D11&lt;=21),3,"")</f>
        <v/>
      </c>
      <c r="W7" s="27"/>
      <c r="X7" s="26"/>
      <c r="Z7" s="30"/>
      <c r="AA7" s="31">
        <v>350</v>
      </c>
      <c r="AC7" s="28" t="s">
        <v>51</v>
      </c>
      <c r="AD7" s="28">
        <v>1.15</v>
      </c>
      <c r="AE7" s="33" t="e">
        <f>首页!$H$12*首页!$K$11*AD7</f>
        <v>#DIV/0!</v>
      </c>
      <c r="AK7" s="36">
        <v>6.4</v>
      </c>
    </row>
    <row r="8" customHeight="1" spans="1:31">
      <c r="A8" s="5">
        <v>150</v>
      </c>
      <c r="B8" s="6">
        <v>15</v>
      </c>
      <c r="C8" s="7">
        <v>0.6</v>
      </c>
      <c r="D8" s="8">
        <v>7.5</v>
      </c>
      <c r="E8" s="9">
        <v>5</v>
      </c>
      <c r="F8" s="10">
        <v>4</v>
      </c>
      <c r="G8" s="11" t="e">
        <f>首页!$E$12</f>
        <v>#DIV/0!</v>
      </c>
      <c r="H8" s="12" t="e">
        <f t="shared" si="0"/>
        <v>#DIV/0!</v>
      </c>
      <c r="U8" s="28" t="s">
        <v>52</v>
      </c>
      <c r="V8" s="29">
        <f>SUM(V2:V7,X2:X7)</f>
        <v>0</v>
      </c>
      <c r="AC8" s="32" t="s">
        <v>53</v>
      </c>
      <c r="AD8" s="28">
        <v>0.93</v>
      </c>
      <c r="AE8" s="33" t="e">
        <f>首页!$H$12*首页!$K$11*AD8</f>
        <v>#DIV/0!</v>
      </c>
    </row>
    <row r="9" customHeight="1" spans="1:31">
      <c r="A9" s="5">
        <v>150</v>
      </c>
      <c r="B9" s="6">
        <v>18</v>
      </c>
      <c r="C9" s="7">
        <v>0.75</v>
      </c>
      <c r="D9" s="8">
        <v>9.6</v>
      </c>
      <c r="E9" s="9">
        <v>5</v>
      </c>
      <c r="F9" s="10">
        <v>4</v>
      </c>
      <c r="G9" s="11" t="e">
        <f>首页!$E$12</f>
        <v>#DIV/0!</v>
      </c>
      <c r="H9" s="12" t="e">
        <f t="shared" si="0"/>
        <v>#DIV/0!</v>
      </c>
      <c r="AC9" s="32" t="s">
        <v>54</v>
      </c>
      <c r="AD9" s="28">
        <v>0.43</v>
      </c>
      <c r="AE9" s="33" t="e">
        <f>首页!$H$12*首页!$K$11*AD9</f>
        <v>#DIV/0!</v>
      </c>
    </row>
    <row r="10" customHeight="1" spans="1:8">
      <c r="A10" s="5">
        <v>203</v>
      </c>
      <c r="B10" s="6">
        <v>15</v>
      </c>
      <c r="C10" s="7">
        <v>0.7</v>
      </c>
      <c r="D10" s="8">
        <v>7.5</v>
      </c>
      <c r="E10" s="9">
        <v>5</v>
      </c>
      <c r="F10" s="10">
        <v>4</v>
      </c>
      <c r="G10" s="11" t="e">
        <f>首页!$E$12</f>
        <v>#DIV/0!</v>
      </c>
      <c r="H10" s="12" t="e">
        <f t="shared" si="0"/>
        <v>#DIV/0!</v>
      </c>
    </row>
    <row r="11" customHeight="1" spans="1:8">
      <c r="A11" s="5">
        <v>203</v>
      </c>
      <c r="B11" s="6">
        <v>18</v>
      </c>
      <c r="C11" s="7">
        <v>0.75</v>
      </c>
      <c r="D11" s="8">
        <v>9.6</v>
      </c>
      <c r="E11" s="9">
        <v>5</v>
      </c>
      <c r="F11" s="10">
        <v>4</v>
      </c>
      <c r="G11" s="11" t="e">
        <f>首页!$E$12</f>
        <v>#DIV/0!</v>
      </c>
      <c r="H11" s="12" t="e">
        <f t="shared" si="0"/>
        <v>#DIV/0!</v>
      </c>
    </row>
    <row r="12" customHeight="1" spans="1:8">
      <c r="A12" s="5">
        <v>203</v>
      </c>
      <c r="B12" s="6">
        <v>20</v>
      </c>
      <c r="C12" s="7">
        <v>0.8</v>
      </c>
      <c r="D12" s="8">
        <v>11.2</v>
      </c>
      <c r="E12" s="9">
        <v>5</v>
      </c>
      <c r="F12" s="10">
        <v>4</v>
      </c>
      <c r="G12" s="11" t="e">
        <f>首页!$E$12</f>
        <v>#DIV/0!</v>
      </c>
      <c r="H12" s="12" t="e">
        <f t="shared" si="0"/>
        <v>#DIV/0!</v>
      </c>
    </row>
    <row r="13" customHeight="1" spans="1:8">
      <c r="A13" s="5">
        <v>203</v>
      </c>
      <c r="B13" s="6">
        <v>21</v>
      </c>
      <c r="C13" s="7">
        <v>0.8</v>
      </c>
      <c r="D13" s="8">
        <v>11.2</v>
      </c>
      <c r="E13" s="9">
        <v>5</v>
      </c>
      <c r="F13" s="10">
        <v>4</v>
      </c>
      <c r="G13" s="11" t="e">
        <f>首页!$E$12</f>
        <v>#DIV/0!</v>
      </c>
      <c r="H13" s="12" t="e">
        <f t="shared" si="0"/>
        <v>#DIV/0!</v>
      </c>
    </row>
    <row r="14" customHeight="1" spans="1:8">
      <c r="A14" s="5">
        <v>203</v>
      </c>
      <c r="B14" s="6">
        <v>25</v>
      </c>
      <c r="C14" s="7">
        <v>0.9</v>
      </c>
      <c r="D14" s="8">
        <v>11.2</v>
      </c>
      <c r="E14" s="9">
        <v>5</v>
      </c>
      <c r="F14" s="10">
        <v>4</v>
      </c>
      <c r="G14" s="11" t="e">
        <f>首页!$E$12</f>
        <v>#DIV/0!</v>
      </c>
      <c r="H14" s="12" t="e">
        <f t="shared" si="0"/>
        <v>#DIV/0!</v>
      </c>
    </row>
    <row r="15" customHeight="1" spans="1:8">
      <c r="A15" s="5">
        <v>203</v>
      </c>
      <c r="B15" s="6">
        <v>25</v>
      </c>
      <c r="C15" s="7">
        <v>1</v>
      </c>
      <c r="D15" s="8">
        <v>11.2</v>
      </c>
      <c r="E15" s="9">
        <v>5</v>
      </c>
      <c r="F15" s="10">
        <v>5</v>
      </c>
      <c r="G15" s="11" t="e">
        <f>首页!$E$12</f>
        <v>#DIV/0!</v>
      </c>
      <c r="H15" s="12" t="e">
        <f t="shared" si="0"/>
        <v>#DIV/0!</v>
      </c>
    </row>
    <row r="16" customHeight="1" spans="1:8">
      <c r="A16" s="5">
        <v>203</v>
      </c>
      <c r="B16" s="6">
        <v>25</v>
      </c>
      <c r="C16" s="7">
        <v>1.5</v>
      </c>
      <c r="D16" s="8">
        <v>11.2</v>
      </c>
      <c r="E16" s="9">
        <v>5</v>
      </c>
      <c r="F16" s="10">
        <v>6</v>
      </c>
      <c r="G16" s="11" t="e">
        <f>首页!$E$12</f>
        <v>#DIV/0!</v>
      </c>
      <c r="H16" s="12" t="e">
        <f t="shared" si="0"/>
        <v>#DIV/0!</v>
      </c>
    </row>
    <row r="17" customHeight="1" spans="1:8">
      <c r="A17" s="5">
        <v>203</v>
      </c>
      <c r="B17" s="13">
        <v>25.1</v>
      </c>
      <c r="C17" s="7">
        <v>1.5</v>
      </c>
      <c r="D17" s="8">
        <v>11.2</v>
      </c>
      <c r="E17" s="9">
        <v>5</v>
      </c>
      <c r="F17" s="10">
        <v>5</v>
      </c>
      <c r="G17" s="11" t="e">
        <f>首页!$E$12</f>
        <v>#DIV/0!</v>
      </c>
      <c r="H17" s="12" t="e">
        <f t="shared" si="0"/>
        <v>#DIV/0!</v>
      </c>
    </row>
    <row r="18" customHeight="1" spans="1:8">
      <c r="A18" s="5">
        <v>203</v>
      </c>
      <c r="B18" s="13">
        <v>25.1</v>
      </c>
      <c r="C18" s="7">
        <v>1.5</v>
      </c>
      <c r="D18" s="8">
        <v>11.2</v>
      </c>
      <c r="E18" s="9">
        <v>5</v>
      </c>
      <c r="F18" s="10">
        <v>6</v>
      </c>
      <c r="G18" s="11" t="e">
        <f>首页!$E$12</f>
        <v>#DIV/0!</v>
      </c>
      <c r="H18" s="12" t="e">
        <f t="shared" si="0"/>
        <v>#DIV/0!</v>
      </c>
    </row>
    <row r="19" customHeight="1" spans="1:8">
      <c r="A19" s="5">
        <v>203</v>
      </c>
      <c r="B19" s="6">
        <v>30</v>
      </c>
      <c r="C19" s="7">
        <v>1.5</v>
      </c>
      <c r="D19" s="8">
        <v>12</v>
      </c>
      <c r="E19" s="9">
        <v>5</v>
      </c>
      <c r="F19" s="10">
        <v>5</v>
      </c>
      <c r="G19" s="11" t="e">
        <f>首页!$E$12</f>
        <v>#DIV/0!</v>
      </c>
      <c r="H19" s="12" t="e">
        <f t="shared" si="0"/>
        <v>#DIV/0!</v>
      </c>
    </row>
    <row r="20" customHeight="1" spans="1:8">
      <c r="A20" s="5">
        <v>300</v>
      </c>
      <c r="B20" s="6">
        <v>30</v>
      </c>
      <c r="C20" s="7">
        <v>2</v>
      </c>
      <c r="D20" s="8">
        <v>12</v>
      </c>
      <c r="E20" s="9">
        <v>5</v>
      </c>
      <c r="F20" s="10">
        <v>6.4</v>
      </c>
      <c r="G20" s="11" t="e">
        <f>首页!$E$12</f>
        <v>#DIV/0!</v>
      </c>
      <c r="H20" s="12" t="e">
        <f t="shared" si="0"/>
        <v>#DIV/0!</v>
      </c>
    </row>
    <row r="21" customHeight="1" spans="1:8">
      <c r="A21" s="5">
        <v>300</v>
      </c>
      <c r="B21" s="6">
        <v>40</v>
      </c>
      <c r="C21" s="7">
        <v>2</v>
      </c>
      <c r="D21" s="8">
        <v>12</v>
      </c>
      <c r="E21" s="9">
        <v>5</v>
      </c>
      <c r="F21" s="10">
        <v>5.4</v>
      </c>
      <c r="G21" s="11" t="e">
        <f>首页!$E$12</f>
        <v>#DIV/0!</v>
      </c>
      <c r="H21" s="12" t="e">
        <f t="shared" si="0"/>
        <v>#DIV/0!</v>
      </c>
    </row>
    <row r="22" customHeight="1" spans="1:8">
      <c r="A22" s="5">
        <v>350</v>
      </c>
      <c r="B22" s="6">
        <v>30</v>
      </c>
      <c r="C22" s="7">
        <v>2.5</v>
      </c>
      <c r="D22" s="8">
        <v>12</v>
      </c>
      <c r="E22" s="9">
        <v>5</v>
      </c>
      <c r="F22" s="10">
        <v>6.4</v>
      </c>
      <c r="G22" s="11" t="e">
        <f>首页!$E$12</f>
        <v>#DIV/0!</v>
      </c>
      <c r="H22" s="12" t="e">
        <f t="shared" si="0"/>
        <v>#DIV/0!</v>
      </c>
    </row>
    <row r="23" customHeight="1" spans="1:8">
      <c r="A23" s="5">
        <v>350</v>
      </c>
      <c r="B23" s="6">
        <v>50</v>
      </c>
      <c r="C23" s="7">
        <v>3</v>
      </c>
      <c r="D23" s="8">
        <v>12</v>
      </c>
      <c r="E23" s="9">
        <v>5</v>
      </c>
      <c r="F23" s="10">
        <v>6.4</v>
      </c>
      <c r="G23" s="11" t="e">
        <f>首页!$E$12</f>
        <v>#DIV/0!</v>
      </c>
      <c r="H23" s="12" t="e">
        <f t="shared" si="0"/>
        <v>#DIV/0!</v>
      </c>
    </row>
    <row r="24" customHeight="1" spans="1:8">
      <c r="A24" s="5">
        <v>350</v>
      </c>
      <c r="B24" s="6">
        <v>40</v>
      </c>
      <c r="C24" s="7">
        <v>2.5</v>
      </c>
      <c r="D24" s="8">
        <v>12</v>
      </c>
      <c r="E24" s="9">
        <v>5</v>
      </c>
      <c r="F24" s="10">
        <v>6.4</v>
      </c>
      <c r="G24" s="11" t="e">
        <f>首页!$E$12</f>
        <v>#DIV/0!</v>
      </c>
      <c r="H24" s="12" t="e">
        <f t="shared" si="0"/>
        <v>#DIV/0!</v>
      </c>
    </row>
  </sheetData>
  <mergeCells count="1">
    <mergeCell ref="Z2:Z7"/>
  </mergeCells>
  <dataValidations count="1">
    <dataValidation type="list" allowBlank="1" showInputMessage="1" showErrorMessage="1" sqref="P2">
      <formula1>$B$35:$B$40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4"/>
  <sheetViews>
    <sheetView showGridLines="0" workbookViewId="0">
      <selection activeCell="F23" sqref="A23:F23"/>
    </sheetView>
  </sheetViews>
  <sheetFormatPr defaultColWidth="9" defaultRowHeight="20" customHeight="1"/>
  <cols>
    <col min="1" max="8" width="10.625" style="2" customWidth="1"/>
    <col min="9" max="28" width="9" style="2"/>
    <col min="29" max="29" width="13.375" style="2" customWidth="1"/>
    <col min="30" max="16384" width="9" style="2"/>
  </cols>
  <sheetData>
    <row r="1" s="1" customFormat="1" customHeight="1" spans="1:24">
      <c r="A1" s="3" t="s">
        <v>6</v>
      </c>
      <c r="B1" s="3" t="s">
        <v>1</v>
      </c>
      <c r="C1" s="3" t="s">
        <v>26</v>
      </c>
      <c r="D1" s="3" t="s">
        <v>27</v>
      </c>
      <c r="E1" s="3" t="s">
        <v>4</v>
      </c>
      <c r="F1" s="3" t="s">
        <v>5</v>
      </c>
      <c r="G1" s="4" t="s">
        <v>28</v>
      </c>
      <c r="H1" s="4" t="s">
        <v>29</v>
      </c>
      <c r="J1" s="14"/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10</v>
      </c>
      <c r="R1" s="14" t="s">
        <v>9</v>
      </c>
      <c r="U1" s="21" t="s">
        <v>30</v>
      </c>
      <c r="V1" s="22"/>
      <c r="W1" s="22"/>
      <c r="X1" s="22"/>
    </row>
    <row r="2" customHeight="1" spans="1:37">
      <c r="A2" s="5">
        <v>84</v>
      </c>
      <c r="B2" s="6">
        <v>6</v>
      </c>
      <c r="C2" s="7">
        <v>0.2</v>
      </c>
      <c r="D2" s="8">
        <v>3.5</v>
      </c>
      <c r="E2" s="9">
        <v>3</v>
      </c>
      <c r="F2" s="10">
        <v>2.8</v>
      </c>
      <c r="G2" s="11" t="e">
        <f>首页!$E$14</f>
        <v>#DIV/0!</v>
      </c>
      <c r="H2" s="12" t="e">
        <f t="shared" ref="H2:H24" si="0">C2*G2</f>
        <v>#DIV/0!</v>
      </c>
      <c r="J2" s="15" t="s">
        <v>0</v>
      </c>
      <c r="K2" s="16">
        <f>首页!D13</f>
        <v>0</v>
      </c>
      <c r="L2" s="16">
        <f>首页!E13</f>
        <v>0</v>
      </c>
      <c r="M2" s="17">
        <f>首页!F13</f>
        <v>0</v>
      </c>
      <c r="N2" s="18">
        <f>首页!G13</f>
        <v>0</v>
      </c>
      <c r="O2" s="19">
        <f>首页!H13</f>
        <v>0</v>
      </c>
      <c r="P2" s="20">
        <f>首页!I13</f>
        <v>0</v>
      </c>
      <c r="Q2" s="23">
        <f>IFERROR(SUMIFS(H:H,B:B,K2,E:E,N2,F:F,O2,A:A,P2),"-")</f>
        <v>0</v>
      </c>
      <c r="R2" s="24">
        <f>IFERROR(SUMIFS(D:D,B:B,K2,E:E,N2,F:F,O2,A:A,P2),"-")</f>
        <v>0</v>
      </c>
      <c r="U2" s="25" t="s">
        <v>31</v>
      </c>
      <c r="V2" s="26" t="str">
        <f>IF(AND(首页!D13=3,首页!D13&lt;=3),0,"")</f>
        <v/>
      </c>
      <c r="W2" s="25" t="s">
        <v>32</v>
      </c>
      <c r="X2" s="26" t="str">
        <f>IF(AND(首页!D13&gt;=25,首页!D13&lt;=25),4,"")</f>
        <v/>
      </c>
      <c r="Z2" s="30" t="s">
        <v>33</v>
      </c>
      <c r="AA2" s="31">
        <v>84</v>
      </c>
      <c r="AC2" s="28" t="s">
        <v>35</v>
      </c>
      <c r="AD2" s="28" t="s">
        <v>36</v>
      </c>
      <c r="AE2" s="28" t="s">
        <v>37</v>
      </c>
      <c r="AG2" s="34" t="s">
        <v>38</v>
      </c>
      <c r="AH2" s="35">
        <v>3</v>
      </c>
      <c r="AJ2" s="2" t="s">
        <v>39</v>
      </c>
      <c r="AK2" s="36">
        <v>2.8</v>
      </c>
    </row>
    <row r="3" customHeight="1" spans="1:37">
      <c r="A3" s="5">
        <v>84</v>
      </c>
      <c r="B3" s="6">
        <v>8</v>
      </c>
      <c r="C3" s="7">
        <v>0.2</v>
      </c>
      <c r="D3" s="8">
        <v>4.5</v>
      </c>
      <c r="E3" s="9">
        <v>3</v>
      </c>
      <c r="F3" s="10">
        <v>2.8</v>
      </c>
      <c r="G3" s="11" t="e">
        <f>首页!$E$14</f>
        <v>#DIV/0!</v>
      </c>
      <c r="H3" s="12" t="e">
        <f t="shared" si="0"/>
        <v>#DIV/0!</v>
      </c>
      <c r="U3" s="25" t="s">
        <v>40</v>
      </c>
      <c r="V3" s="26" t="str">
        <f>IF(AND(首页!D13&gt;=6,首页!D13&lt;=12),1,"")</f>
        <v/>
      </c>
      <c r="W3" s="25" t="s">
        <v>41</v>
      </c>
      <c r="X3" s="26" t="str">
        <f>IF(AND(首页!D13&gt;=30,首页!D13&lt;=30),5,"")</f>
        <v/>
      </c>
      <c r="Z3" s="30"/>
      <c r="AA3" s="31">
        <v>130</v>
      </c>
      <c r="AC3" s="28" t="s">
        <v>42</v>
      </c>
      <c r="AD3" s="28">
        <v>0</v>
      </c>
      <c r="AE3" s="28">
        <v>0</v>
      </c>
      <c r="AG3" s="34"/>
      <c r="AH3" s="35">
        <v>5</v>
      </c>
      <c r="AK3" s="36">
        <v>4</v>
      </c>
    </row>
    <row r="4" customHeight="1" spans="1:37">
      <c r="A4" s="5">
        <v>84</v>
      </c>
      <c r="B4" s="6">
        <v>10</v>
      </c>
      <c r="C4" s="7">
        <v>0.2</v>
      </c>
      <c r="D4" s="8">
        <v>5.5</v>
      </c>
      <c r="E4" s="9">
        <v>3</v>
      </c>
      <c r="F4" s="10">
        <v>2.8</v>
      </c>
      <c r="G4" s="11" t="e">
        <f>首页!$E$14</f>
        <v>#DIV/0!</v>
      </c>
      <c r="H4" s="12" t="e">
        <f t="shared" si="0"/>
        <v>#DIV/0!</v>
      </c>
      <c r="U4" s="25" t="s">
        <v>43</v>
      </c>
      <c r="V4" s="26" t="str">
        <f>IF(AND(首页!D13&gt;=15,首页!D13&lt;=15),2,"")</f>
        <v/>
      </c>
      <c r="W4" s="25" t="s">
        <v>44</v>
      </c>
      <c r="X4" s="26" t="str">
        <f>IF(AND(首页!D13&gt;=40,首页!D13&lt;=40),7,"")</f>
        <v/>
      </c>
      <c r="Z4" s="30"/>
      <c r="AA4" s="31">
        <v>150</v>
      </c>
      <c r="AC4" s="32" t="s">
        <v>13</v>
      </c>
      <c r="AD4" s="28">
        <v>0.04</v>
      </c>
      <c r="AE4" s="33" t="e">
        <f>首页!$H$14*首页!$K$13*AD4</f>
        <v>#DIV/0!</v>
      </c>
      <c r="AK4" s="36">
        <v>5</v>
      </c>
    </row>
    <row r="5" customHeight="1" spans="1:37">
      <c r="A5" s="5">
        <v>130</v>
      </c>
      <c r="B5" s="6">
        <v>10</v>
      </c>
      <c r="C5" s="7">
        <v>0.5</v>
      </c>
      <c r="D5" s="8">
        <v>5.5</v>
      </c>
      <c r="E5" s="9">
        <v>5</v>
      </c>
      <c r="F5" s="10">
        <v>4</v>
      </c>
      <c r="G5" s="11" t="e">
        <f>首页!$E$14</f>
        <v>#DIV/0!</v>
      </c>
      <c r="H5" s="12" t="e">
        <f t="shared" si="0"/>
        <v>#DIV/0!</v>
      </c>
      <c r="U5" s="25" t="s">
        <v>45</v>
      </c>
      <c r="V5" s="26" t="str">
        <f>IF(AND(首页!D13&gt;=18,首页!D13&lt;=18),3,"")</f>
        <v/>
      </c>
      <c r="W5" s="25" t="s">
        <v>46</v>
      </c>
      <c r="X5" s="26" t="str">
        <f>IF(AND(首页!D13&gt;=50,首页!D13&lt;=50),9,"")</f>
        <v/>
      </c>
      <c r="Z5" s="30"/>
      <c r="AA5" s="31">
        <v>203</v>
      </c>
      <c r="AC5" s="32" t="s">
        <v>47</v>
      </c>
      <c r="AD5" s="28">
        <v>0.45</v>
      </c>
      <c r="AE5" s="33" t="e">
        <f>首页!$H$14*首页!$K$13*AD5</f>
        <v>#DIV/0!</v>
      </c>
      <c r="AK5" s="36">
        <v>6</v>
      </c>
    </row>
    <row r="6" customHeight="1" spans="1:37">
      <c r="A6" s="5">
        <v>150</v>
      </c>
      <c r="B6" s="6">
        <v>10</v>
      </c>
      <c r="C6" s="7">
        <v>0.5</v>
      </c>
      <c r="D6" s="8">
        <v>5.5</v>
      </c>
      <c r="E6" s="9">
        <v>5</v>
      </c>
      <c r="F6" s="10">
        <v>4</v>
      </c>
      <c r="G6" s="11" t="e">
        <f>首页!$E$14</f>
        <v>#DIV/0!</v>
      </c>
      <c r="H6" s="12" t="e">
        <f t="shared" si="0"/>
        <v>#DIV/0!</v>
      </c>
      <c r="U6" s="25" t="s">
        <v>48</v>
      </c>
      <c r="V6" s="26" t="str">
        <f>IF(AND(首页!D13&gt;=20,首页!D13&lt;=20),3,"")</f>
        <v/>
      </c>
      <c r="W6" s="25"/>
      <c r="X6" s="26"/>
      <c r="Z6" s="30"/>
      <c r="AA6" s="31">
        <v>300</v>
      </c>
      <c r="AC6" s="28" t="s">
        <v>49</v>
      </c>
      <c r="AD6" s="28">
        <v>0.32</v>
      </c>
      <c r="AE6" s="33" t="e">
        <f>首页!$H$14*首页!$K$13*AD6</f>
        <v>#DIV/0!</v>
      </c>
      <c r="AK6" s="36">
        <v>5.4</v>
      </c>
    </row>
    <row r="7" customHeight="1" spans="1:37">
      <c r="A7" s="5">
        <v>150</v>
      </c>
      <c r="B7" s="6">
        <v>12</v>
      </c>
      <c r="C7" s="7">
        <v>0.6</v>
      </c>
      <c r="D7" s="8">
        <v>5.5</v>
      </c>
      <c r="E7" s="9">
        <v>5</v>
      </c>
      <c r="F7" s="10">
        <v>4</v>
      </c>
      <c r="G7" s="11" t="e">
        <f>首页!$E$14</f>
        <v>#DIV/0!</v>
      </c>
      <c r="H7" s="12" t="e">
        <f t="shared" si="0"/>
        <v>#DIV/0!</v>
      </c>
      <c r="U7" s="25" t="s">
        <v>50</v>
      </c>
      <c r="V7" s="26" t="str">
        <f>IF(AND(首页!D13&gt;=21,首页!D13&lt;=21),3,"")</f>
        <v/>
      </c>
      <c r="W7" s="27"/>
      <c r="X7" s="26"/>
      <c r="Z7" s="30"/>
      <c r="AA7" s="31">
        <v>350</v>
      </c>
      <c r="AC7" s="28" t="s">
        <v>51</v>
      </c>
      <c r="AD7" s="28">
        <v>1.15</v>
      </c>
      <c r="AE7" s="33" t="e">
        <f>首页!$H$14*首页!$K$13*AD7</f>
        <v>#DIV/0!</v>
      </c>
      <c r="AK7" s="36">
        <v>6.4</v>
      </c>
    </row>
    <row r="8" customHeight="1" spans="1:31">
      <c r="A8" s="5">
        <v>150</v>
      </c>
      <c r="B8" s="6">
        <v>15</v>
      </c>
      <c r="C8" s="7">
        <v>0.6</v>
      </c>
      <c r="D8" s="8">
        <v>7.5</v>
      </c>
      <c r="E8" s="9">
        <v>5</v>
      </c>
      <c r="F8" s="10">
        <v>4</v>
      </c>
      <c r="G8" s="11" t="e">
        <f>首页!$E$14</f>
        <v>#DIV/0!</v>
      </c>
      <c r="H8" s="12" t="e">
        <f t="shared" si="0"/>
        <v>#DIV/0!</v>
      </c>
      <c r="U8" s="28" t="s">
        <v>52</v>
      </c>
      <c r="V8" s="29">
        <f>SUM(V2:V7,X2:X7)</f>
        <v>0</v>
      </c>
      <c r="AC8" s="32" t="s">
        <v>53</v>
      </c>
      <c r="AD8" s="28">
        <v>0.93</v>
      </c>
      <c r="AE8" s="33" t="e">
        <f>首页!$H$14*首页!$K$13*AD8</f>
        <v>#DIV/0!</v>
      </c>
    </row>
    <row r="9" customHeight="1" spans="1:31">
      <c r="A9" s="5">
        <v>150</v>
      </c>
      <c r="B9" s="6">
        <v>18</v>
      </c>
      <c r="C9" s="7">
        <v>0.75</v>
      </c>
      <c r="D9" s="8">
        <v>9.6</v>
      </c>
      <c r="E9" s="9">
        <v>5</v>
      </c>
      <c r="F9" s="10">
        <v>4</v>
      </c>
      <c r="G9" s="11" t="e">
        <f>首页!$E$14</f>
        <v>#DIV/0!</v>
      </c>
      <c r="H9" s="12" t="e">
        <f t="shared" si="0"/>
        <v>#DIV/0!</v>
      </c>
      <c r="AC9" s="32" t="s">
        <v>54</v>
      </c>
      <c r="AD9" s="28">
        <v>0.43</v>
      </c>
      <c r="AE9" s="33" t="e">
        <f>首页!$H$14*首页!$K$13*AD9</f>
        <v>#DIV/0!</v>
      </c>
    </row>
    <row r="10" customHeight="1" spans="1:8">
      <c r="A10" s="5">
        <v>203</v>
      </c>
      <c r="B10" s="6">
        <v>15</v>
      </c>
      <c r="C10" s="7">
        <v>0.7</v>
      </c>
      <c r="D10" s="8">
        <v>7.5</v>
      </c>
      <c r="E10" s="9">
        <v>5</v>
      </c>
      <c r="F10" s="10">
        <v>4</v>
      </c>
      <c r="G10" s="11" t="e">
        <f>首页!$E$14</f>
        <v>#DIV/0!</v>
      </c>
      <c r="H10" s="12" t="e">
        <f t="shared" si="0"/>
        <v>#DIV/0!</v>
      </c>
    </row>
    <row r="11" customHeight="1" spans="1:8">
      <c r="A11" s="5">
        <v>203</v>
      </c>
      <c r="B11" s="6">
        <v>18</v>
      </c>
      <c r="C11" s="7">
        <v>0.75</v>
      </c>
      <c r="D11" s="8">
        <v>9.6</v>
      </c>
      <c r="E11" s="9">
        <v>5</v>
      </c>
      <c r="F11" s="10">
        <v>4</v>
      </c>
      <c r="G11" s="11" t="e">
        <f>首页!$E$14</f>
        <v>#DIV/0!</v>
      </c>
      <c r="H11" s="12" t="e">
        <f t="shared" si="0"/>
        <v>#DIV/0!</v>
      </c>
    </row>
    <row r="12" customHeight="1" spans="1:8">
      <c r="A12" s="5">
        <v>203</v>
      </c>
      <c r="B12" s="6">
        <v>20</v>
      </c>
      <c r="C12" s="7">
        <v>0.8</v>
      </c>
      <c r="D12" s="8">
        <v>11.2</v>
      </c>
      <c r="E12" s="9">
        <v>5</v>
      </c>
      <c r="F12" s="10">
        <v>4</v>
      </c>
      <c r="G12" s="11" t="e">
        <f>首页!$E$14</f>
        <v>#DIV/0!</v>
      </c>
      <c r="H12" s="12" t="e">
        <f t="shared" si="0"/>
        <v>#DIV/0!</v>
      </c>
    </row>
    <row r="13" customHeight="1" spans="1:8">
      <c r="A13" s="5">
        <v>203</v>
      </c>
      <c r="B13" s="6">
        <v>21</v>
      </c>
      <c r="C13" s="7">
        <v>0.8</v>
      </c>
      <c r="D13" s="8">
        <v>11.2</v>
      </c>
      <c r="E13" s="9">
        <v>5</v>
      </c>
      <c r="F13" s="10">
        <v>4</v>
      </c>
      <c r="G13" s="11" t="e">
        <f>首页!$E$14</f>
        <v>#DIV/0!</v>
      </c>
      <c r="H13" s="12" t="e">
        <f t="shared" si="0"/>
        <v>#DIV/0!</v>
      </c>
    </row>
    <row r="14" customHeight="1" spans="1:8">
      <c r="A14" s="5">
        <v>203</v>
      </c>
      <c r="B14" s="6">
        <v>25</v>
      </c>
      <c r="C14" s="7">
        <v>0.9</v>
      </c>
      <c r="D14" s="8">
        <v>11.2</v>
      </c>
      <c r="E14" s="9">
        <v>5</v>
      </c>
      <c r="F14" s="10">
        <v>4</v>
      </c>
      <c r="G14" s="11" t="e">
        <f>首页!$E$14</f>
        <v>#DIV/0!</v>
      </c>
      <c r="H14" s="12" t="e">
        <f t="shared" si="0"/>
        <v>#DIV/0!</v>
      </c>
    </row>
    <row r="15" customHeight="1" spans="1:8">
      <c r="A15" s="5">
        <v>203</v>
      </c>
      <c r="B15" s="6">
        <v>25</v>
      </c>
      <c r="C15" s="7">
        <v>1</v>
      </c>
      <c r="D15" s="8">
        <v>11.2</v>
      </c>
      <c r="E15" s="9">
        <v>5</v>
      </c>
      <c r="F15" s="10">
        <v>5</v>
      </c>
      <c r="G15" s="11" t="e">
        <f>首页!$E$14</f>
        <v>#DIV/0!</v>
      </c>
      <c r="H15" s="12" t="e">
        <f t="shared" si="0"/>
        <v>#DIV/0!</v>
      </c>
    </row>
    <row r="16" customHeight="1" spans="1:8">
      <c r="A16" s="5">
        <v>203</v>
      </c>
      <c r="B16" s="6">
        <v>25</v>
      </c>
      <c r="C16" s="7">
        <v>1.5</v>
      </c>
      <c r="D16" s="8">
        <v>11.2</v>
      </c>
      <c r="E16" s="9">
        <v>5</v>
      </c>
      <c r="F16" s="10">
        <v>6</v>
      </c>
      <c r="G16" s="11" t="e">
        <f>首页!$E$14</f>
        <v>#DIV/0!</v>
      </c>
      <c r="H16" s="12" t="e">
        <f t="shared" si="0"/>
        <v>#DIV/0!</v>
      </c>
    </row>
    <row r="17" customHeight="1" spans="1:8">
      <c r="A17" s="5">
        <v>203</v>
      </c>
      <c r="B17" s="13">
        <v>25.1</v>
      </c>
      <c r="C17" s="7">
        <v>1.5</v>
      </c>
      <c r="D17" s="8">
        <v>11.2</v>
      </c>
      <c r="E17" s="9">
        <v>5</v>
      </c>
      <c r="F17" s="10">
        <v>5</v>
      </c>
      <c r="G17" s="11" t="e">
        <f>首页!$E$14</f>
        <v>#DIV/0!</v>
      </c>
      <c r="H17" s="12" t="e">
        <f t="shared" si="0"/>
        <v>#DIV/0!</v>
      </c>
    </row>
    <row r="18" customHeight="1" spans="1:8">
      <c r="A18" s="5">
        <v>203</v>
      </c>
      <c r="B18" s="13">
        <v>25.1</v>
      </c>
      <c r="C18" s="7">
        <v>1.5</v>
      </c>
      <c r="D18" s="8">
        <v>11.2</v>
      </c>
      <c r="E18" s="9">
        <v>5</v>
      </c>
      <c r="F18" s="10">
        <v>6</v>
      </c>
      <c r="G18" s="11" t="e">
        <f>首页!$E$14</f>
        <v>#DIV/0!</v>
      </c>
      <c r="H18" s="12" t="e">
        <f t="shared" si="0"/>
        <v>#DIV/0!</v>
      </c>
    </row>
    <row r="19" customHeight="1" spans="1:8">
      <c r="A19" s="5">
        <v>203</v>
      </c>
      <c r="B19" s="6">
        <v>30</v>
      </c>
      <c r="C19" s="7">
        <v>1.5</v>
      </c>
      <c r="D19" s="8">
        <v>12</v>
      </c>
      <c r="E19" s="9">
        <v>5</v>
      </c>
      <c r="F19" s="10">
        <v>5</v>
      </c>
      <c r="G19" s="11" t="e">
        <f>首页!$E$14</f>
        <v>#DIV/0!</v>
      </c>
      <c r="H19" s="12" t="e">
        <f t="shared" si="0"/>
        <v>#DIV/0!</v>
      </c>
    </row>
    <row r="20" customHeight="1" spans="1:8">
      <c r="A20" s="5">
        <v>300</v>
      </c>
      <c r="B20" s="6">
        <v>30</v>
      </c>
      <c r="C20" s="7">
        <v>2</v>
      </c>
      <c r="D20" s="8">
        <v>12</v>
      </c>
      <c r="E20" s="9">
        <v>5</v>
      </c>
      <c r="F20" s="10">
        <v>6.4</v>
      </c>
      <c r="G20" s="11" t="e">
        <f>首页!$E$14</f>
        <v>#DIV/0!</v>
      </c>
      <c r="H20" s="12" t="e">
        <f t="shared" si="0"/>
        <v>#DIV/0!</v>
      </c>
    </row>
    <row r="21" customHeight="1" spans="1:8">
      <c r="A21" s="5">
        <v>300</v>
      </c>
      <c r="B21" s="6">
        <v>40</v>
      </c>
      <c r="C21" s="7">
        <v>2</v>
      </c>
      <c r="D21" s="8">
        <v>12</v>
      </c>
      <c r="E21" s="9">
        <v>5</v>
      </c>
      <c r="F21" s="10">
        <v>5.4</v>
      </c>
      <c r="G21" s="11" t="e">
        <f>首页!$E$14</f>
        <v>#DIV/0!</v>
      </c>
      <c r="H21" s="12" t="e">
        <f t="shared" si="0"/>
        <v>#DIV/0!</v>
      </c>
    </row>
    <row r="22" customHeight="1" spans="1:8">
      <c r="A22" s="5">
        <v>350</v>
      </c>
      <c r="B22" s="6">
        <v>30</v>
      </c>
      <c r="C22" s="7">
        <v>2.5</v>
      </c>
      <c r="D22" s="8">
        <v>12</v>
      </c>
      <c r="E22" s="9">
        <v>5</v>
      </c>
      <c r="F22" s="10">
        <v>6.4</v>
      </c>
      <c r="G22" s="11" t="e">
        <f>首页!$E$14</f>
        <v>#DIV/0!</v>
      </c>
      <c r="H22" s="12" t="e">
        <f t="shared" si="0"/>
        <v>#DIV/0!</v>
      </c>
    </row>
    <row r="23" customHeight="1" spans="1:8">
      <c r="A23" s="5">
        <v>350</v>
      </c>
      <c r="B23" s="6">
        <v>50</v>
      </c>
      <c r="C23" s="7">
        <v>3</v>
      </c>
      <c r="D23" s="8">
        <v>12</v>
      </c>
      <c r="E23" s="9">
        <v>5</v>
      </c>
      <c r="F23" s="10">
        <v>6.4</v>
      </c>
      <c r="G23" s="11" t="e">
        <f>首页!$E$14</f>
        <v>#DIV/0!</v>
      </c>
      <c r="H23" s="12" t="e">
        <f t="shared" si="0"/>
        <v>#DIV/0!</v>
      </c>
    </row>
    <row r="24" customHeight="1" spans="1:8">
      <c r="A24" s="5">
        <v>350</v>
      </c>
      <c r="B24" s="6">
        <v>40</v>
      </c>
      <c r="C24" s="7">
        <v>2.5</v>
      </c>
      <c r="D24" s="8">
        <v>12</v>
      </c>
      <c r="E24" s="9">
        <v>5</v>
      </c>
      <c r="F24" s="10">
        <v>6.4</v>
      </c>
      <c r="G24" s="11" t="e">
        <f>首页!$E$14</f>
        <v>#DIV/0!</v>
      </c>
      <c r="H24" s="12" t="e">
        <f t="shared" si="0"/>
        <v>#DIV/0!</v>
      </c>
    </row>
  </sheetData>
  <mergeCells count="1">
    <mergeCell ref="Z2:Z7"/>
  </mergeCells>
  <dataValidations count="1">
    <dataValidation type="list" allowBlank="1" showInputMessage="1" showErrorMessage="1" sqref="P2">
      <formula1>$B$35:$B$40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首页</vt:lpstr>
      <vt:lpstr>辅助数据1</vt:lpstr>
      <vt:lpstr>辅助数据2</vt:lpstr>
      <vt:lpstr>辅助数据3</vt:lpstr>
      <vt:lpstr>辅助数据4</vt:lpstr>
      <vt:lpstr>辅助数据5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Gs - 田芳镇</cp:lastModifiedBy>
  <dcterms:created xsi:type="dcterms:W3CDTF">2018-02-27T11:14:00Z</dcterms:created>
  <dcterms:modified xsi:type="dcterms:W3CDTF">2018-09-13T02:24:57Z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