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物料清单" sheetId="1" r:id="rId1"/>
  </sheets>
  <definedNames>
    <definedName name="_xlnm.Print_Area" localSheetId="0">物料清单!$A$14:$G$45</definedName>
    <definedName name="_xlnm.Print_Titles" localSheetId="0">物料清单!$14:$20</definedName>
  </definedNames>
  <calcPr calcId="144525"/>
</workbook>
</file>

<file path=xl/comments1.xml><?xml version="1.0" encoding="utf-8"?>
<comments xmlns="http://schemas.openxmlformats.org/spreadsheetml/2006/main">
  <authors>
    <author>TianFangZhen</author>
  </authors>
  <commentList>
    <comment ref="G1" authorId="0">
      <text>
        <r>
          <rPr>
            <b/>
            <sz val="9"/>
            <rFont val="宋体"/>
            <charset val="134"/>
          </rPr>
          <t>该单元格为篷房主型材规格，需手动修改</t>
        </r>
      </text>
    </comment>
    <comment ref="C2" authorId="0">
      <text>
        <r>
          <rPr>
            <b/>
            <sz val="9"/>
            <rFont val="宋体"/>
            <charset val="134"/>
          </rPr>
          <t>该单元格为篷房宽，需手动修改</t>
        </r>
      </text>
    </comment>
    <comment ref="D2" authorId="0">
      <text>
        <r>
          <rPr>
            <b/>
            <sz val="9"/>
            <rFont val="宋体"/>
            <charset val="134"/>
          </rPr>
          <t xml:space="preserve">该单元格为篷房长，需手动修改
</t>
        </r>
      </text>
    </comment>
    <comment ref="E2" authorId="0">
      <text>
        <r>
          <rPr>
            <b/>
            <sz val="9"/>
            <rFont val="宋体"/>
            <charset val="134"/>
          </rPr>
          <t xml:space="preserve">该单元格为篷房数量，需手动修改
</t>
        </r>
      </text>
    </comment>
    <comment ref="F2" authorId="0">
      <text>
        <r>
          <rPr>
            <b/>
            <sz val="9"/>
            <rFont val="宋体"/>
            <charset val="134"/>
          </rPr>
          <t>该单元格为篷房间距，需手动修改</t>
        </r>
        <r>
          <rPr>
            <sz val="9"/>
            <rFont val="宋体"/>
            <charset val="134"/>
          </rPr>
          <t xml:space="preserve">
</t>
        </r>
      </text>
    </comment>
    <comment ref="G2" authorId="0">
      <text>
        <r>
          <rPr>
            <b/>
            <sz val="9"/>
            <rFont val="宋体"/>
            <charset val="134"/>
          </rPr>
          <t xml:space="preserve">该单元格为篷房边高，需手动修改
</t>
        </r>
        <r>
          <rPr>
            <sz val="9"/>
            <rFont val="宋体"/>
            <charset val="134"/>
          </rPr>
          <t xml:space="preserve">
</t>
        </r>
      </text>
    </comment>
    <comment ref="A3" authorId="0">
      <text>
        <r>
          <rPr>
            <b/>
            <sz val="9"/>
            <rFont val="宋体"/>
            <charset val="134"/>
          </rPr>
          <t>篷房总间数=（篷房长/篷房间距）*篷房数量</t>
        </r>
      </text>
    </comment>
    <comment ref="A4" authorId="0">
      <text>
        <r>
          <rPr>
            <b/>
            <sz val="9"/>
            <rFont val="宋体"/>
            <charset val="134"/>
          </rPr>
          <t>篷房总排数=（篷房长/篷房间距+1）*篷房数量</t>
        </r>
      </text>
    </comment>
    <comment ref="A5" authorId="0">
      <text>
        <r>
          <rPr>
            <b/>
            <sz val="9"/>
            <rFont val="宋体"/>
            <charset val="134"/>
          </rPr>
          <t>篷房山尖数=篷房数量*2</t>
        </r>
      </text>
    </comment>
    <comment ref="A6" authorId="0">
      <text>
        <r>
          <rPr>
            <b/>
            <sz val="9"/>
            <rFont val="宋体"/>
            <charset val="134"/>
          </rPr>
          <t>篷房总面积=篷房宽*篷房长*篷房数量</t>
        </r>
      </text>
    </comment>
    <comment ref="A7" authorId="0">
      <text>
        <r>
          <rPr>
            <b/>
            <sz val="9"/>
            <rFont val="宋体"/>
            <charset val="134"/>
          </rPr>
          <t>单座篷房间数=篷房长/篷房间距</t>
        </r>
      </text>
    </comment>
    <comment ref="A8" authorId="0">
      <text>
        <r>
          <rPr>
            <b/>
            <sz val="9"/>
            <rFont val="宋体"/>
            <charset val="134"/>
          </rPr>
          <t>该单元格为判断此座篷房是应该选择30米以下十字撑数量还是选择30米以上十字撑数量</t>
        </r>
      </text>
    </comment>
    <comment ref="A9" authorId="0">
      <text>
        <r>
          <rPr>
            <b/>
            <sz val="9"/>
            <rFont val="宋体"/>
            <charset val="134"/>
          </rPr>
          <t>篷房规格=篷房宽+篷房长+篷房数量
显示结果为：篷房规格：“篷房宽”m × “篷房长”m × “篷房数量” 座</t>
        </r>
      </text>
    </comment>
    <comment ref="A10" authorId="0">
      <text>
        <r>
          <rPr>
            <b/>
            <sz val="9"/>
            <rFont val="宋体"/>
            <charset val="134"/>
          </rPr>
          <t>TianFangZhen:</t>
        </r>
        <r>
          <rPr>
            <sz val="9"/>
            <rFont val="宋体"/>
            <charset val="134"/>
          </rPr>
          <t xml:space="preserve">
</t>
        </r>
      </text>
    </comment>
    <comment ref="B10" authorId="0">
      <text>
        <r>
          <rPr>
            <b/>
            <sz val="9"/>
            <rFont val="宋体"/>
            <charset val="134"/>
          </rPr>
          <t xml:space="preserve">该单元格为30米跨度以下（不含30米）十字撑总根数
</t>
        </r>
        <r>
          <rPr>
            <b/>
            <sz val="15"/>
            <rFont val="宋体"/>
            <charset val="134"/>
          </rPr>
          <t>另，该单元格的数值是在绿色填充位置中提取的</t>
        </r>
      </text>
    </comment>
    <comment ref="B11" authorId="0">
      <text>
        <r>
          <rPr>
            <b/>
            <sz val="9"/>
            <rFont val="宋体"/>
            <charset val="134"/>
          </rPr>
          <t xml:space="preserve">该单元格为30米跨度以上（含30米）十字撑总根数
</t>
        </r>
        <r>
          <rPr>
            <b/>
            <sz val="15"/>
            <rFont val="宋体"/>
            <charset val="134"/>
          </rPr>
          <t>另，该单元格的数值是在蓝色填充位置中提取的</t>
        </r>
      </text>
    </comment>
    <comment ref="A14" authorId="0">
      <text>
        <r>
          <rPr>
            <b/>
            <sz val="9"/>
            <rFont val="宋体"/>
            <charset val="134"/>
          </rPr>
          <t>需自动提取（从联络单中或合同中，以软件方便为主，只要不提取错误就可以）</t>
        </r>
      </text>
    </comment>
    <comment ref="E14" authorId="0">
      <text>
        <r>
          <rPr>
            <b/>
            <sz val="9"/>
            <rFont val="宋体"/>
            <charset val="134"/>
          </rPr>
          <t>需自动提取（从联络单中或合同中，以软件方便为主，只要不提取错误就可以）</t>
        </r>
      </text>
    </comment>
    <comment ref="A15" authorId="0">
      <text>
        <r>
          <rPr>
            <b/>
            <sz val="9"/>
            <rFont val="宋体"/>
            <charset val="134"/>
          </rPr>
          <t xml:space="preserve">需自动提取（从联络单中或合同中，以软件方便为主，只要不提取错误就可以）
</t>
        </r>
      </text>
    </comment>
    <comment ref="E15" authorId="0">
      <text>
        <r>
          <rPr>
            <b/>
            <sz val="9"/>
            <rFont val="宋体"/>
            <charset val="134"/>
          </rPr>
          <t>需自动提取（从联络单中或合同中，以软件方便为主，只要不提取错误就可以）</t>
        </r>
      </text>
    </comment>
    <comment ref="E16" authorId="0">
      <text>
        <r>
          <rPr>
            <b/>
            <sz val="9"/>
            <rFont val="宋体"/>
            <charset val="134"/>
          </rPr>
          <t>需自动提取（从联络单中或合同中，以软件方便为主，只要不提取错误就可以）</t>
        </r>
      </text>
    </comment>
    <comment ref="A17" authorId="0">
      <text>
        <r>
          <rPr>
            <b/>
            <sz val="9"/>
            <rFont val="宋体"/>
            <charset val="134"/>
          </rPr>
          <t xml:space="preserve">需自动提取，提取后可修改，（从联络单中或合同中，以软件方便为主，只要不提取错误就可以）
</t>
        </r>
      </text>
    </comment>
    <comment ref="F17" authorId="0">
      <text>
        <r>
          <rPr>
            <sz val="9"/>
            <rFont val="宋体"/>
            <charset val="134"/>
          </rPr>
          <t>红色区域共4个单元格，从左到右依次提取该表中”C2””G1””G2”单元格的数据并加上文字如红色单元格所示，除3米弧形外，其余均为人字，如6米人字、15米人字</t>
        </r>
      </text>
    </comment>
    <comment ref="A18" authorId="0">
      <text>
        <r>
          <rPr>
            <b/>
            <sz val="9"/>
            <rFont val="宋体"/>
            <charset val="134"/>
          </rPr>
          <t>提取该表中单元格A9位置，数据</t>
        </r>
      </text>
    </comment>
    <comment ref="E18" authorId="0">
      <text>
        <r>
          <rPr>
            <b/>
            <sz val="9"/>
            <rFont val="宋体"/>
            <charset val="134"/>
          </rPr>
          <t>提取该表中单元格A6位置，数据</t>
        </r>
      </text>
    </comment>
    <comment ref="G18" authorId="0">
      <text>
        <r>
          <rPr>
            <b/>
            <sz val="9"/>
            <rFont val="宋体"/>
            <charset val="134"/>
          </rPr>
          <t>将该表中G20一下单元格里面的数值求和</t>
        </r>
      </text>
    </comment>
    <comment ref="A19" authorId="0">
      <text>
        <r>
          <rPr>
            <b/>
            <sz val="9"/>
            <rFont val="宋体"/>
            <charset val="134"/>
          </rPr>
          <t xml:space="preserve">提取该表中单元格A3位置，数据
</t>
        </r>
      </text>
    </comment>
    <comment ref="D19" authorId="0">
      <text>
        <r>
          <rPr>
            <b/>
            <sz val="9"/>
            <rFont val="宋体"/>
            <charset val="134"/>
          </rPr>
          <t>提取该表中单元格A4位置，数据</t>
        </r>
      </text>
    </comment>
    <comment ref="F19" authorId="0">
      <text>
        <r>
          <rPr>
            <b/>
            <sz val="9"/>
            <rFont val="宋体"/>
            <charset val="134"/>
          </rPr>
          <t>提取该表中单元格A5位置，数据</t>
        </r>
      </text>
    </comment>
  </commentList>
</comments>
</file>

<file path=xl/sharedStrings.xml><?xml version="1.0" encoding="utf-8"?>
<sst xmlns="http://schemas.openxmlformats.org/spreadsheetml/2006/main" count="55">
  <si>
    <t>48*84</t>
  </si>
  <si>
    <t>规格：宽*长*数量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</si>
  <si>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</si>
  <si>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</si>
  <si>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</si>
  <si>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</si>
  <si>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</si>
  <si>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</si>
  <si>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</si>
  <si>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</si>
  <si>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</si>
  <si>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</si>
  <si>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</si>
  <si>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</si>
  <si>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</si>
  <si>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</si>
  <si>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</si>
  <si>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</si>
  <si>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</si>
  <si>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</si>
  <si>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</si>
  <si>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</si>
  <si>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</si>
  <si>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</si>
  <si>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弧形梁</t>
  </si>
  <si>
    <t>根</t>
  </si>
  <si>
    <t>侧立柱</t>
  </si>
  <si>
    <t>屋面檩条</t>
  </si>
  <si>
    <t>屋檐檩条</t>
  </si>
  <si>
    <t>端横梁</t>
  </si>
  <si>
    <t>顶布穿管</t>
  </si>
  <si>
    <t>侧横梁</t>
  </si>
  <si>
    <t>小10米以下篷房销售无侧横梁，采用玻璃墙专用十字撑</t>
  </si>
  <si>
    <t>十字撑（剪子股）</t>
  </si>
  <si>
    <t>围布承重管</t>
  </si>
  <si>
    <t>钢部件明细</t>
  </si>
  <si>
    <t>侧立柱芯子（短枪）</t>
  </si>
  <si>
    <t>个</t>
  </si>
  <si>
    <t>侧地脚</t>
  </si>
  <si>
    <t>顶布紧线器</t>
  </si>
  <si>
    <t>顶布连接器</t>
  </si>
  <si>
    <t>三角连接器</t>
  </si>
  <si>
    <t>篷布明细</t>
  </si>
  <si>
    <t>顶布[白]{B类}</t>
  </si>
  <si>
    <t>块</t>
  </si>
  <si>
    <t>山尖布[白]{B类}</t>
  </si>
  <si>
    <t>对</t>
  </si>
  <si>
    <t>围布[白]{B类}</t>
  </si>
  <si>
    <t>围布加宽条[白]{B类}</t>
  </si>
  <si>
    <t>条</t>
  </si>
  <si>
    <t>螺栓明细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</si>
  <si>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12*80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</si>
  <si>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12*120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</si>
  <si>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12*150</t>
    </r>
  </si>
  <si>
    <t>工具明细</t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</si>
</sst>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3" formatCode="_ * #,##0.00_ ;_ * \-#,##0.00_ ;_ * &quot;-&quot;??_ ;_ @_ "/>
    <numFmt numFmtId="176" formatCode="0&quot;米间距&quot;"/>
    <numFmt numFmtId="177" formatCode="0&quot;座&quot;"/>
    <numFmt numFmtId="178" formatCode="0&quot;米&quot;"/>
    <numFmt numFmtId="179" formatCode="0&quot;间&quot;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0" formatCode="0&quot;组&quot;"/>
    <numFmt numFmtId="181" formatCode="0&quot;排&quot;"/>
    <numFmt numFmtId="182" formatCode="0&quot;山&quot;&quot;尖&quot;"/>
    <numFmt numFmtId="183" formatCode="0&quot;㎡&quot;"/>
    <numFmt numFmtId="184" formatCode="&quot;每座&quot;0&quot;间&quot;"/>
    <numFmt numFmtId="185" formatCode="0&quot;根十字撑&quot;"/>
    <numFmt numFmtId="186" formatCode="0&quot;米&quot;&quot;弧&quot;&quot;形&quot;"/>
    <numFmt numFmtId="187" formatCode="0&quot;kg&quot;"/>
    <numFmt numFmtId="188" formatCode="0_ "/>
  </numFmts>
  <fonts count="4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  <scheme val="major"/>
    </font>
    <font>
      <b/>
      <sz val="11"/>
      <color theme="1"/>
      <name val="仿宋"/>
      <charset val="134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b/>
      <sz val="10"/>
      <color theme="1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theme="0"/>
      <name val="仿宋"/>
      <charset val="134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1"/>
      <color theme="0"/>
      <name val="宋体"/>
      <charset val="134"/>
      <scheme val="major"/>
    </font>
    <font>
      <sz val="1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Arial"/>
      <charset val="134"/>
    </font>
    <font>
      <b/>
      <sz val="1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8" fillId="2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17" borderId="10" applyNumberFormat="0" applyAlignment="0" applyProtection="0">
      <alignment vertical="center"/>
    </xf>
    <xf numFmtId="0" fontId="39" fillId="17" borderId="14" applyNumberFormat="0" applyAlignment="0" applyProtection="0">
      <alignment vertical="center"/>
    </xf>
    <xf numFmtId="0" fontId="28" fillId="12" borderId="8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alignment horizontal="center" vertical="center"/>
    </xf>
    <xf numFmtId="178" fontId="3" fillId="0" borderId="1" xfId="0" applyNumberFormat="1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Continuous" vertical="center"/>
    </xf>
    <xf numFmtId="0" fontId="6" fillId="0" borderId="1" xfId="0" applyFont="1" applyFill="1" applyBorder="1" applyAlignment="1" applyProtection="1">
      <alignment horizontal="centerContinuous" vertical="center"/>
    </xf>
    <xf numFmtId="178" fontId="7" fillId="2" borderId="1" xfId="0" applyNumberFormat="1" applyFont="1" applyFill="1" applyBorder="1" applyAlignment="1" applyProtection="1">
      <alignment horizontal="center" vertical="center"/>
      <protection locked="0"/>
    </xf>
    <xf numFmtId="177" fontId="7" fillId="2" borderId="1" xfId="0" applyNumberFormat="1" applyFont="1" applyFill="1" applyBorder="1" applyAlignment="1" applyProtection="1">
      <alignment horizontal="center" vertical="center"/>
      <protection locked="0"/>
    </xf>
    <xf numFmtId="176" fontId="7" fillId="2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79" fontId="6" fillId="0" borderId="1" xfId="0" applyNumberFormat="1" applyFont="1" applyFill="1" applyBorder="1" applyAlignment="1" applyProtection="1">
      <alignment horizontal="center" vertical="center"/>
    </xf>
    <xf numFmtId="180" fontId="9" fillId="3" borderId="1" xfId="0" applyNumberFormat="1" applyFont="1" applyFill="1" applyBorder="1" applyAlignment="1" applyProtection="1">
      <alignment horizontal="center" vertical="center"/>
    </xf>
    <xf numFmtId="180" fontId="9" fillId="4" borderId="1" xfId="0" applyNumberFormat="1" applyFont="1" applyFill="1" applyBorder="1" applyAlignment="1" applyProtection="1">
      <alignment horizontal="center" vertical="center"/>
    </xf>
    <xf numFmtId="181" fontId="6" fillId="0" borderId="1" xfId="0" applyNumberFormat="1" applyFont="1" applyFill="1" applyBorder="1" applyAlignment="1" applyProtection="1">
      <alignment horizontal="center" vertical="center"/>
    </xf>
    <xf numFmtId="182" fontId="6" fillId="0" borderId="1" xfId="0" applyNumberFormat="1" applyFont="1" applyFill="1" applyBorder="1" applyAlignment="1" applyProtection="1">
      <alignment horizontal="center" vertical="center"/>
    </xf>
    <xf numFmtId="183" fontId="6" fillId="0" borderId="1" xfId="0" applyNumberFormat="1" applyFont="1" applyFill="1" applyBorder="1" applyAlignment="1" applyProtection="1">
      <alignment horizontal="center" vertical="center"/>
    </xf>
    <xf numFmtId="184" fontId="6" fillId="0" borderId="1" xfId="0" applyNumberFormat="1" applyFont="1" applyFill="1" applyBorder="1" applyAlignment="1" applyProtection="1">
      <alignment horizontal="center" vertical="center"/>
    </xf>
    <xf numFmtId="185" fontId="6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Protection="1">
      <alignment vertical="center"/>
    </xf>
    <xf numFmtId="0" fontId="10" fillId="0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Continuous" vertical="center"/>
    </xf>
    <xf numFmtId="0" fontId="11" fillId="0" borderId="0" xfId="0" applyFont="1" applyFill="1" applyBorder="1" applyAlignment="1" applyProtection="1">
      <alignment horizontal="centerContinuous" vertical="center"/>
    </xf>
    <xf numFmtId="0" fontId="12" fillId="0" borderId="0" xfId="0" applyFont="1" applyFill="1" applyBorder="1" applyAlignment="1" applyProtection="1">
      <alignment horizontal="centerContinuous" vertical="center"/>
    </xf>
    <xf numFmtId="0" fontId="13" fillId="0" borderId="0" xfId="0" applyFont="1" applyFill="1" applyBorder="1" applyAlignment="1" applyProtection="1">
      <alignment horizontal="centerContinuous" vertical="center"/>
    </xf>
    <xf numFmtId="0" fontId="14" fillId="0" borderId="1" xfId="0" applyFont="1" applyFill="1" applyBorder="1" applyAlignment="1" applyProtection="1">
      <alignment horizontal="left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0" fontId="15" fillId="0" borderId="2" xfId="0" applyFont="1" applyFill="1" applyBorder="1" applyAlignment="1" applyProtection="1">
      <alignment horizontal="center" vertical="center"/>
      <protection locked="0"/>
    </xf>
    <xf numFmtId="186" fontId="16" fillId="5" borderId="1" xfId="0" applyNumberFormat="1" applyFont="1" applyFill="1" applyBorder="1" applyAlignment="1" applyProtection="1">
      <alignment horizontal="right" vertical="center"/>
      <protection locked="0"/>
    </xf>
    <xf numFmtId="0" fontId="16" fillId="5" borderId="1" xfId="0" applyNumberFormat="1" applyFont="1" applyFill="1" applyBorder="1" applyAlignment="1" applyProtection="1">
      <alignment horizontal="right" vertical="center"/>
      <protection locked="0"/>
    </xf>
    <xf numFmtId="0" fontId="16" fillId="5" borderId="1" xfId="0" applyFont="1" applyFill="1" applyBorder="1" applyAlignment="1" applyProtection="1">
      <alignment horizontal="left" vertical="center"/>
      <protection locked="0"/>
    </xf>
    <xf numFmtId="0" fontId="17" fillId="0" borderId="1" xfId="0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183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187" fontId="1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vertical="center" textRotation="255"/>
      <protection locked="0"/>
    </xf>
    <xf numFmtId="0" fontId="1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protection locked="0"/>
    </xf>
    <xf numFmtId="0" fontId="13" fillId="0" borderId="5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13" fillId="0" borderId="6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Protection="1">
      <alignment vertical="center"/>
      <protection locked="0"/>
    </xf>
    <xf numFmtId="1" fontId="20" fillId="0" borderId="1" xfId="0" applyNumberFormat="1" applyFont="1" applyFill="1" applyBorder="1" applyAlignment="1" applyProtection="1">
      <alignment horizontal="center" vertical="center"/>
      <protection locked="0"/>
    </xf>
    <xf numFmtId="188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/>
      <protection locked="0"/>
    </xf>
    <xf numFmtId="0" fontId="19" fillId="0" borderId="1" xfId="0" applyNumberFormat="1" applyFont="1" applyFill="1" applyBorder="1" applyAlignment="1" applyProtection="1">
      <alignment vertical="center" textRotation="255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22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19050</xdr:colOff>
      <xdr:row>3</xdr:row>
      <xdr:rowOff>571500</xdr:rowOff>
    </xdr:from>
    <xdr:to>
      <xdr:col>13</xdr:col>
      <xdr:colOff>266700</xdr:colOff>
      <xdr:row>6</xdr:row>
      <xdr:rowOff>314325</xdr:rowOff>
    </xdr:to>
    <xdr:sp>
      <xdr:nvSpPr>
        <xdr:cNvPr id="3" name="文本框 2"/>
        <xdr:cNvSpPr txBox="1"/>
      </xdr:nvSpPr>
      <xdr:spPr>
        <a:xfrm>
          <a:off x="8486775" y="2095500"/>
          <a:ext cx="3667125" cy="1571625"/>
        </a:xfrm>
        <a:prstGeom prst="rect">
          <a:avLst/>
        </a:prstGeom>
        <a:solidFill>
          <a:srgbClr val="FFC000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600" b="1">
              <a:solidFill>
                <a:srgbClr val="C00000"/>
              </a:solidFill>
            </a:rPr>
            <a:t>该表格中</a:t>
          </a:r>
          <a:r>
            <a:rPr lang="en-US" altLang="zh-CN" sz="1600" b="1">
              <a:solidFill>
                <a:srgbClr val="C00000"/>
              </a:solidFill>
            </a:rPr>
            <a:t>A20</a:t>
          </a:r>
          <a:r>
            <a:rPr lang="zh-CN" altLang="en-US" sz="1600" b="1">
              <a:solidFill>
                <a:srgbClr val="C00000"/>
              </a:solidFill>
            </a:rPr>
            <a:t>行含</a:t>
          </a:r>
          <a:r>
            <a:rPr lang="en-US" altLang="zh-CN" sz="1600" b="1">
              <a:solidFill>
                <a:srgbClr val="C00000"/>
              </a:solidFill>
            </a:rPr>
            <a:t>A20</a:t>
          </a:r>
          <a:r>
            <a:rPr lang="zh-CN" altLang="en-US" sz="1600" b="1">
              <a:solidFill>
                <a:srgbClr val="C00000"/>
              </a:solidFill>
            </a:rPr>
            <a:t>行以上在所有配套表中通用</a:t>
          </a:r>
          <a:endParaRPr lang="zh-CN" altLang="en-US" sz="1600" b="1">
            <a:solidFill>
              <a:srgbClr val="C00000"/>
            </a:solidFill>
          </a:endParaRPr>
        </a:p>
      </xdr:txBody>
    </xdr:sp>
    <xdr:clientData/>
  </xdr:twoCellAnchor>
  <xdr:twoCellAnchor>
    <xdr:from>
      <xdr:col>9</xdr:col>
      <xdr:colOff>476250</xdr:colOff>
      <xdr:row>7</xdr:row>
      <xdr:rowOff>485775</xdr:rowOff>
    </xdr:from>
    <xdr:to>
      <xdr:col>12</xdr:col>
      <xdr:colOff>334010</xdr:colOff>
      <xdr:row>8</xdr:row>
      <xdr:rowOff>381635</xdr:rowOff>
    </xdr:to>
    <xdr:sp>
      <xdr:nvSpPr>
        <xdr:cNvPr id="2" name="文本框 1"/>
        <xdr:cNvSpPr txBox="1"/>
      </xdr:nvSpPr>
      <xdr:spPr>
        <a:xfrm>
          <a:off x="9620250" y="4448175"/>
          <a:ext cx="1915160" cy="505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scene3d>
            <a:camera prst="orthographicFront"/>
            <a:lightRig rig="threePt" dir="t"/>
          </a:scene3d>
        </a:bodyPr>
        <a:lstStyle/>
        <a:p>
          <a:pPr algn="ctr"/>
          <a:r>
            <a:rPr lang="zh-CN" altLang="en-US" sz="200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修改处</a:t>
          </a:r>
          <a:endParaRPr lang="zh-CN" altLang="en-US" sz="200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9</xdr:col>
      <xdr:colOff>476250</xdr:colOff>
      <xdr:row>8</xdr:row>
      <xdr:rowOff>128905</xdr:rowOff>
    </xdr:from>
    <xdr:to>
      <xdr:col>9</xdr:col>
      <xdr:colOff>476250</xdr:colOff>
      <xdr:row>8</xdr:row>
      <xdr:rowOff>128905</xdr:rowOff>
    </xdr:to>
    <xdr:cxnSp>
      <xdr:nvCxnSpPr>
        <xdr:cNvPr id="4" name="直接箭头连接符 3"/>
        <xdr:cNvCxnSpPr>
          <a:stCxn id="2" idx="1"/>
          <a:endCxn id="2" idx="1"/>
        </xdr:cNvCxnSpPr>
      </xdr:nvCxnSpPr>
      <xdr:spPr>
        <a:xfrm>
          <a:off x="9620250" y="4700905"/>
          <a:ext cx="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8</xdr:row>
      <xdr:rowOff>171450</xdr:rowOff>
    </xdr:from>
    <xdr:to>
      <xdr:col>9</xdr:col>
      <xdr:colOff>561975</xdr:colOff>
      <xdr:row>9</xdr:row>
      <xdr:rowOff>323850</xdr:rowOff>
    </xdr:to>
    <xdr:cxnSp>
      <xdr:nvCxnSpPr>
        <xdr:cNvPr id="5" name="直接箭头连接符 4"/>
        <xdr:cNvCxnSpPr/>
      </xdr:nvCxnSpPr>
      <xdr:spPr>
        <a:xfrm flipH="1">
          <a:off x="8658225" y="4743450"/>
          <a:ext cx="104775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8</xdr:row>
      <xdr:rowOff>412750</xdr:rowOff>
    </xdr:from>
    <xdr:to>
      <xdr:col>10</xdr:col>
      <xdr:colOff>641350</xdr:colOff>
      <xdr:row>11</xdr:row>
      <xdr:rowOff>0</xdr:rowOff>
    </xdr:to>
    <xdr:cxnSp>
      <xdr:nvCxnSpPr>
        <xdr:cNvPr id="6" name="直接箭头连接符 5"/>
        <xdr:cNvCxnSpPr/>
      </xdr:nvCxnSpPr>
      <xdr:spPr>
        <a:xfrm flipH="1">
          <a:off x="8343900" y="4984750"/>
          <a:ext cx="2127250" cy="1416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vmlDrawing" Target="../drawings/vmlDrawing2.v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5"/>
  <sheetViews>
    <sheetView showGridLines="0" tabSelected="1" topLeftCell="A2" workbookViewId="0">
      <selection activeCell="H4" sqref="H4"/>
    </sheetView>
  </sheetViews>
  <sheetFormatPr defaultColWidth="9" defaultRowHeight="15" customHeight="1"/>
  <cols>
    <col min="1" max="1" width="28.375" style="1" customWidth="1"/>
    <col min="2" max="2" width="20.625" style="1" customWidth="1"/>
    <col min="3" max="7" width="10.625" style="1" customWidth="1"/>
    <col min="8" max="8" width="9" style="1"/>
    <col min="9" max="9" width="8.875" style="1" customWidth="1"/>
    <col min="10" max="16384" width="9" style="1"/>
  </cols>
  <sheetData>
    <row r="1" ht="48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ht="24" customHeight="1" spans="1:8">
      <c r="A2" s="9" t="s">
        <v>1</v>
      </c>
      <c r="B2" s="10"/>
      <c r="C2" s="11">
        <v>3</v>
      </c>
      <c r="D2" s="11">
        <v>24</v>
      </c>
      <c r="E2" s="12">
        <v>1</v>
      </c>
      <c r="F2" s="13">
        <v>3</v>
      </c>
      <c r="G2" s="7">
        <v>2.8</v>
      </c>
      <c r="H2" s="14"/>
    </row>
    <row r="3" ht="48" customHeight="1" spans="1:8">
      <c r="A3" s="15">
        <f>D2/F2*E2</f>
        <v>8</v>
      </c>
      <c r="B3" s="16" t="str">
        <f>IF(AND(A7&gt;=1,A7&lt;=1),1,"")</f>
        <v/>
      </c>
      <c r="C3" s="16" t="str">
        <f>IF(AND(A7&gt;=27,A7&lt;=31),7,"")</f>
        <v/>
      </c>
      <c r="D3" s="16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7" t="str">
        <f>IF(AND(A7&gt;=63,A7&lt;=68),24,"")</f>
        <v/>
      </c>
      <c r="H3" s="14"/>
    </row>
    <row r="4" ht="48" customHeight="1" spans="1:8">
      <c r="A4" s="18">
        <f>(D2/F2+1)*E2</f>
        <v>9</v>
      </c>
      <c r="B4" s="16" t="str">
        <f>IF(AND(A7&gt;=2,A7&lt;=6),2,"")</f>
        <v/>
      </c>
      <c r="C4" s="16" t="str">
        <f>IF(AND(A7&gt;=32,A7&lt;=36),8,"")</f>
        <v/>
      </c>
      <c r="D4" s="16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7" t="str">
        <f>IF(AND(A7&gt;=69,A7&lt;=74),26,"")</f>
        <v/>
      </c>
      <c r="H4" s="14"/>
    </row>
    <row r="5" ht="48" customHeight="1" spans="1:8">
      <c r="A5" s="19">
        <f>E2*2</f>
        <v>2</v>
      </c>
      <c r="B5" s="16">
        <f>IF(AND(A7&gt;=7,A7&lt;=11),3,"")</f>
        <v>3</v>
      </c>
      <c r="C5" s="16" t="str">
        <f>IF(AND(A7&gt;=37,A7&lt;=41),9,"")</f>
        <v/>
      </c>
      <c r="D5" s="16" t="str">
        <f>IF(AND(A7&gt;=67,A7&lt;=71),15,"")</f>
        <v/>
      </c>
      <c r="E5" s="17">
        <f>IF(AND(A7&gt;=4,A7&lt;=8),4,"")</f>
        <v>4</v>
      </c>
      <c r="F5" s="17" t="str">
        <f>IF(AND(A7&gt;=39,A7&lt;=44),16,"")</f>
        <v/>
      </c>
      <c r="G5" s="17" t="str">
        <f>IF(AND(A7&gt;=75,A7&lt;=80),28,"")</f>
        <v/>
      </c>
      <c r="H5" s="14"/>
    </row>
    <row r="6" ht="48" customHeight="1" spans="1:8">
      <c r="A6" s="20">
        <f>(C2*D2)*E2</f>
        <v>72</v>
      </c>
      <c r="B6" s="16" t="str">
        <f>IF(AND(A7&gt;=12,A7&lt;=16),4,"")</f>
        <v/>
      </c>
      <c r="C6" s="16" t="str">
        <f>IF(AND(A7&gt;=42,A7&lt;=46),10,"")</f>
        <v/>
      </c>
      <c r="D6" s="16" t="str">
        <f>IF(AND(A7&gt;=72,A7&lt;=76),16,"")</f>
        <v/>
      </c>
      <c r="E6" s="17" t="str">
        <f>IF(AND(A7&gt;=9,A7&lt;=14),6,"")</f>
        <v/>
      </c>
      <c r="F6" s="17" t="str">
        <f>IF(AND(A7&gt;=45,A7&lt;=50),18,"")</f>
        <v/>
      </c>
      <c r="G6" s="17" t="str">
        <f>IF(AND(A7&gt;=81,A7&lt;=86),30,"")</f>
        <v/>
      </c>
      <c r="H6" s="14"/>
    </row>
    <row r="7" ht="48" customHeight="1" spans="1:8">
      <c r="A7" s="21">
        <f>D2/F2</f>
        <v>8</v>
      </c>
      <c r="B7" s="16" t="str">
        <f>IF(AND(A7&gt;=17,A7&lt;=21),5,"")</f>
        <v/>
      </c>
      <c r="C7" s="16" t="str">
        <f>IF(AND(A7&gt;=47,A7&lt;=51),11,"")</f>
        <v/>
      </c>
      <c r="D7" s="16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7" t="str">
        <f>IF(AND(A7&gt;=87,A7&lt;=92),32,"")</f>
        <v/>
      </c>
      <c r="H7" s="14"/>
    </row>
    <row r="8" ht="48" customHeight="1" spans="1:8">
      <c r="A8" s="22">
        <f>SUM(A10:A11)</f>
        <v>12</v>
      </c>
      <c r="B8" s="16" t="str">
        <f>IF(AND(A7&gt;=22,A7&lt;=26),6,"")</f>
        <v/>
      </c>
      <c r="C8" s="16" t="str">
        <f>IF(AND(A7&gt;=52,A7&lt;=56),12,"")</f>
        <v/>
      </c>
      <c r="D8" s="16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7" t="str">
        <f>IF(AND(A7&gt;=93,A7&lt;=98),34,"")</f>
        <v/>
      </c>
      <c r="H8" s="14"/>
    </row>
    <row r="9" ht="48" customHeight="1" spans="1:8">
      <c r="A9" s="23" t="str">
        <f>"篷房规格："&amp;C2&amp;"m × "&amp;D2&amp;"m × "&amp;E2&amp;"座"</f>
        <v>篷房规格：3m × 24m × 1座</v>
      </c>
      <c r="B9" s="23"/>
      <c r="C9" s="23"/>
      <c r="D9" s="23"/>
      <c r="E9" s="23"/>
      <c r="F9" s="23"/>
      <c r="G9" s="23"/>
      <c r="H9" s="14"/>
    </row>
    <row r="10" ht="48" customHeight="1" spans="1:8">
      <c r="A10" s="22">
        <f>IF(AND(C2&gt;=0,C2&lt;=25),B10,"")</f>
        <v>12</v>
      </c>
      <c r="B10" s="22">
        <f>SUM(B3:D8)*4*E2</f>
        <v>12</v>
      </c>
      <c r="C10" s="24"/>
      <c r="D10" s="25"/>
      <c r="E10" s="25"/>
      <c r="F10" s="25"/>
      <c r="G10" s="25"/>
      <c r="H10" s="14"/>
    </row>
    <row r="11" ht="48" customHeight="1" spans="1:7">
      <c r="A11" s="22" t="str">
        <f>IF(AND(C2&gt;=26,C2&lt;=100),B11,"")</f>
        <v/>
      </c>
      <c r="B11" s="22">
        <f>SUM(E3:G8)*4*E2</f>
        <v>16</v>
      </c>
      <c r="C11" s="25"/>
      <c r="D11" s="25"/>
      <c r="E11" s="25"/>
      <c r="F11" s="25"/>
      <c r="G11" s="25"/>
    </row>
    <row r="12" ht="48" customHeight="1" spans="1:13">
      <c r="A12" s="9" t="s">
        <v>2</v>
      </c>
      <c r="B12" s="9"/>
      <c r="C12" s="26"/>
      <c r="D12" s="26"/>
      <c r="E12" s="26"/>
      <c r="F12" s="26"/>
      <c r="G12" s="26"/>
      <c r="K12" s="66"/>
      <c r="L12" s="66"/>
      <c r="M12" s="66"/>
    </row>
    <row r="13" ht="5.1" customHeight="1" spans="1:7">
      <c r="A13" s="27"/>
      <c r="B13" s="28"/>
      <c r="C13" s="29"/>
      <c r="D13" s="29"/>
      <c r="E13" s="29"/>
      <c r="F13" s="29"/>
      <c r="G13" s="29"/>
    </row>
    <row r="14" ht="20.1" customHeight="1" spans="1:7">
      <c r="A14" s="30" t="s">
        <v>3</v>
      </c>
      <c r="B14" s="30"/>
      <c r="C14" s="31"/>
      <c r="D14" s="30"/>
      <c r="E14" s="30" t="s">
        <v>4</v>
      </c>
      <c r="F14" s="30"/>
      <c r="G14" s="30"/>
    </row>
    <row r="15" ht="20.1" customHeight="1" spans="1:7">
      <c r="A15" s="32" t="s">
        <v>5</v>
      </c>
      <c r="B15" s="32"/>
      <c r="C15" s="33"/>
      <c r="D15" s="32"/>
      <c r="E15" s="30" t="s">
        <v>6</v>
      </c>
      <c r="F15" s="30"/>
      <c r="G15" s="30"/>
    </row>
    <row r="16" ht="20.1" customHeight="1" spans="1:7">
      <c r="A16" s="32"/>
      <c r="B16" s="32"/>
      <c r="C16" s="33"/>
      <c r="D16" s="32"/>
      <c r="E16" s="30" t="s">
        <v>7</v>
      </c>
      <c r="F16" s="30"/>
      <c r="G16" s="30"/>
    </row>
    <row r="17" ht="20.1" customHeight="1" spans="1:7">
      <c r="A17" s="34" t="s">
        <v>8</v>
      </c>
      <c r="B17" s="35"/>
      <c r="C17" s="36">
        <f>C2</f>
        <v>3</v>
      </c>
      <c r="D17" s="37" t="str">
        <f>"（"&amp;G1&amp;"料"</f>
        <v>（48*84料</v>
      </c>
      <c r="E17" s="38" t="str">
        <f>G2&amp;"米边高)"</f>
        <v>2.8米边高)</v>
      </c>
      <c r="F17" s="38" t="s">
        <v>9</v>
      </c>
      <c r="G17" s="38"/>
    </row>
    <row r="18" customHeight="1" spans="1:8">
      <c r="A18" s="39" t="str">
        <f>A9</f>
        <v>篷房规格：3m × 24m × 1座</v>
      </c>
      <c r="B18" s="39"/>
      <c r="C18" s="39"/>
      <c r="D18" s="40" t="s">
        <v>10</v>
      </c>
      <c r="E18" s="41">
        <f>A6</f>
        <v>72</v>
      </c>
      <c r="F18" s="42" t="s">
        <v>11</v>
      </c>
      <c r="G18" s="43">
        <f>SUM(C21:C500)</f>
        <v>905.35</v>
      </c>
      <c r="H18" s="44"/>
    </row>
    <row r="19" customHeight="1" spans="1:8">
      <c r="A19" s="45">
        <f>A3</f>
        <v>8</v>
      </c>
      <c r="B19" s="45"/>
      <c r="C19" s="31" t="s">
        <v>12</v>
      </c>
      <c r="D19" s="46">
        <f>A4</f>
        <v>9</v>
      </c>
      <c r="E19" s="47" t="s">
        <v>13</v>
      </c>
      <c r="F19" s="45">
        <f>A5</f>
        <v>2</v>
      </c>
      <c r="G19" s="47" t="s">
        <v>14</v>
      </c>
      <c r="H19" s="44"/>
    </row>
    <row r="20" ht="24.95" customHeight="1" spans="1:8">
      <c r="A20" s="48" t="s">
        <v>15</v>
      </c>
      <c r="B20" s="47" t="s">
        <v>16</v>
      </c>
      <c r="C20" s="31" t="s">
        <v>17</v>
      </c>
      <c r="D20" s="47" t="s">
        <v>18</v>
      </c>
      <c r="E20" s="47" t="s">
        <v>19</v>
      </c>
      <c r="F20" s="47" t="s">
        <v>20</v>
      </c>
      <c r="G20" s="47" t="s">
        <v>21</v>
      </c>
      <c r="H20" s="49" t="s">
        <v>22</v>
      </c>
    </row>
    <row r="21" customHeight="1" spans="1:8">
      <c r="A21" s="50" t="s">
        <v>23</v>
      </c>
      <c r="B21" s="51" t="s">
        <v>24</v>
      </c>
      <c r="C21" s="52">
        <f t="shared" ref="C21:C33" si="0">E21*H21</f>
        <v>63</v>
      </c>
      <c r="D21" s="52" t="s">
        <v>25</v>
      </c>
      <c r="E21" s="53">
        <f>D19*1</f>
        <v>9</v>
      </c>
      <c r="F21" s="53"/>
      <c r="G21" s="54"/>
      <c r="H21" s="55">
        <v>7</v>
      </c>
    </row>
    <row r="22" customHeight="1" spans="1:8">
      <c r="A22" s="50"/>
      <c r="B22" s="51" t="s">
        <v>26</v>
      </c>
      <c r="C22" s="52">
        <f t="shared" si="0"/>
        <v>100.8</v>
      </c>
      <c r="D22" s="52" t="s">
        <v>25</v>
      </c>
      <c r="E22" s="53">
        <f>D19*2</f>
        <v>18</v>
      </c>
      <c r="F22" s="53"/>
      <c r="G22" s="56"/>
      <c r="H22" s="57">
        <v>5.6</v>
      </c>
    </row>
    <row r="23" customHeight="1" spans="1:8">
      <c r="A23" s="50"/>
      <c r="B23" s="51" t="s">
        <v>27</v>
      </c>
      <c r="C23" s="52">
        <f t="shared" si="0"/>
        <v>20.8</v>
      </c>
      <c r="D23" s="52" t="s">
        <v>25</v>
      </c>
      <c r="E23" s="53">
        <f>A19*1</f>
        <v>8</v>
      </c>
      <c r="F23" s="53"/>
      <c r="G23" s="56"/>
      <c r="H23" s="55">
        <v>2.6</v>
      </c>
    </row>
    <row r="24" customHeight="1" spans="1:8">
      <c r="A24" s="50"/>
      <c r="B24" s="51" t="s">
        <v>28</v>
      </c>
      <c r="C24" s="52">
        <f t="shared" si="0"/>
        <v>74.4</v>
      </c>
      <c r="D24" s="52" t="s">
        <v>25</v>
      </c>
      <c r="E24" s="53">
        <f>A19*2</f>
        <v>16</v>
      </c>
      <c r="F24" s="58"/>
      <c r="G24" s="53"/>
      <c r="H24" s="55">
        <v>4.65</v>
      </c>
    </row>
    <row r="25" customHeight="1" spans="1:8">
      <c r="A25" s="50"/>
      <c r="B25" s="51" t="s">
        <v>29</v>
      </c>
      <c r="C25" s="52">
        <f t="shared" si="0"/>
        <v>8.5</v>
      </c>
      <c r="D25" s="52" t="s">
        <v>25</v>
      </c>
      <c r="E25" s="59">
        <f>F19</f>
        <v>2</v>
      </c>
      <c r="F25" s="53"/>
      <c r="G25" s="56"/>
      <c r="H25" s="55">
        <v>4.25</v>
      </c>
    </row>
    <row r="26" customHeight="1" spans="1:8">
      <c r="A26" s="50"/>
      <c r="B26" s="51" t="s">
        <v>30</v>
      </c>
      <c r="C26" s="52">
        <f t="shared" si="0"/>
        <v>113.4</v>
      </c>
      <c r="D26" s="52" t="s">
        <v>25</v>
      </c>
      <c r="E26" s="53">
        <f>A19*2+F19</f>
        <v>18</v>
      </c>
      <c r="F26" s="53"/>
      <c r="G26" s="56"/>
      <c r="H26" s="55">
        <v>6.3</v>
      </c>
    </row>
    <row r="27" customHeight="1" spans="1:9">
      <c r="A27" s="50"/>
      <c r="B27" s="51" t="s">
        <v>31</v>
      </c>
      <c r="C27" s="52">
        <f t="shared" si="0"/>
        <v>59.4</v>
      </c>
      <c r="D27" s="52" t="s">
        <v>25</v>
      </c>
      <c r="E27" s="59">
        <f>E28/2</f>
        <v>6</v>
      </c>
      <c r="F27" s="59"/>
      <c r="G27" s="56"/>
      <c r="H27" s="55">
        <v>9.9</v>
      </c>
      <c r="I27" s="67" t="s">
        <v>32</v>
      </c>
    </row>
    <row r="28" customHeight="1" spans="1:8">
      <c r="A28" s="50"/>
      <c r="B28" s="51" t="s">
        <v>33</v>
      </c>
      <c r="C28" s="52">
        <f t="shared" si="0"/>
        <v>97.2</v>
      </c>
      <c r="D28" s="52" t="s">
        <v>25</v>
      </c>
      <c r="E28" s="60">
        <f>A8</f>
        <v>12</v>
      </c>
      <c r="F28" s="53"/>
      <c r="G28" s="56"/>
      <c r="H28" s="55">
        <v>8.1</v>
      </c>
    </row>
    <row r="29" customHeight="1" spans="1:8">
      <c r="A29" s="61"/>
      <c r="B29" s="51" t="s">
        <v>34</v>
      </c>
      <c r="C29" s="52">
        <f t="shared" si="0"/>
        <v>49.5</v>
      </c>
      <c r="D29" s="52" t="s">
        <v>25</v>
      </c>
      <c r="E29" s="60">
        <f>A19*2+F19</f>
        <v>18</v>
      </c>
      <c r="F29" s="53"/>
      <c r="G29" s="56"/>
      <c r="H29" s="55">
        <v>2.75</v>
      </c>
    </row>
    <row r="30" customHeight="1" spans="1:8">
      <c r="A30" s="62" t="s">
        <v>35</v>
      </c>
      <c r="B30" s="51" t="s">
        <v>36</v>
      </c>
      <c r="C30" s="52">
        <f t="shared" si="0"/>
        <v>48.6</v>
      </c>
      <c r="D30" s="52" t="s">
        <v>37</v>
      </c>
      <c r="E30" s="53">
        <f>D19*2</f>
        <v>18</v>
      </c>
      <c r="F30" s="52"/>
      <c r="G30" s="52"/>
      <c r="H30" s="55">
        <v>2.7</v>
      </c>
    </row>
    <row r="31" customHeight="1" spans="1:8">
      <c r="A31" s="62"/>
      <c r="B31" s="51" t="s">
        <v>38</v>
      </c>
      <c r="C31" s="52">
        <f t="shared" si="0"/>
        <v>30.6</v>
      </c>
      <c r="D31" s="52" t="s">
        <v>37</v>
      </c>
      <c r="E31" s="59">
        <f>E22</f>
        <v>18</v>
      </c>
      <c r="F31" s="59"/>
      <c r="G31" s="56"/>
      <c r="H31" s="55">
        <v>1.7</v>
      </c>
    </row>
    <row r="32" customHeight="1" spans="1:8">
      <c r="A32" s="62"/>
      <c r="B32" s="51" t="s">
        <v>39</v>
      </c>
      <c r="C32" s="52">
        <f t="shared" si="0"/>
        <v>8.1</v>
      </c>
      <c r="D32" s="52" t="s">
        <v>37</v>
      </c>
      <c r="E32" s="53">
        <f>D19*2</f>
        <v>18</v>
      </c>
      <c r="F32" s="53"/>
      <c r="G32" s="56"/>
      <c r="H32" s="55">
        <v>0.45</v>
      </c>
    </row>
    <row r="33" customHeight="1" spans="1:8">
      <c r="A33" s="62"/>
      <c r="B33" s="51" t="s">
        <v>40</v>
      </c>
      <c r="C33" s="52">
        <f t="shared" si="0"/>
        <v>6.4</v>
      </c>
      <c r="D33" s="52" t="s">
        <v>37</v>
      </c>
      <c r="E33" s="59">
        <f>(D19*2)-F19</f>
        <v>16</v>
      </c>
      <c r="F33" s="59"/>
      <c r="G33" s="56"/>
      <c r="H33" s="55">
        <v>0.4</v>
      </c>
    </row>
    <row r="34" customHeight="1" spans="1:8">
      <c r="A34" s="62"/>
      <c r="B34" s="51" t="s">
        <v>41</v>
      </c>
      <c r="C34" s="52">
        <f t="shared" ref="C34:C41" si="1">E34*H34</f>
        <v>2.4</v>
      </c>
      <c r="D34" s="52" t="s">
        <v>37</v>
      </c>
      <c r="E34" s="53">
        <f>F19*2</f>
        <v>4</v>
      </c>
      <c r="F34" s="53"/>
      <c r="G34" s="56"/>
      <c r="H34" s="55">
        <v>0.6</v>
      </c>
    </row>
    <row r="35" customHeight="1" spans="1:8">
      <c r="A35" s="63" t="s">
        <v>42</v>
      </c>
      <c r="B35" s="51" t="s">
        <v>43</v>
      </c>
      <c r="C35" s="52">
        <f t="shared" si="1"/>
        <v>86</v>
      </c>
      <c r="D35" s="52" t="s">
        <v>44</v>
      </c>
      <c r="E35" s="53">
        <f>A19</f>
        <v>8</v>
      </c>
      <c r="F35" s="53"/>
      <c r="G35" s="64"/>
      <c r="H35" s="55">
        <v>10.75</v>
      </c>
    </row>
    <row r="36" customHeight="1" spans="1:8">
      <c r="A36" s="50"/>
      <c r="B36" s="51" t="s">
        <v>45</v>
      </c>
      <c r="C36" s="52">
        <f t="shared" si="1"/>
        <v>8.3</v>
      </c>
      <c r="D36" s="52" t="s">
        <v>46</v>
      </c>
      <c r="E36" s="53">
        <f>F19</f>
        <v>2</v>
      </c>
      <c r="F36" s="53"/>
      <c r="G36" s="56"/>
      <c r="H36" s="55">
        <v>4.15</v>
      </c>
    </row>
    <row r="37" customHeight="1" spans="1:8">
      <c r="A37" s="50"/>
      <c r="B37" s="51" t="s">
        <v>47</v>
      </c>
      <c r="C37" s="52">
        <f t="shared" si="1"/>
        <v>109.8</v>
      </c>
      <c r="D37" s="52" t="s">
        <v>46</v>
      </c>
      <c r="E37" s="53">
        <f>A19*2+F19</f>
        <v>18</v>
      </c>
      <c r="F37" s="53"/>
      <c r="G37" s="56"/>
      <c r="H37" s="55">
        <v>6.1</v>
      </c>
    </row>
    <row r="38" customHeight="1" spans="1:8">
      <c r="A38" s="61"/>
      <c r="B38" s="51" t="s">
        <v>48</v>
      </c>
      <c r="C38" s="52">
        <f t="shared" si="1"/>
        <v>0.6</v>
      </c>
      <c r="D38" s="52" t="s">
        <v>49</v>
      </c>
      <c r="E38" s="53">
        <f>F19</f>
        <v>2</v>
      </c>
      <c r="F38" s="53"/>
      <c r="G38" s="56"/>
      <c r="H38" s="55">
        <v>0.3</v>
      </c>
    </row>
    <row r="39" customHeight="1" spans="1:8">
      <c r="A39" s="62" t="s">
        <v>50</v>
      </c>
      <c r="B39" s="51" t="s">
        <v>51</v>
      </c>
      <c r="C39" s="52">
        <f t="shared" si="1"/>
        <v>5.4</v>
      </c>
      <c r="D39" s="52" t="s">
        <v>37</v>
      </c>
      <c r="E39" s="53">
        <f>D19*8</f>
        <v>72</v>
      </c>
      <c r="F39" s="53"/>
      <c r="G39" s="56"/>
      <c r="H39" s="55">
        <v>0.075</v>
      </c>
    </row>
    <row r="40" customHeight="1" spans="1:8">
      <c r="A40" s="62"/>
      <c r="B40" s="51" t="s">
        <v>52</v>
      </c>
      <c r="C40" s="52">
        <f t="shared" si="1"/>
        <v>2.07</v>
      </c>
      <c r="D40" s="52" t="s">
        <v>37</v>
      </c>
      <c r="E40" s="53">
        <f>E31</f>
        <v>18</v>
      </c>
      <c r="F40" s="53"/>
      <c r="G40" s="56"/>
      <c r="H40" s="55">
        <v>0.115</v>
      </c>
    </row>
    <row r="41" customHeight="1" spans="1:8">
      <c r="A41" s="62"/>
      <c r="B41" s="51" t="s">
        <v>53</v>
      </c>
      <c r="C41" s="52">
        <f t="shared" si="1"/>
        <v>10.08</v>
      </c>
      <c r="D41" s="52" t="s">
        <v>37</v>
      </c>
      <c r="E41" s="53">
        <f>E27*4+E28*4</f>
        <v>72</v>
      </c>
      <c r="F41" s="53"/>
      <c r="G41" s="56"/>
      <c r="H41" s="55">
        <v>0.14</v>
      </c>
    </row>
    <row r="42" customHeight="1" spans="1:8">
      <c r="A42" s="65" t="s">
        <v>54</v>
      </c>
      <c r="B42" s="51"/>
      <c r="C42" s="52"/>
      <c r="D42" s="52"/>
      <c r="E42" s="53"/>
      <c r="F42" s="53"/>
      <c r="G42" s="56"/>
      <c r="H42" s="55"/>
    </row>
    <row r="43" customHeight="1" spans="1:8">
      <c r="A43" s="65"/>
      <c r="B43" s="51"/>
      <c r="C43" s="52"/>
      <c r="D43" s="52"/>
      <c r="E43" s="53"/>
      <c r="F43" s="53"/>
      <c r="G43" s="56"/>
      <c r="H43" s="55"/>
    </row>
    <row r="44" customHeight="1" spans="1:8">
      <c r="A44" s="65"/>
      <c r="B44" s="51"/>
      <c r="C44" s="52"/>
      <c r="D44" s="52"/>
      <c r="E44" s="53"/>
      <c r="F44" s="53"/>
      <c r="G44" s="56"/>
      <c r="H44" s="55"/>
    </row>
    <row r="45" customHeight="1" spans="1:8">
      <c r="A45" s="65"/>
      <c r="B45" s="51"/>
      <c r="C45" s="52"/>
      <c r="D45" s="52"/>
      <c r="E45" s="53"/>
      <c r="F45" s="53"/>
      <c r="G45" s="56"/>
      <c r="H45" s="55"/>
    </row>
  </sheetData>
  <sheetProtection formatCells="0" formatColumns="0" formatRows="0" insertRows="0" insertColumns="0" insertHyperlinks="0" deleteColumns="0" deleteRows="0" sort="0" autoFilter="0" pivotTables="0"/>
  <mergeCells count="15">
    <mergeCell ref="K12:M12"/>
    <mergeCell ref="A14:D14"/>
    <mergeCell ref="E14:G14"/>
    <mergeCell ref="E15:G15"/>
    <mergeCell ref="E16:G16"/>
    <mergeCell ref="A17:B17"/>
    <mergeCell ref="F17:G17"/>
    <mergeCell ref="A18:C18"/>
    <mergeCell ref="A19:B19"/>
    <mergeCell ref="A21:A29"/>
    <mergeCell ref="A30:A34"/>
    <mergeCell ref="A35:A38"/>
    <mergeCell ref="A39:A41"/>
    <mergeCell ref="A42:A45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Windows</cp:lastModifiedBy>
  <dcterms:created xsi:type="dcterms:W3CDTF">2018-02-27T11:14:00Z</dcterms:created>
  <dcterms:modified xsi:type="dcterms:W3CDTF">2018-09-03T09:09:17Z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  <property fmtid="{D5CDD505-2E9C-101B-9397-08002B2CF9AE}" pid="3" name="办公室">
    <vt:lpwstr>2052-10.1.0.7346</vt:lpwstr>
  </property>
</Properties>
</file>