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385" windowHeight="8385" tabRatio="819" firstSheet="1" activeTab="1"/>
  </bookViews>
  <sheets>
    <sheet name="数据修改（批量）" sheetId="92" state="hidden" r:id="rId1"/>
    <sheet name="骨架类A" sheetId="93" r:id="rId2"/>
    <sheet name="钢部件类B" sheetId="96" r:id="rId3"/>
    <sheet name="篷布类C" sheetId="97" r:id="rId4"/>
    <sheet name="固定类D" sheetId="98" r:id="rId5"/>
    <sheet name="工具类E" sheetId="99" r:id="rId6"/>
    <sheet name="配套类F" sheetId="100" r:id="rId7"/>
    <sheet name="幔类G" sheetId="101" r:id="rId8"/>
    <sheet name="3米（尖顶）-55料" sheetId="2" state="hidden" r:id="rId9"/>
    <sheet name="3米（尖顶）-84料" sheetId="3" state="hidden" r:id="rId10"/>
    <sheet name="3米（尖顶）参数" sheetId="4" state="hidden" r:id="rId11"/>
    <sheet name="4米（尖顶）-55料" sheetId="5" state="hidden" r:id="rId12"/>
    <sheet name="4米（尖顶）-84料" sheetId="6" state="hidden" r:id="rId13"/>
    <sheet name="4米（尖顶）参数" sheetId="7" state="hidden" r:id="rId14"/>
    <sheet name="5米（尖顶）-84料" sheetId="8" state="hidden" r:id="rId15"/>
    <sheet name="5米（尖顶）-100料" sheetId="9" state="hidden" r:id="rId16"/>
    <sheet name="5米（尖顶）参数" sheetId="10" state="hidden" r:id="rId17"/>
    <sheet name="6米（尖顶）-84料" sheetId="11" state="hidden" r:id="rId18"/>
    <sheet name="6米（尖顶）-100料" sheetId="12" state="hidden" r:id="rId19"/>
    <sheet name="6米（尖顶）参数" sheetId="13" state="hidden" r:id="rId20"/>
    <sheet name="3米（弧形84料）" sheetId="14" state="hidden" r:id="rId21"/>
    <sheet name="3米（弧形84料）参数 " sheetId="15" state="hidden" r:id="rId22"/>
    <sheet name="3米（人字84料）-2.8米" sheetId="16" state="hidden" r:id="rId23"/>
    <sheet name="3米（人字84料）参数" sheetId="17" state="hidden" r:id="rId24"/>
    <sheet name="6米（人字84料）-2.8米" sheetId="18" state="hidden" r:id="rId25"/>
    <sheet name="6米（人字84料）参数" sheetId="19" state="hidden" r:id="rId26"/>
    <sheet name="7米（人字84料）-2.8米" sheetId="20" state="hidden" r:id="rId27"/>
    <sheet name="7米（人字84料）参数" sheetId="21" state="hidden" r:id="rId28"/>
    <sheet name="8米（人字84料）-2.8米" sheetId="22" state="hidden" r:id="rId29"/>
    <sheet name="8米（人字84料）参数" sheetId="23" state="hidden" r:id="rId30"/>
    <sheet name="10米（人字84料）-2.8米" sheetId="24" state="hidden" r:id="rId31"/>
    <sheet name="10米（人字84料）参数" sheetId="25" state="hidden" r:id="rId32"/>
    <sheet name="10米人字（88料）-4米" sheetId="26" state="hidden" r:id="rId33"/>
    <sheet name="10米（人字88料）参数" sheetId="27" state="hidden" r:id="rId34"/>
    <sheet name="10米人字（150料）-4米" sheetId="28" state="hidden" r:id="rId35"/>
    <sheet name="10米人字（150料）-5米" sheetId="29" state="hidden" r:id="rId36"/>
    <sheet name="10米（人字150料）参数" sheetId="30" state="hidden" r:id="rId37"/>
    <sheet name="10变12米（人字88料）-4米" sheetId="31" state="hidden" r:id="rId38"/>
    <sheet name="10变12米（人字88料）参数" sheetId="32" state="hidden" r:id="rId39"/>
    <sheet name="10变15米（人字150料）-4米" sheetId="33" state="hidden" r:id="rId40"/>
    <sheet name="10变15米（人字150料）-5米" sheetId="34" state="hidden" r:id="rId41"/>
    <sheet name="10变15米（人字150料）参数" sheetId="35" state="hidden" r:id="rId42"/>
    <sheet name="15米（人字150料）-4米 " sheetId="36" state="hidden" r:id="rId43"/>
    <sheet name="15米（人字150料）-5米" sheetId="37" state="hidden" r:id="rId44"/>
    <sheet name="15米（人字150料）参数" sheetId="38" state="hidden" r:id="rId45"/>
    <sheet name="15米（人字203料）-4米 " sheetId="39" state="hidden" r:id="rId46"/>
    <sheet name="15米（人字203料）-5米" sheetId="40" state="hidden" r:id="rId47"/>
    <sheet name="15米（人字203料）参数" sheetId="41" state="hidden" r:id="rId48"/>
    <sheet name="15变18（人字150料）-4米" sheetId="46" state="hidden" r:id="rId49"/>
    <sheet name="15变18（人字150料）-5米" sheetId="47" state="hidden" r:id="rId50"/>
    <sheet name="15变18（人字150料）参数 " sheetId="48" state="hidden" r:id="rId51"/>
    <sheet name="15变18（人字203料）-4米边高" sheetId="42" state="hidden" r:id="rId52"/>
    <sheet name="15变18（人字203料）-5米" sheetId="43" state="hidden" r:id="rId53"/>
    <sheet name="15变18（人字203料）-6米" sheetId="44" state="hidden" r:id="rId54"/>
    <sheet name="15变18（人字203料）参数" sheetId="45" state="hidden" r:id="rId55"/>
    <sheet name="18米（人字203料）-4米" sheetId="49" state="hidden" r:id="rId56"/>
    <sheet name="18米（人字203料）-5米" sheetId="50" state="hidden" r:id="rId57"/>
    <sheet name="18米（人字203料）-6米" sheetId="51" state="hidden" r:id="rId58"/>
    <sheet name="18米（人字203料）参数" sheetId="52" state="hidden" r:id="rId59"/>
    <sheet name="20米(人字203料）-4米" sheetId="53" state="hidden" r:id="rId60"/>
    <sheet name="20米(人字203料）-5米" sheetId="54" state="hidden" r:id="rId61"/>
    <sheet name="20米(人字203料）-6米" sheetId="55" state="hidden" r:id="rId62"/>
    <sheet name="20米(人字203料）参数" sheetId="56" state="hidden" r:id="rId63"/>
    <sheet name="18变21米（人字203料）-4米" sheetId="57" state="hidden" r:id="rId64"/>
    <sheet name="18变21米（人字203料）-5米" sheetId="58" state="hidden" r:id="rId65"/>
    <sheet name="18变21米（人字203料）-6米" sheetId="59" state="hidden" r:id="rId66"/>
    <sheet name="18变21米（人字203料）参数 " sheetId="60" state="hidden" r:id="rId67"/>
    <sheet name="21米（人字203料）-4米" sheetId="61" state="hidden" r:id="rId68"/>
    <sheet name="21米（人字203料）-5米" sheetId="62" state="hidden" r:id="rId69"/>
    <sheet name="21米（人字203料）-6米" sheetId="63" state="hidden" r:id="rId70"/>
    <sheet name="21米（人字203料）参数" sheetId="64" state="hidden" r:id="rId71"/>
    <sheet name="25米（人字203料）-4米" sheetId="65" state="hidden" r:id="rId72"/>
    <sheet name="25米（人字203料）-5米" sheetId="66" state="hidden" r:id="rId73"/>
    <sheet name="25米（人字203料）-6米" sheetId="67" state="hidden" r:id="rId74"/>
    <sheet name="25米（人字203料）参数 " sheetId="68" state="hidden" r:id="rId75"/>
    <sheet name="30米（人字203料）-5米" sheetId="69" state="hidden" r:id="rId76"/>
    <sheet name="30米（人字203料）-6米" sheetId="70" state="hidden" r:id="rId77"/>
    <sheet name="30米（人字203料）参数 " sheetId="71" state="hidden" r:id="rId78"/>
    <sheet name="30米（人字250料）-5米" sheetId="72" state="hidden" r:id="rId79"/>
    <sheet name="30米（人字250料）-6米 " sheetId="73" state="hidden" r:id="rId80"/>
    <sheet name="30米（人字250料）参数 " sheetId="74" state="hidden" r:id="rId81"/>
    <sheet name="30米（人字300料）-5.4米" sheetId="75" state="hidden" r:id="rId82"/>
    <sheet name="30米（人字300料）-6.4米" sheetId="76" state="hidden" r:id="rId83"/>
    <sheet name="30米（人字300料）参数 " sheetId="77" state="hidden" r:id="rId84"/>
    <sheet name="40米（人字300料）-5.4米" sheetId="78" state="hidden" r:id="rId85"/>
    <sheet name="40米（人字300料）-6.4米" sheetId="79" state="hidden" r:id="rId86"/>
    <sheet name="40米（人字300料）参数 " sheetId="80" state="hidden" r:id="rId87"/>
    <sheet name="40米（人字350料）-5.4米" sheetId="81" state="hidden" r:id="rId88"/>
    <sheet name="40米（人字350料）-6.4米" sheetId="82" state="hidden" r:id="rId89"/>
    <sheet name="40米（人字350料）参数" sheetId="83" state="hidden" r:id="rId90"/>
    <sheet name="50米（人字300料）-5.4米" sheetId="84" state="hidden" r:id="rId91"/>
    <sheet name="50米（人字300料）-6.4米" sheetId="85" state="hidden" r:id="rId92"/>
    <sheet name="50米（人字300料）参数" sheetId="86" state="hidden" r:id="rId93"/>
    <sheet name="50米（人字350料）-5.4米 " sheetId="87" state="hidden" r:id="rId94"/>
    <sheet name="50米（人字350料）-6.4米" sheetId="88" state="hidden" r:id="rId95"/>
    <sheet name="50米（人字350料）参数" sheetId="89" state="hidden" r:id="rId96"/>
  </sheets>
  <definedNames>
    <definedName name="_xlnm._FilterDatabase" localSheetId="1" hidden="1">骨架类A!#REF!</definedName>
    <definedName name="_xlnm.Print_Area" localSheetId="30">'10米（人字84料）-2.8米'!$A$1:$O$33</definedName>
    <definedName name="_xlnm.Print_Area" localSheetId="48">'15变18（人字150料）-4米'!$A$1:$O$38</definedName>
    <definedName name="_xlnm.Print_Area" localSheetId="76">'30米（人字203料）-6米'!$B$1:$P$35</definedName>
    <definedName name="_xlnm.Print_Area" localSheetId="20">'3米（弧形84料）'!$A$1:$O$26</definedName>
    <definedName name="_xlnm.Print_Area" localSheetId="8">'3米（尖顶）-55料'!$A$1:$F$16</definedName>
    <definedName name="_xlnm.Print_Area" localSheetId="22">'3米（人字84料）-2.8米'!$A$1:$O$27</definedName>
    <definedName name="_xlnm.Print_Area" localSheetId="11">'4米（尖顶）-55料'!$A$1:$G$17</definedName>
    <definedName name="_xlnm.Print_Area" localSheetId="14">'5米（尖顶）-84料'!$A$1:$G$19</definedName>
    <definedName name="_xlnm.Print_Area" localSheetId="17">'6米（尖顶）-84料'!$A$1:$G$19</definedName>
    <definedName name="_xlnm.Print_Area" localSheetId="24">'6米（人字84料）-2.8米'!$A$1:$O$30</definedName>
    <definedName name="_xlnm.Print_Area" localSheetId="26">'7米（人字84料）-2.8米'!$A$1:$O$32</definedName>
    <definedName name="_xlnm.Print_Area" localSheetId="28">'8米（人字84料）-2.8米'!$A$1:$O$32</definedName>
    <definedName name="_xlnm.Print_Area" localSheetId="1">固定类D!#REF!</definedName>
    <definedName name="_xlnm.Print_Titles" localSheetId="37">'10变12米（人字88料）-4米'!$A$1:$IT$5</definedName>
    <definedName name="_xlnm.Print_Titles" localSheetId="39">'10变15米（人字150料）-4米'!$A$1:$IT$4</definedName>
    <definedName name="_xlnm.Print_Titles" localSheetId="30">'10米（人字84料）-2.8米'!$1:$4</definedName>
    <definedName name="_xlnm.Print_Titles" localSheetId="34">'10米人字（150料）-4米'!$1:$4</definedName>
    <definedName name="_xlnm.Print_Titles" localSheetId="32">'10米人字（88料）-4米'!$A$1:$IS$5</definedName>
    <definedName name="_xlnm.Print_Titles" localSheetId="51">'15变18（人字203料）-4米边高'!$A$1:$IT$5</definedName>
    <definedName name="_xlnm.Print_Titles" localSheetId="42">'15米（人字150料）-4米 '!$A$1:$IT$5</definedName>
    <definedName name="_xlnm.Print_Titles" localSheetId="45">'15米（人字203料）-4米 '!$A$1:$IS$5</definedName>
    <definedName name="_xlnm.Print_Titles" localSheetId="63">'18变21米（人字203料）-4米'!$A$1:$IS$5</definedName>
    <definedName name="_xlnm.Print_Titles" localSheetId="55">'18米（人字203料）-4米'!$A$1:$IR$5</definedName>
    <definedName name="_xlnm.Print_Titles" localSheetId="59">'20米(人字203料）-4米'!$A$1:$IS$5</definedName>
    <definedName name="_xlnm.Print_Titles" localSheetId="67">'21米（人字203料）-4米'!$A$1:$IS$5</definedName>
    <definedName name="_xlnm.Print_Titles" localSheetId="71">'25米（人字203料）-4米'!$A$1:$IS$5</definedName>
    <definedName name="_xlnm.Print_Titles" localSheetId="79">'30米（人字250料）-6米 '!$1:$3</definedName>
    <definedName name="_xlnm.Print_Titles" localSheetId="82">'30米（人字300料）-6.4米'!$1:$3</definedName>
    <definedName name="_xlnm.Print_Titles" localSheetId="20">'3米（弧形84料）'!$1:$4</definedName>
    <definedName name="_xlnm.Print_Titles" localSheetId="8">'3米（尖顶）-55料'!#REF!</definedName>
    <definedName name="_xlnm.Print_Titles" localSheetId="22">'3米（人字84料）-2.8米'!$1:$4</definedName>
    <definedName name="_xlnm.Print_Titles" localSheetId="85">'40米（人字300料）-6.4米'!$1:$3</definedName>
    <definedName name="_xlnm.Print_Titles" localSheetId="88">'40米（人字350料）-6.4米'!$1:$3</definedName>
    <definedName name="_xlnm.Print_Titles" localSheetId="11">'4米（尖顶）-55料'!$1:$3</definedName>
    <definedName name="_xlnm.Print_Titles" localSheetId="91">'50米（人字300料）-6.4米'!$1:$3</definedName>
    <definedName name="_xlnm.Print_Titles" localSheetId="94">'50米（人字350料）-6.4米'!$1:$3</definedName>
    <definedName name="_xlnm.Print_Titles" localSheetId="14">'5米（尖顶）-84料'!$1:$3</definedName>
    <definedName name="_xlnm.Print_Titles" localSheetId="17">'6米（尖顶）-84料'!$1:$3</definedName>
    <definedName name="_xlnm.Print_Titles" localSheetId="24">'6米（人字84料）-2.8米'!$1:$4</definedName>
    <definedName name="_xlnm.Print_Titles" localSheetId="26">'7米（人字84料）-2.8米'!$1:$4</definedName>
    <definedName name="_xlnm.Print_Titles" localSheetId="28">'8米（人字84料）-2.8米'!$1:$4</definedName>
  </definedNames>
  <calcPr calcId="144525"/>
</workbook>
</file>

<file path=xl/comments1.xml><?xml version="1.0" encoding="utf-8"?>
<comments xmlns="http://schemas.openxmlformats.org/spreadsheetml/2006/main">
  <authors>
    <author>TianFangZhen</author>
  </authors>
  <commentList>
    <comment ref="C89" authorId="0">
      <text>
        <r>
          <rPr>
            <sz val="9"/>
            <rFont val="宋体"/>
            <charset val="134"/>
          </rPr>
          <t xml:space="preserve">10米跨度88料到30米跨度203料里它叫“屋檐檩条”，
在30米250料到50米350料中它叫“屋面檩条”
</t>
        </r>
      </text>
    </comment>
  </commentList>
</comments>
</file>

<file path=xl/sharedStrings.xml><?xml version="1.0" encoding="utf-8"?>
<sst xmlns="http://schemas.openxmlformats.org/spreadsheetml/2006/main" count="1656">
  <si>
    <t>上海有色铝锭价格</t>
  </si>
  <si>
    <t>项目</t>
  </si>
  <si>
    <t>加工费</t>
  </si>
  <si>
    <t>包装物</t>
  </si>
  <si>
    <t>运费</t>
  </si>
  <si>
    <t>单价</t>
  </si>
  <si>
    <t>每公斤价格</t>
  </si>
  <si>
    <t>203料</t>
  </si>
  <si>
    <t>203料氧化</t>
  </si>
  <si>
    <t>小料加工费</t>
  </si>
  <si>
    <t>南海有色铝锭价格</t>
  </si>
  <si>
    <t>300/350料8米以上</t>
  </si>
  <si>
    <t>300/350料8米以下</t>
  </si>
  <si>
    <t>篷布</t>
  </si>
  <si>
    <t>每平价格</t>
  </si>
  <si>
    <t>说明：黄色部分可以根据价格修改</t>
  </si>
  <si>
    <t>84料以上顶布穿管成本单价（铁）</t>
  </si>
  <si>
    <t>库存表</t>
  </si>
  <si>
    <t>货品小类</t>
  </si>
  <si>
    <t>货品编码</t>
  </si>
  <si>
    <t>货品名称</t>
  </si>
  <si>
    <t>货品规格</t>
  </si>
  <si>
    <t>单位</t>
  </si>
  <si>
    <t>数量</t>
  </si>
  <si>
    <t>长梁AA</t>
  </si>
  <si>
    <t>AA001</t>
  </si>
  <si>
    <t>长梁（3米尖顶）</t>
  </si>
  <si>
    <t>55mm*55mm*1.7mm*3m</t>
  </si>
  <si>
    <t>根</t>
  </si>
  <si>
    <t>AA002</t>
  </si>
  <si>
    <t>长梁（4米尖顶）</t>
  </si>
  <si>
    <t>55mm*55mm*1.7mm*4m</t>
  </si>
  <si>
    <t>AA003</t>
  </si>
  <si>
    <t>48mm*84mm*2.7mm*3m</t>
  </si>
  <si>
    <t>AA004</t>
  </si>
  <si>
    <t>48mm*84mm*2.7mm*4m</t>
  </si>
  <si>
    <t>AA005</t>
  </si>
  <si>
    <t>长梁（5米尖顶）</t>
  </si>
  <si>
    <t>48mm*84mm*2.7mm*5m</t>
  </si>
  <si>
    <t>AA006</t>
  </si>
  <si>
    <t>长梁（6米尖顶）</t>
  </si>
  <si>
    <t>48mm*84mm*2.7mm*6m</t>
  </si>
  <si>
    <t>AA007</t>
  </si>
  <si>
    <t>48mm*100mm*2.7mm*5m</t>
  </si>
  <si>
    <t>AA008</t>
  </si>
  <si>
    <t>48mm*100mm*2.7mm*6m</t>
  </si>
  <si>
    <t>AA009</t>
  </si>
  <si>
    <t>长梁（3米弧形梁）</t>
  </si>
  <si>
    <t>48mm*84mm*2.7mm*4.2m</t>
  </si>
  <si>
    <t>AA010</t>
  </si>
  <si>
    <t>长梁（3米长梁）</t>
  </si>
  <si>
    <t>48mm*84mm*2.7mm*1.75m</t>
  </si>
  <si>
    <t>AA011</t>
  </si>
  <si>
    <t>长梁（6米长梁）</t>
  </si>
  <si>
    <t>48mm*84mm*2.7mm*2.7m</t>
  </si>
  <si>
    <t>AA012</t>
  </si>
  <si>
    <t>长梁（7米长梁）</t>
  </si>
  <si>
    <t>48mm*84mm*2.7mm*3.75m</t>
  </si>
  <si>
    <t>AA013</t>
  </si>
  <si>
    <t>长梁（8米长梁）</t>
  </si>
  <si>
    <t>48mm*84mm*2.7mm*4.35m</t>
  </si>
  <si>
    <t>AA014</t>
  </si>
  <si>
    <t>长梁（8米短梁）</t>
  </si>
  <si>
    <t>48mm*84mm*2.7mm*1.65m</t>
  </si>
  <si>
    <t>AA015</t>
  </si>
  <si>
    <t>长梁（9米长梁）</t>
  </si>
  <si>
    <t>48mm*84mm*2.7mm*4.73m</t>
  </si>
  <si>
    <t>AA016</t>
  </si>
  <si>
    <t>长梁（10米长梁）</t>
  </si>
  <si>
    <t>48mm*84mm*2.7mm*5.34m</t>
  </si>
  <si>
    <t>AA017</t>
  </si>
  <si>
    <t>88mm*130mm*3mm*5.47m</t>
  </si>
  <si>
    <t>AA018</t>
  </si>
  <si>
    <t>12米短梁（10变12米）</t>
  </si>
  <si>
    <t>88mm*130mm*3mm*1.03m</t>
  </si>
  <si>
    <t>AA019</t>
  </si>
  <si>
    <t>120mm*150mm*3mm*5.47m</t>
  </si>
  <si>
    <t>AA020</t>
  </si>
  <si>
    <t>长梁（15米长梁）</t>
  </si>
  <si>
    <t>120mm*150mm*3mm*8.15m</t>
  </si>
  <si>
    <t>AA021</t>
  </si>
  <si>
    <t>长梁（10变15米）</t>
  </si>
  <si>
    <t>AA022</t>
  </si>
  <si>
    <t>15米短梁（10变15米）</t>
  </si>
  <si>
    <t>120mm*150mm*3mm*2.67m</t>
  </si>
  <si>
    <t>AA023</t>
  </si>
  <si>
    <t>长梁（15变18米）</t>
  </si>
  <si>
    <t>AA024</t>
  </si>
  <si>
    <t>18米短梁（15变18米）</t>
  </si>
  <si>
    <t>120mm*150mm*3mm*1.55m</t>
  </si>
  <si>
    <t>AA025</t>
  </si>
  <si>
    <t>112mm*203mm*4.5mm*8.15m</t>
  </si>
  <si>
    <t>AA026</t>
  </si>
  <si>
    <t>AA027</t>
  </si>
  <si>
    <t>112mm*203mm*4.5mm*1.62m</t>
  </si>
  <si>
    <t>AA028</t>
  </si>
  <si>
    <t>长梁（18变21米）</t>
  </si>
  <si>
    <t>112mm*203mm*4.5mm*9.68m</t>
  </si>
  <si>
    <t>AA029</t>
  </si>
  <si>
    <t>21米短梁（18变21米）</t>
  </si>
  <si>
    <t>AA030</t>
  </si>
  <si>
    <t>长梁（20米长梁）</t>
  </si>
  <si>
    <t>112mm*203mm*4.5mm*10.6m</t>
  </si>
  <si>
    <t>AA031</t>
  </si>
  <si>
    <t>长梁（21米长梁）</t>
  </si>
  <si>
    <t>112mm*203mm*4.5mm*11.2m</t>
  </si>
  <si>
    <t>AA032</t>
  </si>
  <si>
    <t>长梁（25米长梁）</t>
  </si>
  <si>
    <t>AA033</t>
  </si>
  <si>
    <t>25米短梁（25米短梁）</t>
  </si>
  <si>
    <t>112mm*203mm*4.5mm*3.76m</t>
  </si>
  <si>
    <t>AA034</t>
  </si>
  <si>
    <t>一梁（112*203料）</t>
  </si>
  <si>
    <t>AA035</t>
  </si>
  <si>
    <t>三梁（112*203料）</t>
  </si>
  <si>
    <t>AA036</t>
  </si>
  <si>
    <t>一梁（120*250料）</t>
  </si>
  <si>
    <t>120mm*250mm*5.2mm*10.62m</t>
  </si>
  <si>
    <t>AA037</t>
  </si>
  <si>
    <t>三梁（120*250料）</t>
  </si>
  <si>
    <t>120mm*250mm*5.2mm*5.4m</t>
  </si>
  <si>
    <t>AA038</t>
  </si>
  <si>
    <t>一梁（120*300料）</t>
  </si>
  <si>
    <t>120mm*300mm*5.2mm*10.62m</t>
  </si>
  <si>
    <t>AA039</t>
  </si>
  <si>
    <t>二梁（120*300料）</t>
  </si>
  <si>
    <t>AA040</t>
  </si>
  <si>
    <t>三梁（120*300料）</t>
  </si>
  <si>
    <t>120mm*300mm*5.2mm*5.4m</t>
  </si>
  <si>
    <t>AA041</t>
  </si>
  <si>
    <t>一梁（120*350料）</t>
  </si>
  <si>
    <t>120mm*350mm*5.2mm*10.62m</t>
  </si>
  <si>
    <t>AA042</t>
  </si>
  <si>
    <t>二梁（120*350料）</t>
  </si>
  <si>
    <t>AA043</t>
  </si>
  <si>
    <t>三梁（120*350料）</t>
  </si>
  <si>
    <t>120mm*350mm*5.2mm*5.4m</t>
  </si>
  <si>
    <t>AA044</t>
  </si>
  <si>
    <t>侧立柱AB</t>
  </si>
  <si>
    <t>AB001</t>
  </si>
  <si>
    <t>侧立柱（尖顶/55料）</t>
  </si>
  <si>
    <t>55mm*55mm*1.7mm*2.5m</t>
  </si>
  <si>
    <t>AB002</t>
  </si>
  <si>
    <t>侧立柱（尖顶/84料）</t>
  </si>
  <si>
    <t>48mm*84mm*2.7mm*2.5m</t>
  </si>
  <si>
    <t>AB003</t>
  </si>
  <si>
    <t>侧立柱（尖顶/100料）</t>
  </si>
  <si>
    <t>48mm*100mm*2.7mm*2.5m</t>
  </si>
  <si>
    <t>AB004</t>
  </si>
  <si>
    <t>侧立柱（弧形/人字/84料/2.8米边高）</t>
  </si>
  <si>
    <t>48mm*84mm*2.7mm*2.8m</t>
  </si>
  <si>
    <t>AB005</t>
  </si>
  <si>
    <t>侧立柱（人字/88料/4米边高）</t>
  </si>
  <si>
    <t>88mm*130mm*3mm*4m</t>
  </si>
  <si>
    <t>AB006</t>
  </si>
  <si>
    <t>侧立柱（人字/150料/4米边高）</t>
  </si>
  <si>
    <t>120mm*150mm*3mm*4m</t>
  </si>
  <si>
    <t>AB007</t>
  </si>
  <si>
    <t>侧立柱（人字/150料/5米边高）</t>
  </si>
  <si>
    <t>120mm*150mm*3mm*5m</t>
  </si>
  <si>
    <t>AB008</t>
  </si>
  <si>
    <t>侧立柱（人字/203料/4米边高）</t>
  </si>
  <si>
    <t>112mm*203mm*4.5mm*4m</t>
  </si>
  <si>
    <t>AB009</t>
  </si>
  <si>
    <t>侧立柱（人字/203料/5米边高）</t>
  </si>
  <si>
    <t>112mm*203mm*4.5mm*5m</t>
  </si>
  <si>
    <t>AB010</t>
  </si>
  <si>
    <t>侧立柱（人字/203料/6米边高）</t>
  </si>
  <si>
    <t>112mm*203mm*4.5mm*6m</t>
  </si>
  <si>
    <t>AB011</t>
  </si>
  <si>
    <t>侧立柱（人字/250料/5米边高）</t>
  </si>
  <si>
    <t>120mm*250mm*5.2mm*5m</t>
  </si>
  <si>
    <t>AB012</t>
  </si>
  <si>
    <t>侧立柱（人字/250料/6米边高）</t>
  </si>
  <si>
    <t>120mm*250mm*5.2mm*6m</t>
  </si>
  <si>
    <t>AB013</t>
  </si>
  <si>
    <t>侧立柱（人字/300料/5.4米边高）</t>
  </si>
  <si>
    <t>AB014</t>
  </si>
  <si>
    <t>侧立柱（人字/300料/6.4米边高）</t>
  </si>
  <si>
    <t>120mm*300mm*5.2mm*6.4m</t>
  </si>
  <si>
    <t>AB015</t>
  </si>
  <si>
    <t>侧立柱（人字/350料/5.4米边高）</t>
  </si>
  <si>
    <t>AB016</t>
  </si>
  <si>
    <t>侧立柱（人字/350料/6.4米边高）</t>
  </si>
  <si>
    <t>端立柱AC</t>
  </si>
  <si>
    <t>AC001</t>
  </si>
  <si>
    <t>端立柱（6米专用/48*84料）</t>
  </si>
  <si>
    <t>48mm*84mm*2.7mm*3.77m</t>
  </si>
  <si>
    <t>AC002</t>
  </si>
  <si>
    <t>端立柱（7米专用/48*84料）</t>
  </si>
  <si>
    <t>48mm*84mm*2.7mm*3.94m</t>
  </si>
  <si>
    <t>AC003</t>
  </si>
  <si>
    <t>端立柱（8米专用/48*84料）</t>
  </si>
  <si>
    <t>48mm*84mm*2.7mm*4.1m</t>
  </si>
  <si>
    <t>AC004</t>
  </si>
  <si>
    <t>端立柱（9米专用/48*84料）</t>
  </si>
  <si>
    <t>48mm*84mm*2.7mm*4.26m</t>
  </si>
  <si>
    <t>AC005</t>
  </si>
  <si>
    <t>端立柱（10米专用/48*84料）</t>
  </si>
  <si>
    <t>48mm*84mm*2.7mm*4.4m</t>
  </si>
  <si>
    <t>AC006</t>
  </si>
  <si>
    <t>端立柱（10米专用/88*130料）</t>
  </si>
  <si>
    <t>88mm*130mm*3mm*5m</t>
  </si>
  <si>
    <t>AC007</t>
  </si>
  <si>
    <t>端立柱（5m/120*150料）</t>
  </si>
  <si>
    <t>AC008</t>
  </si>
  <si>
    <t>端立柱（6.2m/120*150料）</t>
  </si>
  <si>
    <t>120mm*150mm*3mm*6.2m</t>
  </si>
  <si>
    <t>AC009</t>
  </si>
  <si>
    <t>端立柱（6.33m/120*150料）</t>
  </si>
  <si>
    <t>120mm*150mm*3mm*6.33m</t>
  </si>
  <si>
    <t>AC010</t>
  </si>
  <si>
    <t>端立柱（7.2m/120*150料）</t>
  </si>
  <si>
    <t>120mm*150mm*3mm*7.2m</t>
  </si>
  <si>
    <t>AC011</t>
  </si>
  <si>
    <t>端立柱（7.9m/120*150料）</t>
  </si>
  <si>
    <t>120mm*150mm*3mm*7.9m</t>
  </si>
  <si>
    <t>AC012</t>
  </si>
  <si>
    <t>端立柱（8.9m/120*150料）</t>
  </si>
  <si>
    <t>120mm*150mm*3mm*8.9m</t>
  </si>
  <si>
    <t>AC013</t>
  </si>
  <si>
    <t>端立柱（9.45m/120*150料）</t>
  </si>
  <si>
    <t>120mm*150mm*3mm*9.45m</t>
  </si>
  <si>
    <t>AC014</t>
  </si>
  <si>
    <t>端立柱（10.45m/112*203料）</t>
  </si>
  <si>
    <t>120mm*150mm*3mm*10.45m</t>
  </si>
  <si>
    <t>AC015</t>
  </si>
  <si>
    <t>端立柱（10.95m/112*203料）</t>
  </si>
  <si>
    <t>112mm*203mm*4.5mm*10.95m</t>
  </si>
  <si>
    <t>AC016</t>
  </si>
  <si>
    <t>端立柱（11.95m/112*203料）</t>
  </si>
  <si>
    <t>112mm*203mm*4.5mm*11.95m</t>
  </si>
  <si>
    <t>AC017</t>
  </si>
  <si>
    <t>端立柱（12.58m/112*203料）</t>
  </si>
  <si>
    <t>112mm*203mm*4.5mm*12.58m</t>
  </si>
  <si>
    <t>AC018</t>
  </si>
  <si>
    <t>端立柱（13.58m/112*203料）</t>
  </si>
  <si>
    <t>112mm*203mm*4.5mm*13.58m</t>
  </si>
  <si>
    <t>檩条AD</t>
  </si>
  <si>
    <t>AD001</t>
  </si>
  <si>
    <t>屋面檩条（3米尖顶/55料/钢圆管）</t>
  </si>
  <si>
    <t>AD002</t>
  </si>
  <si>
    <t>屋面檩条（3米尖顶/铝方管）</t>
  </si>
  <si>
    <t>40mm*40mm*2mm*m</t>
  </si>
  <si>
    <t>AD003</t>
  </si>
  <si>
    <t>屋面檩条（4米尖顶/铝方管）</t>
  </si>
  <si>
    <t>40mm*40mm*2mm*2.64m</t>
  </si>
  <si>
    <t>AD004</t>
  </si>
  <si>
    <t>屋面檩条（5米尖顶/铝方管）</t>
  </si>
  <si>
    <t>40mm*40mm*2mm*3.51m</t>
  </si>
  <si>
    <t>AD005</t>
  </si>
  <si>
    <t>屋面檩条（6米尖顶/铝方管）</t>
  </si>
  <si>
    <t>40mm*40mm*2mm*4.11m</t>
  </si>
  <si>
    <t>AD006</t>
  </si>
  <si>
    <t>屋面檩条（40*40*2）</t>
  </si>
  <si>
    <t>40mm*40mm*2mm*2.95m</t>
  </si>
  <si>
    <t>AD007</t>
  </si>
  <si>
    <t>屋檐檩条（40*80*2）</t>
  </si>
  <si>
    <t>40mm*48mm*2mm*2.95m</t>
  </si>
  <si>
    <t>AD008</t>
  </si>
  <si>
    <t>屋面檩条（60*60*2.5）</t>
  </si>
  <si>
    <t>60mm*60mm*2.5mm*4.882m</t>
  </si>
  <si>
    <t>AD009</t>
  </si>
  <si>
    <t>通用檩条（80*100*2.7）</t>
  </si>
  <si>
    <t>80mm*100mm*2.7mm*4.882m</t>
  </si>
  <si>
    <t>AD010</t>
  </si>
  <si>
    <t>加固檩条（88*140*3.5）</t>
  </si>
  <si>
    <t>88mm*140mm*3.5mm*4.882m</t>
  </si>
  <si>
    <t>AD011</t>
  </si>
  <si>
    <t>屋檐檩条（90*140*4.0）</t>
  </si>
  <si>
    <t>90mm*140mm*4mm*4.882m</t>
  </si>
  <si>
    <t>AD012</t>
  </si>
  <si>
    <t>端中檩条（3.88m/80*100*2.7）</t>
  </si>
  <si>
    <t>80mm*100mm*2.7mm*3.882m</t>
  </si>
  <si>
    <t>AD013</t>
  </si>
  <si>
    <t>端中檩条（5.38m/80*100*2.7）</t>
  </si>
  <si>
    <t>80mm*100mm*2.7mm*5.38m</t>
  </si>
  <si>
    <t>左右向檩条AE</t>
  </si>
  <si>
    <t>AE001</t>
  </si>
  <si>
    <t>端横梁（3米弧形）</t>
  </si>
  <si>
    <t>AE002</t>
  </si>
  <si>
    <t>左右向檩条（6米人字）</t>
  </si>
  <si>
    <t>AE003</t>
  </si>
  <si>
    <t>左右向檩条（7米人字）</t>
  </si>
  <si>
    <t>48mm*84mm*2.7mm*3.5m</t>
  </si>
  <si>
    <t>AE004</t>
  </si>
  <si>
    <t>左右向檩条（8米人字）</t>
  </si>
  <si>
    <t>AE005</t>
  </si>
  <si>
    <t>左右向檩条（9米人字）</t>
  </si>
  <si>
    <t>48mm*84mm*2.7mm*4.5m</t>
  </si>
  <si>
    <t>AE006</t>
  </si>
  <si>
    <t>左右向檩条（10米人字）</t>
  </si>
  <si>
    <t>48mm*84mm*2.7mm*4.95m</t>
  </si>
  <si>
    <t>AE007</t>
  </si>
  <si>
    <t>左右向檩条（12米人字）</t>
  </si>
  <si>
    <t>80mm*100mm*2.7mm*5.882m</t>
  </si>
  <si>
    <t>AE008</t>
  </si>
  <si>
    <t>左右向檩条（10米-50米人字）</t>
  </si>
  <si>
    <t>顶布穿管/穿条AF</t>
  </si>
  <si>
    <t>AF001</t>
  </si>
  <si>
    <t>顶布穿管（84料/3m）</t>
  </si>
  <si>
    <t>25.4mm*50.8mm*2.3mm*3m</t>
  </si>
  <si>
    <t>AF002</t>
  </si>
  <si>
    <t>顶布穿管（铝）（10米-50米）</t>
  </si>
  <si>
    <t>40mm*80mm*2mm*5m</t>
  </si>
  <si>
    <t>AF003</t>
  </si>
  <si>
    <t>顶布穿管（铁）（10米-50米）</t>
  </si>
  <si>
    <t>AF004</t>
  </si>
  <si>
    <t>顶布穿管（铝）（3.88m）</t>
  </si>
  <si>
    <t>40mm*80mm*2mm*3.88m</t>
  </si>
  <si>
    <t>AF005</t>
  </si>
  <si>
    <t>顶布穿管（铝）（5.38m）</t>
  </si>
  <si>
    <t>40mm*80mm*2mm*5.38m</t>
  </si>
  <si>
    <t>AF006</t>
  </si>
  <si>
    <t>顶布穿管（铁）（3.88m）</t>
  </si>
  <si>
    <t>AF007</t>
  </si>
  <si>
    <t>顶布穿管（铁）（5.38m）</t>
  </si>
  <si>
    <t>AF008</t>
  </si>
  <si>
    <t>山尖布穿管（铝）（12米/88料/150料）</t>
  </si>
  <si>
    <t>40mm*80mm*2mm*5.95m</t>
  </si>
  <si>
    <t>AF009</t>
  </si>
  <si>
    <t>山尖布穿管（铁）（12米/88料/150料）</t>
  </si>
  <si>
    <t>AF010</t>
  </si>
  <si>
    <t>山尖布穿管（铝）（7米/84料）</t>
  </si>
  <si>
    <t>25.4mm*50.8mm*2.3mm*3.5m</t>
  </si>
  <si>
    <t>AF011</t>
  </si>
  <si>
    <t>山尖布穿管（铝）（8米/84料）</t>
  </si>
  <si>
    <t>25.4mm*50.8mm*2.3mm*3.94m</t>
  </si>
  <si>
    <t>AF012</t>
  </si>
  <si>
    <t>山尖布穿管（铝）（9米/84料）</t>
  </si>
  <si>
    <t>25.4mm*50.8mm*2.3mm*4.5m</t>
  </si>
  <si>
    <t>AF013</t>
  </si>
  <si>
    <t>山尖布穿管（铝）（10米/84料）</t>
  </si>
  <si>
    <t>25.4mm*50.8mm*2.3mm*4.95m</t>
  </si>
  <si>
    <t>AF014</t>
  </si>
  <si>
    <t>屋檐布穿条（3m）</t>
  </si>
  <si>
    <t>mm*mm*mm*3m</t>
  </si>
  <si>
    <t>AF015</t>
  </si>
  <si>
    <t>屋檐布穿条（4m）</t>
  </si>
  <si>
    <t>mm*mm*mm*4m</t>
  </si>
  <si>
    <t>AF016</t>
  </si>
  <si>
    <t>屋檐布穿条（5m）</t>
  </si>
  <si>
    <t>mm*mm*mm*5m</t>
  </si>
  <si>
    <t>AF017</t>
  </si>
  <si>
    <t>屋檐布穿条（6m）</t>
  </si>
  <si>
    <t>mm*mm*mm*6m</t>
  </si>
  <si>
    <t>山尖固定扁铝AG</t>
  </si>
  <si>
    <t>AG001</t>
  </si>
  <si>
    <t>山尖固定扁铝（12米人字/2.5m）</t>
  </si>
  <si>
    <t>两孔扁铝50mm</t>
  </si>
  <si>
    <t>AG002</t>
  </si>
  <si>
    <t>山尖固定扁铝（15米人字/2.75m）</t>
  </si>
  <si>
    <t>AG003</t>
  </si>
  <si>
    <t>山尖固定扁铝（18米人字/3.4m）</t>
  </si>
  <si>
    <t>AG004</t>
  </si>
  <si>
    <t>山尖固定扁铝（20-21米人字/3.7m）</t>
  </si>
  <si>
    <t>AG005</t>
  </si>
  <si>
    <t>山尖固定扁铝（25米人字/4.3m）</t>
  </si>
  <si>
    <t>AG006</t>
  </si>
  <si>
    <t>山尖固定扁铝（30米人字/5.5m）</t>
  </si>
  <si>
    <t>AG007</t>
  </si>
  <si>
    <t>山尖固定扁铝（40米人字/6.5m）</t>
  </si>
  <si>
    <t>AG008</t>
  </si>
  <si>
    <t>山尖固定扁铝（50米人字/8.5m）</t>
  </si>
  <si>
    <t>斜撑AH</t>
  </si>
  <si>
    <t>AH001</t>
  </si>
  <si>
    <t>斜撑（203料/21米-25米专用）</t>
  </si>
  <si>
    <t>AH002</t>
  </si>
  <si>
    <t>斜撑（30米跨-50米跨专用）</t>
  </si>
  <si>
    <t>AH003</t>
  </si>
  <si>
    <t>斜撑（203料/30米专用）</t>
  </si>
  <si>
    <t>AH004</t>
  </si>
  <si>
    <t>特制斜撑（30米-50米特制）</t>
  </si>
  <si>
    <t>屋面拉杆AI</t>
  </si>
  <si>
    <t>AI001</t>
  </si>
  <si>
    <t>屋面拉杆（150料/15变18米专用）</t>
  </si>
  <si>
    <t>AI002</t>
  </si>
  <si>
    <t>屋面拉杆（203料/25米专用）</t>
  </si>
  <si>
    <t>AI003</t>
  </si>
  <si>
    <t>屋面拉杆（30米跨-50米跨专用）</t>
  </si>
  <si>
    <t>侧横梁AJ</t>
  </si>
  <si>
    <t>AJ001</t>
  </si>
  <si>
    <t>侧横梁（48*84料专用）</t>
  </si>
  <si>
    <t>AJ002</t>
  </si>
  <si>
    <t>侧横梁（88料-350料）</t>
  </si>
  <si>
    <t>十字撑AK</t>
  </si>
  <si>
    <t>AK001</t>
  </si>
  <si>
    <t>玻璃墙十字撑（2.8米边高/48*84料)</t>
  </si>
  <si>
    <t>30mm*50mm*2mm*3.6m</t>
  </si>
  <si>
    <t>AK002</t>
  </si>
  <si>
    <t>十字撑（2.8米边高/48*84料)</t>
  </si>
  <si>
    <t>30mm*50mm*2mm*3.4m</t>
  </si>
  <si>
    <t>AK003</t>
  </si>
  <si>
    <t>十字撑(4米边高/5.83m)</t>
  </si>
  <si>
    <t>60mm*60mm*3.5mm*5.83m</t>
  </si>
  <si>
    <t>AK004</t>
  </si>
  <si>
    <t>十字撑(5米边高/6.4m)</t>
  </si>
  <si>
    <t>60mm*60mm*3.5mm*6.4m</t>
  </si>
  <si>
    <t>AK005</t>
  </si>
  <si>
    <t>十字撑(6米边高/7.1m)</t>
  </si>
  <si>
    <t>60mm*60mm*3.5mm*7.1m</t>
  </si>
  <si>
    <t>AK006</t>
  </si>
  <si>
    <t>十字撑(5.4米边高/6.57m)</t>
  </si>
  <si>
    <t>60mm*60mm*3.5mm*6.57m</t>
  </si>
  <si>
    <t>AK007</t>
  </si>
  <si>
    <t>十字撑(6.4米边高/7.32m)</t>
  </si>
  <si>
    <t>60mm*60mm*3.5mm*7.32m</t>
  </si>
  <si>
    <t>围布承重管AL</t>
  </si>
  <si>
    <t>AL001</t>
  </si>
  <si>
    <t>围布承重管3m</t>
  </si>
  <si>
    <t>6分圆管</t>
  </si>
  <si>
    <t>AL002</t>
  </si>
  <si>
    <t>围布承重管3.5m</t>
  </si>
  <si>
    <t>AL003</t>
  </si>
  <si>
    <t>围布承重管3.88m</t>
  </si>
  <si>
    <t>AL004</t>
  </si>
  <si>
    <t>围布承重管5.38</t>
  </si>
  <si>
    <t>AL005</t>
  </si>
  <si>
    <t>围布承重管4m</t>
  </si>
  <si>
    <t>AL006</t>
  </si>
  <si>
    <t>围布承重管4.5m</t>
  </si>
  <si>
    <t>AL007</t>
  </si>
  <si>
    <t>围布承重管5m</t>
  </si>
  <si>
    <t>AL008</t>
  </si>
  <si>
    <t>围布承重管6m</t>
  </si>
  <si>
    <t>顶幔穿管AM</t>
  </si>
  <si>
    <t>AM001</t>
  </si>
  <si>
    <t>顶幔穿管3m</t>
  </si>
  <si>
    <t>4分圆管</t>
  </si>
  <si>
    <t>AM002</t>
  </si>
  <si>
    <t>顶幔穿管5m</t>
  </si>
  <si>
    <t>过渡接头BA</t>
  </si>
  <si>
    <t>BA001</t>
  </si>
  <si>
    <t>过渡接头（48*84料）</t>
  </si>
  <si>
    <t>个</t>
  </si>
  <si>
    <t>BA002</t>
  </si>
  <si>
    <t>过渡接头（48*100料）</t>
  </si>
  <si>
    <t>BA003</t>
  </si>
  <si>
    <t>过渡接头（48*105料）</t>
  </si>
  <si>
    <t>BA004</t>
  </si>
  <si>
    <t>过渡接头（88*130料）</t>
  </si>
  <si>
    <t>BA005</t>
  </si>
  <si>
    <t>过渡接头（120*150料）</t>
  </si>
  <si>
    <t>BA006</t>
  </si>
  <si>
    <t>过渡接头（112*203料）</t>
  </si>
  <si>
    <t>BA007</t>
  </si>
  <si>
    <t>过渡接头（120*250料）</t>
  </si>
  <si>
    <t>BA008</t>
  </si>
  <si>
    <t>过渡接头（120*300料）</t>
  </si>
  <si>
    <t>BA009</t>
  </si>
  <si>
    <t>过渡接头（120*350料）</t>
  </si>
  <si>
    <t>BA010</t>
  </si>
  <si>
    <t>过渡接头（48*84料/10米六角亭）</t>
  </si>
  <si>
    <t>侧地脚BB</t>
  </si>
  <si>
    <t>BB001</t>
  </si>
  <si>
    <t>地脚（尖顶/55料）</t>
  </si>
  <si>
    <t>BB002</t>
  </si>
  <si>
    <t>地脚（尖顶/84料/100料/105料）</t>
  </si>
  <si>
    <t>BB003</t>
  </si>
  <si>
    <t>玻璃墙侧地脚（人字/84料）</t>
  </si>
  <si>
    <t>BB004</t>
  </si>
  <si>
    <t>地脚（人字/84料）</t>
  </si>
  <si>
    <t>BB005</t>
  </si>
  <si>
    <t>侧地脚（人字/88料）</t>
  </si>
  <si>
    <t>BB006</t>
  </si>
  <si>
    <t>侧地脚（人字/150料）</t>
  </si>
  <si>
    <t>BB007</t>
  </si>
  <si>
    <t>侧地脚（人字/203料）</t>
  </si>
  <si>
    <t>BB008</t>
  </si>
  <si>
    <t>侧地脚（人字/250料）</t>
  </si>
  <si>
    <t>BB009</t>
  </si>
  <si>
    <t>侧地脚（人字/300料）</t>
  </si>
  <si>
    <t>BB010</t>
  </si>
  <si>
    <t>侧地脚（人字/350料）</t>
  </si>
  <si>
    <t>端地脚BC</t>
  </si>
  <si>
    <t>BC001</t>
  </si>
  <si>
    <t>玻璃墙端地脚（人字/84料）</t>
  </si>
  <si>
    <t>BC002</t>
  </si>
  <si>
    <t>端地脚（人字/150料）</t>
  </si>
  <si>
    <t>BC003</t>
  </si>
  <si>
    <t>端地脚（人字/203料）</t>
  </si>
  <si>
    <t>钢丝绳BD</t>
  </si>
  <si>
    <t>BD001</t>
  </si>
  <si>
    <t>钢丝绳（人字/84料）</t>
  </si>
  <si>
    <t>BD002</t>
  </si>
  <si>
    <t>钢丝绳（人字/88料）</t>
  </si>
  <si>
    <t>BD003</t>
  </si>
  <si>
    <t>钢丝绳（人字/150料/203料/250料）</t>
  </si>
  <si>
    <t>BD004</t>
  </si>
  <si>
    <t>钢丝绳（红）（人字/300料/350料）</t>
  </si>
  <si>
    <t>BD005</t>
  </si>
  <si>
    <t>钢丝绳（黄）（人字/300料/350料）</t>
  </si>
  <si>
    <t>BD006</t>
  </si>
  <si>
    <t>钢丝绳（蓝）（人字/300料/350料）</t>
  </si>
  <si>
    <t>BD007</t>
  </si>
  <si>
    <t>钢丝绳（绿）（人字/300料/350料）</t>
  </si>
  <si>
    <t>顶布连接器BE</t>
  </si>
  <si>
    <t>BE001</t>
  </si>
  <si>
    <t>顶布连接器300mm</t>
  </si>
  <si>
    <t>BE002</t>
  </si>
  <si>
    <t>顶布连接器500mm</t>
  </si>
  <si>
    <t>BE003</t>
  </si>
  <si>
    <t>顶布连接器1m</t>
  </si>
  <si>
    <t>顶布紧线器BF</t>
  </si>
  <si>
    <t>BF001</t>
  </si>
  <si>
    <t>顶布紧线器170mm</t>
  </si>
  <si>
    <t>BF002</t>
  </si>
  <si>
    <t>顶布紧线器340mm</t>
  </si>
  <si>
    <t>BF003</t>
  </si>
  <si>
    <t>顶布紧线器500mm</t>
  </si>
  <si>
    <t>侧立柱接头BG</t>
  </si>
  <si>
    <t>BG001</t>
  </si>
  <si>
    <t>侧立柱接头（短）</t>
  </si>
  <si>
    <t>BG002</t>
  </si>
  <si>
    <t>侧立柱接头（长）</t>
  </si>
  <si>
    <t>三角/带卡连接器BH</t>
  </si>
  <si>
    <t>BH001</t>
  </si>
  <si>
    <t>三角连接器</t>
  </si>
  <si>
    <t>BH002</t>
  </si>
  <si>
    <t>带卡连接器</t>
  </si>
  <si>
    <t>钢缆基座BI</t>
  </si>
  <si>
    <t>BI001</t>
  </si>
  <si>
    <t>钢缆基座（小）</t>
  </si>
  <si>
    <t>BI002</t>
  </si>
  <si>
    <t>钢缆基座（直）</t>
  </si>
  <si>
    <t>BI003</t>
  </si>
  <si>
    <t>钢缆基座（弯）</t>
  </si>
  <si>
    <t>其余小件BJ</t>
  </si>
  <si>
    <t>BJ001</t>
  </si>
  <si>
    <t>长梁连接器（三叉）（55料专用）</t>
  </si>
  <si>
    <t>BJ002</t>
  </si>
  <si>
    <t>长梁连接器（三叉）</t>
  </si>
  <si>
    <t>BJ003</t>
  </si>
  <si>
    <t>上托管加上托顶（3米/4米/5米）</t>
  </si>
  <si>
    <t>BJ004</t>
  </si>
  <si>
    <t>上托管加上托顶（6米）</t>
  </si>
  <si>
    <t>BJ005</t>
  </si>
  <si>
    <t>丝杆</t>
  </si>
  <si>
    <t>BJ006</t>
  </si>
  <si>
    <t>加强板（5米/6米专用）</t>
  </si>
  <si>
    <t>BJ007</t>
  </si>
  <si>
    <t>长梁短梁连接夹板（112*203料专用）</t>
  </si>
  <si>
    <t>BJ008</t>
  </si>
  <si>
    <t>长梁连接短梁芯子（112*203料专用）</t>
  </si>
  <si>
    <t>BJ009</t>
  </si>
  <si>
    <t>屋面拉杆接头（112*203料专用）</t>
  </si>
  <si>
    <t>BJ010</t>
  </si>
  <si>
    <t>新型捆紧器（嘎嘎叫）</t>
  </si>
  <si>
    <t>BJ011</t>
  </si>
  <si>
    <t>单钩捆紧器（嘎嘎叫）</t>
  </si>
  <si>
    <t>BJ012</t>
  </si>
  <si>
    <t>捆紧器（嘎嘎叫）</t>
  </si>
  <si>
    <t>螺栓BK</t>
  </si>
  <si>
    <t>BK001</t>
  </si>
  <si>
    <t>固定销</t>
  </si>
  <si>
    <t>套</t>
  </si>
  <si>
    <t>BK002</t>
  </si>
  <si>
    <t>螺栓10*25</t>
  </si>
  <si>
    <t>BK003</t>
  </si>
  <si>
    <t>螺栓10*80</t>
  </si>
  <si>
    <t>BK004</t>
  </si>
  <si>
    <t>螺栓12*40</t>
  </si>
  <si>
    <t>BK005</t>
  </si>
  <si>
    <t>螺栓12*80</t>
  </si>
  <si>
    <t>BK006</t>
  </si>
  <si>
    <t>螺栓12*120</t>
  </si>
  <si>
    <t>BK007</t>
  </si>
  <si>
    <t>螺栓12*150</t>
  </si>
  <si>
    <t>BK008</t>
  </si>
  <si>
    <t>螺栓12*200</t>
  </si>
  <si>
    <t>BK009</t>
  </si>
  <si>
    <t>螺栓12*180</t>
  </si>
  <si>
    <t>BK010</t>
  </si>
  <si>
    <t>螺栓12*230</t>
  </si>
  <si>
    <t>BK011</t>
  </si>
  <si>
    <t>螺栓20*200</t>
  </si>
  <si>
    <t>BK012</t>
  </si>
  <si>
    <t>螺栓20*230</t>
  </si>
  <si>
    <t>BK013</t>
  </si>
  <si>
    <t>螺栓16*26</t>
  </si>
  <si>
    <t>BK014</t>
  </si>
  <si>
    <t>螺栓16*140</t>
  </si>
  <si>
    <t>BK015</t>
  </si>
  <si>
    <t>螺栓16*160</t>
  </si>
  <si>
    <t>BK016</t>
  </si>
  <si>
    <t>螺栓16*180</t>
  </si>
  <si>
    <t>BK017</t>
  </si>
  <si>
    <t>螺栓20*140</t>
  </si>
  <si>
    <t>BK018</t>
  </si>
  <si>
    <t>螺栓20*160</t>
  </si>
  <si>
    <t>BK019</t>
  </si>
  <si>
    <t>螺栓20*180</t>
  </si>
  <si>
    <t>BK020</t>
  </si>
  <si>
    <t>螺栓20*120</t>
  </si>
  <si>
    <t>BK021</t>
  </si>
  <si>
    <t>螺栓26*36</t>
  </si>
  <si>
    <t>BK022</t>
  </si>
  <si>
    <t>螺栓M5*50(高强螺栓）</t>
  </si>
  <si>
    <t>钢钎/膨胀BL</t>
  </si>
  <si>
    <t>BL001</t>
  </si>
  <si>
    <t>钢钎0.9米</t>
  </si>
  <si>
    <t>BL002</t>
  </si>
  <si>
    <t>钢钎1.2米</t>
  </si>
  <si>
    <t>BL003</t>
  </si>
  <si>
    <t>钢钎1.5米</t>
  </si>
  <si>
    <t>BL004</t>
  </si>
  <si>
    <t>膨胀螺栓14*125</t>
  </si>
  <si>
    <t>BL005</t>
  </si>
  <si>
    <t>膨胀螺栓20*200</t>
  </si>
  <si>
    <t>顶布CA</t>
  </si>
  <si>
    <t>CA001</t>
  </si>
  <si>
    <t>顶布（3米尖顶）</t>
  </si>
  <si>
    <t>块</t>
  </si>
  <si>
    <t>CA002</t>
  </si>
  <si>
    <t>顶布（4米尖顶）</t>
  </si>
  <si>
    <t>CA003</t>
  </si>
  <si>
    <t>顶布（5米尖顶）</t>
  </si>
  <si>
    <t>CA004</t>
  </si>
  <si>
    <t>顶布（6米尖顶）</t>
  </si>
  <si>
    <t>CA005</t>
  </si>
  <si>
    <t>顶布（3米弧形）</t>
  </si>
  <si>
    <t>CA006</t>
  </si>
  <si>
    <t>顶布（3米人字）</t>
  </si>
  <si>
    <t>CA007</t>
  </si>
  <si>
    <t>顶布（4米人字）</t>
  </si>
  <si>
    <t>CA008</t>
  </si>
  <si>
    <t>顶布（5米人字）</t>
  </si>
  <si>
    <t>CA009</t>
  </si>
  <si>
    <t>顶布（6米人字）</t>
  </si>
  <si>
    <t>CA010</t>
  </si>
  <si>
    <t>顶布（7米人字）</t>
  </si>
  <si>
    <t>CA011</t>
  </si>
  <si>
    <t>顶布（8米人字）（8*3）</t>
  </si>
  <si>
    <t>CA012</t>
  </si>
  <si>
    <t>顶布（8米人字）（8*5）</t>
  </si>
  <si>
    <t>CA013</t>
  </si>
  <si>
    <t>顶布（9米人字）</t>
  </si>
  <si>
    <t>CA014</t>
  </si>
  <si>
    <t>顶布（10米人字）（10*3）</t>
  </si>
  <si>
    <t>CA015</t>
  </si>
  <si>
    <t>顶布（10米人字）（10*5）</t>
  </si>
  <si>
    <t>CA016</t>
  </si>
  <si>
    <t>顶布（12米人字）（12*3）</t>
  </si>
  <si>
    <t>CA017</t>
  </si>
  <si>
    <t>顶布（12米人字）（12*5）</t>
  </si>
  <si>
    <t>CA018</t>
  </si>
  <si>
    <t>顶布（15米人字）</t>
  </si>
  <si>
    <t>CA019</t>
  </si>
  <si>
    <t>顶布（18米人字）</t>
  </si>
  <si>
    <t>CA020</t>
  </si>
  <si>
    <t>顶布（20米人字）</t>
  </si>
  <si>
    <t>CA021</t>
  </si>
  <si>
    <t>顶布（21米人字）</t>
  </si>
  <si>
    <t>CA022</t>
  </si>
  <si>
    <t>顶布（25米人字）</t>
  </si>
  <si>
    <t>CA023</t>
  </si>
  <si>
    <t>顶布（30米人字）</t>
  </si>
  <si>
    <t>CA024</t>
  </si>
  <si>
    <t>顶布（40米人字）</t>
  </si>
  <si>
    <t>CA025</t>
  </si>
  <si>
    <t>顶布（50米人字）</t>
  </si>
  <si>
    <t>围布CB</t>
  </si>
  <si>
    <t>CB001</t>
  </si>
  <si>
    <t>围布（3米尖顶）</t>
  </si>
  <si>
    <t>对</t>
  </si>
  <si>
    <t>CB002</t>
  </si>
  <si>
    <t>围布（4米尖顶）</t>
  </si>
  <si>
    <t>CB003</t>
  </si>
  <si>
    <t>围布（5米尖顶）</t>
  </si>
  <si>
    <t>CB004</t>
  </si>
  <si>
    <t>围布（6米尖顶）</t>
  </si>
  <si>
    <t>CB005</t>
  </si>
  <si>
    <t>围布（人字/2.8米边高）</t>
  </si>
  <si>
    <t>CB006</t>
  </si>
  <si>
    <t>围布（人字/4米边高）</t>
  </si>
  <si>
    <t>CB007</t>
  </si>
  <si>
    <t>围布（人字/5米边高）</t>
  </si>
  <si>
    <t>CB008</t>
  </si>
  <si>
    <t>围布（人字/6米边高）</t>
  </si>
  <si>
    <t>CB009</t>
  </si>
  <si>
    <t>围布（人字/5.4米边高）</t>
  </si>
  <si>
    <t>CB010</t>
  </si>
  <si>
    <t>围布（人字/6.4米边高）</t>
  </si>
  <si>
    <t>CB011</t>
  </si>
  <si>
    <t>端围布（弧形/人字/2.8米边高）</t>
  </si>
  <si>
    <t>CB012</t>
  </si>
  <si>
    <t>端边围布（7米人字/2.8米边高）</t>
  </si>
  <si>
    <t>CB013</t>
  </si>
  <si>
    <t>端边围布（8米人字/2.8米边高）</t>
  </si>
  <si>
    <t>CB014</t>
  </si>
  <si>
    <t>端边围布（9米人字/2.8米边高）</t>
  </si>
  <si>
    <t>CB015</t>
  </si>
  <si>
    <t>端边围布（10米人字/2.8米边高）</t>
  </si>
  <si>
    <t>CB016</t>
  </si>
  <si>
    <t>端边围布（12米人字/4米边高）</t>
  </si>
  <si>
    <t>CB017</t>
  </si>
  <si>
    <t>端边围布（10米人字/88料/4米边高）</t>
  </si>
  <si>
    <t>CB018</t>
  </si>
  <si>
    <t>端边围布（15/18米人字/150料/4米边高）</t>
  </si>
  <si>
    <t>CB019</t>
  </si>
  <si>
    <t>端边围布（15/18米人字/150料/5米边高）</t>
  </si>
  <si>
    <t>CB020</t>
  </si>
  <si>
    <t>端边围布（15/18米人字/150料/6米边高）</t>
  </si>
  <si>
    <t>CB021</t>
  </si>
  <si>
    <t>端中围布3.88m（人字/4米边高）</t>
  </si>
  <si>
    <t>CB022</t>
  </si>
  <si>
    <t>端中围布3.88m（人字/5米边高）</t>
  </si>
  <si>
    <t>CB023</t>
  </si>
  <si>
    <t>端中围布3.88m（人字/6米边高）</t>
  </si>
  <si>
    <t>CB024</t>
  </si>
  <si>
    <t>端中围布5.38m（人字/4米边高）</t>
  </si>
  <si>
    <t>CB025</t>
  </si>
  <si>
    <t>端中围布5.38m（人字/5米边高）</t>
  </si>
  <si>
    <t>CB026</t>
  </si>
  <si>
    <t>端中围布5.38m（人字/6米边高）</t>
  </si>
  <si>
    <t>CB027</t>
  </si>
  <si>
    <t>围布加宽条</t>
  </si>
  <si>
    <t>山尖布CC</t>
  </si>
  <si>
    <t>CC001</t>
  </si>
  <si>
    <t>山尖布（3米弧形）</t>
  </si>
  <si>
    <t>CC002</t>
  </si>
  <si>
    <t>山尖布（3米人字）</t>
  </si>
  <si>
    <t>CC003</t>
  </si>
  <si>
    <t>山尖布（4米人字）</t>
  </si>
  <si>
    <t>CC004</t>
  </si>
  <si>
    <t>山尖布（5米人字）</t>
  </si>
  <si>
    <t>CC005</t>
  </si>
  <si>
    <t>山尖布（6米人字）</t>
  </si>
  <si>
    <t>CC006</t>
  </si>
  <si>
    <t>山尖布（7米人字）</t>
  </si>
  <si>
    <t>CC007</t>
  </si>
  <si>
    <t>山尖布（8米人字）</t>
  </si>
  <si>
    <t>CC008</t>
  </si>
  <si>
    <t>山尖布（9米人字）</t>
  </si>
  <si>
    <t>CC009</t>
  </si>
  <si>
    <t>山尖布（10米人字）（10*3）</t>
  </si>
  <si>
    <t>CC010</t>
  </si>
  <si>
    <t>山尖布（10米人字）（10*5）</t>
  </si>
  <si>
    <t>CC011</t>
  </si>
  <si>
    <t>山尖布（12米人字）（10*3）</t>
  </si>
  <si>
    <t>CC012</t>
  </si>
  <si>
    <t>山尖布（12米人字）（10*5）</t>
  </si>
  <si>
    <t>CC013</t>
  </si>
  <si>
    <t>山尖布（15米人字）（150料）</t>
  </si>
  <si>
    <t>CC014</t>
  </si>
  <si>
    <t>山尖布（15米人字）（203料）</t>
  </si>
  <si>
    <t>CC015</t>
  </si>
  <si>
    <t>山尖布（18米人字）（150料）</t>
  </si>
  <si>
    <t>CC016</t>
  </si>
  <si>
    <t>山尖布（18米人字）（203料）</t>
  </si>
  <si>
    <t>CC017</t>
  </si>
  <si>
    <t>山尖布（20米人字）</t>
  </si>
  <si>
    <t>CC018</t>
  </si>
  <si>
    <t>山尖布（21米人字）</t>
  </si>
  <si>
    <t>CC019</t>
  </si>
  <si>
    <t>山尖布（25米人字）</t>
  </si>
  <si>
    <t>CC020</t>
  </si>
  <si>
    <t>山尖布（30米人字）（203料）</t>
  </si>
  <si>
    <t>CC021</t>
  </si>
  <si>
    <t>山尖布（30米人字）</t>
  </si>
  <si>
    <t>CC022</t>
  </si>
  <si>
    <t>山尖布（40米人字）</t>
  </si>
  <si>
    <t>CC023</t>
  </si>
  <si>
    <t>山尖布（50米人字）</t>
  </si>
  <si>
    <t>配重罩CD</t>
  </si>
  <si>
    <t>CD001</t>
  </si>
  <si>
    <t>中网框罩</t>
  </si>
  <si>
    <t>CD002</t>
  </si>
  <si>
    <t>大网框罩</t>
  </si>
  <si>
    <t>CD003</t>
  </si>
  <si>
    <t>中网框罩pvc</t>
  </si>
  <si>
    <t>CD004</t>
  </si>
  <si>
    <t>大网框罩pvc</t>
  </si>
  <si>
    <t>CD005</t>
  </si>
  <si>
    <t>小吨石罩</t>
  </si>
  <si>
    <t>CD006</t>
  </si>
  <si>
    <t>大吨石罩</t>
  </si>
  <si>
    <t>CD007</t>
  </si>
  <si>
    <t>小吨石罩pvc</t>
  </si>
  <si>
    <t>CD008</t>
  </si>
  <si>
    <t>大吨石罩pvc</t>
  </si>
  <si>
    <t>CD009</t>
  </si>
  <si>
    <t>双网框罩</t>
  </si>
  <si>
    <t>CD010</t>
  </si>
  <si>
    <t>双网框罩pvc</t>
  </si>
  <si>
    <t>CD011</t>
  </si>
  <si>
    <t>沙袋</t>
  </si>
  <si>
    <t>条</t>
  </si>
  <si>
    <t>CD012</t>
  </si>
  <si>
    <t>框胆</t>
  </si>
  <si>
    <t>天沟类CE</t>
  </si>
  <si>
    <t>CE001</t>
  </si>
  <si>
    <t>天沟</t>
  </si>
  <si>
    <t>CE002</t>
  </si>
  <si>
    <t>顺水布</t>
  </si>
  <si>
    <t>CE003</t>
  </si>
  <si>
    <t>CE004</t>
  </si>
  <si>
    <t>CE005</t>
  </si>
  <si>
    <t>CE006</t>
  </si>
  <si>
    <t>CE007</t>
  </si>
  <si>
    <t>CE008</t>
  </si>
  <si>
    <t>CE009</t>
  </si>
  <si>
    <t>CE010</t>
  </si>
  <si>
    <t>CE011</t>
  </si>
  <si>
    <t>CE012</t>
  </si>
  <si>
    <t>配重/承重盘DA</t>
  </si>
  <si>
    <t>DA001</t>
  </si>
  <si>
    <t>中网框</t>
  </si>
  <si>
    <t>840mm*600mm*640mm*线径6mm</t>
  </si>
  <si>
    <t>DA002</t>
  </si>
  <si>
    <t>大网框</t>
  </si>
  <si>
    <t>1000mm*800mm*840mm*线径6mm</t>
  </si>
  <si>
    <t>DA003</t>
  </si>
  <si>
    <t>大吨石</t>
  </si>
  <si>
    <t>DA004</t>
  </si>
  <si>
    <t>小吨石</t>
  </si>
  <si>
    <t>DA005</t>
  </si>
  <si>
    <t>铁皮石块</t>
  </si>
  <si>
    <t>DA006</t>
  </si>
  <si>
    <t>小石块</t>
  </si>
  <si>
    <t>DA007</t>
  </si>
  <si>
    <t>铁块</t>
  </si>
  <si>
    <t>DA008</t>
  </si>
  <si>
    <t>带卡承重盘</t>
  </si>
  <si>
    <t>DA009</t>
  </si>
  <si>
    <t>大带卡带斜撑承重盘</t>
  </si>
  <si>
    <t>DA010</t>
  </si>
  <si>
    <t>40米专用承重盘</t>
  </si>
  <si>
    <t>DA011</t>
  </si>
  <si>
    <t>田字格承重盘</t>
  </si>
  <si>
    <t>DA012</t>
  </si>
  <si>
    <t>小吨石承重盘</t>
  </si>
  <si>
    <t>DA013</t>
  </si>
  <si>
    <t>大吨石承重盘</t>
  </si>
  <si>
    <t>DA014</t>
  </si>
  <si>
    <t>84料专用带卡承重盘</t>
  </si>
  <si>
    <t>DA015</t>
  </si>
  <si>
    <t>铁皮石块承重盘</t>
  </si>
  <si>
    <t>DA016</t>
  </si>
  <si>
    <t>天沟连接器</t>
  </si>
  <si>
    <t>DA017</t>
  </si>
  <si>
    <t>托</t>
  </si>
  <si>
    <t>DA018</t>
  </si>
  <si>
    <t>网框夹板</t>
  </si>
  <si>
    <t>工具类EA</t>
  </si>
  <si>
    <t>EA001</t>
  </si>
  <si>
    <t>叉枪3.5m</t>
  </si>
  <si>
    <t>支</t>
  </si>
  <si>
    <t>EA002</t>
  </si>
  <si>
    <t>叉枪4.5m</t>
  </si>
  <si>
    <t>EA003</t>
  </si>
  <si>
    <t>叉枪5.5m</t>
  </si>
  <si>
    <t>EA004</t>
  </si>
  <si>
    <t>叉枪6.5m</t>
  </si>
  <si>
    <t>EA005</t>
  </si>
  <si>
    <t>叉枪7.5m</t>
  </si>
  <si>
    <t>EA006</t>
  </si>
  <si>
    <t>叉枪8.5m</t>
  </si>
  <si>
    <t>EA007</t>
  </si>
  <si>
    <t>叉枪9.5m</t>
  </si>
  <si>
    <t>EA008</t>
  </si>
  <si>
    <t>叉枪10.5m</t>
  </si>
  <si>
    <t>EA009</t>
  </si>
  <si>
    <t>梯子2.5m</t>
  </si>
  <si>
    <t>把</t>
  </si>
  <si>
    <t>EA010</t>
  </si>
  <si>
    <t>梯子3.5m</t>
  </si>
  <si>
    <t>EA011</t>
  </si>
  <si>
    <t>梯子4.5m</t>
  </si>
  <si>
    <t>EA012</t>
  </si>
  <si>
    <t>梯子5.5m</t>
  </si>
  <si>
    <t>EA013</t>
  </si>
  <si>
    <t>脚手架</t>
  </si>
  <si>
    <t>EA014</t>
  </si>
  <si>
    <t>天车4m</t>
  </si>
  <si>
    <t>台</t>
  </si>
  <si>
    <t>EA015</t>
  </si>
  <si>
    <t>电机</t>
  </si>
  <si>
    <t>EA016</t>
  </si>
  <si>
    <t>天车5m</t>
  </si>
  <si>
    <t>EA017</t>
  </si>
  <si>
    <t>加长电机</t>
  </si>
  <si>
    <t>EA018</t>
  </si>
  <si>
    <t>绳子（2长2短）</t>
  </si>
  <si>
    <t>EA019</t>
  </si>
  <si>
    <t>运料小车</t>
  </si>
  <si>
    <t>EA020</t>
  </si>
  <si>
    <t>地牛</t>
  </si>
  <si>
    <t>EA021</t>
  </si>
  <si>
    <t>大锤</t>
  </si>
  <si>
    <t>EA022</t>
  </si>
  <si>
    <t>撬棍</t>
  </si>
  <si>
    <t>EA023</t>
  </si>
  <si>
    <t>铁锹</t>
  </si>
  <si>
    <t>EA024</t>
  </si>
  <si>
    <t>大扫把</t>
  </si>
  <si>
    <t>EA025</t>
  </si>
  <si>
    <t>反向上布器</t>
  </si>
  <si>
    <t>EA026</t>
  </si>
  <si>
    <t>铁丝</t>
  </si>
  <si>
    <t>kg</t>
  </si>
  <si>
    <t>EA027</t>
  </si>
  <si>
    <t>冲击钻（含25钻头2根）</t>
  </si>
  <si>
    <t>EA028</t>
  </si>
  <si>
    <t>冲击钻（含25钻头30钻头各2根）</t>
  </si>
  <si>
    <t>EA029</t>
  </si>
  <si>
    <t>电镐</t>
  </si>
  <si>
    <t>EA030</t>
  </si>
  <si>
    <t>角磨（含切片2个）</t>
  </si>
  <si>
    <t>EA031</t>
  </si>
  <si>
    <t>手电钻</t>
  </si>
  <si>
    <t>EA032</t>
  </si>
  <si>
    <t>钻尾钉</t>
  </si>
  <si>
    <t>EA033</t>
  </si>
  <si>
    <t>割木锯</t>
  </si>
  <si>
    <t>EA034</t>
  </si>
  <si>
    <t>热合机</t>
  </si>
  <si>
    <t>EA035</t>
  </si>
  <si>
    <t>篷布条（用于篷布焊接）</t>
  </si>
  <si>
    <t>卷</t>
  </si>
  <si>
    <t>EA036</t>
  </si>
  <si>
    <t>发电机（含加油铁桶）</t>
  </si>
  <si>
    <t>EA037</t>
  </si>
  <si>
    <t>发电机专用插头与输出电源插座</t>
  </si>
  <si>
    <t>EA038</t>
  </si>
  <si>
    <t>电源线</t>
  </si>
  <si>
    <t>EA039</t>
  </si>
  <si>
    <t>起钉器</t>
  </si>
  <si>
    <t>EA040</t>
  </si>
  <si>
    <t>天沟钩</t>
  </si>
  <si>
    <t>EA041</t>
  </si>
  <si>
    <t>抓</t>
  </si>
  <si>
    <t>EA042</t>
  </si>
  <si>
    <t>射灯（含电线）</t>
  </si>
  <si>
    <t>EA043</t>
  </si>
  <si>
    <t>灯具250w</t>
  </si>
  <si>
    <t>EA044</t>
  </si>
  <si>
    <t>灯具[白][节能灯]</t>
  </si>
  <si>
    <t>EA045</t>
  </si>
  <si>
    <t>灯线50米专线（含绝缘管）</t>
  </si>
  <si>
    <t>EA046</t>
  </si>
  <si>
    <t>灯线40米专线（含绝缘管）</t>
  </si>
  <si>
    <t>EA047</t>
  </si>
  <si>
    <t>灯线5米头（含绝缘管）</t>
  </si>
  <si>
    <t>EA048</t>
  </si>
  <si>
    <t>灯线3米头（含绝缘管）</t>
  </si>
  <si>
    <t>EA049</t>
  </si>
  <si>
    <t>尼龙扎带</t>
  </si>
  <si>
    <t>EA050</t>
  </si>
  <si>
    <t>侧立柱绝缘夹板</t>
  </si>
  <si>
    <t>EA051</t>
  </si>
  <si>
    <t>铁丝（用于灯具）</t>
  </si>
  <si>
    <t>米</t>
  </si>
  <si>
    <t>EA052</t>
  </si>
  <si>
    <t>配线</t>
  </si>
  <si>
    <t>EA053</t>
  </si>
  <si>
    <t>配电箱</t>
  </si>
  <si>
    <t>EA054</t>
  </si>
  <si>
    <t>电工胶布</t>
  </si>
  <si>
    <t>EA055</t>
  </si>
  <si>
    <t>透明胶带</t>
  </si>
  <si>
    <t>EA056</t>
  </si>
  <si>
    <t>密封胶</t>
  </si>
  <si>
    <t>管</t>
  </si>
  <si>
    <t>EA057</t>
  </si>
  <si>
    <t>车贴</t>
  </si>
  <si>
    <t>EA058</t>
  </si>
  <si>
    <t>塑料薄膜</t>
  </si>
  <si>
    <t>EA059</t>
  </si>
  <si>
    <t>地毯块（用于顶幔）</t>
  </si>
  <si>
    <t>EA060</t>
  </si>
  <si>
    <t>布幔钢丝绳</t>
  </si>
  <si>
    <t>EA061</t>
  </si>
  <si>
    <t>布幔钩</t>
  </si>
  <si>
    <t>EA062</t>
  </si>
  <si>
    <t>别针</t>
  </si>
  <si>
    <t>EA063</t>
  </si>
  <si>
    <t>布基胶带（灰）</t>
  </si>
  <si>
    <t>EA064</t>
  </si>
  <si>
    <t>布基胶带（红）</t>
  </si>
  <si>
    <t>EA065</t>
  </si>
  <si>
    <t>线手套</t>
  </si>
  <si>
    <t>副</t>
  </si>
  <si>
    <t>EA066</t>
  </si>
  <si>
    <t>鞋套</t>
  </si>
  <si>
    <t>EA067</t>
  </si>
  <si>
    <t>梯套</t>
  </si>
  <si>
    <t>EA068</t>
  </si>
  <si>
    <t>木老爷胶</t>
  </si>
  <si>
    <t>桶</t>
  </si>
  <si>
    <t>EA069</t>
  </si>
  <si>
    <t>毛刷</t>
  </si>
  <si>
    <t>EA070</t>
  </si>
  <si>
    <t>吊带</t>
  </si>
  <si>
    <t>EA071</t>
  </si>
  <si>
    <t>吊扣</t>
  </si>
  <si>
    <t>EA072</t>
  </si>
  <si>
    <t>安全带</t>
  </si>
  <si>
    <t>EA073</t>
  </si>
  <si>
    <t>安全保障夹</t>
  </si>
  <si>
    <t>EA074</t>
  </si>
  <si>
    <t>带眼小钢钎（含专用绳子）</t>
  </si>
  <si>
    <t>EA075</t>
  </si>
  <si>
    <t>圆管（用于搬运铁皮石块）</t>
  </si>
  <si>
    <t>EA076</t>
  </si>
  <si>
    <t>扳手14-17</t>
  </si>
  <si>
    <t>EA077</t>
  </si>
  <si>
    <t>扳手19</t>
  </si>
  <si>
    <t>EA078</t>
  </si>
  <si>
    <t>扳手22-24</t>
  </si>
  <si>
    <t>EA079</t>
  </si>
  <si>
    <t>扳手27-30</t>
  </si>
  <si>
    <t>EA080</t>
  </si>
  <si>
    <t>扳手36-41</t>
  </si>
  <si>
    <t>EA081</t>
  </si>
  <si>
    <t>安全帽（黄）</t>
  </si>
  <si>
    <t>EA082</t>
  </si>
  <si>
    <t>反光背心</t>
  </si>
  <si>
    <t>件</t>
  </si>
  <si>
    <t>EA083</t>
  </si>
  <si>
    <t>路锥</t>
  </si>
  <si>
    <t>EA084</t>
  </si>
  <si>
    <t>警戒线</t>
  </si>
  <si>
    <t>EA085</t>
  </si>
  <si>
    <t>住人小房（含电源线、灯具）</t>
  </si>
  <si>
    <t>4米边高玻璃墙FA</t>
  </si>
  <si>
    <t>FA001</t>
  </si>
  <si>
    <t>玻璃门（含白板）（2.5m*2.5m）</t>
  </si>
  <si>
    <t>FA002</t>
  </si>
  <si>
    <t>玻璃墙（3.6m*1.2m）</t>
  </si>
  <si>
    <t>FA003</t>
  </si>
  <si>
    <t>硬体墙（3.6m*1.2m）</t>
  </si>
  <si>
    <t>FA004</t>
  </si>
  <si>
    <t>缓步台</t>
  </si>
  <si>
    <t>FA005</t>
  </si>
  <si>
    <t>地钢梁</t>
  </si>
  <si>
    <t>FA006</t>
  </si>
  <si>
    <t>端左地钢梁</t>
  </si>
  <si>
    <t>FA007</t>
  </si>
  <si>
    <t>端右地钢梁</t>
  </si>
  <si>
    <t>FA008</t>
  </si>
  <si>
    <t>玻璃墙夹板</t>
  </si>
  <si>
    <t>FA009</t>
  </si>
  <si>
    <t>侧立柱夹板</t>
  </si>
  <si>
    <t>FA010</t>
  </si>
  <si>
    <t>端立柱夹板</t>
  </si>
  <si>
    <t>FA011</t>
  </si>
  <si>
    <t>端面侧立柱夹板</t>
  </si>
  <si>
    <t>FA012</t>
  </si>
  <si>
    <t>硬体墙锁</t>
  </si>
  <si>
    <t>FA013</t>
  </si>
  <si>
    <t>玻璃墙锁</t>
  </si>
  <si>
    <t>2.8米边高玻璃墙FB</t>
  </si>
  <si>
    <t>FB001</t>
  </si>
  <si>
    <t>玻璃门（3m*2.8m）</t>
  </si>
  <si>
    <t>FB002</t>
  </si>
  <si>
    <t>玻璃墙（2.61m*0.97m）</t>
  </si>
  <si>
    <t>FB003</t>
  </si>
  <si>
    <t>FB004</t>
  </si>
  <si>
    <t>门上夹板</t>
  </si>
  <si>
    <t>FB005</t>
  </si>
  <si>
    <t>门边夹板</t>
  </si>
  <si>
    <t>FB006</t>
  </si>
  <si>
    <t>端面上坎</t>
  </si>
  <si>
    <t>FB007</t>
  </si>
  <si>
    <t>端面下坎</t>
  </si>
  <si>
    <t>FB008</t>
  </si>
  <si>
    <t>玻璃墙上坎</t>
  </si>
  <si>
    <t>FB009</t>
  </si>
  <si>
    <t>玻璃墙下坎</t>
  </si>
  <si>
    <t>FB010</t>
  </si>
  <si>
    <t>玻璃门上坎</t>
  </si>
  <si>
    <t>FB011</t>
  </si>
  <si>
    <t>玻璃门下坎</t>
  </si>
  <si>
    <t>FB012</t>
  </si>
  <si>
    <t>玻璃墙上托</t>
  </si>
  <si>
    <t>FB013</t>
  </si>
  <si>
    <t>玻璃墙小立柱</t>
  </si>
  <si>
    <t>FB014</t>
  </si>
  <si>
    <t>端面钢丝绳</t>
  </si>
  <si>
    <t>地台FC</t>
  </si>
  <si>
    <t>FC001</t>
  </si>
  <si>
    <t>地台板（无碗）（1.2m*3.6m）</t>
  </si>
  <si>
    <t>FC002</t>
  </si>
  <si>
    <t>地台板（有碗）（1.2m*3.6m）</t>
  </si>
  <si>
    <t>FC003</t>
  </si>
  <si>
    <t>车展专用承重地台（1m*1m*0.135厚）</t>
  </si>
  <si>
    <t>1m*1m*0.135</t>
  </si>
  <si>
    <t>FC004</t>
  </si>
  <si>
    <t>木方（40mm*70mm）</t>
  </si>
  <si>
    <t>40mm*70mm</t>
  </si>
  <si>
    <t>地毯FD</t>
  </si>
  <si>
    <t>FD001</t>
  </si>
  <si>
    <t>地毯（灰）</t>
  </si>
  <si>
    <t>平</t>
  </si>
  <si>
    <t>FD002</t>
  </si>
  <si>
    <t>地毯（红）</t>
  </si>
  <si>
    <t>顶幔GA</t>
  </si>
  <si>
    <t>GA001</t>
  </si>
  <si>
    <t>顶幔（尖顶顶幔）</t>
  </si>
  <si>
    <t>GA002</t>
  </si>
  <si>
    <t>顶幔（3米弧形）</t>
  </si>
  <si>
    <t>GA003</t>
  </si>
  <si>
    <t>顶幔（3米人字）</t>
  </si>
  <si>
    <t>GA004</t>
  </si>
  <si>
    <t>顶幔（4米人字）</t>
  </si>
  <si>
    <t>GA005</t>
  </si>
  <si>
    <t>顶幔（5米人字）</t>
  </si>
  <si>
    <t>GA006</t>
  </si>
  <si>
    <t>顶幔（6米人字）</t>
  </si>
  <si>
    <t>GA007</t>
  </si>
  <si>
    <t>顶幔（7米人字）</t>
  </si>
  <si>
    <t>GA008</t>
  </si>
  <si>
    <t>顶幔（8米人字）（8*3）</t>
  </si>
  <si>
    <t>GA009</t>
  </si>
  <si>
    <t>顶幔（8米人字）（8*5）</t>
  </si>
  <si>
    <t>GA010</t>
  </si>
  <si>
    <t>顶幔（9米人字）</t>
  </si>
  <si>
    <t>GA011</t>
  </si>
  <si>
    <t>顶幔（10米人字）（10*3）</t>
  </si>
  <si>
    <t>GA012</t>
  </si>
  <si>
    <t>顶幔（10米人字）（10*5）</t>
  </si>
  <si>
    <t>GA013</t>
  </si>
  <si>
    <t>顶幔（12米人字）（12*3）</t>
  </si>
  <si>
    <t>GA014</t>
  </si>
  <si>
    <t>顶幔（12米人字）（12*5）</t>
  </si>
  <si>
    <t>GA015</t>
  </si>
  <si>
    <t>顶幔（15米人字）</t>
  </si>
  <si>
    <t>GA016</t>
  </si>
  <si>
    <t>顶幔（18米人字）</t>
  </si>
  <si>
    <t>GA017</t>
  </si>
  <si>
    <t>顶幔（20米人字）</t>
  </si>
  <si>
    <t>GA018</t>
  </si>
  <si>
    <t>顶幔（21米人字）</t>
  </si>
  <si>
    <t>GA019</t>
  </si>
  <si>
    <t>顶幔（25米人字）</t>
  </si>
  <si>
    <t>GA020</t>
  </si>
  <si>
    <t>顶幔（30米人字）</t>
  </si>
  <si>
    <t>GA021</t>
  </si>
  <si>
    <t>顶幔（40米人字）</t>
  </si>
  <si>
    <t>GA022</t>
  </si>
  <si>
    <t>顶幔（50米人字）</t>
  </si>
  <si>
    <t>帷幔GB</t>
  </si>
  <si>
    <t>GB001</t>
  </si>
  <si>
    <t>帷幔（2.8米边高）</t>
  </si>
  <si>
    <t>GB002</t>
  </si>
  <si>
    <t>帷幔（4米边高）</t>
  </si>
  <si>
    <t>GB003</t>
  </si>
  <si>
    <t>帷幔（5米边高）</t>
  </si>
  <si>
    <t>GB004</t>
  </si>
  <si>
    <t>帷幔（6.4米边高）</t>
  </si>
  <si>
    <t>GB005</t>
  </si>
  <si>
    <t>40米帷幔（新型）</t>
  </si>
  <si>
    <t>GB006</t>
  </si>
  <si>
    <t>2米加高帷幔</t>
  </si>
  <si>
    <t>山尖幔GC</t>
  </si>
  <si>
    <t>GC001</t>
  </si>
  <si>
    <t>山尖幔（3米弧形）</t>
  </si>
  <si>
    <t>GC002</t>
  </si>
  <si>
    <t>山尖幔（3米人字）</t>
  </si>
  <si>
    <t>GC003</t>
  </si>
  <si>
    <t>山尖幔（4米人字）</t>
  </si>
  <si>
    <t>GC004</t>
  </si>
  <si>
    <t>山尖幔（5米人字）</t>
  </si>
  <si>
    <t>GC005</t>
  </si>
  <si>
    <t>山尖幔（6米人字）</t>
  </si>
  <si>
    <t>GC006</t>
  </si>
  <si>
    <t>山尖幔（7米人字）</t>
  </si>
  <si>
    <t>GC007</t>
  </si>
  <si>
    <t>山尖幔（8米人字）</t>
  </si>
  <si>
    <t>GC008</t>
  </si>
  <si>
    <t>山尖幔（9米人字）</t>
  </si>
  <si>
    <t>GC009</t>
  </si>
  <si>
    <t>山尖幔（10米人字）（10*3）</t>
  </si>
  <si>
    <t>GC010</t>
  </si>
  <si>
    <t>山尖幔（10米人字）（10*5）</t>
  </si>
  <si>
    <t>GC011</t>
  </si>
  <si>
    <t>山尖幔（12米人字）（10*3）</t>
  </si>
  <si>
    <t>GC012</t>
  </si>
  <si>
    <t>山尖幔（12米人字）（10*5）</t>
  </si>
  <si>
    <t>GC013</t>
  </si>
  <si>
    <t>山尖幔（15米人字）</t>
  </si>
  <si>
    <t>GC014</t>
  </si>
  <si>
    <t>山尖幔（18米人字）</t>
  </si>
  <si>
    <t>GC015</t>
  </si>
  <si>
    <t>山尖幔（20米人字）</t>
  </si>
  <si>
    <t>GC016</t>
  </si>
  <si>
    <t>山尖幔（21米人字）</t>
  </si>
  <si>
    <t>GC017</t>
  </si>
  <si>
    <t>山尖幔（25米人字）</t>
  </si>
  <si>
    <t>GC018</t>
  </si>
  <si>
    <t>山尖幔（30米人字）</t>
  </si>
  <si>
    <t>GC019</t>
  </si>
  <si>
    <t>山尖幔（40米人字）</t>
  </si>
  <si>
    <t>GC020</t>
  </si>
  <si>
    <t>山尖幔（50米人字）</t>
  </si>
  <si>
    <t>55mm*55mm 3M（尖顶）篷房物料清单</t>
  </si>
  <si>
    <t>篷房规格：3m×3m×1座</t>
  </si>
  <si>
    <t>面积</t>
  </si>
  <si>
    <t>座</t>
  </si>
  <si>
    <t>类别</t>
  </si>
  <si>
    <t>物料名称</t>
  </si>
  <si>
    <t>重量</t>
  </si>
  <si>
    <t>需出数量</t>
  </si>
  <si>
    <t>成品单价</t>
  </si>
  <si>
    <t>铝材长度</t>
  </si>
  <si>
    <t>铝材米重
（kg)</t>
  </si>
  <si>
    <t>铝材价格
（钢材）</t>
  </si>
  <si>
    <t>转角板
（工字扣）</t>
  </si>
  <si>
    <t>上下接头</t>
  </si>
  <si>
    <t>20*160螺丝
（螺丝）</t>
  </si>
  <si>
    <t>铆钉（钩）</t>
  </si>
  <si>
    <t>第一单元
数量</t>
  </si>
  <si>
    <t>小计</t>
  </si>
  <si>
    <t>随后单元
数量</t>
  </si>
  <si>
    <t>骨架明细</t>
  </si>
  <si>
    <t>篷布明细</t>
  </si>
  <si>
    <t>螺栓明细</t>
  </si>
  <si>
    <t>第一单元</t>
  </si>
  <si>
    <t>第二单元</t>
  </si>
  <si>
    <t>围布窗每对加30元</t>
  </si>
  <si>
    <t>说明：绿色需要手动修改</t>
  </si>
  <si>
    <t>总计：</t>
  </si>
  <si>
    <t>48mm*84mm 3M（尖顶）篷房物料清单</t>
  </si>
  <si>
    <t>侧立柱</t>
  </si>
  <si>
    <t>长梁</t>
  </si>
  <si>
    <t>屋面檩条</t>
  </si>
  <si>
    <t>上托管加上托顶</t>
  </si>
  <si>
    <t>地脚</t>
  </si>
  <si>
    <t>屋檐布穿条</t>
  </si>
  <si>
    <t>围布承重管</t>
  </si>
  <si>
    <t>顶布[白]{B类}</t>
  </si>
  <si>
    <t>围布[白]{B类}</t>
  </si>
  <si>
    <t>4M 55*55料（尖顶）篷房物料清单</t>
  </si>
  <si>
    <t>篷房规格：4m×4m×1座</t>
  </si>
  <si>
    <t>螺丝明细</t>
  </si>
  <si>
    <t>总计</t>
  </si>
  <si>
    <t>4M 48*84料（尖顶）篷房物料清单</t>
  </si>
  <si>
    <t xml:space="preserve"> 5M 48*84料（尖顶）篷房物料明细单</t>
  </si>
  <si>
    <t>篷房规格：5m×5m×1座</t>
  </si>
  <si>
    <t>加强板</t>
  </si>
  <si>
    <t xml:space="preserve"> 5M 48*100料（尖顶）篷房物料明细单</t>
  </si>
  <si>
    <t xml:space="preserve"> 6M 48*84料（尖顶）篷房物料明细单</t>
  </si>
  <si>
    <t>篷房规格：6m×6m×1座</t>
  </si>
  <si>
    <t xml:space="preserve"> 6M 48*100料（尖顶）篷房物料明细单</t>
  </si>
  <si>
    <t>3M弧形*3（全铝48*84料 2.8米边高）</t>
  </si>
  <si>
    <t>篷房规格：</t>
  </si>
  <si>
    <t>间</t>
  </si>
  <si>
    <t>排</t>
  </si>
  <si>
    <t>山尖数</t>
  </si>
  <si>
    <t>重量（kg）</t>
  </si>
  <si>
    <t>需求数量</t>
  </si>
  <si>
    <t>铝材（钢材）长度</t>
  </si>
  <si>
    <t>铝材米重（kg)</t>
  </si>
  <si>
    <t>铝材价格（钢材）</t>
  </si>
  <si>
    <t>转角板（工字扣）</t>
  </si>
  <si>
    <t>12*80螺丝</t>
  </si>
  <si>
    <t>备注</t>
  </si>
  <si>
    <t>第一单
元小计</t>
  </si>
  <si>
    <t>随后单元
增加数量</t>
  </si>
  <si>
    <t>增加山
头数量</t>
  </si>
  <si>
    <t>来料长度5.34m*2.168kg米重/2根*价格1.1倍</t>
  </si>
  <si>
    <t>来料长度4.2m*2.168kg米重*价格*1.1倍   螺丝工字扣2套   拉弯加工费70元</t>
  </si>
  <si>
    <t>来料长度5.9m*0.821kg米重/2根*价格1.1倍  钩螺丝4.2元</t>
  </si>
  <si>
    <t>屋檐檩条</t>
  </si>
  <si>
    <t>来料长度5.9m*1.512kg米重/2根*价格*1.1倍  钩螺丝4.2元</t>
  </si>
  <si>
    <t>顶布穿管</t>
  </si>
  <si>
    <t>来料长度5.86m*0.868kg米重/2根*价格*1.1倍</t>
  </si>
  <si>
    <t>山尖穿管</t>
  </si>
  <si>
    <t>来料长度2.93m*0.868kg米重*价格*1.1倍</t>
  </si>
  <si>
    <t>侧横梁</t>
  </si>
  <si>
    <t>来料价格12元/米*3.6（40*60*3）</t>
  </si>
  <si>
    <t>十字撑</t>
  </si>
  <si>
    <t>重8.5KG*6元/KG=51元</t>
  </si>
  <si>
    <t>围布沉重管</t>
  </si>
  <si>
    <t>6分镀锌管，21元进料，一根出俩</t>
  </si>
  <si>
    <t>左右向檩条</t>
  </si>
  <si>
    <t>来料长度2.95m*2.168kg米重*价格*1.1     钢部件10    12*80螺丝*2</t>
  </si>
  <si>
    <t>钢部件明细</t>
  </si>
  <si>
    <t>重3.8KG*6元/KG=22.8</t>
  </si>
  <si>
    <t>侧地脚</t>
  </si>
  <si>
    <t>重1.8KG*元/KG*6=10.8</t>
  </si>
  <si>
    <t>顶布连接器</t>
  </si>
  <si>
    <t>重0.4KG*5元/KG=2</t>
  </si>
  <si>
    <t>顶布紧线器</t>
  </si>
  <si>
    <t>重0.45KG*6元/KG=2.7</t>
  </si>
  <si>
    <r>
      <rPr>
        <sz val="10"/>
        <color indexed="10"/>
        <rFont val="宋体"/>
        <charset val="134"/>
      </rPr>
      <t>篷布长4.3</t>
    </r>
    <r>
      <rPr>
        <sz val="10"/>
        <color indexed="10"/>
        <rFont val="Arial"/>
        <charset val="134"/>
      </rPr>
      <t>*</t>
    </r>
    <r>
      <rPr>
        <sz val="10"/>
        <color indexed="10"/>
        <rFont val="宋体"/>
        <charset val="134"/>
      </rPr>
      <t>宽3</t>
    </r>
    <r>
      <rPr>
        <sz val="10"/>
        <color indexed="10"/>
        <rFont val="Arial"/>
        <charset val="134"/>
      </rPr>
      <t>*</t>
    </r>
    <r>
      <rPr>
        <sz val="10"/>
        <color indexed="10"/>
        <rFont val="宋体"/>
        <charset val="134"/>
      </rPr>
      <t>价格*1.1   皮条4.3</t>
    </r>
    <r>
      <rPr>
        <sz val="10"/>
        <color indexed="10"/>
        <rFont val="Arial"/>
        <charset val="134"/>
      </rPr>
      <t>*2*4.0</t>
    </r>
    <r>
      <rPr>
        <sz val="10"/>
        <color indexed="10"/>
        <rFont val="宋体"/>
        <charset val="134"/>
      </rPr>
      <t>元</t>
    </r>
    <r>
      <rPr>
        <sz val="10"/>
        <color indexed="10"/>
        <rFont val="Arial"/>
        <charset val="134"/>
      </rPr>
      <t>/</t>
    </r>
    <r>
      <rPr>
        <sz val="10"/>
        <color indexed="10"/>
        <rFont val="宋体"/>
        <charset val="134"/>
      </rPr>
      <t>米</t>
    </r>
    <r>
      <rPr>
        <sz val="10"/>
        <color indexed="10"/>
        <rFont val="Arial"/>
        <charset val="134"/>
      </rPr>
      <t>*1.1  10</t>
    </r>
    <r>
      <rPr>
        <sz val="10"/>
        <color indexed="10"/>
        <rFont val="宋体"/>
        <charset val="134"/>
      </rPr>
      <t>元布袋</t>
    </r>
  </si>
  <si>
    <t>山尖布[白]{B类}</t>
  </si>
  <si>
    <r>
      <rPr>
        <sz val="10"/>
        <color indexed="10"/>
        <rFont val="宋体"/>
        <charset val="134"/>
      </rPr>
      <t>篷布长3.15</t>
    </r>
    <r>
      <rPr>
        <sz val="10"/>
        <color indexed="10"/>
        <rFont val="Arial"/>
        <charset val="134"/>
      </rPr>
      <t>*</t>
    </r>
    <r>
      <rPr>
        <sz val="10"/>
        <color indexed="10"/>
        <rFont val="宋体"/>
        <charset val="134"/>
      </rPr>
      <t>宽1.2</t>
    </r>
    <r>
      <rPr>
        <sz val="10"/>
        <color indexed="10"/>
        <rFont val="Arial"/>
        <charset val="134"/>
      </rPr>
      <t>*</t>
    </r>
    <r>
      <rPr>
        <sz val="10"/>
        <color indexed="10"/>
        <rFont val="宋体"/>
        <charset val="134"/>
      </rPr>
      <t>价格*1.1  皮条4.5*4.0元/米</t>
    </r>
    <r>
      <rPr>
        <sz val="10"/>
        <color indexed="10"/>
        <rFont val="Arial"/>
        <charset val="134"/>
      </rPr>
      <t>1.1</t>
    </r>
    <r>
      <rPr>
        <sz val="10"/>
        <color indexed="10"/>
        <rFont val="宋体"/>
        <charset val="134"/>
      </rPr>
      <t>倍</t>
    </r>
  </si>
  <si>
    <r>
      <rPr>
        <sz val="10"/>
        <color indexed="10"/>
        <rFont val="宋体"/>
        <charset val="134"/>
      </rPr>
      <t>篷布长3.06</t>
    </r>
    <r>
      <rPr>
        <sz val="10"/>
        <color indexed="10"/>
        <rFont val="Arial"/>
        <charset val="134"/>
      </rPr>
      <t>*</t>
    </r>
    <r>
      <rPr>
        <sz val="10"/>
        <color indexed="10"/>
        <rFont val="宋体"/>
        <charset val="134"/>
      </rPr>
      <t>宽2.8</t>
    </r>
    <r>
      <rPr>
        <sz val="10"/>
        <color indexed="10"/>
        <rFont val="Arial"/>
        <charset val="134"/>
      </rPr>
      <t>*</t>
    </r>
    <r>
      <rPr>
        <sz val="10"/>
        <color indexed="10"/>
        <rFont val="宋体"/>
        <charset val="134"/>
      </rPr>
      <t xml:space="preserve">价格* 8号皮条5.6米 2.8米拉链1条    围布豆8套  </t>
    </r>
    <r>
      <rPr>
        <sz val="10"/>
        <color indexed="10"/>
        <rFont val="Arial"/>
        <charset val="134"/>
      </rPr>
      <t>5</t>
    </r>
    <r>
      <rPr>
        <sz val="10"/>
        <color indexed="10"/>
        <rFont val="宋体"/>
        <charset val="134"/>
      </rPr>
      <t>元布袋</t>
    </r>
  </si>
  <si>
    <t>端围布[白]{B类}</t>
  </si>
  <si>
    <r>
      <rPr>
        <sz val="10"/>
        <color indexed="10"/>
        <rFont val="宋体"/>
        <charset val="134"/>
      </rPr>
      <t>篷布高2.8</t>
    </r>
    <r>
      <rPr>
        <sz val="10"/>
        <color indexed="10"/>
        <rFont val="Arial"/>
        <charset val="134"/>
      </rPr>
      <t>*</t>
    </r>
    <r>
      <rPr>
        <sz val="10"/>
        <color indexed="10"/>
        <rFont val="宋体"/>
        <charset val="134"/>
      </rPr>
      <t>宽3.2</t>
    </r>
    <r>
      <rPr>
        <sz val="10"/>
        <color indexed="10"/>
        <rFont val="Arial"/>
        <charset val="134"/>
      </rPr>
      <t>*</t>
    </r>
    <r>
      <rPr>
        <sz val="10"/>
        <color indexed="10"/>
        <rFont val="宋体"/>
        <charset val="134"/>
      </rPr>
      <t xml:space="preserve">价格  8号皮条3.6米 2.8米拉链1条    围布豆12套 </t>
    </r>
    <r>
      <rPr>
        <sz val="10"/>
        <color indexed="10"/>
        <rFont val="Arial"/>
        <charset val="134"/>
      </rPr>
      <t>+5</t>
    </r>
    <r>
      <rPr>
        <sz val="10"/>
        <color indexed="10"/>
        <rFont val="宋体"/>
        <charset val="134"/>
      </rPr>
      <t>元布袋</t>
    </r>
  </si>
  <si>
    <r>
      <rPr>
        <sz val="10"/>
        <rFont val="宋体"/>
        <charset val="134"/>
      </rPr>
      <t>螺栓</t>
    </r>
    <r>
      <rPr>
        <sz val="10"/>
        <rFont val="Times New Roman"/>
        <charset val="134"/>
      </rPr>
      <t>12*80</t>
    </r>
  </si>
  <si>
    <t>母加杆=0.48</t>
  </si>
  <si>
    <r>
      <rPr>
        <sz val="10"/>
        <rFont val="宋体"/>
        <charset val="134"/>
      </rPr>
      <t>螺栓</t>
    </r>
    <r>
      <rPr>
        <sz val="10"/>
        <rFont val="Times New Roman"/>
        <charset val="134"/>
      </rPr>
      <t>12*120</t>
    </r>
  </si>
  <si>
    <r>
      <rPr>
        <sz val="10"/>
        <color indexed="10"/>
        <rFont val="宋体"/>
        <charset val="134"/>
      </rPr>
      <t>母加杆</t>
    </r>
    <r>
      <rPr>
        <sz val="10"/>
        <color indexed="10"/>
        <rFont val="Arial"/>
        <charset val="134"/>
      </rPr>
      <t>=0.95</t>
    </r>
  </si>
  <si>
    <r>
      <rPr>
        <sz val="10"/>
        <rFont val="宋体"/>
        <charset val="134"/>
      </rPr>
      <t>螺栓</t>
    </r>
    <r>
      <rPr>
        <sz val="10"/>
        <rFont val="Times New Roman"/>
        <charset val="134"/>
      </rPr>
      <t>12*150</t>
    </r>
  </si>
  <si>
    <r>
      <rPr>
        <sz val="10"/>
        <color indexed="10"/>
        <rFont val="宋体"/>
        <charset val="134"/>
      </rPr>
      <t>母加杆</t>
    </r>
    <r>
      <rPr>
        <sz val="10"/>
        <color indexed="10"/>
        <rFont val="Arial"/>
        <charset val="134"/>
      </rPr>
      <t>=1.5</t>
    </r>
  </si>
  <si>
    <t xml:space="preserve">第一单元
</t>
  </si>
  <si>
    <t xml:space="preserve">第二单元
</t>
  </si>
  <si>
    <t>说明：绿色需要手动调整</t>
  </si>
  <si>
    <t>合计</t>
  </si>
  <si>
    <t>A型3M*3（全铝48*84料 2.8米边高）</t>
  </si>
  <si>
    <t>来料长度3.21m*2.168kg米重*价格*1.1倍   螺丝工字扣2套</t>
  </si>
  <si>
    <t>过渡接头</t>
  </si>
  <si>
    <t>重8.5KG*6元/+=51+铝4元=55</t>
  </si>
  <si>
    <r>
      <rPr>
        <sz val="10"/>
        <color indexed="10"/>
        <rFont val="宋体"/>
        <charset val="134"/>
      </rPr>
      <t>篷布长3.15</t>
    </r>
    <r>
      <rPr>
        <sz val="10"/>
        <color indexed="10"/>
        <rFont val="Arial"/>
        <charset val="134"/>
      </rPr>
      <t>*</t>
    </r>
    <r>
      <rPr>
        <sz val="10"/>
        <color indexed="10"/>
        <rFont val="宋体"/>
        <charset val="134"/>
      </rPr>
      <t>宽1.8</t>
    </r>
    <r>
      <rPr>
        <sz val="10"/>
        <color indexed="10"/>
        <rFont val="Arial"/>
        <charset val="134"/>
      </rPr>
      <t>*</t>
    </r>
    <r>
      <rPr>
        <sz val="10"/>
        <color indexed="10"/>
        <rFont val="宋体"/>
        <charset val="134"/>
      </rPr>
      <t>价格*1.1  皮条3.15*2*4.0元/米</t>
    </r>
    <r>
      <rPr>
        <sz val="10"/>
        <color indexed="10"/>
        <rFont val="Arial"/>
        <charset val="134"/>
      </rPr>
      <t>1.1</t>
    </r>
    <r>
      <rPr>
        <sz val="10"/>
        <color indexed="10"/>
        <rFont val="宋体"/>
        <charset val="134"/>
      </rPr>
      <t>倍</t>
    </r>
  </si>
  <si>
    <r>
      <rPr>
        <b/>
        <sz val="14"/>
        <color indexed="10"/>
        <rFont val="宋体"/>
        <charset val="134"/>
      </rPr>
      <t>A型6</t>
    </r>
    <r>
      <rPr>
        <b/>
        <sz val="14"/>
        <rFont val="宋体"/>
        <charset val="134"/>
      </rPr>
      <t>M*3（全铝48*84料 2.8米边高）</t>
    </r>
  </si>
  <si>
    <t>端立柱</t>
  </si>
  <si>
    <t>来料长度4.0m*2.168kg米重*价格1.1倍   2.5元铁片   铆钉2*0.65</t>
  </si>
  <si>
    <t>端地脚</t>
  </si>
  <si>
    <t>重2.25KG*6元/KG=13.5</t>
  </si>
  <si>
    <r>
      <rPr>
        <sz val="10"/>
        <rFont val="宋体"/>
        <charset val="134"/>
      </rPr>
      <t>单钩捆紧器</t>
    </r>
    <r>
      <rPr>
        <sz val="10"/>
        <color indexed="10"/>
        <rFont val="宋体"/>
        <charset val="134"/>
      </rPr>
      <t>（</t>
    </r>
    <r>
      <rPr>
        <sz val="10"/>
        <color indexed="12"/>
        <rFont val="宋体"/>
        <charset val="134"/>
      </rPr>
      <t>嘎嘎叫</t>
    </r>
    <r>
      <rPr>
        <sz val="10"/>
        <color indexed="10"/>
        <rFont val="宋体"/>
        <charset val="134"/>
      </rPr>
      <t>）</t>
    </r>
  </si>
  <si>
    <t>进购价15.5</t>
  </si>
  <si>
    <r>
      <rPr>
        <sz val="10"/>
        <color indexed="10"/>
        <rFont val="宋体"/>
        <charset val="134"/>
      </rPr>
      <t>篷布长7.2</t>
    </r>
    <r>
      <rPr>
        <sz val="10"/>
        <color indexed="10"/>
        <rFont val="Arial"/>
        <charset val="134"/>
      </rPr>
      <t>*</t>
    </r>
    <r>
      <rPr>
        <sz val="10"/>
        <color indexed="10"/>
        <rFont val="宋体"/>
        <charset val="134"/>
      </rPr>
      <t>宽3</t>
    </r>
    <r>
      <rPr>
        <sz val="10"/>
        <color indexed="10"/>
        <rFont val="Arial"/>
        <charset val="134"/>
      </rPr>
      <t>*</t>
    </r>
    <r>
      <rPr>
        <sz val="10"/>
        <color indexed="10"/>
        <rFont val="宋体"/>
        <charset val="134"/>
      </rPr>
      <t>价格*1.1   皮条7.2</t>
    </r>
    <r>
      <rPr>
        <sz val="10"/>
        <color indexed="10"/>
        <rFont val="Arial"/>
        <charset val="134"/>
      </rPr>
      <t>*2*4.0</t>
    </r>
    <r>
      <rPr>
        <sz val="10"/>
        <color indexed="10"/>
        <rFont val="宋体"/>
        <charset val="134"/>
      </rPr>
      <t>元</t>
    </r>
    <r>
      <rPr>
        <sz val="10"/>
        <color indexed="10"/>
        <rFont val="Arial"/>
        <charset val="134"/>
      </rPr>
      <t>/</t>
    </r>
    <r>
      <rPr>
        <sz val="10"/>
        <color indexed="10"/>
        <rFont val="宋体"/>
        <charset val="134"/>
      </rPr>
      <t>米</t>
    </r>
    <r>
      <rPr>
        <sz val="10"/>
        <color indexed="10"/>
        <rFont val="Arial"/>
        <charset val="134"/>
      </rPr>
      <t>*1.1  10</t>
    </r>
    <r>
      <rPr>
        <sz val="10"/>
        <color indexed="10"/>
        <rFont val="宋体"/>
        <charset val="134"/>
      </rPr>
      <t>元布袋</t>
    </r>
  </si>
  <si>
    <r>
      <rPr>
        <sz val="10"/>
        <color indexed="10"/>
        <rFont val="宋体"/>
        <charset val="134"/>
      </rPr>
      <t>篷布长3.15</t>
    </r>
    <r>
      <rPr>
        <sz val="10"/>
        <color indexed="10"/>
        <rFont val="Arial"/>
        <charset val="134"/>
      </rPr>
      <t>*</t>
    </r>
    <r>
      <rPr>
        <sz val="10"/>
        <color indexed="10"/>
        <rFont val="宋体"/>
        <charset val="134"/>
      </rPr>
      <t>宽1.97</t>
    </r>
    <r>
      <rPr>
        <sz val="10"/>
        <color indexed="10"/>
        <rFont val="Arial"/>
        <charset val="134"/>
      </rPr>
      <t>*</t>
    </r>
    <r>
      <rPr>
        <sz val="10"/>
        <color indexed="10"/>
        <rFont val="宋体"/>
        <charset val="134"/>
      </rPr>
      <t>价格*1.1  皮条4.81*2*4.0元/米</t>
    </r>
    <r>
      <rPr>
        <sz val="10"/>
        <color indexed="10"/>
        <rFont val="Arial"/>
        <charset val="134"/>
      </rPr>
      <t>1.1</t>
    </r>
    <r>
      <rPr>
        <sz val="10"/>
        <color indexed="10"/>
        <rFont val="宋体"/>
        <charset val="134"/>
      </rPr>
      <t>倍</t>
    </r>
  </si>
  <si>
    <t>围布窗每对加40元</t>
  </si>
  <si>
    <t>A型7M*3（全铝48*84料 2.8米边高）</t>
  </si>
  <si>
    <t>来料长度3.75m*2.168kg米重*价格*1.1倍   螺丝工字扣2套</t>
  </si>
  <si>
    <t>来料长度3.50m*0.868kg米重*价格*1.1倍</t>
  </si>
  <si>
    <t>端围布穿管</t>
  </si>
  <si>
    <t>6分镀锌管，21元进料，一根出3.5米</t>
  </si>
  <si>
    <t>来料长度3.94m*2.168kg米重*价格*1.1     钢部件10    12*80螺丝*2</t>
  </si>
  <si>
    <t>重量7.8KG*6元/KG=46.8</t>
  </si>
  <si>
    <r>
      <rPr>
        <sz val="10"/>
        <color indexed="10"/>
        <rFont val="宋体"/>
        <charset val="134"/>
      </rPr>
      <t>篷布长8.2</t>
    </r>
    <r>
      <rPr>
        <sz val="10"/>
        <color indexed="10"/>
        <rFont val="Arial"/>
        <charset val="134"/>
      </rPr>
      <t>*</t>
    </r>
    <r>
      <rPr>
        <sz val="10"/>
        <color indexed="10"/>
        <rFont val="宋体"/>
        <charset val="134"/>
      </rPr>
      <t>宽3</t>
    </r>
    <r>
      <rPr>
        <sz val="10"/>
        <color indexed="10"/>
        <rFont val="Arial"/>
        <charset val="134"/>
      </rPr>
      <t>*</t>
    </r>
    <r>
      <rPr>
        <sz val="10"/>
        <color indexed="10"/>
        <rFont val="宋体"/>
        <charset val="134"/>
      </rPr>
      <t>价格*1.1   皮条8.2</t>
    </r>
    <r>
      <rPr>
        <sz val="10"/>
        <color indexed="10"/>
        <rFont val="Arial"/>
        <charset val="134"/>
      </rPr>
      <t>*2*4.0</t>
    </r>
    <r>
      <rPr>
        <sz val="10"/>
        <color indexed="10"/>
        <rFont val="宋体"/>
        <charset val="134"/>
      </rPr>
      <t>元</t>
    </r>
    <r>
      <rPr>
        <sz val="10"/>
        <color indexed="10"/>
        <rFont val="Arial"/>
        <charset val="134"/>
      </rPr>
      <t>/</t>
    </r>
    <r>
      <rPr>
        <sz val="10"/>
        <color indexed="10"/>
        <rFont val="宋体"/>
        <charset val="134"/>
      </rPr>
      <t>米</t>
    </r>
    <r>
      <rPr>
        <sz val="10"/>
        <color indexed="10"/>
        <rFont val="Arial"/>
        <charset val="134"/>
      </rPr>
      <t>*1.1  20</t>
    </r>
    <r>
      <rPr>
        <sz val="10"/>
        <color indexed="10"/>
        <rFont val="宋体"/>
        <charset val="134"/>
      </rPr>
      <t>元布袋</t>
    </r>
  </si>
  <si>
    <r>
      <rPr>
        <sz val="10"/>
        <color indexed="10"/>
        <rFont val="宋体"/>
        <charset val="134"/>
      </rPr>
      <t>篷布长3.15</t>
    </r>
    <r>
      <rPr>
        <sz val="10"/>
        <color indexed="10"/>
        <rFont val="Arial"/>
        <charset val="134"/>
      </rPr>
      <t>*</t>
    </r>
    <r>
      <rPr>
        <sz val="10"/>
        <color indexed="10"/>
        <rFont val="宋体"/>
        <charset val="134"/>
      </rPr>
      <t>宽2.18</t>
    </r>
    <r>
      <rPr>
        <sz val="10"/>
        <color indexed="10"/>
        <rFont val="Arial"/>
        <charset val="134"/>
      </rPr>
      <t>*</t>
    </r>
    <r>
      <rPr>
        <sz val="10"/>
        <color indexed="10"/>
        <rFont val="宋体"/>
        <charset val="134"/>
      </rPr>
      <t>价格*1.1  皮条4.81*2*4.0元/米</t>
    </r>
    <r>
      <rPr>
        <sz val="10"/>
        <color indexed="10"/>
        <rFont val="Arial"/>
        <charset val="134"/>
      </rPr>
      <t>1.1</t>
    </r>
    <r>
      <rPr>
        <sz val="10"/>
        <color indexed="10"/>
        <rFont val="宋体"/>
        <charset val="134"/>
      </rPr>
      <t>倍</t>
    </r>
  </si>
  <si>
    <r>
      <rPr>
        <sz val="10"/>
        <color indexed="10"/>
        <rFont val="宋体"/>
        <charset val="134"/>
      </rPr>
      <t>篷布高2.8</t>
    </r>
    <r>
      <rPr>
        <sz val="10"/>
        <color indexed="10"/>
        <rFont val="Arial"/>
        <charset val="134"/>
      </rPr>
      <t>*</t>
    </r>
    <r>
      <rPr>
        <sz val="10"/>
        <color indexed="10"/>
        <rFont val="宋体"/>
        <charset val="134"/>
      </rPr>
      <t>宽3.5</t>
    </r>
    <r>
      <rPr>
        <sz val="10"/>
        <color indexed="10"/>
        <rFont val="Arial"/>
        <charset val="134"/>
      </rPr>
      <t>*</t>
    </r>
    <r>
      <rPr>
        <sz val="10"/>
        <color indexed="10"/>
        <rFont val="宋体"/>
        <charset val="134"/>
      </rPr>
      <t xml:space="preserve">价格  8号皮条3.6米 2.8米拉链1条    围布豆12套 </t>
    </r>
    <r>
      <rPr>
        <sz val="10"/>
        <color indexed="10"/>
        <rFont val="Arial"/>
        <charset val="134"/>
      </rPr>
      <t>+5</t>
    </r>
    <r>
      <rPr>
        <sz val="10"/>
        <color indexed="10"/>
        <rFont val="宋体"/>
        <charset val="134"/>
      </rPr>
      <t>元布袋</t>
    </r>
  </si>
  <si>
    <r>
      <rPr>
        <b/>
        <sz val="14"/>
        <color indexed="10"/>
        <rFont val="宋体"/>
        <charset val="134"/>
      </rPr>
      <t>A型8</t>
    </r>
    <r>
      <rPr>
        <b/>
        <sz val="14"/>
        <rFont val="宋体"/>
        <charset val="134"/>
      </rPr>
      <t>M*3（全铝 2.8米边高）</t>
    </r>
  </si>
  <si>
    <t>来料长度4.35m*2.168kg米重*价格*1.1倍   螺丝工字扣2套</t>
  </si>
  <si>
    <t>来料长度4.00m*0.868kg米重*价格*1.1倍</t>
  </si>
  <si>
    <t>6分镀锌管，21元进料，一根出5米</t>
  </si>
  <si>
    <r>
      <rPr>
        <sz val="10"/>
        <color indexed="10"/>
        <rFont val="宋体"/>
        <charset val="134"/>
      </rPr>
      <t>篷布长9.42</t>
    </r>
    <r>
      <rPr>
        <sz val="10"/>
        <color indexed="10"/>
        <rFont val="Arial"/>
        <charset val="134"/>
      </rPr>
      <t>*</t>
    </r>
    <r>
      <rPr>
        <sz val="10"/>
        <color indexed="10"/>
        <rFont val="宋体"/>
        <charset val="134"/>
      </rPr>
      <t>宽3</t>
    </r>
    <r>
      <rPr>
        <sz val="10"/>
        <color indexed="10"/>
        <rFont val="Arial"/>
        <charset val="134"/>
      </rPr>
      <t>*</t>
    </r>
    <r>
      <rPr>
        <sz val="10"/>
        <color indexed="10"/>
        <rFont val="宋体"/>
        <charset val="134"/>
      </rPr>
      <t>价格*1.1   皮条9.42</t>
    </r>
    <r>
      <rPr>
        <sz val="10"/>
        <color indexed="10"/>
        <rFont val="Arial"/>
        <charset val="134"/>
      </rPr>
      <t>*2*4.0</t>
    </r>
    <r>
      <rPr>
        <sz val="10"/>
        <color indexed="10"/>
        <rFont val="宋体"/>
        <charset val="134"/>
      </rPr>
      <t>元</t>
    </r>
    <r>
      <rPr>
        <sz val="10"/>
        <color indexed="10"/>
        <rFont val="Arial"/>
        <charset val="134"/>
      </rPr>
      <t>/</t>
    </r>
    <r>
      <rPr>
        <sz val="10"/>
        <color indexed="10"/>
        <rFont val="宋体"/>
        <charset val="134"/>
      </rPr>
      <t>米</t>
    </r>
    <r>
      <rPr>
        <sz val="10"/>
        <color indexed="10"/>
        <rFont val="Arial"/>
        <charset val="134"/>
      </rPr>
      <t>*1.1  20</t>
    </r>
    <r>
      <rPr>
        <sz val="10"/>
        <color indexed="10"/>
        <rFont val="宋体"/>
        <charset val="134"/>
      </rPr>
      <t>元布袋</t>
    </r>
  </si>
  <si>
    <r>
      <rPr>
        <sz val="10"/>
        <color indexed="10"/>
        <rFont val="宋体"/>
        <charset val="134"/>
      </rPr>
      <t>篷布长4.1</t>
    </r>
    <r>
      <rPr>
        <sz val="10"/>
        <color indexed="10"/>
        <rFont val="Arial"/>
        <charset val="134"/>
      </rPr>
      <t>*</t>
    </r>
    <r>
      <rPr>
        <sz val="10"/>
        <color indexed="10"/>
        <rFont val="宋体"/>
        <charset val="134"/>
      </rPr>
      <t>宽2.18</t>
    </r>
    <r>
      <rPr>
        <sz val="10"/>
        <color indexed="10"/>
        <rFont val="Arial"/>
        <charset val="134"/>
      </rPr>
      <t>*</t>
    </r>
    <r>
      <rPr>
        <sz val="10"/>
        <color indexed="10"/>
        <rFont val="宋体"/>
        <charset val="134"/>
      </rPr>
      <t>价格*1.1  皮条6.35*2*4.0元/米</t>
    </r>
    <r>
      <rPr>
        <sz val="10"/>
        <color indexed="10"/>
        <rFont val="Arial"/>
        <charset val="134"/>
      </rPr>
      <t>1.1</t>
    </r>
    <r>
      <rPr>
        <sz val="10"/>
        <color indexed="10"/>
        <rFont val="宋体"/>
        <charset val="134"/>
      </rPr>
      <t>倍</t>
    </r>
  </si>
  <si>
    <r>
      <rPr>
        <sz val="10"/>
        <color indexed="10"/>
        <rFont val="宋体"/>
        <charset val="134"/>
      </rPr>
      <t>篷布高2.8</t>
    </r>
    <r>
      <rPr>
        <sz val="10"/>
        <color indexed="10"/>
        <rFont val="Arial"/>
        <charset val="134"/>
      </rPr>
      <t>*</t>
    </r>
    <r>
      <rPr>
        <sz val="10"/>
        <color indexed="10"/>
        <rFont val="宋体"/>
        <charset val="134"/>
      </rPr>
      <t>宽4.13</t>
    </r>
    <r>
      <rPr>
        <sz val="10"/>
        <color indexed="10"/>
        <rFont val="Arial"/>
        <charset val="134"/>
      </rPr>
      <t>*</t>
    </r>
    <r>
      <rPr>
        <sz val="10"/>
        <color indexed="10"/>
        <rFont val="宋体"/>
        <charset val="134"/>
      </rPr>
      <t xml:space="preserve">价格  8号皮条3.6米 2.8米拉链1条    围布豆12套 </t>
    </r>
    <r>
      <rPr>
        <sz val="10"/>
        <color indexed="10"/>
        <rFont val="Arial"/>
        <charset val="134"/>
      </rPr>
      <t>+5</t>
    </r>
    <r>
      <rPr>
        <sz val="10"/>
        <color indexed="10"/>
        <rFont val="宋体"/>
        <charset val="134"/>
      </rPr>
      <t>元布袋</t>
    </r>
  </si>
  <si>
    <t>A型10M*3（全铝48*84料 2.8米边高）</t>
  </si>
  <si>
    <t>来料长度4.4m*2.168kg米重*价格1.1倍   2.5元铁片   铆钉2*0.65</t>
  </si>
  <si>
    <t>来料长度5.34m*2.168kg米重*价格*1.1倍   螺丝工字扣2套</t>
  </si>
  <si>
    <t>来料长度4.99m*0.868kg米重*价格*1.1倍</t>
  </si>
  <si>
    <t>来料长度4.95m*2.168kg米重*价格*1.1     钢部件10    12*80螺丝*2</t>
  </si>
  <si>
    <t>钢丝绳</t>
  </si>
  <si>
    <t>订购价格15元</t>
  </si>
  <si>
    <r>
      <rPr>
        <sz val="10"/>
        <color indexed="10"/>
        <rFont val="宋体"/>
        <charset val="134"/>
      </rPr>
      <t>篷布长11.47</t>
    </r>
    <r>
      <rPr>
        <sz val="10"/>
        <color indexed="10"/>
        <rFont val="Arial"/>
        <charset val="134"/>
      </rPr>
      <t>*</t>
    </r>
    <r>
      <rPr>
        <sz val="10"/>
        <color indexed="10"/>
        <rFont val="宋体"/>
        <charset val="134"/>
      </rPr>
      <t>宽3</t>
    </r>
    <r>
      <rPr>
        <sz val="10"/>
        <color indexed="10"/>
        <rFont val="Arial"/>
        <charset val="134"/>
      </rPr>
      <t>*</t>
    </r>
    <r>
      <rPr>
        <sz val="10"/>
        <color indexed="10"/>
        <rFont val="宋体"/>
        <charset val="134"/>
      </rPr>
      <t>价格*1.1   皮条11.47</t>
    </r>
    <r>
      <rPr>
        <sz val="10"/>
        <color indexed="10"/>
        <rFont val="Arial"/>
        <charset val="134"/>
      </rPr>
      <t>*2*4.0</t>
    </r>
    <r>
      <rPr>
        <sz val="10"/>
        <color indexed="10"/>
        <rFont val="宋体"/>
        <charset val="134"/>
      </rPr>
      <t>元</t>
    </r>
    <r>
      <rPr>
        <sz val="10"/>
        <color indexed="10"/>
        <rFont val="Arial"/>
        <charset val="134"/>
      </rPr>
      <t>/</t>
    </r>
    <r>
      <rPr>
        <sz val="10"/>
        <color indexed="10"/>
        <rFont val="宋体"/>
        <charset val="134"/>
      </rPr>
      <t>米</t>
    </r>
    <r>
      <rPr>
        <sz val="10"/>
        <color indexed="10"/>
        <rFont val="Arial"/>
        <charset val="134"/>
      </rPr>
      <t>*1.1  20</t>
    </r>
    <r>
      <rPr>
        <sz val="10"/>
        <color indexed="10"/>
        <rFont val="宋体"/>
        <charset val="134"/>
      </rPr>
      <t>元布袋</t>
    </r>
  </si>
  <si>
    <r>
      <rPr>
        <sz val="10"/>
        <color indexed="10"/>
        <rFont val="宋体"/>
        <charset val="134"/>
      </rPr>
      <t>篷布长5.05</t>
    </r>
    <r>
      <rPr>
        <sz val="10"/>
        <color indexed="10"/>
        <rFont val="Arial"/>
        <charset val="134"/>
      </rPr>
      <t>*</t>
    </r>
    <r>
      <rPr>
        <sz val="10"/>
        <color indexed="10"/>
        <rFont val="宋体"/>
        <charset val="134"/>
      </rPr>
      <t>宽2.5</t>
    </r>
    <r>
      <rPr>
        <sz val="10"/>
        <color indexed="10"/>
        <rFont val="Arial"/>
        <charset val="134"/>
      </rPr>
      <t>*</t>
    </r>
    <r>
      <rPr>
        <sz val="10"/>
        <color indexed="10"/>
        <rFont val="宋体"/>
        <charset val="134"/>
      </rPr>
      <t>价格*1.1  皮条7.48*2*4.0元/米</t>
    </r>
    <r>
      <rPr>
        <sz val="10"/>
        <color indexed="10"/>
        <rFont val="Arial"/>
        <charset val="134"/>
      </rPr>
      <t>1.1</t>
    </r>
    <r>
      <rPr>
        <sz val="10"/>
        <color indexed="10"/>
        <rFont val="宋体"/>
        <charset val="134"/>
      </rPr>
      <t>倍</t>
    </r>
  </si>
  <si>
    <r>
      <rPr>
        <sz val="10"/>
        <color indexed="10"/>
        <rFont val="宋体"/>
        <charset val="134"/>
      </rPr>
      <t>篷布高2.8</t>
    </r>
    <r>
      <rPr>
        <sz val="10"/>
        <color indexed="10"/>
        <rFont val="Arial"/>
        <charset val="134"/>
      </rPr>
      <t>*</t>
    </r>
    <r>
      <rPr>
        <sz val="10"/>
        <color indexed="10"/>
        <rFont val="宋体"/>
        <charset val="134"/>
      </rPr>
      <t>宽5.14</t>
    </r>
    <r>
      <rPr>
        <sz val="10"/>
        <color indexed="10"/>
        <rFont val="Arial"/>
        <charset val="134"/>
      </rPr>
      <t>*</t>
    </r>
    <r>
      <rPr>
        <sz val="10"/>
        <color indexed="10"/>
        <rFont val="宋体"/>
        <charset val="134"/>
      </rPr>
      <t xml:space="preserve">价格  8号皮条3.6米 2.8米拉链1条    围布豆12套 </t>
    </r>
    <r>
      <rPr>
        <sz val="10"/>
        <color indexed="10"/>
        <rFont val="Arial"/>
        <charset val="134"/>
      </rPr>
      <t>+5</t>
    </r>
    <r>
      <rPr>
        <sz val="10"/>
        <color indexed="10"/>
        <rFont val="宋体"/>
        <charset val="134"/>
      </rPr>
      <t>元布袋</t>
    </r>
  </si>
  <si>
    <t>c型10米（87.6*129.6料 全铝 边高4米 ）</t>
  </si>
  <si>
    <t>参   数</t>
  </si>
  <si>
    <t>价   格</t>
  </si>
  <si>
    <t>16*160螺丝（螺丝）</t>
  </si>
  <si>
    <r>
      <rPr>
        <sz val="10"/>
        <rFont val="宋体"/>
        <charset val="134"/>
      </rPr>
      <t>铝材长度</t>
    </r>
    <r>
      <rPr>
        <sz val="10"/>
        <rFont val="Arial"/>
        <charset val="134"/>
      </rPr>
      <t>7.16</t>
    </r>
    <r>
      <rPr>
        <sz val="10"/>
        <rFont val="宋体"/>
        <charset val="134"/>
      </rPr>
      <t>米</t>
    </r>
    <r>
      <rPr>
        <sz val="10"/>
        <rFont val="Arial"/>
        <charset val="134"/>
      </rPr>
      <t>*4.382KG/2*</t>
    </r>
    <r>
      <rPr>
        <sz val="10"/>
        <rFont val="宋体"/>
        <charset val="134"/>
      </rPr>
      <t>价格</t>
    </r>
    <r>
      <rPr>
        <sz val="10"/>
        <rFont val="Arial"/>
        <charset val="134"/>
      </rPr>
      <t>*1.1
130</t>
    </r>
    <r>
      <rPr>
        <sz val="10"/>
        <rFont val="宋体"/>
        <charset val="134"/>
      </rPr>
      <t>卡板</t>
    </r>
    <r>
      <rPr>
        <sz val="10"/>
        <rFont val="Arial"/>
        <charset val="134"/>
      </rPr>
      <t>2</t>
    </r>
    <r>
      <rPr>
        <sz val="10"/>
        <rFont val="宋体"/>
        <charset val="134"/>
      </rPr>
      <t>片=68.74</t>
    </r>
    <r>
      <rPr>
        <sz val="10"/>
        <rFont val="Arial"/>
        <charset val="134"/>
      </rPr>
      <t>+</t>
    </r>
    <r>
      <rPr>
        <sz val="10"/>
        <rFont val="宋体"/>
        <charset val="134"/>
      </rPr>
      <t>下钢部件1件=33.64</t>
    </r>
    <r>
      <rPr>
        <sz val="10"/>
        <rFont val="Arial"/>
        <charset val="134"/>
      </rPr>
      <t>+</t>
    </r>
    <r>
      <rPr>
        <sz val="10"/>
        <rFont val="宋体"/>
        <charset val="134"/>
      </rPr>
      <t>铆钉</t>
    </r>
    <r>
      <rPr>
        <sz val="10"/>
        <rFont val="Arial"/>
        <charset val="134"/>
      </rPr>
      <t>18</t>
    </r>
    <r>
      <rPr>
        <sz val="10"/>
        <rFont val="宋体"/>
        <charset val="134"/>
      </rPr>
      <t>个=11.7+16*160螺栓4套=10.2</t>
    </r>
  </si>
  <si>
    <r>
      <rPr>
        <sz val="10"/>
        <rFont val="宋体"/>
        <charset val="134"/>
      </rPr>
      <t>铝材长度5米</t>
    </r>
    <r>
      <rPr>
        <sz val="10"/>
        <rFont val="Arial"/>
        <charset val="134"/>
      </rPr>
      <t>*4.382KG*</t>
    </r>
    <r>
      <rPr>
        <sz val="10"/>
        <rFont val="宋体"/>
        <charset val="134"/>
      </rPr>
      <t>价格*1.1</t>
    </r>
    <r>
      <rPr>
        <sz val="10"/>
        <rFont val="Arial"/>
        <charset val="134"/>
      </rPr>
      <t xml:space="preserve">
</t>
    </r>
    <r>
      <rPr>
        <sz val="10"/>
        <rFont val="宋体"/>
        <charset val="134"/>
      </rPr>
      <t>上接头1件+下接头1件</t>
    </r>
    <r>
      <rPr>
        <sz val="10"/>
        <rFont val="Arial"/>
        <charset val="134"/>
      </rPr>
      <t>+20*140</t>
    </r>
    <r>
      <rPr>
        <sz val="10"/>
        <rFont val="宋体"/>
        <charset val="134"/>
      </rPr>
      <t>螺丝4套</t>
    </r>
  </si>
  <si>
    <t>长人字梁</t>
  </si>
  <si>
    <t>铝材长度8.15*米重4.382*价格*1.1=
130长梁堵1件=10.8+工字扣6套=15 +8*130螺栓6套=6</t>
  </si>
  <si>
    <t>铝材长度4.882*米重1.552*价格*1.1       直钩1件=6.5   弯钩1件 =6.5    10*30螺栓4套=2</t>
  </si>
  <si>
    <t>铝材长度4.882*米重2.771*价格*1.1      直钩1件=6.5   弯钩1件*6.5     10*30螺栓4套=2</t>
  </si>
  <si>
    <t>来料长度4.86*米重1.345价格*1.1</t>
  </si>
  <si>
    <t>60*60*3.5热带方管1只 =95   135*70*10铁板1块=3  45*200*6铁板2块=4   标准件1件=6.5  16*140螺栓1支=1</t>
  </si>
  <si>
    <t>山尖固定扁铝</t>
  </si>
  <si>
    <r>
      <rPr>
        <sz val="10"/>
        <rFont val="Arial"/>
        <charset val="134"/>
      </rPr>
      <t>2.5</t>
    </r>
    <r>
      <rPr>
        <sz val="10"/>
        <rFont val="宋体"/>
        <charset val="134"/>
      </rPr>
      <t>公斤</t>
    </r>
    <r>
      <rPr>
        <sz val="10"/>
        <rFont val="Arial"/>
        <charset val="134"/>
      </rPr>
      <t>*</t>
    </r>
    <r>
      <rPr>
        <sz val="10"/>
        <rFont val="宋体"/>
        <charset val="134"/>
      </rPr>
      <t>价格</t>
    </r>
    <r>
      <rPr>
        <sz val="10"/>
        <rFont val="Arial"/>
        <charset val="134"/>
      </rPr>
      <t>+</t>
    </r>
    <r>
      <rPr>
        <sz val="10"/>
        <rFont val="宋体"/>
        <charset val="134"/>
      </rPr>
      <t>钉</t>
    </r>
    <r>
      <rPr>
        <sz val="10"/>
        <rFont val="Arial"/>
        <charset val="134"/>
      </rPr>
      <t>1</t>
    </r>
    <r>
      <rPr>
        <sz val="10"/>
        <rFont val="宋体"/>
        <charset val="134"/>
      </rPr>
      <t>元</t>
    </r>
  </si>
  <si>
    <t>铝材长度4.882*米重2.771       直钩1件   钢部件1件     10*30螺栓2套  圆头铆钉10个</t>
  </si>
  <si>
    <t>6分管5米</t>
  </si>
  <si>
    <t>100*150*5方管1000  112*203铝材140   工字扣2件  8*130螺栓2套</t>
  </si>
  <si>
    <t>标准件</t>
  </si>
  <si>
    <t>尖基2个+钢丝绳</t>
  </si>
  <si>
    <t>30*50方管</t>
  </si>
  <si>
    <t>φ18*340</t>
  </si>
  <si>
    <t>30*50方管    40*5*20*120铁板</t>
  </si>
  <si>
    <t>顶布[白]{A类}</t>
  </si>
  <si>
    <t>PVC12.7*2.45*2*价格*1.1     皮条φ11*12.7*2    布袋30元</t>
  </si>
  <si>
    <t>山尖布[白]{A类}</t>
  </si>
  <si>
    <t>篷布长6.63*宽3.6*价格*1.1 + 皮条11.3*2*4.7元/米+15元布袋</t>
  </si>
  <si>
    <t>围布[白]{A类}</t>
  </si>
  <si>
    <t>篷布宽2.6*2*高3.97*价格*1.1+围布豆12套+围布绳10.8米+铜扣18套+布袋7.5元</t>
  </si>
  <si>
    <r>
      <rPr>
        <sz val="10"/>
        <rFont val="宋体"/>
        <charset val="134"/>
      </rPr>
      <t>订购价</t>
    </r>
    <r>
      <rPr>
        <sz val="10"/>
        <rFont val="Arial"/>
        <charset val="134"/>
      </rPr>
      <t>2.15</t>
    </r>
  </si>
  <si>
    <t>订购价2.55</t>
  </si>
  <si>
    <r>
      <rPr>
        <sz val="10"/>
        <rFont val="宋体"/>
        <charset val="134"/>
      </rPr>
      <t>螺栓16</t>
    </r>
    <r>
      <rPr>
        <sz val="10"/>
        <rFont val="Times New Roman"/>
        <charset val="134"/>
      </rPr>
      <t>*140</t>
    </r>
  </si>
  <si>
    <t>订购价1.95</t>
  </si>
  <si>
    <t>订购价1.46</t>
  </si>
  <si>
    <t>总价</t>
  </si>
  <si>
    <t>参数设置</t>
  </si>
  <si>
    <t>侧立柱铝材（m)</t>
  </si>
  <si>
    <t>4米边高</t>
  </si>
  <si>
    <t>5米边高</t>
  </si>
  <si>
    <t>端立柱铝材(m)</t>
  </si>
  <si>
    <t>围布高度(m)</t>
  </si>
  <si>
    <t>剪子骨</t>
  </si>
  <si>
    <t>4米边高（元）</t>
  </si>
  <si>
    <t>5米边高（元）</t>
  </si>
  <si>
    <t>B型10米（150料 全铝 边高4米 ）</t>
  </si>
  <si>
    <r>
      <rPr>
        <sz val="10"/>
        <rFont val="宋体"/>
        <charset val="134"/>
      </rPr>
      <t>铝材长度</t>
    </r>
    <r>
      <rPr>
        <sz val="10"/>
        <rFont val="Arial"/>
        <charset val="134"/>
      </rPr>
      <t>7.16</t>
    </r>
    <r>
      <rPr>
        <sz val="10"/>
        <rFont val="宋体"/>
        <charset val="134"/>
      </rPr>
      <t>米</t>
    </r>
    <r>
      <rPr>
        <sz val="10"/>
        <rFont val="Arial"/>
        <charset val="134"/>
      </rPr>
      <t>*5.3KG/2*</t>
    </r>
    <r>
      <rPr>
        <sz val="10"/>
        <rFont val="宋体"/>
        <charset val="134"/>
      </rPr>
      <t>价格</t>
    </r>
    <r>
      <rPr>
        <sz val="10"/>
        <rFont val="Arial"/>
        <charset val="134"/>
      </rPr>
      <t>*1.1
150</t>
    </r>
    <r>
      <rPr>
        <sz val="10"/>
        <rFont val="宋体"/>
        <charset val="134"/>
      </rPr>
      <t>卡板</t>
    </r>
    <r>
      <rPr>
        <sz val="10"/>
        <rFont val="Arial"/>
        <charset val="134"/>
      </rPr>
      <t>2</t>
    </r>
    <r>
      <rPr>
        <sz val="10"/>
        <rFont val="宋体"/>
        <charset val="134"/>
      </rPr>
      <t>片*37.94=75.88</t>
    </r>
    <r>
      <rPr>
        <sz val="10"/>
        <rFont val="Arial"/>
        <charset val="134"/>
      </rPr>
      <t>+</t>
    </r>
    <r>
      <rPr>
        <sz val="10"/>
        <rFont val="宋体"/>
        <charset val="134"/>
      </rPr>
      <t>下钢部件1件=38.79</t>
    </r>
    <r>
      <rPr>
        <sz val="10"/>
        <rFont val="Arial"/>
        <charset val="134"/>
      </rPr>
      <t>+</t>
    </r>
    <r>
      <rPr>
        <sz val="10"/>
        <rFont val="宋体"/>
        <charset val="134"/>
      </rPr>
      <t>铆钉</t>
    </r>
    <r>
      <rPr>
        <sz val="10"/>
        <rFont val="Arial"/>
        <charset val="134"/>
      </rPr>
      <t>18</t>
    </r>
    <r>
      <rPr>
        <sz val="10"/>
        <rFont val="宋体"/>
        <charset val="134"/>
      </rPr>
      <t>个*0.65=11.7+16*160螺栓4套=10.2</t>
    </r>
  </si>
  <si>
    <r>
      <rPr>
        <sz val="10"/>
        <rFont val="宋体"/>
        <charset val="134"/>
      </rPr>
      <t>铝材长度5米</t>
    </r>
    <r>
      <rPr>
        <sz val="10"/>
        <rFont val="Arial"/>
        <charset val="134"/>
      </rPr>
      <t>*5.3KG*</t>
    </r>
    <r>
      <rPr>
        <sz val="10"/>
        <rFont val="宋体"/>
        <charset val="134"/>
      </rPr>
      <t>价格*1.1</t>
    </r>
    <r>
      <rPr>
        <sz val="10"/>
        <rFont val="Arial"/>
        <charset val="134"/>
      </rPr>
      <t xml:space="preserve">
</t>
    </r>
    <r>
      <rPr>
        <sz val="10"/>
        <rFont val="宋体"/>
        <charset val="134"/>
      </rPr>
      <t>上接头1件49.51+下接头1件41.21</t>
    </r>
    <r>
      <rPr>
        <sz val="10"/>
        <rFont val="Arial"/>
        <charset val="134"/>
      </rPr>
      <t>+20*140</t>
    </r>
    <r>
      <rPr>
        <sz val="10"/>
        <rFont val="宋体"/>
        <charset val="134"/>
      </rPr>
      <t>螺丝4套</t>
    </r>
  </si>
  <si>
    <t>铝材长度8.15*米重5.3*价格*1.1=
150长梁堵1件=10.8+工字扣4套=10+8*130螺栓6套=6</t>
  </si>
  <si>
    <t>100*104*5方管1000  120*150铝材200   工字扣2件  8*130螺栓2套</t>
  </si>
  <si>
    <t>B型10米（150料 全铝 边高5米 ）</t>
  </si>
  <si>
    <r>
      <rPr>
        <sz val="10"/>
        <rFont val="宋体"/>
        <charset val="134"/>
      </rPr>
      <t>铝材长度4.55米</t>
    </r>
    <r>
      <rPr>
        <sz val="10"/>
        <rFont val="Arial"/>
        <charset val="134"/>
      </rPr>
      <t>*5.3KG/*</t>
    </r>
    <r>
      <rPr>
        <sz val="10"/>
        <rFont val="宋体"/>
        <charset val="134"/>
      </rPr>
      <t>价格</t>
    </r>
    <r>
      <rPr>
        <sz val="10"/>
        <rFont val="Arial"/>
        <charset val="134"/>
      </rPr>
      <t>*1.1
150</t>
    </r>
    <r>
      <rPr>
        <sz val="10"/>
        <rFont val="宋体"/>
        <charset val="134"/>
      </rPr>
      <t>卡板</t>
    </r>
    <r>
      <rPr>
        <sz val="10"/>
        <rFont val="Arial"/>
        <charset val="134"/>
      </rPr>
      <t>2</t>
    </r>
    <r>
      <rPr>
        <sz val="10"/>
        <rFont val="宋体"/>
        <charset val="134"/>
      </rPr>
      <t>片*37.94=75.88</t>
    </r>
    <r>
      <rPr>
        <sz val="10"/>
        <rFont val="Arial"/>
        <charset val="134"/>
      </rPr>
      <t>+</t>
    </r>
    <r>
      <rPr>
        <sz val="10"/>
        <rFont val="宋体"/>
        <charset val="134"/>
      </rPr>
      <t>下钢部件1件=38.79</t>
    </r>
    <r>
      <rPr>
        <sz val="10"/>
        <rFont val="Arial"/>
        <charset val="134"/>
      </rPr>
      <t>+</t>
    </r>
    <r>
      <rPr>
        <sz val="10"/>
        <rFont val="宋体"/>
        <charset val="134"/>
      </rPr>
      <t>铆钉</t>
    </r>
    <r>
      <rPr>
        <sz val="10"/>
        <rFont val="Arial"/>
        <charset val="134"/>
      </rPr>
      <t>18</t>
    </r>
    <r>
      <rPr>
        <sz val="10"/>
        <rFont val="宋体"/>
        <charset val="134"/>
      </rPr>
      <t>个*0.65=11.7+16*160螺栓4套=10.2</t>
    </r>
  </si>
  <si>
    <t>篷布宽2.6*2*高4.97*价格*1.1+围布豆12套+围布绳10.8米+铜扣18套+布袋7.5元</t>
  </si>
  <si>
    <t>c型10米变12（87.6*129.6料 全铝 边高4米 ）</t>
  </si>
  <si>
    <t>单重（kg）</t>
  </si>
  <si>
    <t>铝材长度5.47*米重4.382*价格*1.1=
130长梁堵1件=10.8+工字扣6套=15 +8*130螺栓6套=6</t>
  </si>
  <si>
    <t>12米短梁</t>
  </si>
  <si>
    <t>来料长度1.03*4.382*价格*1.1
芯子20
106.25+26.58+4=136.83</t>
  </si>
  <si>
    <t>PVC15*2.45*2*价格*1.1     皮条φ11*15*2    布袋30元</t>
  </si>
  <si>
    <r>
      <rPr>
        <sz val="10"/>
        <color indexed="8"/>
        <rFont val="宋体"/>
        <charset val="134"/>
      </rPr>
      <t>篷布长6.5</t>
    </r>
    <r>
      <rPr>
        <sz val="10"/>
        <color indexed="8"/>
        <rFont val="Arial"/>
        <charset val="134"/>
      </rPr>
      <t>m*</t>
    </r>
    <r>
      <rPr>
        <sz val="10"/>
        <color indexed="8"/>
        <rFont val="宋体"/>
        <charset val="134"/>
      </rPr>
      <t>宽2.59m*价格  皮条9.65*2*4  布袋15元</t>
    </r>
  </si>
  <si>
    <t>端边围布</t>
  </si>
  <si>
    <t>篷布宽6.2*高3.97*价格  布袋7.5元</t>
  </si>
  <si>
    <t>B型10变15M（150料 全铝分体 边高4米 ）</t>
  </si>
  <si>
    <r>
      <rPr>
        <sz val="10"/>
        <rFont val="宋体"/>
        <charset val="134"/>
      </rPr>
      <t>铝材长度</t>
    </r>
    <r>
      <rPr>
        <sz val="10"/>
        <rFont val="Arial"/>
        <charset val="134"/>
      </rPr>
      <t>7.16</t>
    </r>
    <r>
      <rPr>
        <sz val="10"/>
        <rFont val="宋体"/>
        <charset val="134"/>
      </rPr>
      <t>米</t>
    </r>
    <r>
      <rPr>
        <sz val="10"/>
        <rFont val="Arial"/>
        <charset val="134"/>
      </rPr>
      <t>*5.3KG/2*</t>
    </r>
    <r>
      <rPr>
        <sz val="10"/>
        <rFont val="宋体"/>
        <charset val="134"/>
      </rPr>
      <t>价格</t>
    </r>
    <r>
      <rPr>
        <sz val="10"/>
        <rFont val="Arial"/>
        <charset val="134"/>
      </rPr>
      <t>*1.1
150</t>
    </r>
    <r>
      <rPr>
        <sz val="10"/>
        <rFont val="宋体"/>
        <charset val="134"/>
      </rPr>
      <t>卡板</t>
    </r>
    <r>
      <rPr>
        <sz val="10"/>
        <rFont val="Arial"/>
        <charset val="134"/>
      </rPr>
      <t>2</t>
    </r>
    <r>
      <rPr>
        <sz val="10"/>
        <rFont val="宋体"/>
        <charset val="134"/>
      </rPr>
      <t>片*37.94</t>
    </r>
    <r>
      <rPr>
        <sz val="10"/>
        <rFont val="Arial"/>
        <charset val="134"/>
      </rPr>
      <t>+</t>
    </r>
    <r>
      <rPr>
        <sz val="10"/>
        <rFont val="宋体"/>
        <charset val="134"/>
      </rPr>
      <t>下钢部件1件=38.79</t>
    </r>
    <r>
      <rPr>
        <sz val="10"/>
        <rFont val="Arial"/>
        <charset val="134"/>
      </rPr>
      <t>+</t>
    </r>
    <r>
      <rPr>
        <sz val="10"/>
        <rFont val="宋体"/>
        <charset val="134"/>
      </rPr>
      <t>铆钉</t>
    </r>
    <r>
      <rPr>
        <sz val="10"/>
        <rFont val="Arial"/>
        <charset val="134"/>
      </rPr>
      <t>18</t>
    </r>
    <r>
      <rPr>
        <sz val="10"/>
        <rFont val="宋体"/>
        <charset val="134"/>
      </rPr>
      <t>个=11.7+20*160螺栓4套=10.2</t>
    </r>
  </si>
  <si>
    <r>
      <rPr>
        <sz val="10"/>
        <rFont val="宋体"/>
        <charset val="134"/>
      </rPr>
      <t>铝材长度5米</t>
    </r>
    <r>
      <rPr>
        <sz val="10"/>
        <rFont val="Arial"/>
        <charset val="134"/>
      </rPr>
      <t>*5.3KG*</t>
    </r>
    <r>
      <rPr>
        <sz val="10"/>
        <rFont val="宋体"/>
        <charset val="134"/>
      </rPr>
      <t>价格*1.1</t>
    </r>
    <r>
      <rPr>
        <sz val="10"/>
        <rFont val="Arial"/>
        <charset val="134"/>
      </rPr>
      <t xml:space="preserve">
</t>
    </r>
    <r>
      <rPr>
        <sz val="10"/>
        <rFont val="宋体"/>
        <charset val="134"/>
      </rPr>
      <t>上接头1件+下接头1件</t>
    </r>
    <r>
      <rPr>
        <sz val="10"/>
        <rFont val="Arial"/>
        <charset val="134"/>
      </rPr>
      <t>+20*140</t>
    </r>
    <r>
      <rPr>
        <sz val="10"/>
        <rFont val="宋体"/>
        <charset val="134"/>
      </rPr>
      <t>螺丝4套</t>
    </r>
  </si>
  <si>
    <t>铝材长度8.15*米重5.3*价格*1.1=
150长梁堵1件=11.85+工字扣6套=15 +8*130螺栓6套=6</t>
  </si>
  <si>
    <t>短 梁</t>
  </si>
  <si>
    <t>100*53*1000*2  120*150铝材140   工字扣2件  8*130螺栓2套</t>
  </si>
  <si>
    <t>PVC17.4*2.45*2*价格*1.1     皮条φ11*17.4*2    布袋30元</t>
  </si>
  <si>
    <t>篷布长7.73*宽3.6*价格*1.1 + 皮条11.3*2*4.7元/米+15元布袋</t>
  </si>
  <si>
    <t>B型10变15M（150料 全铝分体 边高5米 ）</t>
  </si>
  <si>
    <r>
      <rPr>
        <sz val="10"/>
        <rFont val="宋体"/>
        <charset val="134"/>
      </rPr>
      <t>铝材长度4.55米</t>
    </r>
    <r>
      <rPr>
        <sz val="10"/>
        <rFont val="Arial"/>
        <charset val="134"/>
      </rPr>
      <t>*5.3KG/2*</t>
    </r>
    <r>
      <rPr>
        <sz val="10"/>
        <rFont val="宋体"/>
        <charset val="134"/>
      </rPr>
      <t>价格</t>
    </r>
    <r>
      <rPr>
        <sz val="10"/>
        <rFont val="Arial"/>
        <charset val="134"/>
      </rPr>
      <t>*1.1
150</t>
    </r>
    <r>
      <rPr>
        <sz val="10"/>
        <rFont val="宋体"/>
        <charset val="134"/>
      </rPr>
      <t>卡板</t>
    </r>
    <r>
      <rPr>
        <sz val="10"/>
        <rFont val="Arial"/>
        <charset val="134"/>
      </rPr>
      <t>2</t>
    </r>
    <r>
      <rPr>
        <sz val="10"/>
        <rFont val="宋体"/>
        <charset val="134"/>
      </rPr>
      <t>片*37.94</t>
    </r>
    <r>
      <rPr>
        <sz val="10"/>
        <rFont val="Arial"/>
        <charset val="134"/>
      </rPr>
      <t>+</t>
    </r>
    <r>
      <rPr>
        <sz val="10"/>
        <rFont val="宋体"/>
        <charset val="134"/>
      </rPr>
      <t>下钢部件1件=38.79</t>
    </r>
    <r>
      <rPr>
        <sz val="10"/>
        <rFont val="Arial"/>
        <charset val="134"/>
      </rPr>
      <t>+</t>
    </r>
    <r>
      <rPr>
        <sz val="10"/>
        <rFont val="宋体"/>
        <charset val="134"/>
      </rPr>
      <t>铆钉</t>
    </r>
    <r>
      <rPr>
        <sz val="10"/>
        <rFont val="Arial"/>
        <charset val="134"/>
      </rPr>
      <t>18</t>
    </r>
    <r>
      <rPr>
        <sz val="10"/>
        <rFont val="宋体"/>
        <charset val="134"/>
      </rPr>
      <t>个=11.7+20*160螺栓4套=10.2</t>
    </r>
  </si>
  <si>
    <t>B型15M（150料 全铝整体 边高4米 ）</t>
  </si>
  <si>
    <t>铝材长度8.15*米重5.3*价格*1.1=
150长梁堵1件=10.8+工字扣6套=15 +8*130螺栓6套=6</t>
  </si>
  <si>
    <t>B型15M（150料 全铝整体 边高5米 ）</t>
  </si>
  <si>
    <r>
      <rPr>
        <sz val="10"/>
        <rFont val="宋体"/>
        <charset val="134"/>
      </rPr>
      <t>铝材长度4.55米</t>
    </r>
    <r>
      <rPr>
        <sz val="10"/>
        <rFont val="Arial"/>
        <charset val="134"/>
      </rPr>
      <t>*5.3KG/2*</t>
    </r>
    <r>
      <rPr>
        <sz val="10"/>
        <rFont val="宋体"/>
        <charset val="134"/>
      </rPr>
      <t>价格</t>
    </r>
    <r>
      <rPr>
        <sz val="10"/>
        <rFont val="Arial"/>
        <charset val="134"/>
      </rPr>
      <t>*1.1
150</t>
    </r>
    <r>
      <rPr>
        <sz val="10"/>
        <rFont val="宋体"/>
        <charset val="134"/>
      </rPr>
      <t>卡板</t>
    </r>
    <r>
      <rPr>
        <sz val="10"/>
        <rFont val="Arial"/>
        <charset val="134"/>
      </rPr>
      <t>2</t>
    </r>
    <r>
      <rPr>
        <sz val="10"/>
        <rFont val="宋体"/>
        <charset val="134"/>
      </rPr>
      <t>片*37.94=75.88</t>
    </r>
    <r>
      <rPr>
        <sz val="10"/>
        <rFont val="Arial"/>
        <charset val="134"/>
      </rPr>
      <t>+</t>
    </r>
    <r>
      <rPr>
        <sz val="10"/>
        <rFont val="宋体"/>
        <charset val="134"/>
      </rPr>
      <t>下钢部件1件=38.79</t>
    </r>
    <r>
      <rPr>
        <sz val="10"/>
        <rFont val="Arial"/>
        <charset val="134"/>
      </rPr>
      <t>+</t>
    </r>
    <r>
      <rPr>
        <sz val="10"/>
        <rFont val="宋体"/>
        <charset val="134"/>
      </rPr>
      <t>铆钉</t>
    </r>
    <r>
      <rPr>
        <sz val="10"/>
        <rFont val="Arial"/>
        <charset val="134"/>
      </rPr>
      <t>18</t>
    </r>
    <r>
      <rPr>
        <sz val="10"/>
        <rFont val="宋体"/>
        <charset val="134"/>
      </rPr>
      <t>个*0.65=11.7+16*160螺栓4套=10.2</t>
    </r>
  </si>
  <si>
    <r>
      <rPr>
        <sz val="10"/>
        <rFont val="宋体"/>
        <charset val="134"/>
      </rPr>
      <t>铝材长度6米</t>
    </r>
    <r>
      <rPr>
        <sz val="10"/>
        <rFont val="Arial"/>
        <charset val="134"/>
      </rPr>
      <t>*5.3KG*</t>
    </r>
    <r>
      <rPr>
        <sz val="10"/>
        <rFont val="宋体"/>
        <charset val="134"/>
      </rPr>
      <t>价格*1.1</t>
    </r>
    <r>
      <rPr>
        <sz val="10"/>
        <rFont val="Arial"/>
        <charset val="134"/>
      </rPr>
      <t xml:space="preserve">
</t>
    </r>
    <r>
      <rPr>
        <sz val="10"/>
        <rFont val="宋体"/>
        <charset val="134"/>
      </rPr>
      <t>上接头1件49.51+下接头1件41.21</t>
    </r>
    <r>
      <rPr>
        <sz val="10"/>
        <rFont val="Arial"/>
        <charset val="134"/>
      </rPr>
      <t>+20*140</t>
    </r>
    <r>
      <rPr>
        <sz val="10"/>
        <rFont val="宋体"/>
        <charset val="134"/>
      </rPr>
      <t>螺丝4套</t>
    </r>
  </si>
  <si>
    <t>A型15M（203料 全铝 边高4米 ）</t>
  </si>
  <si>
    <t>20*160螺丝（螺丝）</t>
  </si>
  <si>
    <r>
      <rPr>
        <sz val="10"/>
        <rFont val="宋体"/>
        <charset val="134"/>
      </rPr>
      <t>铝材长度</t>
    </r>
    <r>
      <rPr>
        <sz val="10"/>
        <rFont val="Arial"/>
        <charset val="134"/>
      </rPr>
      <t>7.16</t>
    </r>
    <r>
      <rPr>
        <sz val="10"/>
        <rFont val="宋体"/>
        <charset val="134"/>
      </rPr>
      <t>米</t>
    </r>
    <r>
      <rPr>
        <sz val="10"/>
        <rFont val="Arial"/>
        <charset val="134"/>
      </rPr>
      <t>*8.233KG/2*</t>
    </r>
    <r>
      <rPr>
        <sz val="10"/>
        <rFont val="宋体"/>
        <charset val="134"/>
      </rPr>
      <t>价格</t>
    </r>
    <r>
      <rPr>
        <sz val="10"/>
        <rFont val="Arial"/>
        <charset val="134"/>
      </rPr>
      <t>*1.1
203</t>
    </r>
    <r>
      <rPr>
        <sz val="10"/>
        <rFont val="宋体"/>
        <charset val="134"/>
      </rPr>
      <t>卡板</t>
    </r>
    <r>
      <rPr>
        <sz val="10"/>
        <rFont val="Arial"/>
        <charset val="134"/>
      </rPr>
      <t>2</t>
    </r>
    <r>
      <rPr>
        <sz val="10"/>
        <rFont val="宋体"/>
        <charset val="134"/>
      </rPr>
      <t>片=97.1</t>
    </r>
    <r>
      <rPr>
        <sz val="10"/>
        <rFont val="Arial"/>
        <charset val="134"/>
      </rPr>
      <t>+</t>
    </r>
    <r>
      <rPr>
        <sz val="10"/>
        <rFont val="宋体"/>
        <charset val="134"/>
      </rPr>
      <t>下钢部件1件=45.91</t>
    </r>
    <r>
      <rPr>
        <sz val="10"/>
        <rFont val="Arial"/>
        <charset val="134"/>
      </rPr>
      <t>+</t>
    </r>
    <r>
      <rPr>
        <sz val="10"/>
        <rFont val="宋体"/>
        <charset val="134"/>
      </rPr>
      <t>铆钉</t>
    </r>
    <r>
      <rPr>
        <sz val="10"/>
        <rFont val="Arial"/>
        <charset val="134"/>
      </rPr>
      <t>18</t>
    </r>
    <r>
      <rPr>
        <sz val="10"/>
        <rFont val="宋体"/>
        <charset val="134"/>
      </rPr>
      <t>个=11.7+20*160螺栓4套=10.2</t>
    </r>
  </si>
  <si>
    <t>铝材长度8.15*米重8.233*价格*1.1=
203长梁堵1件=11.85+工字扣6套=15 +8*130螺栓6套=6</t>
  </si>
  <si>
    <r>
      <rPr>
        <sz val="10"/>
        <rFont val="宋体"/>
        <charset val="134"/>
      </rPr>
      <t>螺栓20</t>
    </r>
    <r>
      <rPr>
        <sz val="10"/>
        <rFont val="Times New Roman"/>
        <charset val="134"/>
      </rPr>
      <t>*140</t>
    </r>
  </si>
  <si>
    <t>围布窗每对加80元</t>
  </si>
  <si>
    <t>A型15M（203料 全铝 边高5米 ）</t>
  </si>
  <si>
    <r>
      <rPr>
        <sz val="10"/>
        <rFont val="宋体"/>
        <charset val="134"/>
      </rPr>
      <t>铝材长度4.58米</t>
    </r>
    <r>
      <rPr>
        <sz val="10"/>
        <rFont val="Arial"/>
        <charset val="134"/>
      </rPr>
      <t>*8.233KG/2*</t>
    </r>
    <r>
      <rPr>
        <sz val="10"/>
        <rFont val="宋体"/>
        <charset val="134"/>
      </rPr>
      <t>价格</t>
    </r>
    <r>
      <rPr>
        <sz val="10"/>
        <rFont val="Arial"/>
        <charset val="134"/>
      </rPr>
      <t>*1.1
203</t>
    </r>
    <r>
      <rPr>
        <sz val="10"/>
        <rFont val="宋体"/>
        <charset val="134"/>
      </rPr>
      <t>卡板</t>
    </r>
    <r>
      <rPr>
        <sz val="10"/>
        <rFont val="Arial"/>
        <charset val="134"/>
      </rPr>
      <t>2</t>
    </r>
    <r>
      <rPr>
        <sz val="10"/>
        <rFont val="宋体"/>
        <charset val="134"/>
      </rPr>
      <t>片=97.1</t>
    </r>
    <r>
      <rPr>
        <sz val="10"/>
        <rFont val="Arial"/>
        <charset val="134"/>
      </rPr>
      <t>+</t>
    </r>
    <r>
      <rPr>
        <sz val="10"/>
        <rFont val="宋体"/>
        <charset val="134"/>
      </rPr>
      <t>下钢部件1件=45.91</t>
    </r>
    <r>
      <rPr>
        <sz val="10"/>
        <rFont val="Arial"/>
        <charset val="134"/>
      </rPr>
      <t>+</t>
    </r>
    <r>
      <rPr>
        <sz val="10"/>
        <rFont val="宋体"/>
        <charset val="134"/>
      </rPr>
      <t>铆钉</t>
    </r>
    <r>
      <rPr>
        <sz val="10"/>
        <rFont val="Arial"/>
        <charset val="134"/>
      </rPr>
      <t>18</t>
    </r>
    <r>
      <rPr>
        <sz val="10"/>
        <rFont val="宋体"/>
        <charset val="134"/>
      </rPr>
      <t>个=11.7+20*160螺栓4套=10.2</t>
    </r>
  </si>
  <si>
    <r>
      <rPr>
        <sz val="10"/>
        <rFont val="宋体"/>
        <charset val="134"/>
      </rPr>
      <t>铝材长度6米</t>
    </r>
    <r>
      <rPr>
        <sz val="10"/>
        <rFont val="Arial"/>
        <charset val="134"/>
      </rPr>
      <t>*5.3KG*</t>
    </r>
    <r>
      <rPr>
        <sz val="10"/>
        <rFont val="宋体"/>
        <charset val="134"/>
      </rPr>
      <t>价格*1.1</t>
    </r>
    <r>
      <rPr>
        <sz val="10"/>
        <rFont val="Arial"/>
        <charset val="134"/>
      </rPr>
      <t xml:space="preserve">
</t>
    </r>
    <r>
      <rPr>
        <sz val="10"/>
        <rFont val="宋体"/>
        <charset val="134"/>
      </rPr>
      <t>上接头1件+下接头1件</t>
    </r>
    <r>
      <rPr>
        <sz val="10"/>
        <rFont val="Arial"/>
        <charset val="134"/>
      </rPr>
      <t>+20*140</t>
    </r>
    <r>
      <rPr>
        <sz val="10"/>
        <rFont val="宋体"/>
        <charset val="134"/>
      </rPr>
      <t>螺丝4套</t>
    </r>
  </si>
  <si>
    <t>60*60*3.5热带方管1只 =108   135*70*10铁板1块=3  45*200*6铁板2块=4   标准件1件=6.5  16*140螺栓1支=1</t>
  </si>
  <si>
    <t>B型15M变18（全铝 边高4米 150料）</t>
  </si>
  <si>
    <t>第一单元数量</t>
  </si>
  <si>
    <t>随后增加
数量</t>
  </si>
  <si>
    <t>单山头数量</t>
  </si>
  <si>
    <t>来料长度7.17m/2*米重5.3*价格*1.1倍
卡板2片*37.94+下接头42.69+铆钉0.65*18+160螺丝*4</t>
  </si>
  <si>
    <r>
      <rPr>
        <sz val="10"/>
        <rFont val="宋体"/>
        <charset val="134"/>
      </rPr>
      <t>来料长度5米</t>
    </r>
    <r>
      <rPr>
        <sz val="10"/>
        <rFont val="Arial"/>
        <charset val="134"/>
      </rPr>
      <t>*5.3KG*</t>
    </r>
    <r>
      <rPr>
        <sz val="10"/>
        <rFont val="宋体"/>
        <charset val="134"/>
      </rPr>
      <t>价格</t>
    </r>
    <r>
      <rPr>
        <sz val="10"/>
        <rFont val="Arial"/>
        <charset val="134"/>
      </rPr>
      <t xml:space="preserve">*1.1
</t>
    </r>
    <r>
      <rPr>
        <sz val="10"/>
        <rFont val="宋体"/>
        <charset val="134"/>
      </rPr>
      <t>上接头49.51+下接头41.21</t>
    </r>
    <r>
      <rPr>
        <sz val="10"/>
        <rFont val="Arial"/>
        <charset val="134"/>
      </rPr>
      <t>+16*140</t>
    </r>
    <r>
      <rPr>
        <sz val="10"/>
        <rFont val="宋体"/>
        <charset val="134"/>
      </rPr>
      <t>螺丝4</t>
    </r>
  </si>
  <si>
    <t>端中立柱</t>
  </si>
  <si>
    <r>
      <rPr>
        <sz val="10"/>
        <rFont val="宋体"/>
        <charset val="134"/>
      </rPr>
      <t>来料长度6.2米</t>
    </r>
    <r>
      <rPr>
        <sz val="10"/>
        <rFont val="Arial"/>
        <charset val="134"/>
      </rPr>
      <t>*5.3KG*</t>
    </r>
    <r>
      <rPr>
        <sz val="10"/>
        <rFont val="宋体"/>
        <charset val="134"/>
      </rPr>
      <t>价格</t>
    </r>
    <r>
      <rPr>
        <sz val="10"/>
        <rFont val="Arial"/>
        <charset val="134"/>
      </rPr>
      <t xml:space="preserve">*1.1
</t>
    </r>
    <r>
      <rPr>
        <sz val="10"/>
        <rFont val="宋体"/>
        <charset val="134"/>
      </rPr>
      <t>上接头49.51+下接头41.21</t>
    </r>
    <r>
      <rPr>
        <sz val="10"/>
        <rFont val="Arial"/>
        <charset val="134"/>
      </rPr>
      <t>+16*140</t>
    </r>
    <r>
      <rPr>
        <sz val="10"/>
        <rFont val="宋体"/>
        <charset val="134"/>
      </rPr>
      <t>螺丝4</t>
    </r>
  </si>
  <si>
    <t>长来料长度8.07m*米重5.3*价格*1.1倍
长梁堵10.8元+工字扣螺丝4套*</t>
  </si>
  <si>
    <t>18米短梁</t>
  </si>
  <si>
    <t>外料长度1.55m*米重5.3*价格*1.1；内料1.5m*米重6.601*价格*1.1元
工字扣螺丝2套      16*140螺栓2套</t>
  </si>
  <si>
    <t>铝材长度4.882*米重1.552*价格*1.1   直钩1件=6.5 弯钩1件 =6.5  10*30螺栓4套=2</t>
  </si>
  <si>
    <r>
      <rPr>
        <sz val="10"/>
        <rFont val="Arial"/>
        <charset val="134"/>
      </rPr>
      <t>3.5</t>
    </r>
    <r>
      <rPr>
        <sz val="10"/>
        <rFont val="宋体"/>
        <charset val="134"/>
      </rPr>
      <t>公斤*价格</t>
    </r>
  </si>
  <si>
    <t>3.88端中檩条</t>
  </si>
  <si>
    <r>
      <rPr>
        <sz val="10"/>
        <rFont val="宋体"/>
        <charset val="134"/>
      </rPr>
      <t>来料长度</t>
    </r>
    <r>
      <rPr>
        <sz val="10"/>
        <rFont val="Arial"/>
        <charset val="134"/>
      </rPr>
      <t>3.885*</t>
    </r>
    <r>
      <rPr>
        <sz val="10"/>
        <rFont val="宋体"/>
        <charset val="134"/>
      </rPr>
      <t>米重</t>
    </r>
    <r>
      <rPr>
        <sz val="10"/>
        <rFont val="Arial"/>
        <charset val="134"/>
      </rPr>
      <t>2.771*21.4=230.4*1.1=253.44+</t>
    </r>
    <r>
      <rPr>
        <sz val="10"/>
        <rFont val="宋体"/>
        <charset val="134"/>
      </rPr>
      <t>钩螺丝</t>
    </r>
    <r>
      <rPr>
        <sz val="10"/>
        <rFont val="Arial"/>
        <charset val="134"/>
      </rPr>
      <t>18=271.44</t>
    </r>
  </si>
  <si>
    <t>3.86端中穿管</t>
  </si>
  <si>
    <r>
      <rPr>
        <sz val="10"/>
        <rFont val="宋体"/>
        <charset val="134"/>
      </rPr>
      <t>来料长度</t>
    </r>
    <r>
      <rPr>
        <sz val="10"/>
        <rFont val="Arial"/>
        <charset val="134"/>
      </rPr>
      <t>3.86*</t>
    </r>
    <r>
      <rPr>
        <sz val="10"/>
        <rFont val="宋体"/>
        <charset val="134"/>
      </rPr>
      <t>米重1.345</t>
    </r>
    <r>
      <rPr>
        <sz val="10"/>
        <rFont val="Arial"/>
        <charset val="134"/>
      </rPr>
      <t>*</t>
    </r>
    <r>
      <rPr>
        <sz val="10"/>
        <rFont val="宋体"/>
        <charset val="134"/>
      </rPr>
      <t>价格</t>
    </r>
    <r>
      <rPr>
        <sz val="10"/>
        <rFont val="Arial"/>
        <charset val="134"/>
      </rPr>
      <t>1.1</t>
    </r>
  </si>
  <si>
    <t>屋面拉杆</t>
  </si>
  <si>
    <t>114圆管+拉杆槽2个+运费*1.1</t>
  </si>
  <si>
    <t>斜撑</t>
  </si>
  <si>
    <t>来料价格21元/支</t>
  </si>
  <si>
    <t>重12.85*7.89元/kg=101.38元</t>
  </si>
  <si>
    <t>重量11.3kg*8.155=92.15</t>
  </si>
  <si>
    <t>进购价72元+尖基座9.65元*2个=91.3元</t>
  </si>
  <si>
    <t>原料6.5元+加工费1.95元=8.45元</t>
  </si>
  <si>
    <r>
      <rPr>
        <sz val="10"/>
        <rFont val="宋体"/>
        <charset val="134"/>
      </rPr>
      <t>原料</t>
    </r>
    <r>
      <rPr>
        <sz val="10"/>
        <rFont val="Arial"/>
        <charset val="134"/>
      </rPr>
      <t>4.9</t>
    </r>
    <r>
      <rPr>
        <sz val="10"/>
        <rFont val="宋体"/>
        <charset val="134"/>
      </rPr>
      <t>元+镀锌费0.65元+加工费0.96元=6.51元*1.1=7.16</t>
    </r>
  </si>
  <si>
    <t>原料8.5元+镀锌费1.5元+加工费3元=13元</t>
  </si>
  <si>
    <t>订购价15.5元</t>
  </si>
  <si>
    <t>顶布[白]{全新}</t>
  </si>
  <si>
    <t>篷布长20.4*宽5*价格*1.1    皮条长20.4*2*4*1.1倍  布袋30元</t>
  </si>
  <si>
    <t>山尖布[白]{全新}</t>
  </si>
  <si>
    <t>篷布长9.35*宽3.48*价格㎡  皮条12.76*2*4*1.1倍   布袋15元</t>
  </si>
  <si>
    <t>围布[白]{全新}</t>
  </si>
  <si>
    <t>18米端中围布</t>
  </si>
  <si>
    <t>篷布长3.97*宽3.88*17=261.86*1.15倍=301+布袋7.5元</t>
  </si>
  <si>
    <t>端边围布[白]{全新}</t>
  </si>
  <si>
    <r>
      <rPr>
        <sz val="10"/>
        <rFont val="宋体"/>
        <charset val="134"/>
      </rPr>
      <t>订购价</t>
    </r>
    <r>
      <rPr>
        <sz val="10"/>
        <rFont val="Arial"/>
        <charset val="134"/>
      </rPr>
      <t>1.5</t>
    </r>
  </si>
  <si>
    <r>
      <rPr>
        <sz val="10"/>
        <rFont val="宋体"/>
        <charset val="134"/>
      </rPr>
      <t>螺栓</t>
    </r>
    <r>
      <rPr>
        <sz val="10"/>
        <rFont val="Times New Roman"/>
        <charset val="134"/>
      </rPr>
      <t>16*140</t>
    </r>
  </si>
  <si>
    <r>
      <rPr>
        <sz val="10"/>
        <rFont val="宋体"/>
        <charset val="134"/>
      </rPr>
      <t>订购价</t>
    </r>
    <r>
      <rPr>
        <sz val="10"/>
        <rFont val="Arial"/>
        <charset val="134"/>
      </rPr>
      <t>1.52</t>
    </r>
  </si>
  <si>
    <r>
      <rPr>
        <sz val="10"/>
        <rFont val="宋体"/>
        <charset val="134"/>
      </rPr>
      <t>螺栓</t>
    </r>
    <r>
      <rPr>
        <sz val="10"/>
        <rFont val="Times New Roman"/>
        <charset val="134"/>
      </rPr>
      <t>16*160</t>
    </r>
  </si>
  <si>
    <r>
      <rPr>
        <sz val="10"/>
        <rFont val="宋体"/>
        <charset val="134"/>
      </rPr>
      <t>订购价</t>
    </r>
    <r>
      <rPr>
        <sz val="10"/>
        <rFont val="Arial"/>
        <charset val="134"/>
      </rPr>
      <t>1.76</t>
    </r>
  </si>
  <si>
    <r>
      <rPr>
        <sz val="10"/>
        <rFont val="宋体"/>
        <charset val="134"/>
      </rPr>
      <t>螺栓</t>
    </r>
    <r>
      <rPr>
        <sz val="10"/>
        <rFont val="Times New Roman"/>
        <charset val="134"/>
      </rPr>
      <t>16*180</t>
    </r>
  </si>
  <si>
    <r>
      <rPr>
        <sz val="10"/>
        <rFont val="宋体"/>
        <charset val="134"/>
      </rPr>
      <t>订购价</t>
    </r>
    <r>
      <rPr>
        <sz val="10"/>
        <rFont val="Arial"/>
        <charset val="134"/>
      </rPr>
      <t>1.93</t>
    </r>
  </si>
  <si>
    <r>
      <rPr>
        <sz val="10"/>
        <rFont val="宋体"/>
        <charset val="134"/>
      </rPr>
      <t>订购价</t>
    </r>
    <r>
      <rPr>
        <sz val="10"/>
        <rFont val="Arial"/>
        <charset val="134"/>
      </rPr>
      <t>1.46</t>
    </r>
  </si>
  <si>
    <t>备注：</t>
  </si>
  <si>
    <t>每平单价</t>
  </si>
  <si>
    <t>1、帆布袋=30元/个：
  顶布 一个帆布袋装2块顶布*30元/1块=30元
  围布 一个帆布袋装4对围布*30元/4对=7.5元
  山尖布  一个帆布袋装2对山尖布*30元/2对=15元
2、十字撑176.4元、钢丝绳91.3，合计：267.7元</t>
  </si>
  <si>
    <t>B型15M变18（全铝 边高5米 150料）</t>
  </si>
  <si>
    <t>来料长度4.55*米重5.3*价格*1.1倍
卡板2片*37.94+下接头42.69+铆钉0.65*18+160螺丝*4</t>
  </si>
  <si>
    <r>
      <rPr>
        <sz val="10"/>
        <rFont val="宋体"/>
        <charset val="134"/>
      </rPr>
      <t>来料长度6米</t>
    </r>
    <r>
      <rPr>
        <sz val="10"/>
        <rFont val="Arial"/>
        <charset val="134"/>
      </rPr>
      <t>*5.3KG*</t>
    </r>
    <r>
      <rPr>
        <sz val="10"/>
        <rFont val="宋体"/>
        <charset val="134"/>
      </rPr>
      <t>价格</t>
    </r>
    <r>
      <rPr>
        <sz val="10"/>
        <rFont val="Arial"/>
        <charset val="134"/>
      </rPr>
      <t xml:space="preserve">*1.1
</t>
    </r>
    <r>
      <rPr>
        <sz val="10"/>
        <rFont val="宋体"/>
        <charset val="134"/>
      </rPr>
      <t>上接头49.51+下接头41.21</t>
    </r>
    <r>
      <rPr>
        <sz val="10"/>
        <rFont val="Arial"/>
        <charset val="134"/>
      </rPr>
      <t>+16*140</t>
    </r>
    <r>
      <rPr>
        <sz val="10"/>
        <rFont val="宋体"/>
        <charset val="134"/>
      </rPr>
      <t>螺丝4</t>
    </r>
  </si>
  <si>
    <r>
      <rPr>
        <sz val="10"/>
        <rFont val="宋体"/>
        <charset val="134"/>
      </rPr>
      <t>来料长度7.2米</t>
    </r>
    <r>
      <rPr>
        <sz val="10"/>
        <rFont val="Arial"/>
        <charset val="134"/>
      </rPr>
      <t>*5.3KG*</t>
    </r>
    <r>
      <rPr>
        <sz val="10"/>
        <rFont val="宋体"/>
        <charset val="134"/>
      </rPr>
      <t>价格</t>
    </r>
    <r>
      <rPr>
        <sz val="10"/>
        <rFont val="Arial"/>
        <charset val="134"/>
      </rPr>
      <t xml:space="preserve">*1.1
</t>
    </r>
    <r>
      <rPr>
        <sz val="10"/>
        <rFont val="宋体"/>
        <charset val="134"/>
      </rPr>
      <t>上接头49.51+下接头41.21</t>
    </r>
    <r>
      <rPr>
        <sz val="10"/>
        <rFont val="Arial"/>
        <charset val="134"/>
      </rPr>
      <t>+16*140</t>
    </r>
    <r>
      <rPr>
        <sz val="10"/>
        <rFont val="宋体"/>
        <charset val="134"/>
      </rPr>
      <t>螺丝4</t>
    </r>
  </si>
  <si>
    <t>篷布长4.97*宽3.88*17=261.86*1.15倍=301+布袋7.5元</t>
  </si>
  <si>
    <t>15变18米（112*203料 4米）边高</t>
  </si>
  <si>
    <r>
      <rPr>
        <sz val="10"/>
        <rFont val="宋体"/>
        <charset val="134"/>
      </rPr>
      <t>铝材长度6.2米</t>
    </r>
    <r>
      <rPr>
        <sz val="10"/>
        <rFont val="Arial"/>
        <charset val="134"/>
      </rPr>
      <t>*5.3KG*</t>
    </r>
    <r>
      <rPr>
        <sz val="10"/>
        <rFont val="宋体"/>
        <charset val="134"/>
      </rPr>
      <t>价格*1.1</t>
    </r>
    <r>
      <rPr>
        <sz val="10"/>
        <rFont val="Arial"/>
        <charset val="134"/>
      </rPr>
      <t xml:space="preserve">
</t>
    </r>
    <r>
      <rPr>
        <sz val="10"/>
        <rFont val="宋体"/>
        <charset val="134"/>
      </rPr>
      <t>上接头1件+下接头1件</t>
    </r>
    <r>
      <rPr>
        <sz val="10"/>
        <rFont val="Arial"/>
        <charset val="134"/>
      </rPr>
      <t>+20*140</t>
    </r>
    <r>
      <rPr>
        <sz val="10"/>
        <rFont val="宋体"/>
        <charset val="134"/>
      </rPr>
      <t>螺丝4套</t>
    </r>
  </si>
  <si>
    <t>外套用料1.62m*8.233kg*价格元/kg*1.1；内套芯用料1.2m*7.67kg*价格元/kg*1.1
工字扣2套、20*160螺丝2套</t>
  </si>
  <si>
    <r>
      <rPr>
        <sz val="10"/>
        <rFont val="宋体"/>
        <charset val="134"/>
      </rPr>
      <t>来料长度</t>
    </r>
    <r>
      <rPr>
        <sz val="10"/>
        <rFont val="Arial"/>
        <charset val="134"/>
      </rPr>
      <t>3.86*</t>
    </r>
    <r>
      <rPr>
        <sz val="10"/>
        <rFont val="宋体"/>
        <charset val="134"/>
      </rPr>
      <t>米重1.345</t>
    </r>
    <r>
      <rPr>
        <sz val="10"/>
        <rFont val="Arial"/>
        <charset val="134"/>
      </rPr>
      <t>*21.4=111.10*1.1=122.21</t>
    </r>
  </si>
  <si>
    <t>端中围布穿管</t>
  </si>
  <si>
    <t>PVC20.4*2.45*2*价格*1.1     皮条φ11*20.4*2    布袋30元</t>
  </si>
  <si>
    <t>篷布长9.35*宽3.6*价格*1.1 + 皮条11.3*2*4元/米+15元布袋</t>
  </si>
  <si>
    <t>篷布宽3.88*高3.97*价格*1.1+围布豆12套+围布绳10.8米+铜扣18套+布袋7.5元</t>
  </si>
  <si>
    <t>15变18米（112*203料 5米）边高</t>
  </si>
  <si>
    <r>
      <rPr>
        <sz val="10"/>
        <rFont val="宋体"/>
        <charset val="134"/>
      </rPr>
      <t>铝材长度7.2米</t>
    </r>
    <r>
      <rPr>
        <sz val="10"/>
        <rFont val="Arial"/>
        <charset val="134"/>
      </rPr>
      <t>*5.3KG*</t>
    </r>
    <r>
      <rPr>
        <sz val="10"/>
        <rFont val="宋体"/>
        <charset val="134"/>
      </rPr>
      <t>价格*1.1</t>
    </r>
    <r>
      <rPr>
        <sz val="10"/>
        <rFont val="Arial"/>
        <charset val="134"/>
      </rPr>
      <t xml:space="preserve">
</t>
    </r>
    <r>
      <rPr>
        <sz val="10"/>
        <rFont val="宋体"/>
        <charset val="134"/>
      </rPr>
      <t>上接头1件+下接头1件</t>
    </r>
    <r>
      <rPr>
        <sz val="10"/>
        <rFont val="Arial"/>
        <charset val="134"/>
      </rPr>
      <t>+20*140</t>
    </r>
    <r>
      <rPr>
        <sz val="10"/>
        <rFont val="宋体"/>
        <charset val="134"/>
      </rPr>
      <t>螺丝4套</t>
    </r>
  </si>
  <si>
    <t>60*60*3.5热带方管1只 =108.8  135*70*10铁板1块=3  45*200*6铁板2块=4   标准件1件=6.5  16*140螺栓1支=1</t>
  </si>
  <si>
    <t>篷布宽3.88*高4.97*价格*1.1+围布豆12套+围布绳10.8米+铜扣18套+布袋7.5元</t>
  </si>
  <si>
    <t>15变18米（112*203料 6米）边高</t>
  </si>
  <si>
    <r>
      <rPr>
        <sz val="10"/>
        <rFont val="宋体"/>
        <charset val="134"/>
      </rPr>
      <t>铝材长度5.58米</t>
    </r>
    <r>
      <rPr>
        <sz val="10"/>
        <rFont val="Arial"/>
        <charset val="134"/>
      </rPr>
      <t>*8.233KG*</t>
    </r>
    <r>
      <rPr>
        <sz val="10"/>
        <rFont val="宋体"/>
        <charset val="134"/>
      </rPr>
      <t>价格</t>
    </r>
    <r>
      <rPr>
        <sz val="10"/>
        <rFont val="Arial"/>
        <charset val="134"/>
      </rPr>
      <t>*1.1
203</t>
    </r>
    <r>
      <rPr>
        <sz val="10"/>
        <rFont val="宋体"/>
        <charset val="134"/>
      </rPr>
      <t>卡板</t>
    </r>
    <r>
      <rPr>
        <sz val="10"/>
        <rFont val="Arial"/>
        <charset val="134"/>
      </rPr>
      <t>2</t>
    </r>
    <r>
      <rPr>
        <sz val="10"/>
        <rFont val="宋体"/>
        <charset val="134"/>
      </rPr>
      <t>片=97.1</t>
    </r>
    <r>
      <rPr>
        <sz val="10"/>
        <rFont val="Arial"/>
        <charset val="134"/>
      </rPr>
      <t>+</t>
    </r>
    <r>
      <rPr>
        <sz val="10"/>
        <rFont val="宋体"/>
        <charset val="134"/>
      </rPr>
      <t>下钢部件1件=45.91</t>
    </r>
    <r>
      <rPr>
        <sz val="10"/>
        <rFont val="Arial"/>
        <charset val="134"/>
      </rPr>
      <t>+</t>
    </r>
    <r>
      <rPr>
        <sz val="10"/>
        <rFont val="宋体"/>
        <charset val="134"/>
      </rPr>
      <t>铆钉</t>
    </r>
    <r>
      <rPr>
        <sz val="10"/>
        <rFont val="Arial"/>
        <charset val="134"/>
      </rPr>
      <t>18</t>
    </r>
    <r>
      <rPr>
        <sz val="10"/>
        <rFont val="宋体"/>
        <charset val="134"/>
      </rPr>
      <t>个=11.7+20*160螺栓4套=10.2</t>
    </r>
  </si>
  <si>
    <r>
      <rPr>
        <sz val="10"/>
        <rFont val="宋体"/>
        <charset val="134"/>
      </rPr>
      <t>铝材长度7米</t>
    </r>
    <r>
      <rPr>
        <sz val="10"/>
        <rFont val="Arial"/>
        <charset val="134"/>
      </rPr>
      <t>*5.3KG*</t>
    </r>
    <r>
      <rPr>
        <sz val="10"/>
        <rFont val="宋体"/>
        <charset val="134"/>
      </rPr>
      <t>价格*1.1</t>
    </r>
    <r>
      <rPr>
        <sz val="10"/>
        <rFont val="Arial"/>
        <charset val="134"/>
      </rPr>
      <t xml:space="preserve">
</t>
    </r>
    <r>
      <rPr>
        <sz val="10"/>
        <rFont val="宋体"/>
        <charset val="134"/>
      </rPr>
      <t>上接头1件+下接头1件</t>
    </r>
    <r>
      <rPr>
        <sz val="10"/>
        <rFont val="Arial"/>
        <charset val="134"/>
      </rPr>
      <t>+20*140</t>
    </r>
    <r>
      <rPr>
        <sz val="10"/>
        <rFont val="宋体"/>
        <charset val="134"/>
      </rPr>
      <t>螺丝4套</t>
    </r>
  </si>
  <si>
    <r>
      <rPr>
        <sz val="10"/>
        <rFont val="宋体"/>
        <charset val="134"/>
      </rPr>
      <t>铝材长度8.2米</t>
    </r>
    <r>
      <rPr>
        <sz val="10"/>
        <rFont val="Arial"/>
        <charset val="134"/>
      </rPr>
      <t>*5.3KG*</t>
    </r>
    <r>
      <rPr>
        <sz val="10"/>
        <rFont val="宋体"/>
        <charset val="134"/>
      </rPr>
      <t>价格*1.1</t>
    </r>
    <r>
      <rPr>
        <sz val="10"/>
        <rFont val="Arial"/>
        <charset val="134"/>
      </rPr>
      <t xml:space="preserve">
</t>
    </r>
    <r>
      <rPr>
        <sz val="10"/>
        <rFont val="宋体"/>
        <charset val="134"/>
      </rPr>
      <t>上接头1件+下接头1件</t>
    </r>
    <r>
      <rPr>
        <sz val="10"/>
        <rFont val="Arial"/>
        <charset val="134"/>
      </rPr>
      <t>+20*140</t>
    </r>
    <r>
      <rPr>
        <sz val="10"/>
        <rFont val="宋体"/>
        <charset val="134"/>
      </rPr>
      <t>螺丝4套</t>
    </r>
  </si>
  <si>
    <t>篷布宽3.88*高5.97*价格*1.1+围布豆12套+围布绳10.8米+铜扣18套+布袋7.5元</t>
  </si>
  <si>
    <t>篷布宽2.6*2*高5.97*价格*1.1+围布豆12套+围布绳10.8米+铜扣18套+布袋7.5元</t>
  </si>
  <si>
    <t>18米（112*203料 4米）边高</t>
  </si>
  <si>
    <t>铝材长度9.68*米重8.233*价格*1.1=
203长梁堵1件=11.85+工字扣6套=15 +8*130螺栓6套=6</t>
  </si>
  <si>
    <t>18米（112*203料 5米）边高</t>
  </si>
  <si>
    <r>
      <rPr>
        <sz val="10"/>
        <rFont val="宋体"/>
        <charset val="134"/>
      </rPr>
      <t>铝材长度4.58米</t>
    </r>
    <r>
      <rPr>
        <sz val="10"/>
        <rFont val="Arial"/>
        <charset val="134"/>
      </rPr>
      <t>*8.233KG*</t>
    </r>
    <r>
      <rPr>
        <sz val="10"/>
        <rFont val="宋体"/>
        <charset val="134"/>
      </rPr>
      <t>价格</t>
    </r>
    <r>
      <rPr>
        <sz val="10"/>
        <rFont val="Arial"/>
        <charset val="134"/>
      </rPr>
      <t>*1.1
203</t>
    </r>
    <r>
      <rPr>
        <sz val="10"/>
        <rFont val="宋体"/>
        <charset val="134"/>
      </rPr>
      <t>卡板</t>
    </r>
    <r>
      <rPr>
        <sz val="10"/>
        <rFont val="Arial"/>
        <charset val="134"/>
      </rPr>
      <t>2</t>
    </r>
    <r>
      <rPr>
        <sz val="10"/>
        <rFont val="宋体"/>
        <charset val="134"/>
      </rPr>
      <t>片=97.1</t>
    </r>
    <r>
      <rPr>
        <sz val="10"/>
        <rFont val="Arial"/>
        <charset val="134"/>
      </rPr>
      <t>+</t>
    </r>
    <r>
      <rPr>
        <sz val="10"/>
        <rFont val="宋体"/>
        <charset val="134"/>
      </rPr>
      <t>下钢部件1件=45.91</t>
    </r>
    <r>
      <rPr>
        <sz val="10"/>
        <rFont val="Arial"/>
        <charset val="134"/>
      </rPr>
      <t>+</t>
    </r>
    <r>
      <rPr>
        <sz val="10"/>
        <rFont val="宋体"/>
        <charset val="134"/>
      </rPr>
      <t>铆钉</t>
    </r>
    <r>
      <rPr>
        <sz val="10"/>
        <rFont val="Arial"/>
        <charset val="134"/>
      </rPr>
      <t>18</t>
    </r>
    <r>
      <rPr>
        <sz val="10"/>
        <rFont val="宋体"/>
        <charset val="134"/>
      </rPr>
      <t>个=11.7+20*160螺栓4套=10.2</t>
    </r>
  </si>
  <si>
    <t>18米（112*203料 6米）边高</t>
  </si>
  <si>
    <t>18度20米（112*203料 4米）边高</t>
  </si>
  <si>
    <t xml:space="preserve">面积 </t>
  </si>
  <si>
    <t>铝材长度11.2*米重8.233*价格*1.1=
203长梁堵1件=11.85+工字扣8套=15 +8*130螺栓8套=6</t>
  </si>
  <si>
    <t>PVC22.61*2.45*2*价格*1.1     皮条φ11*23.61*2    布袋30元</t>
  </si>
  <si>
    <t>篷布长11*宽3.95*价格*1.1 + 皮条17*2*4元/米+15元布袋</t>
  </si>
  <si>
    <t>18度20米（112*203料 5米）边高</t>
  </si>
  <si>
    <t>18度20米（112*203料 6米）边高</t>
  </si>
  <si>
    <t xml:space="preserve"> 面积</t>
  </si>
  <si>
    <t>18变21米（112*203料 4米）边高</t>
  </si>
  <si>
    <t>21米短梁</t>
  </si>
  <si>
    <t>5.38端中檩条</t>
  </si>
  <si>
    <r>
      <rPr>
        <sz val="10"/>
        <rFont val="宋体"/>
        <charset val="134"/>
      </rPr>
      <t>来料长度5.385</t>
    </r>
    <r>
      <rPr>
        <sz val="10"/>
        <rFont val="Arial"/>
        <charset val="134"/>
      </rPr>
      <t>*</t>
    </r>
    <r>
      <rPr>
        <sz val="10"/>
        <rFont val="宋体"/>
        <charset val="134"/>
      </rPr>
      <t>米重</t>
    </r>
    <r>
      <rPr>
        <sz val="10"/>
        <rFont val="Arial"/>
        <charset val="134"/>
      </rPr>
      <t>2.771*</t>
    </r>
    <r>
      <rPr>
        <sz val="10"/>
        <rFont val="宋体"/>
        <charset val="134"/>
      </rPr>
      <t>价格</t>
    </r>
    <r>
      <rPr>
        <sz val="10"/>
        <rFont val="Arial"/>
        <charset val="134"/>
      </rPr>
      <t xml:space="preserve">*1.1     </t>
    </r>
    <r>
      <rPr>
        <sz val="10"/>
        <rFont val="宋体"/>
        <charset val="134"/>
      </rPr>
      <t>直钩</t>
    </r>
    <r>
      <rPr>
        <sz val="10"/>
        <rFont val="Arial"/>
        <charset val="134"/>
      </rPr>
      <t>1</t>
    </r>
    <r>
      <rPr>
        <sz val="10"/>
        <rFont val="宋体"/>
        <charset val="134"/>
      </rPr>
      <t>件</t>
    </r>
    <r>
      <rPr>
        <sz val="10"/>
        <rFont val="Arial"/>
        <charset val="134"/>
      </rPr>
      <t xml:space="preserve">=6.5   </t>
    </r>
    <r>
      <rPr>
        <sz val="10"/>
        <rFont val="宋体"/>
        <charset val="134"/>
      </rPr>
      <t>弯钩</t>
    </r>
    <r>
      <rPr>
        <sz val="10"/>
        <rFont val="Arial"/>
        <charset val="134"/>
      </rPr>
      <t>1</t>
    </r>
    <r>
      <rPr>
        <sz val="10"/>
        <rFont val="宋体"/>
        <charset val="134"/>
      </rPr>
      <t>件</t>
    </r>
    <r>
      <rPr>
        <sz val="10"/>
        <rFont val="Arial"/>
        <charset val="134"/>
      </rPr>
      <t xml:space="preserve"> =6.5    10*30</t>
    </r>
    <r>
      <rPr>
        <sz val="10"/>
        <rFont val="宋体"/>
        <charset val="134"/>
      </rPr>
      <t>螺栓</t>
    </r>
    <r>
      <rPr>
        <sz val="10"/>
        <rFont val="Arial"/>
        <charset val="134"/>
      </rPr>
      <t>4</t>
    </r>
    <r>
      <rPr>
        <sz val="10"/>
        <rFont val="宋体"/>
        <charset val="134"/>
      </rPr>
      <t>套</t>
    </r>
    <r>
      <rPr>
        <sz val="10"/>
        <rFont val="Arial"/>
        <charset val="134"/>
      </rPr>
      <t>=2</t>
    </r>
  </si>
  <si>
    <t>5.38端中穿管</t>
  </si>
  <si>
    <r>
      <rPr>
        <sz val="10"/>
        <rFont val="宋体"/>
        <charset val="134"/>
      </rPr>
      <t>来料长度5.36</t>
    </r>
    <r>
      <rPr>
        <sz val="10"/>
        <rFont val="Arial"/>
        <charset val="134"/>
      </rPr>
      <t>*</t>
    </r>
    <r>
      <rPr>
        <sz val="10"/>
        <rFont val="宋体"/>
        <charset val="134"/>
      </rPr>
      <t>米重1.345</t>
    </r>
    <r>
      <rPr>
        <sz val="10"/>
        <rFont val="Arial"/>
        <charset val="134"/>
      </rPr>
      <t>*</t>
    </r>
    <r>
      <rPr>
        <sz val="10"/>
        <rFont val="宋体"/>
        <charset val="134"/>
      </rPr>
      <t>价格</t>
    </r>
    <r>
      <rPr>
        <sz val="10"/>
        <rFont val="Arial"/>
        <charset val="134"/>
      </rPr>
      <t>*1.1</t>
    </r>
  </si>
  <si>
    <t>PVC23.61*2.45*2*价格*1.1     皮条φ11*23.61*2    布袋30元</t>
  </si>
  <si>
    <t>篷布长10.71*宽4.620*价格*1.1 + 皮条17*2*4元/米+15元布袋</t>
  </si>
  <si>
    <t>21米端中围布</t>
  </si>
  <si>
    <t>篷布宽5.38*高3.97*价格*1.1+围布豆12套+围布绳10.8米+铜扣18套+布袋7.5元</t>
  </si>
  <si>
    <t>18变21米（112*203料 5米）边高</t>
  </si>
  <si>
    <t>60*60*3.5热带方管1只 =108  135*70*10铁板1块=3  45*200*6铁板2块=4   标准件1件=6.5  16*140螺栓1支=1</t>
  </si>
  <si>
    <t>篷布宽5.38*高4.97*价格*1.1+围布豆12套+围布绳10.8米+铜扣18套+布袋7.5元</t>
  </si>
  <si>
    <t>18变21米（112*203料 6米）边高</t>
  </si>
  <si>
    <t>18度21米（112*203料 4米）边高</t>
  </si>
  <si>
    <t>18度21米（112*203料 5米）边高</t>
  </si>
  <si>
    <t>18度21米（112*203料 6米）边高</t>
  </si>
  <si>
    <t>篷布宽5.38*高5.97*价格*1.1+围布豆12套+围布绳10.8米+铜扣18套+布袋7.5元</t>
  </si>
  <si>
    <t>18度25米（112*203料 4米）边高</t>
  </si>
  <si>
    <t>25米短梁</t>
  </si>
  <si>
    <t>外套用料3.76m*米重8.233*价格*1.1；内套用料1.2m*米重7.67*价格*1.1
工字扣螺丝2件=5元    20*140螺栓2套    8*130螺栓2套</t>
  </si>
  <si>
    <t>114圆管130元  槽2件*20元=40   加工15元</t>
  </si>
  <si>
    <t>PVC27.81*2.45*2*价格*1.1     皮条φ11*27.81*2    布袋30元</t>
  </si>
  <si>
    <t>篷布长12.75*宽4.57*价格*1.1 + 皮条17.5*2*4元/米+15元布袋</t>
  </si>
  <si>
    <t>18度25米（112*203料 5米）边高</t>
  </si>
  <si>
    <t>76圆管90元  槽2件*20元=40   加工15元</t>
  </si>
  <si>
    <t>18度25米（112*203料 6米）边高</t>
  </si>
  <si>
    <r>
      <rPr>
        <b/>
        <sz val="14"/>
        <color indexed="10"/>
        <rFont val="宋体"/>
        <charset val="134"/>
      </rPr>
      <t>B型</t>
    </r>
    <r>
      <rPr>
        <b/>
        <sz val="14"/>
        <rFont val="宋体"/>
        <charset val="134"/>
      </rPr>
      <t>30M（全铝18° 5米边高 203料）篷房</t>
    </r>
  </si>
  <si>
    <t>山尖</t>
  </si>
  <si>
    <t>随后单元数量</t>
  </si>
  <si>
    <r>
      <rPr>
        <sz val="10"/>
        <rFont val="宋体"/>
        <charset val="134"/>
      </rPr>
      <t>来料长度4</t>
    </r>
    <r>
      <rPr>
        <sz val="10"/>
        <rFont val="Arial"/>
        <charset val="134"/>
      </rPr>
      <t>.55</t>
    </r>
    <r>
      <rPr>
        <sz val="10"/>
        <rFont val="宋体"/>
        <charset val="134"/>
      </rPr>
      <t>米</t>
    </r>
    <r>
      <rPr>
        <sz val="10"/>
        <rFont val="Arial"/>
        <charset val="134"/>
      </rPr>
      <t>*8.233KG*</t>
    </r>
    <r>
      <rPr>
        <sz val="10"/>
        <rFont val="宋体"/>
        <charset val="134"/>
      </rPr>
      <t>价格</t>
    </r>
    <r>
      <rPr>
        <sz val="10"/>
        <rFont val="Arial"/>
        <charset val="134"/>
      </rPr>
      <t xml:space="preserve">*1.1
</t>
    </r>
    <r>
      <rPr>
        <sz val="10"/>
        <rFont val="宋体"/>
        <charset val="134"/>
      </rPr>
      <t>铝1095.72</t>
    </r>
    <r>
      <rPr>
        <sz val="10"/>
        <rFont val="Arial"/>
        <charset val="134"/>
      </rPr>
      <t>+</t>
    </r>
    <r>
      <rPr>
        <sz val="10"/>
        <rFont val="宋体"/>
        <charset val="134"/>
      </rPr>
      <t>卡板</t>
    </r>
    <r>
      <rPr>
        <sz val="10"/>
        <rFont val="Arial"/>
        <charset val="134"/>
      </rPr>
      <t>82.27*2+</t>
    </r>
    <r>
      <rPr>
        <sz val="10"/>
        <rFont val="宋体"/>
        <charset val="134"/>
      </rPr>
      <t>下钢部件</t>
    </r>
    <r>
      <rPr>
        <sz val="10"/>
        <rFont val="Arial"/>
        <charset val="134"/>
      </rPr>
      <t>53.93+</t>
    </r>
    <r>
      <rPr>
        <sz val="10"/>
        <rFont val="宋体"/>
        <charset val="134"/>
      </rPr>
      <t>铆钉</t>
    </r>
    <r>
      <rPr>
        <sz val="10"/>
        <rFont val="Arial"/>
        <charset val="134"/>
      </rPr>
      <t>12*0.65=1322+</t>
    </r>
    <r>
      <rPr>
        <sz val="10"/>
        <rFont val="宋体"/>
        <charset val="134"/>
      </rPr>
      <t>内衬钢板330</t>
    </r>
  </si>
  <si>
    <t>一梁</t>
  </si>
  <si>
    <t>短梁</t>
  </si>
  <si>
    <t>来料长度8.15*米重8.233*价格*1.1+芯子长1.5米*7.67米重*价格*1.1倍
工字扣螺丝6套</t>
  </si>
  <si>
    <t>端立柱(6620mm)</t>
  </si>
  <si>
    <t>来料长度7.33*米重5.3*价格*1.1
端立柱上接头重49.51+下接头重41.21+螺丝4套</t>
  </si>
  <si>
    <t>端立柱(8250mm)</t>
  </si>
  <si>
    <t>来料长度8.88*米重5.3*价格*1.1    
端立柱上接头49.51+下接头41.21+螺丝4套</t>
  </si>
  <si>
    <t>端立柱(9940mm)</t>
  </si>
  <si>
    <t>来料长度10.43*米重5.3*价格*1.1
端立柱上接头49.51+下接头41.21+螺丝4套</t>
  </si>
  <si>
    <t>来料长度4.882*米重2.771*价格*1.1  钩螺丝2套</t>
  </si>
  <si>
    <t>来料长度4.882*米重1.552*价格*1.1  钩螺丝2套</t>
  </si>
  <si>
    <t>来料长度4.86*米重1.345*价格*1.1</t>
  </si>
  <si>
    <t>来料长度4.882*米重2.771*价格*1.1  钢件15  钩1件6.5  铆钉8*0.65</t>
  </si>
  <si>
    <t>重6.5KG*价格*1.1</t>
  </si>
  <si>
    <t>来料价格20元/支   钩1*2</t>
  </si>
  <si>
    <t xml:space="preserve">114*3.5圆管1支=192   堵头铁板2片*2.5=5   槽铁2*21  加工费20
</t>
  </si>
  <si>
    <t>直撑（屋面拉杆）</t>
  </si>
  <si>
    <t>十字撑(6m边高)</t>
  </si>
  <si>
    <t>重43.8KG*5.5</t>
  </si>
  <si>
    <t>零部件明细</t>
  </si>
  <si>
    <t>加强版</t>
  </si>
  <si>
    <t>片</t>
  </si>
  <si>
    <t>原料22.73    加工费10   镀锌8   运费2</t>
  </si>
  <si>
    <t>进购价91.3元</t>
  </si>
  <si>
    <t>基座重0.85KG/9.65元</t>
  </si>
  <si>
    <t>顶布</t>
  </si>
  <si>
    <t>顶布长33.4*5米宽*价格*1.1+皮条33.4*2*4</t>
  </si>
  <si>
    <t>山尖布</t>
  </si>
  <si>
    <t>篷布宽5.97米*15.32米*价格*1.1+皮条42.1*4</t>
  </si>
  <si>
    <t>围布</t>
  </si>
  <si>
    <t>布高5.2*布宽5.2*13.5=548*1.1=602.88+布袋11.67=614.55</t>
  </si>
  <si>
    <r>
      <rPr>
        <sz val="10"/>
        <rFont val="宋体"/>
        <charset val="134"/>
      </rPr>
      <t>螺栓</t>
    </r>
    <r>
      <rPr>
        <sz val="10"/>
        <rFont val="Times New Roman"/>
        <charset val="134"/>
      </rPr>
      <t>20*140</t>
    </r>
  </si>
  <si>
    <t>小固定销</t>
  </si>
  <si>
    <t>总价：</t>
  </si>
  <si>
    <t>每平：</t>
  </si>
  <si>
    <r>
      <rPr>
        <b/>
        <sz val="14"/>
        <color indexed="10"/>
        <rFont val="宋体"/>
        <charset val="134"/>
      </rPr>
      <t>B型</t>
    </r>
    <r>
      <rPr>
        <b/>
        <sz val="14"/>
        <rFont val="宋体"/>
        <charset val="134"/>
      </rPr>
      <t>30M（全铝18° 6米边高 203料）篷房</t>
    </r>
  </si>
  <si>
    <r>
      <rPr>
        <sz val="10"/>
        <rFont val="宋体"/>
        <charset val="134"/>
      </rPr>
      <t>来料长度5</t>
    </r>
    <r>
      <rPr>
        <sz val="10"/>
        <rFont val="Arial"/>
        <charset val="134"/>
      </rPr>
      <t>.55</t>
    </r>
    <r>
      <rPr>
        <sz val="10"/>
        <rFont val="宋体"/>
        <charset val="134"/>
      </rPr>
      <t>米</t>
    </r>
    <r>
      <rPr>
        <sz val="10"/>
        <rFont val="Arial"/>
        <charset val="134"/>
      </rPr>
      <t>*8.233KG*</t>
    </r>
    <r>
      <rPr>
        <sz val="10"/>
        <rFont val="宋体"/>
        <charset val="134"/>
      </rPr>
      <t>价格</t>
    </r>
    <r>
      <rPr>
        <sz val="10"/>
        <rFont val="Arial"/>
        <charset val="134"/>
      </rPr>
      <t xml:space="preserve">*1.1
</t>
    </r>
    <r>
      <rPr>
        <sz val="10"/>
        <rFont val="宋体"/>
        <charset val="134"/>
      </rPr>
      <t>铝1095.72</t>
    </r>
    <r>
      <rPr>
        <sz val="10"/>
        <rFont val="Arial"/>
        <charset val="134"/>
      </rPr>
      <t>+</t>
    </r>
    <r>
      <rPr>
        <sz val="10"/>
        <rFont val="宋体"/>
        <charset val="134"/>
      </rPr>
      <t>卡板</t>
    </r>
    <r>
      <rPr>
        <sz val="10"/>
        <rFont val="Arial"/>
        <charset val="134"/>
      </rPr>
      <t>82.27*2+</t>
    </r>
    <r>
      <rPr>
        <sz val="10"/>
        <rFont val="宋体"/>
        <charset val="134"/>
      </rPr>
      <t>下钢部件</t>
    </r>
    <r>
      <rPr>
        <sz val="10"/>
        <rFont val="Arial"/>
        <charset val="134"/>
      </rPr>
      <t>53.93+</t>
    </r>
    <r>
      <rPr>
        <sz val="10"/>
        <rFont val="宋体"/>
        <charset val="134"/>
      </rPr>
      <t>铆钉</t>
    </r>
    <r>
      <rPr>
        <sz val="10"/>
        <rFont val="Arial"/>
        <charset val="134"/>
      </rPr>
      <t>12*0.65=1322+</t>
    </r>
    <r>
      <rPr>
        <sz val="10"/>
        <rFont val="宋体"/>
        <charset val="134"/>
      </rPr>
      <t>内衬钢板400</t>
    </r>
  </si>
  <si>
    <t>布高6.2*布宽5.2*13.5=548*1.1=602.88+布袋11.67=614.55</t>
  </si>
  <si>
    <r>
      <rPr>
        <sz val="10"/>
        <rFont val="宋体"/>
        <charset val="134"/>
      </rPr>
      <t>螺栓</t>
    </r>
    <r>
      <rPr>
        <sz val="10"/>
        <rFont val="Times New Roman"/>
        <charset val="134"/>
      </rPr>
      <t>20*160</t>
    </r>
  </si>
  <si>
    <r>
      <rPr>
        <sz val="10"/>
        <rFont val="宋体"/>
        <charset val="134"/>
      </rPr>
      <t>螺栓</t>
    </r>
    <r>
      <rPr>
        <sz val="10"/>
        <rFont val="Times New Roman"/>
        <charset val="134"/>
      </rPr>
      <t>20*180</t>
    </r>
  </si>
  <si>
    <t>B型30M（全铝18° 5米边高 250料）篷房</t>
  </si>
  <si>
    <t>来料长度9.8米/2*米重10.293*价格*1.1倍
（卡板196*2）+下钢部62+铆钉16*0.65+2.55*5螺栓</t>
  </si>
  <si>
    <t>来料长度10.62*米重10.293*价格*1.1
长梁堵重1件*21.61   工字扣螺丝8套*4元/套=32元 
 内支撑管1.25米*米重0.882*24.1元=18.4338元</t>
  </si>
  <si>
    <t>三梁</t>
  </si>
  <si>
    <t>来料长度5.4*米重10.293*价格*1.1
用料长度1.5米*米重12.715*价格*1.1
  工字扣螺丝2套*4元/套=8元 
 内支撑管0.75米*米重0.882*价格
20*160螺栓2套</t>
  </si>
  <si>
    <t>端立柱(6900mm)</t>
  </si>
  <si>
    <t>来料长度6.33*米重5.3*价格*1.1
端立柱上接头重49.51+下接头重41.21+螺丝7.65+蝴蝶结5</t>
  </si>
  <si>
    <t>端立柱(8450mm)</t>
  </si>
  <si>
    <t>来料长度7.88*米重5.3*价格*1.1
端立柱上接头49.51+下接头41.21+螺丝7.65+蝴蝶结5</t>
  </si>
  <si>
    <t>端立柱(9970mm)</t>
  </si>
  <si>
    <t>来料长度9.43*米重5.3*价格*1.1
端立柱上接头49.51+下接头41.21+螺丝7.65+蝴蝶结5</t>
  </si>
  <si>
    <t>屋面檩条（100*80）</t>
  </si>
  <si>
    <t>来料长度4.882*米重2.771*价格*1.1+钩螺丝15</t>
  </si>
  <si>
    <t>屋檐檩条（90*140）</t>
  </si>
  <si>
    <t>来料长度4.882*5.944*21.4*价格*1.1+钩螺丝15元</t>
  </si>
  <si>
    <t>来料长度4.882*米重2.771*价格*1.1+钢件15+铆钉8*0.65*钩6.5</t>
  </si>
  <si>
    <t>重6.5KG*21.4元/KG=139.1</t>
  </si>
  <si>
    <t>钢丝绳（蓝）</t>
  </si>
  <si>
    <t>订购价114.3+运费5元=119.3元</t>
  </si>
  <si>
    <t>钢丝绳（黄）</t>
  </si>
  <si>
    <t>订购价格92.5元+运费5元=97.5</t>
  </si>
  <si>
    <t>尖基座重0.85KG/9.65元</t>
  </si>
  <si>
    <r>
      <rPr>
        <sz val="12"/>
        <rFont val="宋体"/>
        <charset val="134"/>
      </rPr>
      <t>重1.7KG*9元/KG=15.3++镀锌费1.7*1.8=18.</t>
    </r>
    <r>
      <rPr>
        <sz val="12"/>
        <rFont val="宋体"/>
        <charset val="134"/>
      </rPr>
      <t>36</t>
    </r>
    <r>
      <rPr>
        <sz val="12"/>
        <rFont val="宋体"/>
        <charset val="134"/>
      </rPr>
      <t>元</t>
    </r>
  </si>
  <si>
    <t>重2.3KG*9元/KG=20.7+镀锌费2.3*1.8=24.84元</t>
  </si>
  <si>
    <r>
      <rPr>
        <sz val="10"/>
        <rFont val="宋体"/>
        <charset val="134"/>
      </rPr>
      <t>原料</t>
    </r>
    <r>
      <rPr>
        <sz val="10"/>
        <rFont val="Arial"/>
        <charset val="134"/>
      </rPr>
      <t>4.9</t>
    </r>
    <r>
      <rPr>
        <sz val="10"/>
        <rFont val="宋体"/>
        <charset val="134"/>
      </rPr>
      <t>元+镀锌费0.65元+加工费0.96元=6.51元*1.1=7.16元</t>
    </r>
  </si>
  <si>
    <t>来料价格30元/支</t>
  </si>
  <si>
    <t>大固定销</t>
  </si>
  <si>
    <t>订购价1.46元</t>
  </si>
  <si>
    <t>A型30M（全铝18° 6米边高 250料）篷房</t>
  </si>
  <si>
    <t>来料长度11.7米/2*米重10.293*价格*1.1倍
（卡板96*2）+下钢部62+铆钉16*0.65+2.55*5螺栓</t>
  </si>
  <si>
    <t>来料长度7.33*米重5.3*价格*1.1
端立柱上接头重49.51+下接头重41.21+螺丝7.65+蝴蝶结5</t>
  </si>
  <si>
    <t>来料长度8.88*米重5.3*价格*1.1
端立柱上接头49.51+下接头41.21+螺丝7.65+蝴蝶结5</t>
  </si>
  <si>
    <t>来料长度10.43*米重5.3*价格*1.1
端立柱上接头49.51+下接头41.21+螺丝7.65+蝴蝶结5</t>
  </si>
  <si>
    <t>铝材1.8*16.257*价格*1.1+外套0.8*15.052*价格+钢部件100+工字扣2套</t>
  </si>
  <si>
    <t>B型30M（全铝18° 5.4米边高 300料）篷房</t>
  </si>
  <si>
    <t>来料长度9.8米/2*米重13.649*价格*1.1倍
（卡板101.64*2）+下钢部67.29+铆钉16*0.65+2.55*5螺栓</t>
  </si>
  <si>
    <t>来料长度10.62*米重13.649*价格*1.1
长梁堵重1件*21.61   工字扣螺丝8套*4元/套=32元 
 内支撑管1.25米*米重0.882*24.1元=18.4338元</t>
  </si>
  <si>
    <t>来料长度5.4*米重13.649*价格*1.1
用料长度1.5米*米重14.003*价格*1.1
  工字扣螺丝2套*4元/套=8元 
 内支撑管0.75米*米重0.882*价格
20*160螺栓2套</t>
  </si>
  <si>
    <t>A型30M（全铝18° 6.4米边高 300料）篷房</t>
  </si>
  <si>
    <t>来料长度11.7米/2*米重13.649*价格*1.1倍
（卡板101.64*2）+下钢部67.29+铆钉16*0.65+2.55*5螺栓</t>
  </si>
  <si>
    <t>B型40M（全铝18° 5.4米边高 300料）篷房</t>
  </si>
  <si>
    <t>来料长度10.62*米重14.003*价格*1.1
长梁堵重1件*20.06   工字扣螺丝8套*4元/套=32元 
 内支撑管1.25米*米重0.882*24.1元=18.4338元</t>
  </si>
  <si>
    <t>二梁</t>
  </si>
  <si>
    <t>来料长度10.62*米重13.649*价格*1.1
用料长度1.5米*米重14.003*价格*1.1
 工字扣螺丝8套*4元/套=32元 
 内支撑管1.25米*米重0.882*价格
20*160螺栓2套</t>
  </si>
  <si>
    <t>端立柱（11640mm）</t>
  </si>
  <si>
    <t>来料长度10.96*米重8.233*价格*1.1    
端立柱上接头41.51+下接头41.21+螺丝7.65+蝴蝶结5</t>
  </si>
  <si>
    <t>钢丝绳（红）</t>
  </si>
  <si>
    <t>订购价119+运费5元=124元</t>
  </si>
  <si>
    <t>顶布长44.4*5米宽*价格*1.1+皮条88.8*4</t>
  </si>
  <si>
    <t>篷布宽7.68米*20.3米*价格*1.1+皮条56.48*4</t>
  </si>
  <si>
    <t>B型40M（全铝18° 6.4米边高 300料）篷房</t>
  </si>
  <si>
    <t>来料长度11.7米/2*米重13.649*价格*1.1倍
（卡板135.53*2）+下钢部74.27+铆钉16*0.65+2.55*5螺栓</t>
  </si>
  <si>
    <t>来料长度11.96*米重8.233*价格*1.1    
端立柱上接头41.51+下接头41.21+螺丝7.65+蝴蝶结5</t>
  </si>
  <si>
    <t>B型40M（全铝18° 5.4米边高 350料）篷房</t>
  </si>
  <si>
    <t>来料长度9.8米/2*米重*价格*1.1倍
（卡板135.53*2）+下钢部74.27+铆钉16*0.65+2.55*5螺栓</t>
  </si>
  <si>
    <t>来料长度10.62*米重15.052*价格*1.1
长梁堵重1件*21.61   工字扣螺丝8套*4元/套=32元 
 内支撑管1.25米*米重0.882*24.1元=18.4338元</t>
  </si>
  <si>
    <t>来料长度10.62*米重15.052*价格*1.1
用料长度1.5米*米重16.257*价格*1.1
 工字扣螺丝8套*4元/套=32元 
 内支撑管1.25米*米重0.882*价格
20*160螺栓2套</t>
  </si>
  <si>
    <t>钢部件件明细</t>
  </si>
  <si>
    <t>B型40M（全铝18° 6.4米边高 350料）篷房</t>
  </si>
  <si>
    <t>来料长度11.7米/2*米重*价格*1.1倍
（卡板135.53*2）+下钢部74.27+铆钉16*0.65+2.55*5螺栓</t>
  </si>
  <si>
    <t>B型50M（全铝18° 5.4米边高 300料）篷房</t>
  </si>
  <si>
    <t>来料长度10.62*米重13.649*价格*1.1
长梁堵重1件*20.06   工字扣螺丝8套*4元/套=32元 
 内支撑管1.25米*米重0.882*24.1元=18.4338元</t>
  </si>
  <si>
    <t>端立柱（13000mm）</t>
  </si>
  <si>
    <t>来料长度12.96*米重8.233*价格*1.1
    内芯长1.2*米重7.67*价格
端立柱上接头41.51+下接头41.25+螺丝7.65+蝴蝶结5</t>
  </si>
  <si>
    <t>连接直基座</t>
  </si>
  <si>
    <t>重6.15KG*9元/KG=55.35+镀锌费9.3=64.65</t>
  </si>
  <si>
    <t>顶布长54.52*5米宽*价格*1.1+皮条108*4</t>
  </si>
  <si>
    <t>篷布宽9.8米*25.4米*价格*1.1+皮条70.5*4</t>
  </si>
  <si>
    <t>B型50M（全铝18° 6.4米边高 300料）篷房</t>
  </si>
  <si>
    <t>来料长度13.96*米重8.233*价格*1.1
    内芯长1.2*米重7.67*价格
端立柱上接头41.51+下接头41.25+螺丝7.65+蝴蝶结5</t>
  </si>
  <si>
    <t>B型50M（全铝18° 5.4米边高 350料）篷房</t>
  </si>
  <si>
    <t>来料长度5.4*米重15.052*价格*1.1
用料长度1.5米*米重16.257*价格*1.1
  工字扣螺丝2套*4元/套=8元 
 内支撑管0.75米*米重0.882*价格
20*160螺栓2套</t>
  </si>
  <si>
    <t>B型50M（全铝18° 6.4米边高 350料）篷房</t>
  </si>
</sst>
</file>

<file path=xl/styles.xml><?xml version="1.0" encoding="utf-8"?>
<styleSheet xmlns="http://schemas.openxmlformats.org/spreadsheetml/2006/main">
  <numFmts count="7"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176" formatCode="0_ "/>
    <numFmt numFmtId="177" formatCode="0.000_ "/>
    <numFmt numFmtId="178" formatCode="0.00_ "/>
  </numFmts>
  <fonts count="59">
    <font>
      <sz val="11"/>
      <color theme="1"/>
      <name val="宋体"/>
      <charset val="134"/>
      <scheme val="minor"/>
    </font>
    <font>
      <sz val="12"/>
      <name val="宋体"/>
      <charset val="134"/>
    </font>
    <font>
      <b/>
      <sz val="12"/>
      <name val="宋体"/>
      <charset val="134"/>
    </font>
    <font>
      <b/>
      <sz val="14"/>
      <color indexed="10"/>
      <name val="宋体"/>
      <charset val="134"/>
    </font>
    <font>
      <b/>
      <sz val="10"/>
      <name val="宋体"/>
      <charset val="134"/>
    </font>
    <font>
      <b/>
      <sz val="10"/>
      <color indexed="10"/>
      <name val="宋体"/>
      <charset val="134"/>
    </font>
    <font>
      <sz val="10"/>
      <color indexed="12"/>
      <name val="Times New Roman"/>
      <charset val="134"/>
    </font>
    <font>
      <sz val="10"/>
      <name val="宋体"/>
      <charset val="134"/>
    </font>
    <font>
      <sz val="10"/>
      <color indexed="12"/>
      <name val="宋体"/>
      <charset val="134"/>
    </font>
    <font>
      <sz val="10"/>
      <color indexed="10"/>
      <name val="宋体"/>
      <charset val="134"/>
    </font>
    <font>
      <sz val="11"/>
      <name val="宋体"/>
      <charset val="134"/>
    </font>
    <font>
      <sz val="10"/>
      <name val="Arial"/>
      <charset val="134"/>
    </font>
    <font>
      <sz val="11"/>
      <name val="Arial"/>
      <charset val="134"/>
    </font>
    <font>
      <sz val="10"/>
      <color indexed="8"/>
      <name val="宋体"/>
      <charset val="134"/>
    </font>
    <font>
      <sz val="10"/>
      <color indexed="12"/>
      <name val="Arial"/>
      <charset val="134"/>
    </font>
    <font>
      <sz val="12"/>
      <color indexed="10"/>
      <name val="宋体"/>
      <charset val="134"/>
    </font>
    <font>
      <b/>
      <sz val="6"/>
      <color indexed="10"/>
      <name val="宋体"/>
      <charset val="134"/>
    </font>
    <font>
      <b/>
      <sz val="10"/>
      <color indexed="10"/>
      <name val="Arial"/>
      <charset val="134"/>
    </font>
    <font>
      <b/>
      <sz val="14"/>
      <name val="宋体"/>
      <charset val="134"/>
    </font>
    <font>
      <sz val="10"/>
      <color indexed="10"/>
      <name val="Arial"/>
      <charset val="134"/>
    </font>
    <font>
      <b/>
      <sz val="12"/>
      <color indexed="10"/>
      <name val="宋体"/>
      <charset val="134"/>
    </font>
    <font>
      <sz val="24"/>
      <name val="宋体"/>
      <charset val="134"/>
    </font>
    <font>
      <sz val="15"/>
      <name val="宋体"/>
      <charset val="134"/>
    </font>
    <font>
      <sz val="14"/>
      <name val="宋体"/>
      <charset val="134"/>
    </font>
    <font>
      <sz val="16"/>
      <name val="宋体"/>
      <charset val="134"/>
    </font>
    <font>
      <sz val="10"/>
      <color indexed="11"/>
      <name val="宋体"/>
      <charset val="134"/>
    </font>
    <font>
      <sz val="12"/>
      <color indexed="11"/>
      <name val="宋体"/>
      <charset val="134"/>
    </font>
    <font>
      <sz val="10"/>
      <color indexed="8"/>
      <name val="Arial"/>
      <charset val="134"/>
    </font>
    <font>
      <b/>
      <sz val="14"/>
      <name val="仿宋"/>
      <charset val="134"/>
    </font>
    <font>
      <b/>
      <sz val="14"/>
      <color indexed="10"/>
      <name val="仿宋"/>
      <charset val="134"/>
    </font>
    <font>
      <b/>
      <sz val="14"/>
      <color indexed="8"/>
      <name val="仿宋"/>
      <charset val="134"/>
    </font>
    <font>
      <b/>
      <sz val="11"/>
      <name val="仿宋"/>
      <charset val="134"/>
    </font>
    <font>
      <sz val="11"/>
      <name val="宋体"/>
      <charset val="134"/>
      <scheme val="minor"/>
    </font>
    <font>
      <sz val="10"/>
      <name val="Arial"/>
      <charset val="0"/>
    </font>
    <font>
      <sz val="11"/>
      <color indexed="10"/>
      <name val="仿宋"/>
      <charset val="134"/>
    </font>
    <font>
      <sz val="11"/>
      <color indexed="10"/>
      <name val="宋体"/>
      <charset val="134"/>
    </font>
    <font>
      <b/>
      <sz val="11"/>
      <color indexed="10"/>
      <name val="仿宋"/>
      <charset val="134"/>
    </font>
    <font>
      <sz val="11"/>
      <color indexed="8"/>
      <name val="宋体"/>
      <charset val="134"/>
    </font>
    <font>
      <sz val="10"/>
      <color rgb="FFFF0000"/>
      <name val="宋体"/>
      <charset val="134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0"/>
      <name val="Times New Roman"/>
      <charset val="134"/>
    </font>
  </fonts>
  <fills count="38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0" fontId="41" fillId="9" borderId="2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0" fillId="0" borderId="0" applyFont="0" applyFill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0" fillId="8" borderId="20" applyNumberFormat="0" applyFont="0" applyAlignment="0" applyProtection="0">
      <alignment vertical="center"/>
    </xf>
    <xf numFmtId="0" fontId="46" fillId="21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53" fillId="0" borderId="18" applyNumberFormat="0" applyFill="0" applyAlignment="0" applyProtection="0">
      <alignment vertical="center"/>
    </xf>
    <xf numFmtId="0" fontId="39" fillId="0" borderId="18" applyNumberFormat="0" applyFill="0" applyAlignment="0" applyProtection="0">
      <alignment vertical="center"/>
    </xf>
    <xf numFmtId="0" fontId="46" fillId="25" borderId="0" applyNumberFormat="0" applyBorder="0" applyAlignment="0" applyProtection="0">
      <alignment vertical="center"/>
    </xf>
    <xf numFmtId="0" fontId="42" fillId="0" borderId="22" applyNumberFormat="0" applyFill="0" applyAlignment="0" applyProtection="0">
      <alignment vertical="center"/>
    </xf>
    <xf numFmtId="0" fontId="46" fillId="16" borderId="0" applyNumberFormat="0" applyBorder="0" applyAlignment="0" applyProtection="0">
      <alignment vertical="center"/>
    </xf>
    <xf numFmtId="0" fontId="40" fillId="7" borderId="19" applyNumberFormat="0" applyAlignment="0" applyProtection="0">
      <alignment vertical="center"/>
    </xf>
    <xf numFmtId="0" fontId="51" fillId="7" borderId="21" applyNumberFormat="0" applyAlignment="0" applyProtection="0">
      <alignment vertical="center"/>
    </xf>
    <xf numFmtId="0" fontId="47" fillId="18" borderId="23" applyNumberFormat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0" fontId="46" fillId="24" borderId="0" applyNumberFormat="0" applyBorder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2" fillId="0" borderId="24" applyNumberFormat="0" applyFill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57" fillId="29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10" borderId="0" applyNumberFormat="0" applyBorder="0" applyAlignment="0" applyProtection="0">
      <alignment vertical="center"/>
    </xf>
    <xf numFmtId="0" fontId="44" fillId="31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6" fillId="32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46" fillId="36" borderId="0" applyNumberFormat="0" applyBorder="0" applyAlignment="0" applyProtection="0">
      <alignment vertical="center"/>
    </xf>
    <xf numFmtId="0" fontId="44" fillId="34" borderId="0" applyNumberFormat="0" applyBorder="0" applyAlignment="0" applyProtection="0">
      <alignment vertical="center"/>
    </xf>
    <xf numFmtId="0" fontId="46" fillId="37" borderId="0" applyNumberFormat="0" applyBorder="0" applyAlignment="0" applyProtection="0">
      <alignment vertical="center"/>
    </xf>
  </cellStyleXfs>
  <cellXfs count="356">
    <xf numFmtId="0" fontId="0" fillId="0" borderId="0" xfId="0">
      <alignment vertical="center"/>
    </xf>
    <xf numFmtId="0" fontId="1" fillId="0" borderId="0" xfId="0" applyFont="1" applyFill="1" applyBorder="1" applyAlignment="1"/>
    <xf numFmtId="0" fontId="2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0" borderId="0" xfId="0" applyFont="1" applyFill="1" applyBorder="1" applyAlignment="1"/>
    <xf numFmtId="0" fontId="1" fillId="2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textRotation="255"/>
    </xf>
    <xf numFmtId="0" fontId="4" fillId="0" borderId="3" xfId="0" applyFont="1" applyFill="1" applyBorder="1" applyAlignment="1">
      <alignment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 textRotation="255"/>
    </xf>
    <xf numFmtId="0" fontId="7" fillId="0" borderId="1" xfId="0" applyFont="1" applyFill="1" applyBorder="1" applyAlignment="1">
      <alignment vertical="center"/>
    </xf>
    <xf numFmtId="0" fontId="10" fillId="0" borderId="4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177" fontId="7" fillId="2" borderId="6" xfId="0" applyNumberFormat="1" applyFont="1" applyFill="1" applyBorder="1" applyAlignment="1">
      <alignment horizontal="center"/>
    </xf>
    <xf numFmtId="0" fontId="7" fillId="3" borderId="6" xfId="0" applyFont="1" applyFill="1" applyBorder="1" applyAlignment="1">
      <alignment horizontal="center"/>
    </xf>
    <xf numFmtId="0" fontId="10" fillId="0" borderId="1" xfId="0" applyFont="1" applyFill="1" applyBorder="1" applyAlignment="1">
      <alignment horizontal="center" vertical="center"/>
    </xf>
    <xf numFmtId="1" fontId="11" fillId="0" borderId="1" xfId="0" applyNumberFormat="1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/>
    </xf>
    <xf numFmtId="176" fontId="11" fillId="3" borderId="1" xfId="0" applyNumberFormat="1" applyFont="1" applyFill="1" applyBorder="1" applyAlignment="1">
      <alignment horizontal="center" vertical="center"/>
    </xf>
    <xf numFmtId="0" fontId="9" fillId="0" borderId="7" xfId="0" applyFont="1" applyFill="1" applyBorder="1" applyAlignment="1">
      <alignment horizontal="center" vertical="center" textRotation="255"/>
    </xf>
    <xf numFmtId="176" fontId="11" fillId="0" borderId="1" xfId="0" applyNumberFormat="1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0" fontId="7" fillId="3" borderId="8" xfId="0" applyFont="1" applyFill="1" applyBorder="1" applyAlignment="1">
      <alignment horizontal="center"/>
    </xf>
    <xf numFmtId="0" fontId="7" fillId="3" borderId="9" xfId="0" applyFont="1" applyFill="1" applyBorder="1" applyAlignment="1">
      <alignment horizontal="center"/>
    </xf>
    <xf numFmtId="0" fontId="7" fillId="0" borderId="1" xfId="0" applyFont="1" applyFill="1" applyBorder="1" applyAlignment="1"/>
    <xf numFmtId="178" fontId="11" fillId="2" borderId="7" xfId="0" applyNumberFormat="1" applyFont="1" applyFill="1" applyBorder="1" applyAlignment="1">
      <alignment horizontal="center" vertical="center"/>
    </xf>
    <xf numFmtId="178" fontId="11" fillId="3" borderId="8" xfId="0" applyNumberFormat="1" applyFont="1" applyFill="1" applyBorder="1" applyAlignment="1">
      <alignment horizontal="center" vertical="center"/>
    </xf>
    <xf numFmtId="178" fontId="11" fillId="2" borderId="8" xfId="0" applyNumberFormat="1" applyFont="1" applyFill="1" applyBorder="1" applyAlignment="1">
      <alignment horizontal="center" vertical="center"/>
    </xf>
    <xf numFmtId="0" fontId="7" fillId="0" borderId="7" xfId="0" applyFont="1" applyFill="1" applyBorder="1" applyAlignment="1">
      <alignment vertical="center"/>
    </xf>
    <xf numFmtId="0" fontId="7" fillId="0" borderId="7" xfId="0" applyFont="1" applyFill="1" applyBorder="1" applyAlignment="1">
      <alignment horizontal="center" vertical="center"/>
    </xf>
    <xf numFmtId="1" fontId="11" fillId="0" borderId="7" xfId="0" applyNumberFormat="1" applyFont="1" applyFill="1" applyBorder="1" applyAlignment="1">
      <alignment horizontal="center" vertical="center"/>
    </xf>
    <xf numFmtId="0" fontId="13" fillId="2" borderId="8" xfId="0" applyFont="1" applyFill="1" applyBorder="1" applyAlignment="1">
      <alignment horizontal="center"/>
    </xf>
    <xf numFmtId="0" fontId="13" fillId="3" borderId="8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left"/>
    </xf>
    <xf numFmtId="0" fontId="7" fillId="0" borderId="0" xfId="0" applyFont="1" applyFill="1" applyBorder="1" applyAlignment="1"/>
    <xf numFmtId="0" fontId="7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vertical="center"/>
    </xf>
    <xf numFmtId="0" fontId="7" fillId="0" borderId="0" xfId="0" applyFont="1" applyFill="1" applyBorder="1" applyAlignment="1">
      <alignment horizontal="left" vertical="center" wrapText="1"/>
    </xf>
    <xf numFmtId="0" fontId="7" fillId="0" borderId="0" xfId="0" applyFont="1" applyFill="1" applyBorder="1" applyAlignment="1">
      <alignment vertical="center" wrapText="1"/>
    </xf>
    <xf numFmtId="0" fontId="1" fillId="0" borderId="0" xfId="0" applyFont="1" applyFill="1" applyBorder="1" applyAlignment="1">
      <alignment vertical="center" wrapText="1"/>
    </xf>
    <xf numFmtId="0" fontId="1" fillId="0" borderId="6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wrapText="1"/>
    </xf>
    <xf numFmtId="178" fontId="7" fillId="0" borderId="6" xfId="0" applyNumberFormat="1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/>
    </xf>
    <xf numFmtId="178" fontId="14" fillId="2" borderId="1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7" fillId="2" borderId="8" xfId="0" applyFont="1" applyFill="1" applyBorder="1" applyAlignment="1">
      <alignment horizontal="center"/>
    </xf>
    <xf numFmtId="178" fontId="7" fillId="0" borderId="8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0" borderId="10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 wrapText="1"/>
    </xf>
    <xf numFmtId="178" fontId="11" fillId="2" borderId="4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" fillId="0" borderId="7" xfId="0" applyFont="1" applyFill="1" applyBorder="1" applyAlignment="1">
      <alignment horizontal="center" vertical="center" textRotation="255"/>
    </xf>
    <xf numFmtId="0" fontId="4" fillId="0" borderId="11" xfId="0" applyFont="1" applyFill="1" applyBorder="1" applyAlignment="1">
      <alignment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/>
    </xf>
    <xf numFmtId="0" fontId="12" fillId="2" borderId="6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/>
    </xf>
    <xf numFmtId="0" fontId="1" fillId="0" borderId="14" xfId="0" applyFont="1" applyFill="1" applyBorder="1" applyAlignment="1">
      <alignment horizontal="center"/>
    </xf>
    <xf numFmtId="0" fontId="12" fillId="3" borderId="9" xfId="0" applyFont="1" applyFill="1" applyBorder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6" fillId="0" borderId="4" xfId="0" applyFont="1" applyFill="1" applyBorder="1" applyAlignment="1">
      <alignment horizontal="center" vertical="center" textRotation="255"/>
    </xf>
    <xf numFmtId="0" fontId="4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horizontal="left" vertical="center"/>
    </xf>
    <xf numFmtId="0" fontId="12" fillId="0" borderId="1" xfId="0" applyFont="1" applyFill="1" applyBorder="1" applyAlignment="1">
      <alignment horizontal="center" vertical="center"/>
    </xf>
    <xf numFmtId="178" fontId="11" fillId="2" borderId="9" xfId="0" applyNumberFormat="1" applyFont="1" applyFill="1" applyBorder="1" applyAlignment="1">
      <alignment horizontal="center" vertical="center"/>
    </xf>
    <xf numFmtId="177" fontId="11" fillId="3" borderId="9" xfId="0" applyNumberFormat="1" applyFont="1" applyFill="1" applyBorder="1" applyAlignment="1">
      <alignment horizontal="center" vertical="center"/>
    </xf>
    <xf numFmtId="177" fontId="14" fillId="3" borderId="1" xfId="0" applyNumberFormat="1" applyFont="1" applyFill="1" applyBorder="1" applyAlignment="1">
      <alignment horizontal="center" vertical="center"/>
    </xf>
    <xf numFmtId="177" fontId="14" fillId="3" borderId="6" xfId="0" applyNumberFormat="1" applyFont="1" applyFill="1" applyBorder="1" applyAlignment="1">
      <alignment horizontal="center" vertical="center"/>
    </xf>
    <xf numFmtId="177" fontId="7" fillId="3" borderId="6" xfId="0" applyNumberFormat="1" applyFont="1" applyFill="1" applyBorder="1" applyAlignment="1">
      <alignment horizontal="center"/>
    </xf>
    <xf numFmtId="1" fontId="12" fillId="0" borderId="1" xfId="0" applyNumberFormat="1" applyFont="1" applyFill="1" applyBorder="1" applyAlignment="1">
      <alignment horizontal="center" vertical="center"/>
    </xf>
    <xf numFmtId="177" fontId="11" fillId="3" borderId="8" xfId="0" applyNumberFormat="1" applyFont="1" applyFill="1" applyBorder="1" applyAlignment="1">
      <alignment horizontal="center" vertical="center"/>
    </xf>
    <xf numFmtId="176" fontId="12" fillId="3" borderId="1" xfId="0" applyNumberFormat="1" applyFont="1" applyFill="1" applyBorder="1" applyAlignment="1">
      <alignment horizontal="center" vertical="center"/>
    </xf>
    <xf numFmtId="178" fontId="11" fillId="2" borderId="1" xfId="0" applyNumberFormat="1" applyFont="1" applyFill="1" applyBorder="1" applyAlignment="1">
      <alignment horizontal="center" vertical="center"/>
    </xf>
    <xf numFmtId="178" fontId="11" fillId="3" borderId="6" xfId="0" applyNumberFormat="1" applyFont="1" applyFill="1" applyBorder="1" applyAlignment="1">
      <alignment horizontal="center" vertical="center"/>
    </xf>
    <xf numFmtId="178" fontId="14" fillId="3" borderId="1" xfId="0" applyNumberFormat="1" applyFont="1" applyFill="1" applyBorder="1" applyAlignment="1">
      <alignment horizontal="center" vertical="center"/>
    </xf>
    <xf numFmtId="178" fontId="14" fillId="3" borderId="6" xfId="0" applyNumberFormat="1" applyFont="1" applyFill="1" applyBorder="1" applyAlignment="1">
      <alignment horizontal="center" vertical="center"/>
    </xf>
    <xf numFmtId="176" fontId="12" fillId="0" borderId="1" xfId="0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left" vertical="center"/>
    </xf>
    <xf numFmtId="0" fontId="12" fillId="3" borderId="6" xfId="0" applyFont="1" applyFill="1" applyBorder="1" applyAlignment="1">
      <alignment horizontal="center" vertical="center"/>
    </xf>
    <xf numFmtId="0" fontId="11" fillId="2" borderId="6" xfId="0" applyFont="1" applyFill="1" applyBorder="1" applyAlignment="1">
      <alignment horizontal="center"/>
    </xf>
    <xf numFmtId="0" fontId="7" fillId="0" borderId="10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center" vertical="center" wrapText="1"/>
    </xf>
    <xf numFmtId="0" fontId="1" fillId="0" borderId="12" xfId="0" applyFont="1" applyFill="1" applyBorder="1" applyAlignment="1">
      <alignment horizontal="center" vertical="center" wrapText="1"/>
    </xf>
    <xf numFmtId="0" fontId="1" fillId="0" borderId="10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 vertical="center"/>
    </xf>
    <xf numFmtId="178" fontId="7" fillId="0" borderId="6" xfId="0" applyNumberFormat="1" applyFont="1" applyFill="1" applyBorder="1" applyAlignment="1">
      <alignment horizontal="center" vertical="center" wrapText="1"/>
    </xf>
    <xf numFmtId="178" fontId="1" fillId="0" borderId="1" xfId="0" applyNumberFormat="1" applyFont="1" applyFill="1" applyBorder="1" applyAlignment="1">
      <alignment horizontal="center" vertical="center"/>
    </xf>
    <xf numFmtId="178" fontId="8" fillId="0" borderId="1" xfId="0" applyNumberFormat="1" applyFont="1" applyFill="1" applyBorder="1" applyAlignment="1">
      <alignment horizontal="center" vertical="center" wrapText="1"/>
    </xf>
    <xf numFmtId="177" fontId="14" fillId="2" borderId="1" xfId="0" applyNumberFormat="1" applyFont="1" applyFill="1" applyBorder="1" applyAlignment="1">
      <alignment horizontal="center" vertical="center"/>
    </xf>
    <xf numFmtId="177" fontId="14" fillId="2" borderId="6" xfId="0" applyNumberFormat="1" applyFont="1" applyFill="1" applyBorder="1" applyAlignment="1">
      <alignment horizontal="center" vertical="center"/>
    </xf>
    <xf numFmtId="178" fontId="8" fillId="0" borderId="6" xfId="0" applyNumberFormat="1" applyFont="1" applyFill="1" applyBorder="1" applyAlignment="1">
      <alignment horizontal="center" vertical="center" wrapText="1"/>
    </xf>
    <xf numFmtId="178" fontId="7" fillId="0" borderId="1" xfId="0" applyNumberFormat="1" applyFont="1" applyFill="1" applyBorder="1" applyAlignment="1">
      <alignment horizontal="center" vertical="center"/>
    </xf>
    <xf numFmtId="177" fontId="11" fillId="2" borderId="8" xfId="0" applyNumberFormat="1" applyFont="1" applyFill="1" applyBorder="1" applyAlignment="1">
      <alignment horizontal="center" vertical="center"/>
    </xf>
    <xf numFmtId="178" fontId="11" fillId="2" borderId="6" xfId="0" applyNumberFormat="1" applyFont="1" applyFill="1" applyBorder="1" applyAlignment="1">
      <alignment horizontal="center" vertical="center"/>
    </xf>
    <xf numFmtId="178" fontId="14" fillId="2" borderId="6" xfId="0" applyNumberFormat="1" applyFont="1" applyFill="1" applyBorder="1" applyAlignment="1">
      <alignment horizontal="center" vertical="center"/>
    </xf>
    <xf numFmtId="178" fontId="8" fillId="0" borderId="6" xfId="0" applyNumberFormat="1" applyFont="1" applyFill="1" applyBorder="1" applyAlignment="1">
      <alignment horizontal="center" vertical="center"/>
    </xf>
    <xf numFmtId="178" fontId="1" fillId="0" borderId="7" xfId="0" applyNumberFormat="1" applyFont="1" applyFill="1" applyBorder="1" applyAlignment="1">
      <alignment horizontal="center" vertical="center"/>
    </xf>
    <xf numFmtId="178" fontId="1" fillId="0" borderId="0" xfId="0" applyNumberFormat="1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 wrapText="1"/>
    </xf>
    <xf numFmtId="0" fontId="15" fillId="0" borderId="0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 vertical="center"/>
    </xf>
    <xf numFmtId="0" fontId="7" fillId="0" borderId="7" xfId="0" applyFont="1" applyFill="1" applyBorder="1" applyAlignment="1">
      <alignment horizontal="center" vertical="center" wrapText="1"/>
    </xf>
    <xf numFmtId="0" fontId="5" fillId="0" borderId="7" xfId="0" applyFont="1" applyFill="1" applyBorder="1" applyAlignment="1">
      <alignment horizontal="center" vertical="center" wrapText="1"/>
    </xf>
    <xf numFmtId="0" fontId="8" fillId="0" borderId="7" xfId="0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textRotation="255"/>
    </xf>
    <xf numFmtId="0" fontId="4" fillId="0" borderId="1" xfId="0" applyFont="1" applyFill="1" applyBorder="1" applyAlignment="1">
      <alignment vertical="center"/>
    </xf>
    <xf numFmtId="0" fontId="9" fillId="0" borderId="1" xfId="0" applyFont="1" applyFill="1" applyBorder="1" applyAlignment="1">
      <alignment vertical="center"/>
    </xf>
    <xf numFmtId="0" fontId="7" fillId="0" borderId="10" xfId="0" applyFont="1" applyFill="1" applyBorder="1" applyAlignment="1">
      <alignment vertical="center"/>
    </xf>
    <xf numFmtId="0" fontId="4" fillId="0" borderId="6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vertical="center" wrapText="1"/>
    </xf>
    <xf numFmtId="0" fontId="5" fillId="0" borderId="1" xfId="0" applyFont="1" applyFill="1" applyBorder="1" applyAlignment="1">
      <alignment horizontal="left" vertical="center"/>
    </xf>
    <xf numFmtId="0" fontId="17" fillId="0" borderId="1" xfId="0" applyFont="1" applyFill="1" applyBorder="1" applyAlignment="1">
      <alignment horizontal="left" vertical="center"/>
    </xf>
    <xf numFmtId="0" fontId="7" fillId="0" borderId="6" xfId="0" applyFont="1" applyFill="1" applyBorder="1" applyAlignment="1">
      <alignment horizontal="center" vertical="center" wrapText="1"/>
    </xf>
    <xf numFmtId="0" fontId="7" fillId="0" borderId="12" xfId="0" applyFont="1" applyFill="1" applyBorder="1" applyAlignment="1">
      <alignment horizontal="center" vertical="center" wrapText="1"/>
    </xf>
    <xf numFmtId="0" fontId="7" fillId="0" borderId="10" xfId="0" applyFont="1" applyFill="1" applyBorder="1" applyAlignment="1">
      <alignment horizontal="center" vertical="center" wrapText="1"/>
    </xf>
    <xf numFmtId="0" fontId="4" fillId="0" borderId="7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center" wrapText="1"/>
    </xf>
    <xf numFmtId="177" fontId="11" fillId="3" borderId="1" xfId="0" applyNumberFormat="1" applyFont="1" applyFill="1" applyBorder="1" applyAlignment="1">
      <alignment horizontal="center" vertical="center"/>
    </xf>
    <xf numFmtId="0" fontId="7" fillId="0" borderId="7" xfId="0" applyFont="1" applyFill="1" applyBorder="1" applyAlignment="1">
      <alignment horizontal="left"/>
    </xf>
    <xf numFmtId="0" fontId="11" fillId="0" borderId="7" xfId="0" applyFont="1" applyFill="1" applyBorder="1" applyAlignment="1">
      <alignment horizontal="center" vertical="center"/>
    </xf>
    <xf numFmtId="177" fontId="11" fillId="3" borderId="7" xfId="0" applyNumberFormat="1" applyFont="1" applyFill="1" applyBorder="1" applyAlignment="1">
      <alignment horizontal="center" vertical="center"/>
    </xf>
    <xf numFmtId="0" fontId="7" fillId="0" borderId="7" xfId="0" applyFont="1" applyFill="1" applyBorder="1" applyAlignment="1">
      <alignment horizontal="left" vertical="center"/>
    </xf>
    <xf numFmtId="0" fontId="9" fillId="0" borderId="1" xfId="0" applyFont="1" applyFill="1" applyBorder="1" applyAlignment="1">
      <alignment horizontal="center" vertical="center" wrapText="1"/>
    </xf>
    <xf numFmtId="178" fontId="11" fillId="3" borderId="1" xfId="0" applyNumberFormat="1" applyFont="1" applyFill="1" applyBorder="1" applyAlignment="1">
      <alignment horizontal="center" vertical="center"/>
    </xf>
    <xf numFmtId="0" fontId="9" fillId="0" borderId="7" xfId="0" applyFont="1" applyFill="1" applyBorder="1" applyAlignment="1">
      <alignment horizontal="center" vertical="center" wrapText="1"/>
    </xf>
    <xf numFmtId="177" fontId="11" fillId="3" borderId="4" xfId="0" applyNumberFormat="1" applyFont="1" applyFill="1" applyBorder="1" applyAlignment="1">
      <alignment horizontal="center" vertical="center"/>
    </xf>
    <xf numFmtId="178" fontId="11" fillId="3" borderId="4" xfId="0" applyNumberFormat="1" applyFont="1" applyFill="1" applyBorder="1" applyAlignment="1">
      <alignment horizontal="center" vertical="center"/>
    </xf>
    <xf numFmtId="0" fontId="7" fillId="0" borderId="10" xfId="0" applyFont="1" applyFill="1" applyBorder="1" applyAlignment="1"/>
    <xf numFmtId="0" fontId="7" fillId="0" borderId="15" xfId="0" applyFont="1" applyFill="1" applyBorder="1" applyAlignment="1">
      <alignment horizontal="left" vertical="center"/>
    </xf>
    <xf numFmtId="178" fontId="11" fillId="3" borderId="7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/>
    <xf numFmtId="0" fontId="5" fillId="0" borderId="0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178" fontId="7" fillId="0" borderId="1" xfId="0" applyNumberFormat="1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 wrapText="1"/>
    </xf>
    <xf numFmtId="0" fontId="9" fillId="0" borderId="1" xfId="0" applyFont="1" applyFill="1" applyBorder="1" applyAlignment="1">
      <alignment horizontal="center"/>
    </xf>
    <xf numFmtId="178" fontId="11" fillId="0" borderId="1" xfId="0" applyNumberFormat="1" applyFont="1" applyFill="1" applyBorder="1" applyAlignment="1">
      <alignment horizontal="center" vertical="center"/>
    </xf>
    <xf numFmtId="178" fontId="7" fillId="0" borderId="7" xfId="0" applyNumberFormat="1" applyFont="1" applyFill="1" applyBorder="1" applyAlignment="1">
      <alignment horizontal="center" vertical="center"/>
    </xf>
    <xf numFmtId="0" fontId="7" fillId="0" borderId="7" xfId="0" applyFont="1" applyFill="1" applyBorder="1" applyAlignment="1">
      <alignment horizontal="center"/>
    </xf>
    <xf numFmtId="178" fontId="8" fillId="0" borderId="1" xfId="0" applyNumberFormat="1" applyFont="1" applyFill="1" applyBorder="1" applyAlignment="1">
      <alignment horizontal="center" vertical="center"/>
    </xf>
    <xf numFmtId="0" fontId="7" fillId="0" borderId="10" xfId="0" applyFont="1" applyFill="1" applyBorder="1" applyAlignment="1">
      <alignment horizontal="center"/>
    </xf>
    <xf numFmtId="0" fontId="7" fillId="0" borderId="15" xfId="0" applyFont="1" applyFill="1" applyBorder="1" applyAlignment="1">
      <alignment horizontal="center"/>
    </xf>
    <xf numFmtId="0" fontId="6" fillId="0" borderId="6" xfId="0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8" fillId="0" borderId="4" xfId="0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/>
    </xf>
    <xf numFmtId="0" fontId="5" fillId="0" borderId="16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vertical="center" wrapText="1"/>
    </xf>
    <xf numFmtId="0" fontId="5" fillId="0" borderId="6" xfId="0" applyFont="1" applyFill="1" applyBorder="1" applyAlignment="1">
      <alignment horizontal="center" vertical="center"/>
    </xf>
    <xf numFmtId="0" fontId="5" fillId="0" borderId="12" xfId="0" applyFont="1" applyFill="1" applyBorder="1" applyAlignment="1">
      <alignment horizontal="center" vertical="center"/>
    </xf>
    <xf numFmtId="0" fontId="7" fillId="0" borderId="9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/>
    </xf>
    <xf numFmtId="0" fontId="7" fillId="0" borderId="16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/>
    </xf>
    <xf numFmtId="177" fontId="7" fillId="3" borderId="1" xfId="0" applyNumberFormat="1" applyFont="1" applyFill="1" applyBorder="1" applyAlignment="1">
      <alignment horizontal="center" vertical="center"/>
    </xf>
    <xf numFmtId="0" fontId="7" fillId="4" borderId="7" xfId="0" applyFont="1" applyFill="1" applyBorder="1" applyAlignment="1">
      <alignment horizontal="left" vertical="center"/>
    </xf>
    <xf numFmtId="177" fontId="14" fillId="3" borderId="7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wrapText="1"/>
    </xf>
    <xf numFmtId="178" fontId="14" fillId="3" borderId="7" xfId="0" applyNumberFormat="1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 wrapText="1"/>
    </xf>
    <xf numFmtId="0" fontId="5" fillId="0" borderId="14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7" fillId="0" borderId="17" xfId="0" applyFont="1" applyFill="1" applyBorder="1" applyAlignment="1">
      <alignment horizontal="center" vertical="center" wrapText="1"/>
    </xf>
    <xf numFmtId="177" fontId="11" fillId="2" borderId="1" xfId="0" applyNumberFormat="1" applyFont="1" applyFill="1" applyBorder="1" applyAlignment="1">
      <alignment horizontal="center" vertical="center"/>
    </xf>
    <xf numFmtId="178" fontId="14" fillId="2" borderId="7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3" fillId="0" borderId="6" xfId="0" applyFont="1" applyFill="1" applyBorder="1" applyAlignment="1">
      <alignment horizontal="center"/>
    </xf>
    <xf numFmtId="0" fontId="7" fillId="0" borderId="10" xfId="0" applyFont="1" applyFill="1" applyBorder="1" applyAlignment="1">
      <alignment horizontal="center" vertical="center"/>
    </xf>
    <xf numFmtId="0" fontId="7" fillId="0" borderId="15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/>
    </xf>
    <xf numFmtId="0" fontId="20" fillId="0" borderId="0" xfId="0" applyFont="1" applyFill="1" applyBorder="1" applyAlignment="1">
      <alignment horizontal="center" vertical="center"/>
    </xf>
    <xf numFmtId="0" fontId="19" fillId="0" borderId="7" xfId="0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horizontal="center" vertical="center"/>
    </xf>
    <xf numFmtId="178" fontId="7" fillId="0" borderId="0" xfId="0" applyNumberFormat="1" applyFont="1" applyFill="1" applyBorder="1" applyAlignment="1"/>
    <xf numFmtId="0" fontId="10" fillId="0" borderId="0" xfId="0" applyFont="1" applyFill="1" applyBorder="1" applyAlignment="1"/>
    <xf numFmtId="0" fontId="4" fillId="0" borderId="15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/>
    </xf>
    <xf numFmtId="178" fontId="1" fillId="0" borderId="4" xfId="0" applyNumberFormat="1" applyFont="1" applyFill="1" applyBorder="1" applyAlignment="1">
      <alignment horizontal="center"/>
    </xf>
    <xf numFmtId="178" fontId="7" fillId="0" borderId="10" xfId="0" applyNumberFormat="1" applyFont="1" applyFill="1" applyBorder="1" applyAlignment="1">
      <alignment horizontal="center" vertical="center"/>
    </xf>
    <xf numFmtId="178" fontId="1" fillId="0" borderId="0" xfId="0" applyNumberFormat="1" applyFont="1" applyFill="1" applyBorder="1" applyAlignment="1"/>
    <xf numFmtId="178" fontId="1" fillId="0" borderId="0" xfId="0" applyNumberFormat="1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 vertical="center" wrapText="1"/>
    </xf>
    <xf numFmtId="178" fontId="1" fillId="0" borderId="1" xfId="0" applyNumberFormat="1" applyFont="1" applyFill="1" applyBorder="1" applyAlignment="1">
      <alignment horizontal="center"/>
    </xf>
    <xf numFmtId="0" fontId="7" fillId="3" borderId="6" xfId="0" applyFont="1" applyFill="1" applyBorder="1" applyAlignment="1">
      <alignment horizontal="center" wrapText="1"/>
    </xf>
    <xf numFmtId="0" fontId="7" fillId="2" borderId="6" xfId="0" applyFont="1" applyFill="1" applyBorder="1" applyAlignment="1">
      <alignment horizontal="center" wrapText="1"/>
    </xf>
    <xf numFmtId="0" fontId="4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vertical="center"/>
    </xf>
    <xf numFmtId="0" fontId="22" fillId="0" borderId="0" xfId="0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center" wrapText="1"/>
    </xf>
    <xf numFmtId="178" fontId="23" fillId="0" borderId="1" xfId="0" applyNumberFormat="1" applyFont="1" applyFill="1" applyBorder="1" applyAlignment="1">
      <alignment horizontal="center" vertical="center" wrapText="1"/>
    </xf>
    <xf numFmtId="0" fontId="23" fillId="0" borderId="7" xfId="0" applyFont="1" applyFill="1" applyBorder="1" applyAlignment="1">
      <alignment horizontal="center"/>
    </xf>
    <xf numFmtId="0" fontId="24" fillId="0" borderId="1" xfId="0" applyFont="1" applyFill="1" applyBorder="1" applyAlignment="1">
      <alignment horizontal="center"/>
    </xf>
    <xf numFmtId="0" fontId="23" fillId="0" borderId="4" xfId="0" applyFont="1" applyFill="1" applyBorder="1" applyAlignment="1">
      <alignment horizontal="center" vertical="center" wrapText="1"/>
    </xf>
    <xf numFmtId="0" fontId="23" fillId="0" borderId="1" xfId="0" applyFont="1" applyFill="1" applyBorder="1" applyAlignment="1">
      <alignment horizontal="center"/>
    </xf>
    <xf numFmtId="0" fontId="3" fillId="0" borderId="0" xfId="0" applyFont="1" applyFill="1" applyBorder="1" applyAlignment="1">
      <alignment vertical="center"/>
    </xf>
    <xf numFmtId="178" fontId="11" fillId="0" borderId="1" xfId="0" applyNumberFormat="1" applyFont="1" applyFill="1" applyBorder="1" applyAlignment="1">
      <alignment horizontal="center" vertical="center" wrapText="1"/>
    </xf>
    <xf numFmtId="178" fontId="7" fillId="0" borderId="7" xfId="0" applyNumberFormat="1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wrapText="1"/>
    </xf>
    <xf numFmtId="0" fontId="7" fillId="0" borderId="0" xfId="0" applyFont="1" applyFill="1" applyBorder="1" applyAlignment="1">
      <alignment horizontal="center" wrapText="1"/>
    </xf>
    <xf numFmtId="0" fontId="23" fillId="0" borderId="0" xfId="0" applyFont="1" applyFill="1" applyBorder="1" applyAlignment="1">
      <alignment horizontal="center" vertical="center"/>
    </xf>
    <xf numFmtId="178" fontId="13" fillId="5" borderId="1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0" borderId="16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16" xfId="0" applyFont="1" applyFill="1" applyBorder="1" applyAlignment="1">
      <alignment horizontal="center" vertical="center" wrapText="1"/>
    </xf>
    <xf numFmtId="178" fontId="19" fillId="2" borderId="1" xfId="0" applyNumberFormat="1" applyFont="1" applyFill="1" applyBorder="1" applyAlignment="1">
      <alignment horizontal="center" vertical="center"/>
    </xf>
    <xf numFmtId="0" fontId="19" fillId="3" borderId="4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0" fontId="19" fillId="3" borderId="1" xfId="0" applyFont="1" applyFill="1" applyBorder="1" applyAlignment="1">
      <alignment horizontal="center" vertical="center"/>
    </xf>
    <xf numFmtId="0" fontId="25" fillId="0" borderId="1" xfId="0" applyFont="1" applyFill="1" applyBorder="1" applyAlignment="1">
      <alignment horizontal="left" vertical="center"/>
    </xf>
    <xf numFmtId="0" fontId="25" fillId="0" borderId="1" xfId="0" applyFont="1" applyFill="1" applyBorder="1" applyAlignment="1">
      <alignment horizontal="center" vertical="center"/>
    </xf>
    <xf numFmtId="1" fontId="11" fillId="3" borderId="1" xfId="0" applyNumberFormat="1" applyFont="1" applyFill="1" applyBorder="1" applyAlignment="1">
      <alignment horizontal="center" vertical="center"/>
    </xf>
    <xf numFmtId="177" fontId="19" fillId="3" borderId="1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177" fontId="9" fillId="3" borderId="1" xfId="0" applyNumberFormat="1" applyFont="1" applyFill="1" applyBorder="1" applyAlignment="1">
      <alignment horizontal="center" vertical="center"/>
    </xf>
    <xf numFmtId="177" fontId="7" fillId="3" borderId="6" xfId="0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9" fillId="2" borderId="1" xfId="0" applyFont="1" applyFill="1" applyBorder="1" applyAlignment="1">
      <alignment horizontal="center" vertical="center"/>
    </xf>
    <xf numFmtId="0" fontId="19" fillId="2" borderId="1" xfId="0" applyNumberFormat="1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4" fillId="0" borderId="1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wrapText="1"/>
    </xf>
    <xf numFmtId="178" fontId="19" fillId="2" borderId="4" xfId="0" applyNumberFormat="1" applyFont="1" applyFill="1" applyBorder="1" applyAlignment="1">
      <alignment horizontal="center" vertical="center"/>
    </xf>
    <xf numFmtId="0" fontId="19" fillId="2" borderId="4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9" fillId="0" borderId="6" xfId="0" applyFont="1" applyFill="1" applyBorder="1" applyAlignment="1">
      <alignment horizontal="center"/>
    </xf>
    <xf numFmtId="0" fontId="14" fillId="2" borderId="1" xfId="0" applyFont="1" applyFill="1" applyBorder="1" applyAlignment="1">
      <alignment horizontal="center" vertical="center"/>
    </xf>
    <xf numFmtId="0" fontId="15" fillId="0" borderId="6" xfId="0" applyFont="1" applyFill="1" applyBorder="1" applyAlignment="1">
      <alignment horizontal="center"/>
    </xf>
    <xf numFmtId="1" fontId="19" fillId="2" borderId="1" xfId="0" applyNumberFormat="1" applyFont="1" applyFill="1" applyBorder="1" applyAlignment="1">
      <alignment horizontal="center" vertical="center"/>
    </xf>
    <xf numFmtId="0" fontId="25" fillId="0" borderId="6" xfId="0" applyFont="1" applyFill="1" applyBorder="1" applyAlignment="1">
      <alignment horizontal="center"/>
    </xf>
    <xf numFmtId="0" fontId="26" fillId="0" borderId="6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178" fontId="7" fillId="2" borderId="1" xfId="0" applyNumberFormat="1" applyFont="1" applyFill="1" applyBorder="1" applyAlignment="1">
      <alignment horizontal="center" vertical="center"/>
    </xf>
    <xf numFmtId="0" fontId="9" fillId="0" borderId="6" xfId="0" applyFont="1" applyFill="1" applyBorder="1" applyAlignment="1">
      <alignment horizontal="center" vertical="center"/>
    </xf>
    <xf numFmtId="178" fontId="9" fillId="2" borderId="1" xfId="0" applyNumberFormat="1" applyFont="1" applyFill="1" applyBorder="1" applyAlignment="1">
      <alignment horizontal="center" vertical="center"/>
    </xf>
    <xf numFmtId="0" fontId="7" fillId="0" borderId="6" xfId="0" applyFont="1" applyFill="1" applyBorder="1" applyAlignment="1">
      <alignment horizontal="center" vertical="center"/>
    </xf>
    <xf numFmtId="178" fontId="7" fillId="2" borderId="6" xfId="0" applyNumberFormat="1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wrapText="1"/>
    </xf>
    <xf numFmtId="0" fontId="2" fillId="0" borderId="1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/>
    </xf>
    <xf numFmtId="0" fontId="1" fillId="0" borderId="1" xfId="0" applyFont="1" applyFill="1" applyBorder="1" applyAlignment="1"/>
    <xf numFmtId="0" fontId="26" fillId="0" borderId="1" xfId="0" applyFont="1" applyFill="1" applyBorder="1" applyAlignment="1">
      <alignment horizontal="center"/>
    </xf>
    <xf numFmtId="0" fontId="18" fillId="0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5" fillId="0" borderId="6" xfId="0" applyFont="1" applyFill="1" applyBorder="1" applyAlignment="1">
      <alignment horizontal="center" vertical="center" wrapText="1"/>
    </xf>
    <xf numFmtId="0" fontId="5" fillId="0" borderId="12" xfId="0" applyFont="1" applyFill="1" applyBorder="1" applyAlignment="1">
      <alignment horizontal="center" vertical="center" wrapText="1"/>
    </xf>
    <xf numFmtId="0" fontId="5" fillId="0" borderId="10" xfId="0" applyFont="1" applyFill="1" applyBorder="1" applyAlignment="1">
      <alignment horizontal="center" vertical="center" wrapText="1"/>
    </xf>
    <xf numFmtId="0" fontId="7" fillId="0" borderId="1" xfId="5" applyFont="1" applyFill="1" applyBorder="1" applyAlignment="1">
      <alignment horizontal="left" vertical="center" wrapText="1"/>
    </xf>
    <xf numFmtId="0" fontId="27" fillId="2" borderId="1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Continuous"/>
    </xf>
    <xf numFmtId="0" fontId="1" fillId="0" borderId="0" xfId="0" applyFont="1" applyFill="1" applyAlignment="1"/>
    <xf numFmtId="0" fontId="5" fillId="0" borderId="6" xfId="0" applyFont="1" applyFill="1" applyBorder="1" applyAlignment="1">
      <alignment horizontal="left" vertical="center"/>
    </xf>
    <xf numFmtId="0" fontId="5" fillId="0" borderId="12" xfId="0" applyFont="1" applyFill="1" applyBorder="1" applyAlignment="1">
      <alignment horizontal="left" vertical="center"/>
    </xf>
    <xf numFmtId="0" fontId="5" fillId="0" borderId="10" xfId="0" applyFont="1" applyFill="1" applyBorder="1" applyAlignment="1">
      <alignment horizontal="left" vertical="center"/>
    </xf>
    <xf numFmtId="0" fontId="7" fillId="0" borderId="1" xfId="5" applyFont="1" applyBorder="1" applyAlignment="1">
      <alignment horizontal="left" vertical="center" wrapText="1"/>
    </xf>
    <xf numFmtId="0" fontId="9" fillId="0" borderId="2" xfId="0" applyFont="1" applyFill="1" applyBorder="1" applyAlignment="1">
      <alignment horizontal="center" vertical="center" textRotation="255"/>
    </xf>
    <xf numFmtId="0" fontId="9" fillId="0" borderId="4" xfId="0" applyFont="1" applyFill="1" applyBorder="1" applyAlignment="1">
      <alignment horizontal="center" vertical="center" textRotation="255"/>
    </xf>
    <xf numFmtId="0" fontId="9" fillId="0" borderId="1" xfId="0" applyNumberFormat="1" applyFont="1" applyFill="1" applyBorder="1" applyAlignment="1">
      <alignment horizontal="center" vertical="center" textRotation="255"/>
    </xf>
    <xf numFmtId="0" fontId="9" fillId="0" borderId="1" xfId="0" applyFont="1" applyFill="1" applyBorder="1" applyAlignment="1">
      <alignment vertical="center" textRotation="255"/>
    </xf>
    <xf numFmtId="0" fontId="9" fillId="0" borderId="0" xfId="0" applyFont="1" applyFill="1" applyAlignment="1">
      <alignment vertical="center" textRotation="255"/>
    </xf>
    <xf numFmtId="0" fontId="7" fillId="0" borderId="0" xfId="5" applyFont="1" applyFill="1" applyAlignment="1">
      <alignment horizontal="left" vertical="center" wrapText="1"/>
    </xf>
    <xf numFmtId="0" fontId="7" fillId="0" borderId="0" xfId="5" applyFont="1" applyFill="1" applyBorder="1" applyAlignment="1">
      <alignment horizontal="left" vertical="center" wrapText="1"/>
    </xf>
    <xf numFmtId="0" fontId="11" fillId="0" borderId="0" xfId="0" applyFont="1" applyFill="1" applyBorder="1" applyAlignment="1">
      <alignment horizontal="center" vertical="center"/>
    </xf>
    <xf numFmtId="178" fontId="11" fillId="0" borderId="0" xfId="0" applyNumberFormat="1" applyFont="1" applyFill="1" applyBorder="1" applyAlignment="1">
      <alignment horizontal="center" vertical="center"/>
    </xf>
    <xf numFmtId="177" fontId="14" fillId="0" borderId="0" xfId="0" applyNumberFormat="1" applyFont="1" applyFill="1" applyBorder="1" applyAlignment="1">
      <alignment horizontal="center" vertical="center"/>
    </xf>
    <xf numFmtId="178" fontId="14" fillId="0" borderId="0" xfId="0" applyNumberFormat="1" applyFont="1" applyFill="1" applyBorder="1" applyAlignment="1">
      <alignment horizontal="center" vertical="center"/>
    </xf>
    <xf numFmtId="0" fontId="28" fillId="0" borderId="6" xfId="0" applyFont="1" applyFill="1" applyBorder="1" applyAlignment="1">
      <alignment horizontal="centerContinuous" vertical="center"/>
    </xf>
    <xf numFmtId="0" fontId="28" fillId="0" borderId="1" xfId="0" applyFont="1" applyFill="1" applyBorder="1" applyAlignment="1">
      <alignment horizontal="centerContinuous" vertical="center"/>
    </xf>
    <xf numFmtId="0" fontId="29" fillId="0" borderId="1" xfId="0" applyFont="1" applyFill="1" applyBorder="1" applyAlignment="1">
      <alignment horizontal="centerContinuous" vertical="center"/>
    </xf>
    <xf numFmtId="0" fontId="30" fillId="0" borderId="1" xfId="0" applyNumberFormat="1" applyFont="1" applyFill="1" applyBorder="1" applyAlignment="1">
      <alignment horizontal="centerContinuous" vertical="center"/>
    </xf>
    <xf numFmtId="0" fontId="31" fillId="0" borderId="1" xfId="0" applyFont="1" applyFill="1" applyBorder="1" applyAlignment="1">
      <alignment horizontal="center" vertical="center"/>
    </xf>
    <xf numFmtId="0" fontId="31" fillId="0" borderId="1" xfId="0" applyNumberFormat="1" applyFont="1" applyFill="1" applyBorder="1" applyAlignment="1">
      <alignment horizontal="center" vertical="center"/>
    </xf>
    <xf numFmtId="0" fontId="31" fillId="0" borderId="10" xfId="0" applyFont="1" applyFill="1" applyBorder="1" applyAlignment="1">
      <alignment horizontal="center" vertical="center" textRotation="255"/>
    </xf>
    <xf numFmtId="0" fontId="13" fillId="0" borderId="1" xfId="0" applyNumberFormat="1" applyFont="1" applyFill="1" applyBorder="1" applyAlignment="1">
      <alignment horizontal="center" vertical="center"/>
    </xf>
    <xf numFmtId="0" fontId="32" fillId="0" borderId="0" xfId="0" applyFont="1">
      <alignment vertical="center"/>
    </xf>
    <xf numFmtId="0" fontId="0" fillId="0" borderId="0" xfId="0" applyAlignment="1">
      <alignment horizontal="center" vertical="center"/>
    </xf>
    <xf numFmtId="0" fontId="31" fillId="0" borderId="7" xfId="0" applyFont="1" applyFill="1" applyBorder="1" applyAlignment="1">
      <alignment horizontal="center" vertical="center" textRotation="255"/>
    </xf>
    <xf numFmtId="0" fontId="33" fillId="0" borderId="1" xfId="0" applyFont="1" applyFill="1" applyBorder="1" applyAlignment="1">
      <alignment horizontal="center" vertical="center"/>
    </xf>
    <xf numFmtId="0" fontId="31" fillId="0" borderId="2" xfId="0" applyFont="1" applyFill="1" applyBorder="1" applyAlignment="1">
      <alignment horizontal="center" vertical="center" textRotation="255"/>
    </xf>
    <xf numFmtId="0" fontId="33" fillId="0" borderId="0" xfId="0" applyFont="1" applyFill="1" applyBorder="1" applyAlignment="1">
      <alignment horizontal="center" vertical="center"/>
    </xf>
    <xf numFmtId="0" fontId="31" fillId="0" borderId="4" xfId="0" applyFont="1" applyFill="1" applyBorder="1" applyAlignment="1">
      <alignment horizontal="center" vertical="center" textRotation="255"/>
    </xf>
    <xf numFmtId="0" fontId="31" fillId="0" borderId="1" xfId="0" applyFont="1" applyFill="1" applyBorder="1" applyAlignment="1">
      <alignment horizontal="center" vertical="center" textRotation="255"/>
    </xf>
    <xf numFmtId="0" fontId="7" fillId="0" borderId="1" xfId="0" applyFont="1" applyFill="1" applyBorder="1" applyAlignment="1">
      <alignment horizontal="center" vertical="center" wrapText="1" shrinkToFit="1"/>
    </xf>
    <xf numFmtId="0" fontId="32" fillId="0" borderId="0" xfId="0" applyFont="1" applyAlignment="1">
      <alignment horizontal="center" vertical="center"/>
    </xf>
    <xf numFmtId="0" fontId="31" fillId="0" borderId="15" xfId="0" applyFont="1" applyFill="1" applyBorder="1" applyAlignment="1">
      <alignment horizontal="center" vertical="center" textRotation="255"/>
    </xf>
    <xf numFmtId="0" fontId="31" fillId="0" borderId="17" xfId="0" applyFont="1" applyFill="1" applyBorder="1" applyAlignment="1">
      <alignment horizontal="center" vertical="center" textRotation="255"/>
    </xf>
    <xf numFmtId="0" fontId="7" fillId="0" borderId="1" xfId="0" applyNumberFormat="1" applyFont="1" applyFill="1" applyBorder="1" applyAlignment="1">
      <alignment horizontal="center" vertical="center"/>
    </xf>
    <xf numFmtId="0" fontId="31" fillId="0" borderId="5" xfId="0" applyFont="1" applyFill="1" applyBorder="1" applyAlignment="1">
      <alignment horizontal="center" vertical="center" textRotation="255"/>
    </xf>
    <xf numFmtId="0" fontId="7" fillId="0" borderId="1" xfId="0" applyNumberFormat="1" applyFont="1" applyFill="1" applyBorder="1" applyAlignment="1">
      <alignment horizontal="left" vertical="center"/>
    </xf>
    <xf numFmtId="0" fontId="34" fillId="0" borderId="0" xfId="0" applyFont="1" applyFill="1" applyAlignment="1">
      <alignment horizontal="center" vertical="center"/>
    </xf>
    <xf numFmtId="0" fontId="35" fillId="0" borderId="0" xfId="0" applyFont="1" applyFill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31" fillId="0" borderId="0" xfId="0" applyFont="1" applyFill="1" applyAlignment="1">
      <alignment horizontal="center" vertical="center"/>
    </xf>
    <xf numFmtId="0" fontId="36" fillId="0" borderId="0" xfId="0" applyFont="1" applyFill="1" applyAlignment="1">
      <alignment horizontal="center" vertical="center"/>
    </xf>
    <xf numFmtId="0" fontId="36" fillId="0" borderId="0" xfId="0" applyFont="1" applyFill="1" applyAlignment="1">
      <alignment horizontal="left" vertical="center"/>
    </xf>
    <xf numFmtId="0" fontId="37" fillId="0" borderId="0" xfId="0" applyFont="1" applyFill="1" applyAlignment="1">
      <alignment horizontal="center" vertical="center"/>
    </xf>
    <xf numFmtId="178" fontId="37" fillId="0" borderId="0" xfId="0" applyNumberFormat="1" applyFont="1" applyFill="1" applyAlignment="1">
      <alignment horizontal="center" vertical="center"/>
    </xf>
    <xf numFmtId="0" fontId="28" fillId="0" borderId="12" xfId="0" applyFont="1" applyFill="1" applyBorder="1" applyAlignment="1">
      <alignment horizontal="centerContinuous" vertical="center"/>
    </xf>
    <xf numFmtId="0" fontId="28" fillId="0" borderId="10" xfId="0" applyFont="1" applyFill="1" applyBorder="1" applyAlignment="1">
      <alignment horizontal="centerContinuous" vertical="center"/>
    </xf>
    <xf numFmtId="0" fontId="7" fillId="0" borderId="1" xfId="5" applyFont="1" applyFill="1" applyBorder="1" applyAlignment="1">
      <alignment horizontal="center" vertical="center" wrapText="1"/>
    </xf>
    <xf numFmtId="0" fontId="7" fillId="0" borderId="1" xfId="5" applyFont="1" applyFill="1" applyBorder="1" applyAlignment="1">
      <alignment horizontal="left" vertical="center"/>
    </xf>
    <xf numFmtId="0" fontId="38" fillId="6" borderId="1" xfId="5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20" fillId="2" borderId="0" xfId="0" applyFont="1" applyFill="1" applyBorder="1" applyAlignment="1">
      <alignment horizontal="center"/>
    </xf>
    <xf numFmtId="0" fontId="15" fillId="0" borderId="0" xfId="0" applyFont="1" applyFill="1" applyBorder="1" applyAlignment="1"/>
    <xf numFmtId="0" fontId="2" fillId="0" borderId="0" xfId="0" applyFont="1" applyFill="1" applyBorder="1" applyAlignment="1">
      <alignment horizontal="left" vertical="center"/>
    </xf>
    <xf numFmtId="0" fontId="20" fillId="2" borderId="0" xfId="0" applyFont="1" applyFill="1" applyBorder="1" applyAlignment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常规_A30_2" xfId="5"/>
    <cellStyle name="千位分隔[0]" xfId="6" builtin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mruColors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9" Type="http://schemas.openxmlformats.org/officeDocument/2006/relationships/sharedStrings" Target="sharedStrings.xml"/><Relationship Id="rId98" Type="http://schemas.openxmlformats.org/officeDocument/2006/relationships/styles" Target="styles.xml"/><Relationship Id="rId97" Type="http://schemas.openxmlformats.org/officeDocument/2006/relationships/theme" Target="theme/theme1.xml"/><Relationship Id="rId96" Type="http://schemas.openxmlformats.org/officeDocument/2006/relationships/worksheet" Target="worksheets/sheet96.xml"/><Relationship Id="rId95" Type="http://schemas.openxmlformats.org/officeDocument/2006/relationships/worksheet" Target="worksheets/sheet95.xml"/><Relationship Id="rId94" Type="http://schemas.openxmlformats.org/officeDocument/2006/relationships/worksheet" Target="worksheets/sheet94.xml"/><Relationship Id="rId93" Type="http://schemas.openxmlformats.org/officeDocument/2006/relationships/worksheet" Target="worksheets/sheet93.xml"/><Relationship Id="rId92" Type="http://schemas.openxmlformats.org/officeDocument/2006/relationships/worksheet" Target="worksheets/sheet92.xml"/><Relationship Id="rId91" Type="http://schemas.openxmlformats.org/officeDocument/2006/relationships/worksheet" Target="worksheets/sheet91.xml"/><Relationship Id="rId90" Type="http://schemas.openxmlformats.org/officeDocument/2006/relationships/worksheet" Target="worksheets/sheet90.xml"/><Relationship Id="rId9" Type="http://schemas.openxmlformats.org/officeDocument/2006/relationships/worksheet" Target="worksheets/sheet9.xml"/><Relationship Id="rId89" Type="http://schemas.openxmlformats.org/officeDocument/2006/relationships/worksheet" Target="worksheets/sheet89.xml"/><Relationship Id="rId88" Type="http://schemas.openxmlformats.org/officeDocument/2006/relationships/worksheet" Target="worksheets/sheet88.xml"/><Relationship Id="rId87" Type="http://schemas.openxmlformats.org/officeDocument/2006/relationships/worksheet" Target="worksheets/sheet87.xml"/><Relationship Id="rId86" Type="http://schemas.openxmlformats.org/officeDocument/2006/relationships/worksheet" Target="worksheets/sheet86.xml"/><Relationship Id="rId85" Type="http://schemas.openxmlformats.org/officeDocument/2006/relationships/worksheet" Target="worksheets/sheet85.xml"/><Relationship Id="rId84" Type="http://schemas.openxmlformats.org/officeDocument/2006/relationships/worksheet" Target="worksheets/sheet84.xml"/><Relationship Id="rId83" Type="http://schemas.openxmlformats.org/officeDocument/2006/relationships/worksheet" Target="worksheets/sheet83.xml"/><Relationship Id="rId82" Type="http://schemas.openxmlformats.org/officeDocument/2006/relationships/worksheet" Target="worksheets/sheet82.xml"/><Relationship Id="rId81" Type="http://schemas.openxmlformats.org/officeDocument/2006/relationships/worksheet" Target="worksheets/sheet81.xml"/><Relationship Id="rId80" Type="http://schemas.openxmlformats.org/officeDocument/2006/relationships/worksheet" Target="worksheets/sheet80.xml"/><Relationship Id="rId8" Type="http://schemas.openxmlformats.org/officeDocument/2006/relationships/worksheet" Target="worksheets/sheet8.xml"/><Relationship Id="rId79" Type="http://schemas.openxmlformats.org/officeDocument/2006/relationships/worksheet" Target="worksheets/sheet79.xml"/><Relationship Id="rId78" Type="http://schemas.openxmlformats.org/officeDocument/2006/relationships/worksheet" Target="worksheets/sheet78.xml"/><Relationship Id="rId77" Type="http://schemas.openxmlformats.org/officeDocument/2006/relationships/worksheet" Target="worksheets/sheet77.xml"/><Relationship Id="rId76" Type="http://schemas.openxmlformats.org/officeDocument/2006/relationships/worksheet" Target="worksheets/sheet76.xml"/><Relationship Id="rId75" Type="http://schemas.openxmlformats.org/officeDocument/2006/relationships/worksheet" Target="worksheets/sheet75.xml"/><Relationship Id="rId74" Type="http://schemas.openxmlformats.org/officeDocument/2006/relationships/worksheet" Target="worksheets/sheet74.xml"/><Relationship Id="rId73" Type="http://schemas.openxmlformats.org/officeDocument/2006/relationships/worksheet" Target="worksheets/sheet73.xml"/><Relationship Id="rId72" Type="http://schemas.openxmlformats.org/officeDocument/2006/relationships/worksheet" Target="worksheets/sheet72.xml"/><Relationship Id="rId71" Type="http://schemas.openxmlformats.org/officeDocument/2006/relationships/worksheet" Target="worksheets/sheet71.xml"/><Relationship Id="rId70" Type="http://schemas.openxmlformats.org/officeDocument/2006/relationships/worksheet" Target="worksheets/sheet70.xml"/><Relationship Id="rId7" Type="http://schemas.openxmlformats.org/officeDocument/2006/relationships/worksheet" Target="worksheets/sheet7.xml"/><Relationship Id="rId69" Type="http://schemas.openxmlformats.org/officeDocument/2006/relationships/worksheet" Target="worksheets/sheet69.xml"/><Relationship Id="rId68" Type="http://schemas.openxmlformats.org/officeDocument/2006/relationships/worksheet" Target="worksheets/sheet68.xml"/><Relationship Id="rId67" Type="http://schemas.openxmlformats.org/officeDocument/2006/relationships/worksheet" Target="worksheets/sheet67.xml"/><Relationship Id="rId66" Type="http://schemas.openxmlformats.org/officeDocument/2006/relationships/worksheet" Target="worksheets/sheet66.xml"/><Relationship Id="rId65" Type="http://schemas.openxmlformats.org/officeDocument/2006/relationships/worksheet" Target="worksheets/sheet65.xml"/><Relationship Id="rId64" Type="http://schemas.openxmlformats.org/officeDocument/2006/relationships/worksheet" Target="worksheets/sheet64.xml"/><Relationship Id="rId63" Type="http://schemas.openxmlformats.org/officeDocument/2006/relationships/worksheet" Target="worksheets/sheet63.xml"/><Relationship Id="rId62" Type="http://schemas.openxmlformats.org/officeDocument/2006/relationships/worksheet" Target="worksheets/sheet62.xml"/><Relationship Id="rId61" Type="http://schemas.openxmlformats.org/officeDocument/2006/relationships/worksheet" Target="worksheets/sheet61.xml"/><Relationship Id="rId60" Type="http://schemas.openxmlformats.org/officeDocument/2006/relationships/worksheet" Target="worksheets/sheet60.xml"/><Relationship Id="rId6" Type="http://schemas.openxmlformats.org/officeDocument/2006/relationships/worksheet" Target="worksheets/sheet6.xml"/><Relationship Id="rId59" Type="http://schemas.openxmlformats.org/officeDocument/2006/relationships/worksheet" Target="worksheets/sheet59.xml"/><Relationship Id="rId58" Type="http://schemas.openxmlformats.org/officeDocument/2006/relationships/worksheet" Target="worksheets/sheet58.xml"/><Relationship Id="rId57" Type="http://schemas.openxmlformats.org/officeDocument/2006/relationships/worksheet" Target="worksheets/sheet57.xml"/><Relationship Id="rId56" Type="http://schemas.openxmlformats.org/officeDocument/2006/relationships/worksheet" Target="worksheets/sheet56.xml"/><Relationship Id="rId55" Type="http://schemas.openxmlformats.org/officeDocument/2006/relationships/worksheet" Target="worksheets/sheet55.xml"/><Relationship Id="rId54" Type="http://schemas.openxmlformats.org/officeDocument/2006/relationships/worksheet" Target="worksheets/sheet54.xml"/><Relationship Id="rId53" Type="http://schemas.openxmlformats.org/officeDocument/2006/relationships/worksheet" Target="worksheets/sheet53.xml"/><Relationship Id="rId52" Type="http://schemas.openxmlformats.org/officeDocument/2006/relationships/worksheet" Target="worksheets/sheet52.xml"/><Relationship Id="rId51" Type="http://schemas.openxmlformats.org/officeDocument/2006/relationships/worksheet" Target="worksheets/sheet51.xml"/><Relationship Id="rId50" Type="http://schemas.openxmlformats.org/officeDocument/2006/relationships/worksheet" Target="worksheets/sheet50.xml"/><Relationship Id="rId5" Type="http://schemas.openxmlformats.org/officeDocument/2006/relationships/worksheet" Target="worksheets/sheet5.xml"/><Relationship Id="rId49" Type="http://schemas.openxmlformats.org/officeDocument/2006/relationships/worksheet" Target="worksheets/sheet49.xml"/><Relationship Id="rId48" Type="http://schemas.openxmlformats.org/officeDocument/2006/relationships/worksheet" Target="worksheets/sheet48.xml"/><Relationship Id="rId47" Type="http://schemas.openxmlformats.org/officeDocument/2006/relationships/worksheet" Target="worksheets/sheet47.xml"/><Relationship Id="rId46" Type="http://schemas.openxmlformats.org/officeDocument/2006/relationships/worksheet" Target="worksheets/sheet46.xml"/><Relationship Id="rId45" Type="http://schemas.openxmlformats.org/officeDocument/2006/relationships/worksheet" Target="worksheets/sheet45.xml"/><Relationship Id="rId44" Type="http://schemas.openxmlformats.org/officeDocument/2006/relationships/worksheet" Target="worksheets/sheet44.xml"/><Relationship Id="rId43" Type="http://schemas.openxmlformats.org/officeDocument/2006/relationships/worksheet" Target="worksheets/sheet43.xml"/><Relationship Id="rId42" Type="http://schemas.openxmlformats.org/officeDocument/2006/relationships/worksheet" Target="worksheets/sheet42.xml"/><Relationship Id="rId41" Type="http://schemas.openxmlformats.org/officeDocument/2006/relationships/worksheet" Target="worksheets/sheet41.xml"/><Relationship Id="rId40" Type="http://schemas.openxmlformats.org/officeDocument/2006/relationships/worksheet" Target="worksheets/sheet40.xml"/><Relationship Id="rId4" Type="http://schemas.openxmlformats.org/officeDocument/2006/relationships/worksheet" Target="worksheets/sheet4.xml"/><Relationship Id="rId39" Type="http://schemas.openxmlformats.org/officeDocument/2006/relationships/worksheet" Target="worksheets/sheet39.xml"/><Relationship Id="rId38" Type="http://schemas.openxmlformats.org/officeDocument/2006/relationships/worksheet" Target="worksheets/sheet38.xml"/><Relationship Id="rId37" Type="http://schemas.openxmlformats.org/officeDocument/2006/relationships/worksheet" Target="worksheets/sheet37.xml"/><Relationship Id="rId36" Type="http://schemas.openxmlformats.org/officeDocument/2006/relationships/worksheet" Target="worksheets/sheet36.xml"/><Relationship Id="rId35" Type="http://schemas.openxmlformats.org/officeDocument/2006/relationships/worksheet" Target="worksheets/sheet35.xml"/><Relationship Id="rId34" Type="http://schemas.openxmlformats.org/officeDocument/2006/relationships/worksheet" Target="worksheets/sheet34.xml"/><Relationship Id="rId33" Type="http://schemas.openxmlformats.org/officeDocument/2006/relationships/worksheet" Target="worksheets/sheet33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00B050"/>
  </sheetPr>
  <dimension ref="A1:G28"/>
  <sheetViews>
    <sheetView showGridLines="0" workbookViewId="0">
      <selection activeCell="A2" sqref="A2"/>
    </sheetView>
  </sheetViews>
  <sheetFormatPr defaultColWidth="9" defaultRowHeight="14.25" outlineLevelCol="6"/>
  <cols>
    <col min="1" max="1" width="21.125" style="1" customWidth="1"/>
    <col min="2" max="2" width="19.125" style="1" customWidth="1"/>
    <col min="3" max="3" width="15.5" style="1" customWidth="1"/>
    <col min="4" max="4" width="11.375" style="1" customWidth="1"/>
    <col min="5" max="5" width="10.5" style="1" customWidth="1"/>
    <col min="6" max="6" width="9" style="1"/>
    <col min="7" max="7" width="12.625" style="1" customWidth="1"/>
    <col min="8" max="16384" width="9" style="1"/>
  </cols>
  <sheetData>
    <row r="1" spans="1:4">
      <c r="A1" s="2" t="s">
        <v>0</v>
      </c>
      <c r="B1" s="2"/>
      <c r="C1" s="2"/>
      <c r="D1" s="3"/>
    </row>
    <row r="2" spans="1:7">
      <c r="A2" s="352">
        <v>16200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</row>
    <row r="3" spans="1:7">
      <c r="A3" s="2"/>
      <c r="B3" s="2" t="s">
        <v>7</v>
      </c>
      <c r="C3" s="2">
        <v>5500</v>
      </c>
      <c r="D3" s="2">
        <f>(A2+C3)*0.04</f>
        <v>868</v>
      </c>
      <c r="E3" s="2">
        <v>80</v>
      </c>
      <c r="F3" s="2">
        <f>A2+C3+D3+E3</f>
        <v>22648</v>
      </c>
      <c r="G3" s="2">
        <f>F3/1000</f>
        <v>22.648</v>
      </c>
    </row>
    <row r="4" spans="1:7">
      <c r="A4" s="2"/>
      <c r="B4" s="2" t="s">
        <v>8</v>
      </c>
      <c r="C4" s="2">
        <v>6000</v>
      </c>
      <c r="D4" s="2">
        <f>(A2+C4)*0.04</f>
        <v>888</v>
      </c>
      <c r="E4" s="2">
        <v>80</v>
      </c>
      <c r="F4" s="2">
        <f>A2+C4+D4+E4</f>
        <v>23168</v>
      </c>
      <c r="G4" s="2">
        <f t="shared" ref="G4:G10" si="0">F4/1000</f>
        <v>23.168</v>
      </c>
    </row>
    <row r="5" spans="2:7">
      <c r="B5" s="2" t="s">
        <v>9</v>
      </c>
      <c r="C5" s="2">
        <v>4500</v>
      </c>
      <c r="D5" s="2">
        <f>(A2+C5)*0.04</f>
        <v>828</v>
      </c>
      <c r="E5" s="2">
        <v>80</v>
      </c>
      <c r="F5" s="2">
        <f>A2+C5+D5+E5</f>
        <v>21608</v>
      </c>
      <c r="G5" s="2">
        <f t="shared" si="0"/>
        <v>21.608</v>
      </c>
    </row>
    <row r="6" spans="1:4">
      <c r="A6" s="2" t="s">
        <v>10</v>
      </c>
      <c r="D6" s="5"/>
    </row>
    <row r="7" spans="1:1">
      <c r="A7" s="352">
        <v>16600</v>
      </c>
    </row>
    <row r="8" spans="2:7">
      <c r="B8" s="2" t="s">
        <v>1</v>
      </c>
      <c r="C8" s="2" t="s">
        <v>2</v>
      </c>
      <c r="D8" s="2" t="s">
        <v>3</v>
      </c>
      <c r="E8" s="2" t="s">
        <v>4</v>
      </c>
      <c r="F8" s="2" t="s">
        <v>5</v>
      </c>
      <c r="G8" s="2" t="s">
        <v>6</v>
      </c>
    </row>
    <row r="9" spans="2:7">
      <c r="B9" s="2" t="s">
        <v>11</v>
      </c>
      <c r="C9" s="2">
        <v>7800</v>
      </c>
      <c r="D9" s="2">
        <f>(A7+C9)*0.04</f>
        <v>976</v>
      </c>
      <c r="E9" s="2">
        <v>1000</v>
      </c>
      <c r="F9" s="2">
        <f>A7+C9+D9+E9</f>
        <v>26376</v>
      </c>
      <c r="G9" s="2">
        <f t="shared" si="0"/>
        <v>26.376</v>
      </c>
    </row>
    <row r="10" spans="2:7">
      <c r="B10" s="2" t="s">
        <v>12</v>
      </c>
      <c r="C10" s="2">
        <v>7100</v>
      </c>
      <c r="D10" s="2">
        <f>(A7+C10)*0.04</f>
        <v>948</v>
      </c>
      <c r="E10" s="2">
        <v>1000</v>
      </c>
      <c r="F10" s="2">
        <f>A7+C10+D10+E10</f>
        <v>25648</v>
      </c>
      <c r="G10" s="2">
        <f t="shared" si="0"/>
        <v>25.648</v>
      </c>
    </row>
    <row r="12" spans="1:4">
      <c r="A12" s="2" t="s">
        <v>13</v>
      </c>
      <c r="B12" s="2"/>
      <c r="C12" s="2"/>
      <c r="D12" s="3"/>
    </row>
    <row r="13" spans="1:7">
      <c r="A13" s="2"/>
      <c r="B13" s="2" t="s">
        <v>1</v>
      </c>
      <c r="C13" s="2" t="s">
        <v>4</v>
      </c>
      <c r="D13" s="2" t="s">
        <v>5</v>
      </c>
      <c r="E13" s="2" t="s">
        <v>14</v>
      </c>
      <c r="F13" s="2"/>
      <c r="G13" s="2"/>
    </row>
    <row r="14" spans="1:7">
      <c r="A14" s="2"/>
      <c r="B14" s="2">
        <v>650</v>
      </c>
      <c r="C14" s="2">
        <v>0.5</v>
      </c>
      <c r="D14" s="352">
        <v>13.8</v>
      </c>
      <c r="E14" s="2">
        <f>C14+D14</f>
        <v>14.3</v>
      </c>
      <c r="F14" s="2"/>
      <c r="G14" s="2"/>
    </row>
    <row r="15" spans="1:7">
      <c r="A15" s="2"/>
      <c r="B15" s="2">
        <v>780</v>
      </c>
      <c r="C15" s="2">
        <v>0.5</v>
      </c>
      <c r="D15" s="352">
        <v>16.8</v>
      </c>
      <c r="E15" s="2">
        <f>C15+D15</f>
        <v>17.3</v>
      </c>
      <c r="F15" s="2"/>
      <c r="G15" s="2"/>
    </row>
    <row r="16" spans="2:7">
      <c r="B16" s="2">
        <v>850</v>
      </c>
      <c r="C16" s="2">
        <v>0.5</v>
      </c>
      <c r="D16" s="352">
        <v>18</v>
      </c>
      <c r="E16" s="2">
        <f>C16+D16</f>
        <v>18.5</v>
      </c>
      <c r="F16" s="2"/>
      <c r="G16" s="2"/>
    </row>
    <row r="17" spans="4:4">
      <c r="D17" s="353"/>
    </row>
    <row r="21" spans="1:7">
      <c r="A21" s="6" t="s">
        <v>15</v>
      </c>
      <c r="B21" s="6"/>
      <c r="C21" s="6"/>
      <c r="D21" s="6"/>
      <c r="E21" s="6"/>
      <c r="F21" s="6"/>
      <c r="G21" s="6"/>
    </row>
    <row r="27" spans="1:1">
      <c r="A27" s="354" t="s">
        <v>16</v>
      </c>
    </row>
    <row r="28" spans="1:1">
      <c r="A28" s="355">
        <v>95</v>
      </c>
    </row>
  </sheetData>
  <mergeCells count="1">
    <mergeCell ref="A21:G21"/>
  </mergeCells>
  <pageMargins left="0.75" right="0.75" top="1" bottom="1" header="0.511805555555556" footer="0.511805555555556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FF0000"/>
  </sheetPr>
  <dimension ref="A1:Q20"/>
  <sheetViews>
    <sheetView showGridLines="0" topLeftCell="A25" workbookViewId="0">
      <selection activeCell="I7" sqref="I7"/>
    </sheetView>
  </sheetViews>
  <sheetFormatPr defaultColWidth="9" defaultRowHeight="14.25"/>
  <cols>
    <col min="1" max="1" width="2.875" style="1" customWidth="1"/>
    <col min="2" max="2" width="17.5" style="1" customWidth="1"/>
    <col min="3" max="3" width="9.375" style="1" customWidth="1"/>
    <col min="4" max="4" width="9.375" style="51" customWidth="1"/>
    <col min="5" max="5" width="9.375" style="3" customWidth="1"/>
    <col min="6" max="6" width="9.375" style="1" customWidth="1"/>
    <col min="7" max="17" width="10.875" style="1" customWidth="1"/>
    <col min="18" max="16384" width="9" style="1"/>
  </cols>
  <sheetData>
    <row r="1" ht="20.1" customHeight="1" spans="1:6">
      <c r="A1" s="291" t="s">
        <v>1223</v>
      </c>
      <c r="B1" s="291"/>
      <c r="C1" s="291"/>
      <c r="D1" s="292"/>
      <c r="E1" s="291"/>
      <c r="F1" s="291"/>
    </row>
    <row r="2" ht="24" customHeight="1" spans="1:6">
      <c r="A2" s="300" t="s">
        <v>1197</v>
      </c>
      <c r="B2" s="301"/>
      <c r="C2" s="301"/>
      <c r="D2" s="302"/>
      <c r="E2" s="11" t="s">
        <v>1198</v>
      </c>
      <c r="F2" s="11">
        <f>3*3*A3</f>
        <v>9</v>
      </c>
    </row>
    <row r="3" ht="17.1" customHeight="1" spans="1:6">
      <c r="A3" s="165">
        <v>1</v>
      </c>
      <c r="B3" s="165"/>
      <c r="C3" s="293" t="s">
        <v>1199</v>
      </c>
      <c r="D3" s="294"/>
      <c r="E3" s="294"/>
      <c r="F3" s="295"/>
    </row>
    <row r="4" ht="24" spans="1:17">
      <c r="A4" s="165" t="s">
        <v>1200</v>
      </c>
      <c r="B4" s="75" t="s">
        <v>1201</v>
      </c>
      <c r="C4" s="75" t="s">
        <v>1202</v>
      </c>
      <c r="D4" s="75" t="s">
        <v>22</v>
      </c>
      <c r="E4" s="75" t="s">
        <v>1203</v>
      </c>
      <c r="F4" s="75" t="s">
        <v>1204</v>
      </c>
      <c r="G4" s="75" t="s">
        <v>1205</v>
      </c>
      <c r="H4" s="165" t="s">
        <v>1206</v>
      </c>
      <c r="I4" s="165" t="s">
        <v>1207</v>
      </c>
      <c r="J4" s="165" t="s">
        <v>1208</v>
      </c>
      <c r="K4" s="75" t="s">
        <v>1209</v>
      </c>
      <c r="L4" s="165" t="s">
        <v>1210</v>
      </c>
      <c r="M4" s="75" t="s">
        <v>1211</v>
      </c>
      <c r="N4" s="164" t="s">
        <v>1212</v>
      </c>
      <c r="O4" s="165" t="s">
        <v>1213</v>
      </c>
      <c r="P4" s="165" t="s">
        <v>1214</v>
      </c>
      <c r="Q4" s="75" t="s">
        <v>1213</v>
      </c>
    </row>
    <row r="5" ht="15" customHeight="1" spans="1:17">
      <c r="A5" s="31" t="s">
        <v>1215</v>
      </c>
      <c r="B5" s="303" t="s">
        <v>1224</v>
      </c>
      <c r="C5" s="303"/>
      <c r="D5" s="167" t="s">
        <v>28</v>
      </c>
      <c r="E5" s="24">
        <f>A3*4</f>
        <v>4</v>
      </c>
      <c r="F5" s="93">
        <f ca="1">I5+J5+K5+L5+M5</f>
        <v>123.67382016</v>
      </c>
      <c r="G5" s="148">
        <v>2.4</v>
      </c>
      <c r="H5" s="148">
        <v>2.168</v>
      </c>
      <c r="I5" s="101">
        <f ca="1">G5*H5*'3米（尖顶）参数'!G5*1.1</f>
        <v>123.67382016</v>
      </c>
      <c r="J5" s="101"/>
      <c r="K5" s="101"/>
      <c r="L5" s="101"/>
      <c r="M5" s="101"/>
      <c r="N5" s="167">
        <v>4</v>
      </c>
      <c r="O5" s="67">
        <f ca="1" t="shared" ref="O5:O16" si="0">N5*F5</f>
        <v>494.69528064</v>
      </c>
      <c r="P5" s="67">
        <f t="shared" ref="P5:P16" si="1">E5-N5</f>
        <v>0</v>
      </c>
      <c r="Q5" s="67">
        <f ca="1" t="shared" ref="Q5:Q16" si="2">P5*F5</f>
        <v>0</v>
      </c>
    </row>
    <row r="6" ht="15" customHeight="1" spans="1:17">
      <c r="A6" s="304"/>
      <c r="B6" s="303" t="s">
        <v>1225</v>
      </c>
      <c r="C6" s="303"/>
      <c r="D6" s="167" t="s">
        <v>28</v>
      </c>
      <c r="E6" s="24">
        <f>A3*4</f>
        <v>4</v>
      </c>
      <c r="F6" s="93">
        <f ca="1">I6+J6+K6+L6+M6</f>
        <v>144.28612352</v>
      </c>
      <c r="G6" s="148">
        <v>2.8</v>
      </c>
      <c r="H6" s="148">
        <v>2.168</v>
      </c>
      <c r="I6" s="101">
        <f ca="1">G6*H6*'3米（尖顶）参数'!G5*1.1</f>
        <v>144.28612352</v>
      </c>
      <c r="J6" s="101"/>
      <c r="K6" s="101"/>
      <c r="L6" s="101"/>
      <c r="M6" s="101"/>
      <c r="N6" s="167">
        <v>4</v>
      </c>
      <c r="O6" s="67">
        <f ca="1" t="shared" si="0"/>
        <v>577.14449408</v>
      </c>
      <c r="P6" s="67">
        <f t="shared" si="1"/>
        <v>0</v>
      </c>
      <c r="Q6" s="67">
        <f ca="1" t="shared" si="2"/>
        <v>0</v>
      </c>
    </row>
    <row r="7" ht="15" customHeight="1" spans="1:17">
      <c r="A7" s="304"/>
      <c r="B7" s="303" t="s">
        <v>1226</v>
      </c>
      <c r="C7" s="303"/>
      <c r="D7" s="167" t="s">
        <v>28</v>
      </c>
      <c r="E7" s="24">
        <f>A3*4</f>
        <v>4</v>
      </c>
      <c r="F7" s="93">
        <v>18.15</v>
      </c>
      <c r="G7" s="148"/>
      <c r="H7" s="148"/>
      <c r="I7" s="101">
        <f ca="1">G7*H7*'3米（尖顶）参数'!G7*1.1</f>
        <v>0</v>
      </c>
      <c r="J7" s="101"/>
      <c r="K7" s="101"/>
      <c r="L7" s="101"/>
      <c r="M7" s="101"/>
      <c r="N7" s="167">
        <v>4</v>
      </c>
      <c r="O7" s="67">
        <f ca="1" t="shared" si="0"/>
        <v>72.6</v>
      </c>
      <c r="P7" s="67">
        <f t="shared" si="1"/>
        <v>0</v>
      </c>
      <c r="Q7" s="67">
        <f ca="1" t="shared" si="2"/>
        <v>0</v>
      </c>
    </row>
    <row r="8" ht="15" customHeight="1" spans="1:17">
      <c r="A8" s="304"/>
      <c r="B8" s="303" t="s">
        <v>1227</v>
      </c>
      <c r="C8" s="303"/>
      <c r="D8" s="167" t="s">
        <v>28</v>
      </c>
      <c r="E8" s="28">
        <f>A3</f>
        <v>1</v>
      </c>
      <c r="F8" s="93">
        <v>19.8</v>
      </c>
      <c r="G8" s="95"/>
      <c r="H8" s="95"/>
      <c r="I8" s="101"/>
      <c r="J8" s="61"/>
      <c r="K8" s="61"/>
      <c r="L8" s="61"/>
      <c r="M8" s="61"/>
      <c r="N8" s="167">
        <v>1</v>
      </c>
      <c r="O8" s="67">
        <f ca="1" t="shared" si="0"/>
        <v>19.8</v>
      </c>
      <c r="P8" s="67">
        <f t="shared" si="1"/>
        <v>0</v>
      </c>
      <c r="Q8" s="67">
        <f ca="1" t="shared" si="2"/>
        <v>0</v>
      </c>
    </row>
    <row r="9" ht="15" customHeight="1" spans="1:17">
      <c r="A9" s="304"/>
      <c r="B9" s="303" t="s">
        <v>537</v>
      </c>
      <c r="C9" s="303"/>
      <c r="D9" s="167" t="s">
        <v>28</v>
      </c>
      <c r="E9" s="24">
        <f>A3</f>
        <v>1</v>
      </c>
      <c r="F9" s="93">
        <v>16.5</v>
      </c>
      <c r="G9" s="148"/>
      <c r="H9" s="148"/>
      <c r="I9" s="101"/>
      <c r="J9" s="101"/>
      <c r="K9" s="101"/>
      <c r="L9" s="101"/>
      <c r="M9" s="101"/>
      <c r="N9" s="167">
        <v>1</v>
      </c>
      <c r="O9" s="67">
        <f ca="1" t="shared" si="0"/>
        <v>16.5</v>
      </c>
      <c r="P9" s="67">
        <f t="shared" si="1"/>
        <v>0</v>
      </c>
      <c r="Q9" s="67">
        <f ca="1" t="shared" si="2"/>
        <v>0</v>
      </c>
    </row>
    <row r="10" ht="15" customHeight="1" spans="1:17">
      <c r="A10" s="304"/>
      <c r="B10" s="303" t="s">
        <v>1228</v>
      </c>
      <c r="C10" s="303"/>
      <c r="D10" s="167" t="s">
        <v>555</v>
      </c>
      <c r="E10" s="24">
        <f>A3*4</f>
        <v>4</v>
      </c>
      <c r="F10" s="93">
        <v>8.91</v>
      </c>
      <c r="G10" s="148"/>
      <c r="H10" s="148"/>
      <c r="I10" s="101"/>
      <c r="J10" s="101"/>
      <c r="K10" s="101"/>
      <c r="L10" s="101"/>
      <c r="M10" s="101"/>
      <c r="N10" s="169">
        <v>4</v>
      </c>
      <c r="O10" s="67">
        <f ca="1" t="shared" si="0"/>
        <v>35.64</v>
      </c>
      <c r="P10" s="67">
        <f t="shared" si="1"/>
        <v>0</v>
      </c>
      <c r="Q10" s="67">
        <f ca="1" t="shared" si="2"/>
        <v>0</v>
      </c>
    </row>
    <row r="11" ht="15" customHeight="1" spans="1:17">
      <c r="A11" s="304"/>
      <c r="B11" s="303" t="s">
        <v>531</v>
      </c>
      <c r="C11" s="303"/>
      <c r="D11" s="167" t="s">
        <v>434</v>
      </c>
      <c r="E11" s="24">
        <f>A3*4</f>
        <v>4</v>
      </c>
      <c r="F11" s="93">
        <v>20.68</v>
      </c>
      <c r="G11" s="148"/>
      <c r="H11" s="148"/>
      <c r="I11" s="101"/>
      <c r="J11" s="101"/>
      <c r="K11" s="101"/>
      <c r="L11" s="101"/>
      <c r="M11" s="101"/>
      <c r="N11" s="169">
        <v>4</v>
      </c>
      <c r="O11" s="67">
        <f ca="1" t="shared" si="0"/>
        <v>82.72</v>
      </c>
      <c r="P11" s="67">
        <f t="shared" si="1"/>
        <v>0</v>
      </c>
      <c r="Q11" s="67">
        <f ca="1" t="shared" si="2"/>
        <v>0</v>
      </c>
    </row>
    <row r="12" ht="15" customHeight="1" spans="1:17">
      <c r="A12" s="304"/>
      <c r="B12" s="303" t="s">
        <v>1229</v>
      </c>
      <c r="C12" s="303"/>
      <c r="D12" s="167" t="s">
        <v>434</v>
      </c>
      <c r="E12" s="24">
        <f>A3*4</f>
        <v>4</v>
      </c>
      <c r="F12" s="93">
        <v>7.7</v>
      </c>
      <c r="G12" s="192"/>
      <c r="H12" s="148"/>
      <c r="I12" s="101"/>
      <c r="J12" s="101"/>
      <c r="K12" s="101"/>
      <c r="L12" s="101"/>
      <c r="M12" s="101"/>
      <c r="N12" s="167">
        <v>4</v>
      </c>
      <c r="O12" s="67">
        <f ca="1" t="shared" si="0"/>
        <v>30.8</v>
      </c>
      <c r="P12" s="67">
        <f t="shared" si="1"/>
        <v>0</v>
      </c>
      <c r="Q12" s="67">
        <f ca="1" t="shared" si="2"/>
        <v>0</v>
      </c>
    </row>
    <row r="13" ht="15" customHeight="1" spans="1:17">
      <c r="A13" s="305"/>
      <c r="B13" s="303" t="s">
        <v>1230</v>
      </c>
      <c r="C13" s="303"/>
      <c r="D13" s="167" t="s">
        <v>28</v>
      </c>
      <c r="E13" s="24">
        <f>A3*4</f>
        <v>4</v>
      </c>
      <c r="F13" s="93">
        <v>15</v>
      </c>
      <c r="G13" s="192"/>
      <c r="H13" s="148"/>
      <c r="I13" s="101"/>
      <c r="J13" s="101"/>
      <c r="K13" s="101"/>
      <c r="L13" s="101"/>
      <c r="M13" s="101"/>
      <c r="N13" s="167">
        <v>4</v>
      </c>
      <c r="O13" s="67">
        <f ca="1" t="shared" si="0"/>
        <v>60</v>
      </c>
      <c r="P13" s="67">
        <f t="shared" si="1"/>
        <v>0</v>
      </c>
      <c r="Q13" s="67">
        <f ca="1" t="shared" si="2"/>
        <v>0</v>
      </c>
    </row>
    <row r="14" ht="12.95" customHeight="1" spans="1:17">
      <c r="A14" s="306" t="s">
        <v>1216</v>
      </c>
      <c r="B14" s="91" t="s">
        <v>1231</v>
      </c>
      <c r="C14" s="91"/>
      <c r="D14" s="167" t="s">
        <v>612</v>
      </c>
      <c r="E14" s="28">
        <f>A3</f>
        <v>1</v>
      </c>
      <c r="F14" s="297">
        <v>325.6</v>
      </c>
      <c r="G14" s="148"/>
      <c r="H14" s="148"/>
      <c r="I14" s="101"/>
      <c r="J14" s="101"/>
      <c r="K14" s="101"/>
      <c r="L14" s="101"/>
      <c r="M14" s="101"/>
      <c r="N14" s="167">
        <v>1</v>
      </c>
      <c r="O14" s="67">
        <f ca="1" t="shared" si="0"/>
        <v>325.6</v>
      </c>
      <c r="P14" s="67">
        <f t="shared" si="1"/>
        <v>0</v>
      </c>
      <c r="Q14" s="67">
        <f ca="1" t="shared" si="2"/>
        <v>0</v>
      </c>
    </row>
    <row r="15" spans="1:17">
      <c r="A15" s="306"/>
      <c r="B15" s="91" t="s">
        <v>1232</v>
      </c>
      <c r="C15" s="91"/>
      <c r="D15" s="167" t="s">
        <v>664</v>
      </c>
      <c r="E15" s="28">
        <f>A3*4</f>
        <v>4</v>
      </c>
      <c r="F15" s="93">
        <v>134.75</v>
      </c>
      <c r="G15" s="148"/>
      <c r="H15" s="148"/>
      <c r="I15" s="101"/>
      <c r="J15" s="101"/>
      <c r="K15" s="101"/>
      <c r="L15" s="101"/>
      <c r="M15" s="101"/>
      <c r="N15" s="167">
        <v>4</v>
      </c>
      <c r="O15" s="67">
        <f ca="1" t="shared" si="0"/>
        <v>539</v>
      </c>
      <c r="P15" s="67">
        <f t="shared" si="1"/>
        <v>0</v>
      </c>
      <c r="Q15" s="67">
        <f ca="1" t="shared" si="2"/>
        <v>0</v>
      </c>
    </row>
    <row r="16" customHeight="1" spans="1:17">
      <c r="A16" s="307" t="s">
        <v>1217</v>
      </c>
      <c r="B16" s="296" t="s">
        <v>563</v>
      </c>
      <c r="C16" s="296"/>
      <c r="D16" s="167" t="s">
        <v>434</v>
      </c>
      <c r="E16" s="24">
        <f>A3*16</f>
        <v>16</v>
      </c>
      <c r="F16" s="93">
        <v>0.55</v>
      </c>
      <c r="G16" s="95"/>
      <c r="H16" s="95"/>
      <c r="I16" s="101"/>
      <c r="J16" s="61"/>
      <c r="K16" s="61"/>
      <c r="L16" s="61"/>
      <c r="M16" s="61"/>
      <c r="N16" s="167">
        <v>16</v>
      </c>
      <c r="O16" s="67">
        <f ca="1" t="shared" si="0"/>
        <v>8.8</v>
      </c>
      <c r="P16" s="67">
        <f t="shared" si="1"/>
        <v>0</v>
      </c>
      <c r="Q16" s="67">
        <f ca="1" t="shared" si="2"/>
        <v>0</v>
      </c>
    </row>
    <row r="17" s="299" customFormat="1" customHeight="1" spans="1:17">
      <c r="A17" s="308"/>
      <c r="B17" s="309"/>
      <c r="C17" s="310"/>
      <c r="D17" s="51"/>
      <c r="E17" s="311"/>
      <c r="F17" s="312"/>
      <c r="G17" s="313"/>
      <c r="H17" s="313"/>
      <c r="I17" s="314"/>
      <c r="J17" s="314"/>
      <c r="K17" s="314"/>
      <c r="L17" s="314"/>
      <c r="M17" s="314"/>
      <c r="N17" s="1" t="s">
        <v>1218</v>
      </c>
      <c r="O17" s="3">
        <f ca="1">SUM(O5:O16)</f>
        <v>2263.29977472</v>
      </c>
      <c r="P17" s="1" t="s">
        <v>1219</v>
      </c>
      <c r="Q17" s="3">
        <f ca="1">SUM(Q5:Q16)</f>
        <v>0</v>
      </c>
    </row>
    <row r="18" ht="12.95" customHeight="1" spans="1:2">
      <c r="A18" s="50" t="s">
        <v>1220</v>
      </c>
      <c r="B18" s="51"/>
    </row>
    <row r="19" ht="17.1" customHeight="1" spans="1:2">
      <c r="A19" s="50" t="s">
        <v>1221</v>
      </c>
      <c r="B19" s="51"/>
    </row>
    <row r="20" spans="14:15">
      <c r="N20" s="1" t="s">
        <v>1222</v>
      </c>
      <c r="O20" s="1">
        <f ca="1">O17+Q17</f>
        <v>2263.29977472</v>
      </c>
    </row>
  </sheetData>
  <mergeCells count="6">
    <mergeCell ref="A1:F1"/>
    <mergeCell ref="A2:D2"/>
    <mergeCell ref="A3:B3"/>
    <mergeCell ref="C3:F3"/>
    <mergeCell ref="A5:A13"/>
    <mergeCell ref="A14:A15"/>
  </mergeCells>
  <dataValidations count="1">
    <dataValidation allowBlank="1" showInputMessage="1" showErrorMessage="1" sqref="B14:B15 C14:C15"/>
  </dataValidations>
  <pageMargins left="0.75" right="0.75" top="1" bottom="1" header="0.511805555555556" footer="0.511805555555556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7030A0"/>
  </sheetPr>
  <dimension ref="A1:H24"/>
  <sheetViews>
    <sheetView showGridLines="0" workbookViewId="0">
      <selection activeCell="E31" sqref="E31"/>
    </sheetView>
  </sheetViews>
  <sheetFormatPr defaultColWidth="9" defaultRowHeight="14.25" outlineLevelCol="7"/>
  <cols>
    <col min="1" max="1" width="21.125" style="1" customWidth="1"/>
    <col min="2" max="2" width="19.125" style="1" customWidth="1"/>
    <col min="3" max="3" width="15.5" style="1" customWidth="1"/>
    <col min="4" max="4" width="11.375" style="1" customWidth="1"/>
    <col min="5" max="5" width="10.5" style="1" customWidth="1"/>
    <col min="6" max="6" width="9" style="1"/>
    <col min="7" max="7" width="12.625" style="1" customWidth="1"/>
    <col min="8" max="16384" width="9" style="1"/>
  </cols>
  <sheetData>
    <row r="1" spans="1:8">
      <c r="A1" s="2" t="str">
        <f ca="1">'数据修改（批量）'!A1</f>
        <v>上海有色铝锭价格</v>
      </c>
      <c r="B1" s="2"/>
      <c r="C1" s="2"/>
      <c r="D1" s="2"/>
      <c r="E1" s="2"/>
      <c r="F1" s="2"/>
      <c r="G1" s="2"/>
      <c r="H1" s="2"/>
    </row>
    <row r="2" spans="1:8">
      <c r="A2" s="4">
        <f ca="1">'数据修改（批量）'!A2</f>
        <v>16200</v>
      </c>
      <c r="B2" s="2" t="str">
        <f ca="1">'数据修改（批量）'!B2</f>
        <v>项目</v>
      </c>
      <c r="C2" s="2" t="str">
        <f ca="1">'数据修改（批量）'!C2</f>
        <v>加工费</v>
      </c>
      <c r="D2" s="2" t="str">
        <f ca="1">'数据修改（批量）'!D2</f>
        <v>包装物</v>
      </c>
      <c r="E2" s="2" t="str">
        <f ca="1">'数据修改（批量）'!E2</f>
        <v>运费</v>
      </c>
      <c r="F2" s="2" t="str">
        <f ca="1">'数据修改（批量）'!F2</f>
        <v>单价</v>
      </c>
      <c r="G2" s="2" t="str">
        <f ca="1">'数据修改（批量）'!G2</f>
        <v>每公斤价格</v>
      </c>
      <c r="H2" s="2"/>
    </row>
    <row r="3" spans="1:8">
      <c r="A3" s="2"/>
      <c r="B3" s="2" t="str">
        <f ca="1">'数据修改（批量）'!B3</f>
        <v>203料</v>
      </c>
      <c r="C3" s="2">
        <f ca="1">'数据修改（批量）'!C3</f>
        <v>5500</v>
      </c>
      <c r="D3" s="2">
        <f ca="1">'数据修改（批量）'!D3</f>
        <v>868</v>
      </c>
      <c r="E3" s="2">
        <f ca="1">'数据修改（批量）'!E3</f>
        <v>80</v>
      </c>
      <c r="F3" s="2">
        <f ca="1">'数据修改（批量）'!F3</f>
        <v>22648</v>
      </c>
      <c r="G3" s="2">
        <f ca="1">'数据修改（批量）'!G3</f>
        <v>22.648</v>
      </c>
      <c r="H3" s="2"/>
    </row>
    <row r="4" spans="1:8">
      <c r="A4" s="2"/>
      <c r="B4" s="2" t="str">
        <f ca="1">'数据修改（批量）'!B4</f>
        <v>203料氧化</v>
      </c>
      <c r="C4" s="2">
        <f ca="1">'数据修改（批量）'!C4</f>
        <v>6000</v>
      </c>
      <c r="D4" s="2">
        <f ca="1">'数据修改（批量）'!D4</f>
        <v>888</v>
      </c>
      <c r="E4" s="2">
        <f ca="1">'数据修改（批量）'!E4</f>
        <v>80</v>
      </c>
      <c r="F4" s="2">
        <f ca="1">'数据修改（批量）'!F4</f>
        <v>23168</v>
      </c>
      <c r="G4" s="2">
        <f ca="1">'数据修改（批量）'!G4</f>
        <v>23.168</v>
      </c>
      <c r="H4" s="2"/>
    </row>
    <row r="5" spans="1:8">
      <c r="A5" s="2"/>
      <c r="B5" s="2" t="str">
        <f ca="1">'数据修改（批量）'!B5</f>
        <v>小料加工费</v>
      </c>
      <c r="C5" s="2">
        <f ca="1">'数据修改（批量）'!C5</f>
        <v>4500</v>
      </c>
      <c r="D5" s="2">
        <f ca="1">'数据修改（批量）'!D5</f>
        <v>828</v>
      </c>
      <c r="E5" s="2">
        <f ca="1">'数据修改（批量）'!E5</f>
        <v>80</v>
      </c>
      <c r="F5" s="2">
        <f ca="1">'数据修改（批量）'!F5</f>
        <v>21608</v>
      </c>
      <c r="G5" s="2">
        <f ca="1">'数据修改（批量）'!G5</f>
        <v>21.608</v>
      </c>
      <c r="H5" s="2"/>
    </row>
    <row r="6" spans="1:8">
      <c r="A6" s="2" t="str">
        <f ca="1">'数据修改（批量）'!A6</f>
        <v>南海有色铝锭价格</v>
      </c>
      <c r="B6" s="2"/>
      <c r="C6" s="2"/>
      <c r="D6" s="2"/>
      <c r="E6" s="2"/>
      <c r="F6" s="2"/>
      <c r="G6" s="2"/>
      <c r="H6" s="2"/>
    </row>
    <row r="7" spans="1:8">
      <c r="A7" s="4">
        <f ca="1">'数据修改（批量）'!A7</f>
        <v>16600</v>
      </c>
      <c r="B7" s="2"/>
      <c r="C7" s="2"/>
      <c r="D7" s="2"/>
      <c r="E7" s="2"/>
      <c r="F7" s="2"/>
      <c r="G7" s="2"/>
      <c r="H7" s="2"/>
    </row>
    <row r="8" spans="1:8">
      <c r="A8" s="2"/>
      <c r="B8" s="2" t="str">
        <f ca="1">'数据修改（批量）'!B8</f>
        <v>项目</v>
      </c>
      <c r="C8" s="2" t="str">
        <f ca="1">'数据修改（批量）'!C8</f>
        <v>加工费</v>
      </c>
      <c r="D8" s="2" t="str">
        <f ca="1">'数据修改（批量）'!D8</f>
        <v>包装物</v>
      </c>
      <c r="E8" s="2" t="str">
        <f ca="1">'数据修改（批量）'!E8</f>
        <v>运费</v>
      </c>
      <c r="F8" s="2" t="str">
        <f ca="1">'数据修改（批量）'!F8</f>
        <v>单价</v>
      </c>
      <c r="G8" s="2" t="str">
        <f ca="1">'数据修改（批量）'!G8</f>
        <v>每公斤价格</v>
      </c>
      <c r="H8" s="2"/>
    </row>
    <row r="9" spans="1:8">
      <c r="A9" s="2"/>
      <c r="B9" s="2" t="str">
        <f ca="1">'数据修改（批量）'!B9</f>
        <v>300/350料8米以上</v>
      </c>
      <c r="C9" s="2">
        <f ca="1">'数据修改（批量）'!C9</f>
        <v>7800</v>
      </c>
      <c r="D9" s="2">
        <f ca="1">'数据修改（批量）'!D9</f>
        <v>976</v>
      </c>
      <c r="E9" s="2">
        <f ca="1">'数据修改（批量）'!E9</f>
        <v>1000</v>
      </c>
      <c r="F9" s="2">
        <f ca="1">'数据修改（批量）'!F9</f>
        <v>26376</v>
      </c>
      <c r="G9" s="2">
        <f ca="1">'数据修改（批量）'!G9</f>
        <v>26.376</v>
      </c>
      <c r="H9" s="2"/>
    </row>
    <row r="10" spans="1:8">
      <c r="A10" s="2"/>
      <c r="B10" s="2" t="str">
        <f ca="1">'数据修改（批量）'!B10</f>
        <v>300/350料8米以下</v>
      </c>
      <c r="C10" s="2">
        <f ca="1">'数据修改（批量）'!C10</f>
        <v>7100</v>
      </c>
      <c r="D10" s="2">
        <f ca="1">'数据修改（批量）'!D10</f>
        <v>948</v>
      </c>
      <c r="E10" s="2">
        <f ca="1">'数据修改（批量）'!E10</f>
        <v>1000</v>
      </c>
      <c r="F10" s="2">
        <f ca="1">'数据修改（批量）'!F10</f>
        <v>25648</v>
      </c>
      <c r="G10" s="2">
        <f ca="1">'数据修改（批量）'!G10</f>
        <v>25.648</v>
      </c>
      <c r="H10" s="2"/>
    </row>
    <row r="11" spans="1:8">
      <c r="A11" s="2"/>
      <c r="B11" s="2"/>
      <c r="C11" s="2"/>
      <c r="D11" s="2"/>
      <c r="E11" s="2"/>
      <c r="F11" s="2"/>
      <c r="G11" s="2"/>
      <c r="H11" s="2"/>
    </row>
    <row r="12" spans="1:8">
      <c r="A12" s="2" t="str">
        <f ca="1">'数据修改（批量）'!A12</f>
        <v>篷布</v>
      </c>
      <c r="B12" s="2"/>
      <c r="C12" s="2"/>
      <c r="D12" s="2"/>
      <c r="E12" s="2"/>
      <c r="F12" s="2"/>
      <c r="G12" s="2"/>
      <c r="H12" s="2"/>
    </row>
    <row r="13" spans="1:8">
      <c r="A13" s="2"/>
      <c r="B13" s="2" t="str">
        <f ca="1">'数据修改（批量）'!B13</f>
        <v>项目</v>
      </c>
      <c r="C13" s="2" t="str">
        <f ca="1">'数据修改（批量）'!C13</f>
        <v>运费</v>
      </c>
      <c r="D13" s="2" t="str">
        <f ca="1">'数据修改（批量）'!D13</f>
        <v>单价</v>
      </c>
      <c r="E13" s="2" t="str">
        <f ca="1">'数据修改（批量）'!E13</f>
        <v>每平价格</v>
      </c>
      <c r="F13" s="2"/>
      <c r="G13" s="2"/>
      <c r="H13" s="2"/>
    </row>
    <row r="14" spans="1:8">
      <c r="A14" s="2"/>
      <c r="B14" s="2">
        <f ca="1">'数据修改（批量）'!B14</f>
        <v>650</v>
      </c>
      <c r="C14" s="2">
        <f ca="1">'数据修改（批量）'!C14</f>
        <v>0.5</v>
      </c>
      <c r="D14" s="4">
        <f ca="1">'数据修改（批量）'!D14</f>
        <v>13.8</v>
      </c>
      <c r="E14" s="2">
        <f ca="1">'数据修改（批量）'!E14</f>
        <v>14.3</v>
      </c>
      <c r="F14" s="2"/>
      <c r="G14" s="2"/>
      <c r="H14" s="2"/>
    </row>
    <row r="15" spans="1:8">
      <c r="A15" s="2"/>
      <c r="B15" s="2">
        <f ca="1">'数据修改（批量）'!B15</f>
        <v>780</v>
      </c>
      <c r="C15" s="2">
        <f ca="1">'数据修改（批量）'!C15</f>
        <v>0.5</v>
      </c>
      <c r="D15" s="4">
        <f ca="1">'数据修改（批量）'!D15</f>
        <v>16.8</v>
      </c>
      <c r="E15" s="2">
        <f ca="1">'数据修改（批量）'!E15</f>
        <v>17.3</v>
      </c>
      <c r="F15" s="2"/>
      <c r="G15" s="2"/>
      <c r="H15" s="2"/>
    </row>
    <row r="16" spans="1:8">
      <c r="A16" s="2"/>
      <c r="B16" s="2">
        <f ca="1">'数据修改（批量）'!B16</f>
        <v>850</v>
      </c>
      <c r="C16" s="2">
        <f ca="1">'数据修改（批量）'!C16</f>
        <v>0.5</v>
      </c>
      <c r="D16" s="4">
        <f ca="1">'数据修改（批量）'!D16</f>
        <v>18</v>
      </c>
      <c r="E16" s="2">
        <f ca="1">'数据修改（批量）'!E16</f>
        <v>18.5</v>
      </c>
      <c r="F16" s="2"/>
      <c r="G16" s="2"/>
      <c r="H16" s="2"/>
    </row>
    <row r="17" spans="1:8">
      <c r="A17" s="2"/>
      <c r="B17" s="2"/>
      <c r="C17" s="2"/>
      <c r="D17" s="2"/>
      <c r="E17" s="2"/>
      <c r="F17" s="2"/>
      <c r="G17" s="2"/>
      <c r="H17" s="2"/>
    </row>
    <row r="18" spans="1:8">
      <c r="A18" s="2"/>
      <c r="B18" s="2"/>
      <c r="C18" s="2"/>
      <c r="D18" s="2"/>
      <c r="E18" s="2"/>
      <c r="F18" s="2"/>
      <c r="G18" s="2"/>
      <c r="H18" s="2"/>
    </row>
    <row r="19" spans="1:8">
      <c r="A19" s="2"/>
      <c r="B19" s="2"/>
      <c r="C19" s="2"/>
      <c r="D19" s="2"/>
      <c r="E19" s="2"/>
      <c r="F19" s="2"/>
      <c r="G19" s="2"/>
      <c r="H19" s="2"/>
    </row>
    <row r="20" spans="1:8">
      <c r="A20" s="2"/>
      <c r="B20" s="2"/>
      <c r="C20" s="2"/>
      <c r="D20" s="2"/>
      <c r="E20" s="2"/>
      <c r="F20" s="2"/>
      <c r="G20" s="2"/>
      <c r="H20" s="2"/>
    </row>
    <row r="21" spans="1:8">
      <c r="A21" s="298" t="str">
        <f ca="1">'数据修改（批量）'!A21</f>
        <v>说明：黄色部分可以根据价格修改</v>
      </c>
      <c r="B21" s="298"/>
      <c r="C21" s="298"/>
      <c r="D21" s="298"/>
      <c r="E21" s="298"/>
      <c r="F21" s="298"/>
      <c r="G21" s="298"/>
      <c r="H21" s="2"/>
    </row>
    <row r="22" spans="1:8">
      <c r="A22" s="2"/>
      <c r="B22" s="2"/>
      <c r="C22" s="2"/>
      <c r="D22" s="2"/>
      <c r="E22" s="2"/>
      <c r="F22" s="2"/>
      <c r="G22" s="2"/>
      <c r="H22" s="2"/>
    </row>
    <row r="23" spans="1:8">
      <c r="A23" s="2"/>
      <c r="B23" s="2"/>
      <c r="C23" s="2"/>
      <c r="D23" s="2"/>
      <c r="E23" s="2"/>
      <c r="F23" s="2"/>
      <c r="G23" s="2"/>
      <c r="H23" s="2"/>
    </row>
    <row r="24" spans="1:8">
      <c r="A24" s="2"/>
      <c r="B24" s="2"/>
      <c r="C24" s="2"/>
      <c r="D24" s="2"/>
      <c r="E24" s="2"/>
      <c r="F24" s="2"/>
      <c r="G24" s="2"/>
      <c r="H24" s="2"/>
    </row>
  </sheetData>
  <pageMargins left="0.75" right="0.75" top="1" bottom="1" header="0.511805555555556" footer="0.511805555555556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FFFF00"/>
  </sheetPr>
  <dimension ref="A1:Q20"/>
  <sheetViews>
    <sheetView showGridLines="0" workbookViewId="0">
      <selection activeCell="E31" sqref="E31"/>
    </sheetView>
  </sheetViews>
  <sheetFormatPr defaultColWidth="9" defaultRowHeight="14.25"/>
  <cols>
    <col min="1" max="1" width="4.125" style="1" customWidth="1"/>
    <col min="2" max="2" width="18" style="1" customWidth="1"/>
    <col min="3" max="3" width="10.5" style="1" customWidth="1"/>
    <col min="4" max="4" width="10.5" style="51" customWidth="1"/>
    <col min="5" max="5" width="10.5" style="3" customWidth="1"/>
    <col min="6" max="7" width="10.5" style="1" customWidth="1"/>
    <col min="8" max="16384" width="9" style="1"/>
  </cols>
  <sheetData>
    <row r="1" ht="20.1" customHeight="1" spans="1:7">
      <c r="A1" s="291" t="s">
        <v>1233</v>
      </c>
      <c r="B1" s="291"/>
      <c r="C1" s="291"/>
      <c r="D1" s="292"/>
      <c r="E1" s="291"/>
      <c r="F1" s="291"/>
      <c r="G1" s="291"/>
    </row>
    <row r="2" ht="24" customHeight="1" spans="1:10">
      <c r="A2" s="141" t="s">
        <v>1234</v>
      </c>
      <c r="B2" s="141"/>
      <c r="C2" s="141"/>
      <c r="D2" s="11"/>
      <c r="E2" s="9"/>
      <c r="F2" s="11" t="s">
        <v>1198</v>
      </c>
      <c r="G2" s="11">
        <f>4*4*A3</f>
        <v>16</v>
      </c>
      <c r="H2" s="55"/>
      <c r="I2" s="55"/>
      <c r="J2" s="3"/>
    </row>
    <row r="3" ht="17.1" customHeight="1" spans="1:10">
      <c r="A3" s="165">
        <v>1</v>
      </c>
      <c r="B3" s="165"/>
      <c r="C3" s="293" t="s">
        <v>1199</v>
      </c>
      <c r="D3" s="294"/>
      <c r="E3" s="294"/>
      <c r="F3" s="294"/>
      <c r="G3" s="295"/>
      <c r="H3" s="55"/>
      <c r="I3" s="55"/>
      <c r="J3" s="3"/>
    </row>
    <row r="4" ht="36" spans="1:17">
      <c r="A4" s="165" t="s">
        <v>1200</v>
      </c>
      <c r="B4" s="75" t="s">
        <v>1201</v>
      </c>
      <c r="C4" s="75" t="s">
        <v>1202</v>
      </c>
      <c r="D4" s="75" t="s">
        <v>22</v>
      </c>
      <c r="E4" s="75" t="s">
        <v>1203</v>
      </c>
      <c r="F4" s="75" t="s">
        <v>1204</v>
      </c>
      <c r="G4" s="75" t="s">
        <v>1205</v>
      </c>
      <c r="H4" s="165" t="s">
        <v>1206</v>
      </c>
      <c r="I4" s="165" t="s">
        <v>1207</v>
      </c>
      <c r="J4" s="165" t="s">
        <v>1208</v>
      </c>
      <c r="K4" s="75" t="s">
        <v>1209</v>
      </c>
      <c r="L4" s="165" t="s">
        <v>1210</v>
      </c>
      <c r="M4" s="75" t="s">
        <v>1211</v>
      </c>
      <c r="N4" s="164" t="s">
        <v>1212</v>
      </c>
      <c r="O4" s="165" t="s">
        <v>1213</v>
      </c>
      <c r="P4" s="165" t="s">
        <v>1214</v>
      </c>
      <c r="Q4" s="75" t="s">
        <v>1213</v>
      </c>
    </row>
    <row r="5" ht="15.95" customHeight="1" spans="1:17">
      <c r="A5" s="20" t="s">
        <v>1215</v>
      </c>
      <c r="B5" s="296" t="s">
        <v>1224</v>
      </c>
      <c r="C5" s="296"/>
      <c r="D5" s="167" t="s">
        <v>28</v>
      </c>
      <c r="E5" s="24">
        <f>A3*4</f>
        <v>4</v>
      </c>
      <c r="F5" s="93">
        <f ca="1">I5+J5+K5+L5+M5</f>
        <v>76.7256864</v>
      </c>
      <c r="G5" s="148">
        <v>2.4</v>
      </c>
      <c r="H5" s="148">
        <v>1.345</v>
      </c>
      <c r="I5" s="101">
        <f ca="1">G5*H5*'4米（尖顶）参数'!G5*1.1</f>
        <v>76.7256864</v>
      </c>
      <c r="J5" s="101"/>
      <c r="K5" s="101"/>
      <c r="L5" s="101"/>
      <c r="M5" s="101"/>
      <c r="N5" s="24">
        <v>4</v>
      </c>
      <c r="O5" s="27">
        <f ca="1" t="shared" ref="O5:O17" si="0">N5*F5</f>
        <v>306.9027456</v>
      </c>
      <c r="P5" s="67">
        <f t="shared" ref="P5:P17" si="1">E5-N5</f>
        <v>0</v>
      </c>
      <c r="Q5" s="67">
        <f ca="1" t="shared" ref="Q5:Q17" si="2">P5*F5</f>
        <v>0</v>
      </c>
    </row>
    <row r="6" ht="15.95" customHeight="1" spans="1:17">
      <c r="A6" s="20"/>
      <c r="B6" s="296" t="s">
        <v>1225</v>
      </c>
      <c r="C6" s="296"/>
      <c r="D6" s="167" t="s">
        <v>28</v>
      </c>
      <c r="E6" s="24">
        <f>A3*4</f>
        <v>4</v>
      </c>
      <c r="F6" s="93">
        <f ca="1">I6+J6+K6+L6+M6</f>
        <v>121.4823368</v>
      </c>
      <c r="G6" s="148">
        <v>3.8</v>
      </c>
      <c r="H6" s="148">
        <v>1.345</v>
      </c>
      <c r="I6" s="101">
        <f ca="1">G6*H6*'4米（尖顶）参数'!G5*1.1</f>
        <v>121.4823368</v>
      </c>
      <c r="J6" s="101"/>
      <c r="K6" s="101"/>
      <c r="L6" s="101"/>
      <c r="M6" s="101"/>
      <c r="N6" s="24">
        <v>4</v>
      </c>
      <c r="O6" s="27">
        <f ca="1" t="shared" si="0"/>
        <v>485.9293472</v>
      </c>
      <c r="P6" s="67">
        <f t="shared" si="1"/>
        <v>0</v>
      </c>
      <c r="Q6" s="67">
        <f ca="1" t="shared" si="2"/>
        <v>0</v>
      </c>
    </row>
    <row r="7" ht="15.95" customHeight="1" spans="1:17">
      <c r="A7" s="20"/>
      <c r="B7" s="296" t="s">
        <v>1226</v>
      </c>
      <c r="C7" s="296"/>
      <c r="D7" s="167" t="s">
        <v>28</v>
      </c>
      <c r="E7" s="24">
        <f>A3*4</f>
        <v>4</v>
      </c>
      <c r="F7" s="93">
        <f ca="1">I7+J7+K7+L7+M7</f>
        <v>54.017447872</v>
      </c>
      <c r="G7" s="148">
        <v>2.64</v>
      </c>
      <c r="H7" s="148">
        <v>0.821</v>
      </c>
      <c r="I7" s="101">
        <f ca="1">G7*H7*'4米（尖顶）参数'!G5*1.1</f>
        <v>51.517447872</v>
      </c>
      <c r="J7" s="101"/>
      <c r="K7" s="101"/>
      <c r="L7" s="101">
        <v>1</v>
      </c>
      <c r="M7" s="101">
        <v>1.5</v>
      </c>
      <c r="N7" s="24">
        <v>4</v>
      </c>
      <c r="O7" s="27">
        <f ca="1" t="shared" si="0"/>
        <v>216.069791488</v>
      </c>
      <c r="P7" s="67">
        <f t="shared" si="1"/>
        <v>0</v>
      </c>
      <c r="Q7" s="67">
        <f ca="1" t="shared" si="2"/>
        <v>0</v>
      </c>
    </row>
    <row r="8" ht="15.95" customHeight="1" spans="1:17">
      <c r="A8" s="20"/>
      <c r="B8" s="296" t="s">
        <v>1227</v>
      </c>
      <c r="C8" s="296"/>
      <c r="D8" s="167" t="s">
        <v>28</v>
      </c>
      <c r="E8" s="28">
        <f>A3</f>
        <v>1</v>
      </c>
      <c r="F8" s="93">
        <v>34.5</v>
      </c>
      <c r="G8" s="95"/>
      <c r="H8" s="95"/>
      <c r="I8" s="101"/>
      <c r="J8" s="61"/>
      <c r="K8" s="61"/>
      <c r="L8" s="61"/>
      <c r="M8" s="61"/>
      <c r="N8" s="28">
        <v>1</v>
      </c>
      <c r="O8" s="27">
        <f ca="1" t="shared" si="0"/>
        <v>34.5</v>
      </c>
      <c r="P8" s="67">
        <f t="shared" si="1"/>
        <v>0</v>
      </c>
      <c r="Q8" s="67">
        <f ca="1" t="shared" si="2"/>
        <v>0</v>
      </c>
    </row>
    <row r="9" ht="15.95" customHeight="1" spans="1:17">
      <c r="A9" s="20"/>
      <c r="B9" s="296" t="s">
        <v>537</v>
      </c>
      <c r="C9" s="296"/>
      <c r="D9" s="167" t="s">
        <v>28</v>
      </c>
      <c r="E9" s="24">
        <f>A3</f>
        <v>1</v>
      </c>
      <c r="F9" s="93">
        <v>51.75</v>
      </c>
      <c r="G9" s="148"/>
      <c r="H9" s="148"/>
      <c r="I9" s="101"/>
      <c r="J9" s="101"/>
      <c r="K9" s="101"/>
      <c r="L9" s="101"/>
      <c r="M9" s="101"/>
      <c r="N9" s="24">
        <v>1</v>
      </c>
      <c r="O9" s="27">
        <f ca="1" t="shared" si="0"/>
        <v>51.75</v>
      </c>
      <c r="P9" s="67">
        <f t="shared" si="1"/>
        <v>0</v>
      </c>
      <c r="Q9" s="67">
        <f ca="1" t="shared" si="2"/>
        <v>0</v>
      </c>
    </row>
    <row r="10" ht="15.95" customHeight="1" spans="1:17">
      <c r="A10" s="20"/>
      <c r="B10" s="296" t="s">
        <v>1228</v>
      </c>
      <c r="C10" s="296"/>
      <c r="D10" s="167" t="s">
        <v>555</v>
      </c>
      <c r="E10" s="24">
        <f>A3*4</f>
        <v>4</v>
      </c>
      <c r="F10" s="93">
        <v>10.925</v>
      </c>
      <c r="G10" s="148"/>
      <c r="H10" s="148"/>
      <c r="I10" s="101"/>
      <c r="J10" s="101"/>
      <c r="K10" s="101"/>
      <c r="L10" s="101"/>
      <c r="M10" s="101"/>
      <c r="N10" s="24">
        <v>4</v>
      </c>
      <c r="O10" s="27">
        <f ca="1" t="shared" si="0"/>
        <v>43.7</v>
      </c>
      <c r="P10" s="67">
        <f t="shared" si="1"/>
        <v>0</v>
      </c>
      <c r="Q10" s="67">
        <f ca="1" t="shared" si="2"/>
        <v>0</v>
      </c>
    </row>
    <row r="11" ht="15.95" customHeight="1" spans="1:17">
      <c r="A11" s="20"/>
      <c r="B11" s="296" t="s">
        <v>531</v>
      </c>
      <c r="C11" s="296"/>
      <c r="D11" s="167" t="s">
        <v>434</v>
      </c>
      <c r="E11" s="24">
        <f>A3*4</f>
        <v>4</v>
      </c>
      <c r="F11" s="93">
        <v>36.8</v>
      </c>
      <c r="G11" s="148"/>
      <c r="H11" s="148"/>
      <c r="I11" s="101"/>
      <c r="J11" s="101"/>
      <c r="K11" s="101"/>
      <c r="L11" s="101"/>
      <c r="M11" s="101"/>
      <c r="N11" s="24">
        <v>4</v>
      </c>
      <c r="O11" s="27">
        <f ca="1" t="shared" si="0"/>
        <v>147.2</v>
      </c>
      <c r="P11" s="67">
        <f t="shared" si="1"/>
        <v>0</v>
      </c>
      <c r="Q11" s="67">
        <f ca="1" t="shared" si="2"/>
        <v>0</v>
      </c>
    </row>
    <row r="12" ht="15.95" customHeight="1" spans="1:17">
      <c r="A12" s="20"/>
      <c r="B12" s="296" t="s">
        <v>1229</v>
      </c>
      <c r="C12" s="296"/>
      <c r="D12" s="167" t="s">
        <v>434</v>
      </c>
      <c r="E12" s="24">
        <f>A3*8</f>
        <v>8</v>
      </c>
      <c r="F12" s="93">
        <v>8</v>
      </c>
      <c r="G12" s="192"/>
      <c r="H12" s="148"/>
      <c r="I12" s="101"/>
      <c r="J12" s="101"/>
      <c r="K12" s="101"/>
      <c r="L12" s="101"/>
      <c r="M12" s="101"/>
      <c r="N12" s="24">
        <v>8</v>
      </c>
      <c r="O12" s="27">
        <f ca="1" t="shared" si="0"/>
        <v>64</v>
      </c>
      <c r="P12" s="67">
        <f t="shared" si="1"/>
        <v>0</v>
      </c>
      <c r="Q12" s="67">
        <f ca="1" t="shared" si="2"/>
        <v>0</v>
      </c>
    </row>
    <row r="13" ht="15.95" customHeight="1" spans="1:17">
      <c r="A13" s="20"/>
      <c r="B13" s="296" t="s">
        <v>1230</v>
      </c>
      <c r="C13" s="296"/>
      <c r="D13" s="167" t="s">
        <v>28</v>
      </c>
      <c r="E13" s="24">
        <f>A3*4</f>
        <v>4</v>
      </c>
      <c r="F13" s="93">
        <v>22</v>
      </c>
      <c r="G13" s="192"/>
      <c r="H13" s="148"/>
      <c r="I13" s="101"/>
      <c r="J13" s="101"/>
      <c r="K13" s="101"/>
      <c r="L13" s="101"/>
      <c r="M13" s="101"/>
      <c r="N13" s="24">
        <v>4</v>
      </c>
      <c r="O13" s="27">
        <f ca="1" t="shared" si="0"/>
        <v>88</v>
      </c>
      <c r="P13" s="67">
        <f t="shared" si="1"/>
        <v>0</v>
      </c>
      <c r="Q13" s="67">
        <f ca="1" t="shared" si="2"/>
        <v>0</v>
      </c>
    </row>
    <row r="14" ht="15.95" customHeight="1" spans="1:17">
      <c r="A14" s="20" t="s">
        <v>13</v>
      </c>
      <c r="B14" s="91" t="s">
        <v>1231</v>
      </c>
      <c r="C14" s="91"/>
      <c r="D14" s="167" t="s">
        <v>612</v>
      </c>
      <c r="E14" s="28">
        <f>A3</f>
        <v>1</v>
      </c>
      <c r="F14" s="297">
        <v>629.2</v>
      </c>
      <c r="G14" s="148"/>
      <c r="H14" s="148"/>
      <c r="I14" s="101"/>
      <c r="J14" s="101"/>
      <c r="K14" s="101"/>
      <c r="L14" s="101"/>
      <c r="M14" s="101"/>
      <c r="N14" s="28">
        <v>1</v>
      </c>
      <c r="O14" s="27">
        <f ca="1" t="shared" si="0"/>
        <v>629.2</v>
      </c>
      <c r="P14" s="67">
        <f t="shared" si="1"/>
        <v>0</v>
      </c>
      <c r="Q14" s="67">
        <f ca="1" t="shared" si="2"/>
        <v>0</v>
      </c>
    </row>
    <row r="15" ht="15.95" customHeight="1" spans="1:17">
      <c r="A15" s="20"/>
      <c r="B15" s="91" t="s">
        <v>1232</v>
      </c>
      <c r="C15" s="91"/>
      <c r="D15" s="167" t="s">
        <v>664</v>
      </c>
      <c r="E15" s="28">
        <f>A3*4</f>
        <v>4</v>
      </c>
      <c r="F15" s="93">
        <v>209</v>
      </c>
      <c r="G15" s="148"/>
      <c r="H15" s="148"/>
      <c r="I15" s="101"/>
      <c r="J15" s="101"/>
      <c r="K15" s="101"/>
      <c r="L15" s="101"/>
      <c r="M15" s="101"/>
      <c r="N15" s="28">
        <v>4</v>
      </c>
      <c r="O15" s="27">
        <f ca="1" t="shared" si="0"/>
        <v>836</v>
      </c>
      <c r="P15" s="67">
        <f t="shared" si="1"/>
        <v>0</v>
      </c>
      <c r="Q15" s="67">
        <f ca="1" t="shared" si="2"/>
        <v>0</v>
      </c>
    </row>
    <row r="16" ht="15.95" customHeight="1" spans="1:17">
      <c r="A16" s="20" t="s">
        <v>1235</v>
      </c>
      <c r="B16" s="296" t="s">
        <v>561</v>
      </c>
      <c r="C16" s="296"/>
      <c r="D16" s="167" t="s">
        <v>434</v>
      </c>
      <c r="E16" s="28">
        <f>A3*8</f>
        <v>8</v>
      </c>
      <c r="F16" s="93">
        <v>0.55</v>
      </c>
      <c r="G16" s="95"/>
      <c r="H16" s="95"/>
      <c r="I16" s="101"/>
      <c r="J16" s="61"/>
      <c r="K16" s="61"/>
      <c r="L16" s="61"/>
      <c r="M16" s="61"/>
      <c r="N16" s="28">
        <v>8</v>
      </c>
      <c r="O16" s="27">
        <f ca="1" t="shared" si="0"/>
        <v>4.4</v>
      </c>
      <c r="P16" s="67">
        <f t="shared" si="1"/>
        <v>0</v>
      </c>
      <c r="Q16" s="67">
        <f ca="1" t="shared" si="2"/>
        <v>0</v>
      </c>
    </row>
    <row r="17" ht="15.95" customHeight="1" spans="1:17">
      <c r="A17" s="20"/>
      <c r="B17" s="296" t="s">
        <v>565</v>
      </c>
      <c r="C17" s="296"/>
      <c r="D17" s="167" t="s">
        <v>434</v>
      </c>
      <c r="E17" s="24">
        <f>A3*8</f>
        <v>8</v>
      </c>
      <c r="F17" s="101">
        <v>0.9</v>
      </c>
      <c r="G17" s="95"/>
      <c r="H17" s="95"/>
      <c r="I17" s="61"/>
      <c r="J17" s="61"/>
      <c r="K17" s="61"/>
      <c r="L17" s="61"/>
      <c r="M17" s="61"/>
      <c r="N17" s="24">
        <v>8</v>
      </c>
      <c r="O17" s="27">
        <f ca="1" t="shared" si="0"/>
        <v>7.2</v>
      </c>
      <c r="P17" s="67">
        <f t="shared" si="1"/>
        <v>0</v>
      </c>
      <c r="Q17" s="67">
        <f ca="1" t="shared" si="2"/>
        <v>0</v>
      </c>
    </row>
    <row r="18" spans="14:17">
      <c r="N18" s="1" t="s">
        <v>1218</v>
      </c>
      <c r="O18" s="1">
        <f ca="1">SUM(O5:O17)</f>
        <v>2914.851884288</v>
      </c>
      <c r="P18" s="1" t="s">
        <v>1219</v>
      </c>
      <c r="Q18" s="84">
        <f ca="1">SUM(Q5:Q17)</f>
        <v>0</v>
      </c>
    </row>
    <row r="19" ht="12.95" customHeight="1" spans="1:2">
      <c r="A19" s="50" t="s">
        <v>1220</v>
      </c>
      <c r="B19" s="51"/>
    </row>
    <row r="20" ht="17.1" customHeight="1" spans="1:15">
      <c r="A20" s="50" t="s">
        <v>1221</v>
      </c>
      <c r="B20" s="51"/>
      <c r="N20" s="1" t="s">
        <v>1236</v>
      </c>
      <c r="O20" s="1">
        <f ca="1">O18+Q18</f>
        <v>2914.851884288</v>
      </c>
    </row>
  </sheetData>
  <mergeCells count="7">
    <mergeCell ref="A1:G1"/>
    <mergeCell ref="A2:E2"/>
    <mergeCell ref="A3:B3"/>
    <mergeCell ref="C3:G3"/>
    <mergeCell ref="A5:A13"/>
    <mergeCell ref="A14:A15"/>
    <mergeCell ref="A16:A17"/>
  </mergeCells>
  <dataValidations count="2">
    <dataValidation allowBlank="1" showInputMessage="1" showErrorMessage="1" sqref="C14 B14:B15"/>
    <dataValidation type="list" allowBlank="1" showInputMessage="1" showErrorMessage="1" sqref="C15">
      <formula1>"围布[白]{全新},围布[白]{A类},围布[白]{B类},围布[白]{C类},围布[白]{D类},透光窗围布[白]{全新},透光窗围布[白]{A类},透光窗围布[白]{B类},透光窗围布[白]{C类},透光窗围布[白]{D类}"</formula1>
    </dataValidation>
  </dataValidations>
  <pageMargins left="0.979166666666667" right="0.55" top="0.709027777777778" bottom="0.979166666666667" header="0.279166666666667" footer="0"/>
  <pageSetup paperSize="9" orientation="portrait"/>
  <headerFooter alignWithMargins="0">
    <oddHeader>&amp;C&amp;"方正姚体,加粗"&amp;12 高山篷房制造（沈阳）有限公司   &amp;R&amp;"黑体,加粗"&amp;12 400-024-1800</oddHeader>
    <oddFooter>&amp;C共&amp;N页/第&amp;P页&amp;R&amp;D/&amp;T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FFFF00"/>
  </sheetPr>
  <dimension ref="A1:Q20"/>
  <sheetViews>
    <sheetView showGridLines="0" workbookViewId="0">
      <selection activeCell="E31" sqref="E31"/>
    </sheetView>
  </sheetViews>
  <sheetFormatPr defaultColWidth="9" defaultRowHeight="14.25"/>
  <cols>
    <col min="1" max="1" width="4.125" style="1" customWidth="1"/>
    <col min="2" max="2" width="18" style="1" customWidth="1"/>
    <col min="3" max="3" width="10.5" style="1" customWidth="1"/>
    <col min="4" max="4" width="10.5" style="51" customWidth="1"/>
    <col min="5" max="5" width="10.5" style="3" customWidth="1"/>
    <col min="6" max="7" width="10.5" style="1" customWidth="1"/>
    <col min="8" max="16384" width="9" style="1"/>
  </cols>
  <sheetData>
    <row r="1" ht="20.1" customHeight="1" spans="1:7">
      <c r="A1" s="291" t="s">
        <v>1237</v>
      </c>
      <c r="B1" s="291"/>
      <c r="C1" s="291"/>
      <c r="D1" s="292"/>
      <c r="E1" s="291"/>
      <c r="F1" s="291"/>
      <c r="G1" s="291"/>
    </row>
    <row r="2" ht="24" customHeight="1" spans="1:10">
      <c r="A2" s="141" t="s">
        <v>1234</v>
      </c>
      <c r="B2" s="141"/>
      <c r="C2" s="141"/>
      <c r="D2" s="11"/>
      <c r="E2" s="9"/>
      <c r="F2" s="11" t="s">
        <v>1198</v>
      </c>
      <c r="G2" s="11">
        <f>4*4*A3</f>
        <v>16</v>
      </c>
      <c r="H2" s="55"/>
      <c r="I2" s="55"/>
      <c r="J2" s="3"/>
    </row>
    <row r="3" ht="17.1" customHeight="1" spans="1:10">
      <c r="A3" s="165">
        <v>1</v>
      </c>
      <c r="B3" s="165"/>
      <c r="C3" s="293" t="s">
        <v>1199</v>
      </c>
      <c r="D3" s="294"/>
      <c r="E3" s="294"/>
      <c r="F3" s="294"/>
      <c r="G3" s="295"/>
      <c r="H3" s="55"/>
      <c r="I3" s="55"/>
      <c r="J3" s="3"/>
    </row>
    <row r="4" ht="36" spans="1:17">
      <c r="A4" s="165" t="s">
        <v>1200</v>
      </c>
      <c r="B4" s="75" t="s">
        <v>1201</v>
      </c>
      <c r="C4" s="75" t="s">
        <v>1202</v>
      </c>
      <c r="D4" s="75" t="s">
        <v>22</v>
      </c>
      <c r="E4" s="75" t="s">
        <v>1203</v>
      </c>
      <c r="F4" s="75" t="s">
        <v>1204</v>
      </c>
      <c r="G4" s="75" t="s">
        <v>1205</v>
      </c>
      <c r="H4" s="165" t="s">
        <v>1206</v>
      </c>
      <c r="I4" s="165" t="s">
        <v>1207</v>
      </c>
      <c r="J4" s="165" t="s">
        <v>1208</v>
      </c>
      <c r="K4" s="75" t="s">
        <v>1209</v>
      </c>
      <c r="L4" s="165" t="s">
        <v>1210</v>
      </c>
      <c r="M4" s="75" t="s">
        <v>1211</v>
      </c>
      <c r="N4" s="164" t="s">
        <v>1212</v>
      </c>
      <c r="O4" s="165" t="s">
        <v>1213</v>
      </c>
      <c r="P4" s="165" t="s">
        <v>1214</v>
      </c>
      <c r="Q4" s="75" t="s">
        <v>1213</v>
      </c>
    </row>
    <row r="5" ht="15.95" customHeight="1" spans="1:17">
      <c r="A5" s="20" t="s">
        <v>1215</v>
      </c>
      <c r="B5" s="296" t="s">
        <v>1224</v>
      </c>
      <c r="C5" s="296"/>
      <c r="D5" s="167" t="s">
        <v>28</v>
      </c>
      <c r="E5" s="24">
        <f>A3*4</f>
        <v>4</v>
      </c>
      <c r="F5" s="93">
        <f ca="1">I5+J5+K5+L5+M5</f>
        <v>123.67382016</v>
      </c>
      <c r="G5" s="148">
        <v>2.4</v>
      </c>
      <c r="H5" s="148">
        <v>2.168</v>
      </c>
      <c r="I5" s="101">
        <f ca="1">G5*H5*'4米（尖顶）参数'!G5*1.1</f>
        <v>123.67382016</v>
      </c>
      <c r="J5" s="101"/>
      <c r="K5" s="101"/>
      <c r="L5" s="101"/>
      <c r="M5" s="101"/>
      <c r="N5" s="24">
        <v>4</v>
      </c>
      <c r="O5" s="27">
        <f ca="1" t="shared" ref="O5:O17" si="0">N5*F5</f>
        <v>494.69528064</v>
      </c>
      <c r="P5" s="67">
        <f t="shared" ref="P5:P17" si="1">E5-N5</f>
        <v>0</v>
      </c>
      <c r="Q5" s="67">
        <f ca="1" t="shared" ref="Q5:Q17" si="2">P5*F5</f>
        <v>0</v>
      </c>
    </row>
    <row r="6" ht="15.95" customHeight="1" spans="1:17">
      <c r="A6" s="20"/>
      <c r="B6" s="296" t="s">
        <v>1225</v>
      </c>
      <c r="C6" s="296"/>
      <c r="D6" s="167" t="s">
        <v>28</v>
      </c>
      <c r="E6" s="24">
        <f>A3*4</f>
        <v>4</v>
      </c>
      <c r="F6" s="93">
        <f ca="1">I6+J6+K6+L6+M6</f>
        <v>195.81688192</v>
      </c>
      <c r="G6" s="148">
        <v>3.8</v>
      </c>
      <c r="H6" s="148">
        <v>2.168</v>
      </c>
      <c r="I6" s="101">
        <f ca="1">G6*H6*'4米（尖顶）参数'!G5*1.1</f>
        <v>195.81688192</v>
      </c>
      <c r="J6" s="101"/>
      <c r="K6" s="101"/>
      <c r="L6" s="101"/>
      <c r="M6" s="101"/>
      <c r="N6" s="24">
        <v>4</v>
      </c>
      <c r="O6" s="27">
        <f ca="1" t="shared" si="0"/>
        <v>783.26752768</v>
      </c>
      <c r="P6" s="67">
        <f t="shared" si="1"/>
        <v>0</v>
      </c>
      <c r="Q6" s="67">
        <f ca="1" t="shared" si="2"/>
        <v>0</v>
      </c>
    </row>
    <row r="7" ht="15.95" customHeight="1" spans="1:17">
      <c r="A7" s="20"/>
      <c r="B7" s="296" t="s">
        <v>1226</v>
      </c>
      <c r="C7" s="296"/>
      <c r="D7" s="167" t="s">
        <v>28</v>
      </c>
      <c r="E7" s="24">
        <f>A3*4</f>
        <v>4</v>
      </c>
      <c r="F7" s="93">
        <f ca="1">I7+J7+K7+L7+M7</f>
        <v>54.017447872</v>
      </c>
      <c r="G7" s="148">
        <v>2.64</v>
      </c>
      <c r="H7" s="148">
        <v>0.821</v>
      </c>
      <c r="I7" s="101">
        <f ca="1">G7*H7*'4米（尖顶）参数'!G5*1.1</f>
        <v>51.517447872</v>
      </c>
      <c r="J7" s="101"/>
      <c r="K7" s="101"/>
      <c r="L7" s="101">
        <v>1</v>
      </c>
      <c r="M7" s="101">
        <v>1.5</v>
      </c>
      <c r="N7" s="24">
        <v>4</v>
      </c>
      <c r="O7" s="27">
        <f ca="1" t="shared" si="0"/>
        <v>216.069791488</v>
      </c>
      <c r="P7" s="67">
        <f t="shared" si="1"/>
        <v>0</v>
      </c>
      <c r="Q7" s="67">
        <f ca="1" t="shared" si="2"/>
        <v>0</v>
      </c>
    </row>
    <row r="8" ht="15.95" customHeight="1" spans="1:17">
      <c r="A8" s="20"/>
      <c r="B8" s="296" t="s">
        <v>1227</v>
      </c>
      <c r="C8" s="296"/>
      <c r="D8" s="167" t="s">
        <v>28</v>
      </c>
      <c r="E8" s="28">
        <f>A3</f>
        <v>1</v>
      </c>
      <c r="F8" s="93">
        <v>34.5</v>
      </c>
      <c r="G8" s="95"/>
      <c r="H8" s="95"/>
      <c r="I8" s="101"/>
      <c r="J8" s="61"/>
      <c r="K8" s="61"/>
      <c r="L8" s="61"/>
      <c r="M8" s="61"/>
      <c r="N8" s="28">
        <v>1</v>
      </c>
      <c r="O8" s="27">
        <f ca="1" t="shared" si="0"/>
        <v>34.5</v>
      </c>
      <c r="P8" s="67">
        <f t="shared" si="1"/>
        <v>0</v>
      </c>
      <c r="Q8" s="67">
        <f ca="1" t="shared" si="2"/>
        <v>0</v>
      </c>
    </row>
    <row r="9" ht="15.95" customHeight="1" spans="1:17">
      <c r="A9" s="20"/>
      <c r="B9" s="296" t="s">
        <v>537</v>
      </c>
      <c r="C9" s="296"/>
      <c r="D9" s="167" t="s">
        <v>28</v>
      </c>
      <c r="E9" s="24">
        <f>A3</f>
        <v>1</v>
      </c>
      <c r="F9" s="93">
        <v>51.75</v>
      </c>
      <c r="G9" s="148"/>
      <c r="H9" s="148"/>
      <c r="I9" s="101"/>
      <c r="J9" s="101"/>
      <c r="K9" s="101"/>
      <c r="L9" s="101"/>
      <c r="M9" s="101"/>
      <c r="N9" s="24">
        <v>1</v>
      </c>
      <c r="O9" s="27">
        <f ca="1" t="shared" si="0"/>
        <v>51.75</v>
      </c>
      <c r="P9" s="67">
        <f t="shared" si="1"/>
        <v>0</v>
      </c>
      <c r="Q9" s="67">
        <f ca="1" t="shared" si="2"/>
        <v>0</v>
      </c>
    </row>
    <row r="10" ht="15.95" customHeight="1" spans="1:17">
      <c r="A10" s="20"/>
      <c r="B10" s="296" t="s">
        <v>1228</v>
      </c>
      <c r="C10" s="296"/>
      <c r="D10" s="167" t="s">
        <v>555</v>
      </c>
      <c r="E10" s="24">
        <f>A3*4</f>
        <v>4</v>
      </c>
      <c r="F10" s="93">
        <v>10.925</v>
      </c>
      <c r="G10" s="148"/>
      <c r="H10" s="148"/>
      <c r="I10" s="101"/>
      <c r="J10" s="101"/>
      <c r="K10" s="101"/>
      <c r="L10" s="101"/>
      <c r="M10" s="101"/>
      <c r="N10" s="24">
        <v>4</v>
      </c>
      <c r="O10" s="27">
        <f ca="1" t="shared" si="0"/>
        <v>43.7</v>
      </c>
      <c r="P10" s="67">
        <f t="shared" si="1"/>
        <v>0</v>
      </c>
      <c r="Q10" s="67">
        <f ca="1" t="shared" si="2"/>
        <v>0</v>
      </c>
    </row>
    <row r="11" ht="15.95" customHeight="1" spans="1:17">
      <c r="A11" s="20"/>
      <c r="B11" s="296" t="s">
        <v>531</v>
      </c>
      <c r="C11" s="296"/>
      <c r="D11" s="167" t="s">
        <v>434</v>
      </c>
      <c r="E11" s="24">
        <f>A3*4</f>
        <v>4</v>
      </c>
      <c r="F11" s="93">
        <v>48.3</v>
      </c>
      <c r="G11" s="148"/>
      <c r="H11" s="148"/>
      <c r="I11" s="101"/>
      <c r="J11" s="101"/>
      <c r="K11" s="101"/>
      <c r="L11" s="101"/>
      <c r="M11" s="101"/>
      <c r="N11" s="24">
        <v>4</v>
      </c>
      <c r="O11" s="27">
        <f ca="1" t="shared" si="0"/>
        <v>193.2</v>
      </c>
      <c r="P11" s="67">
        <f t="shared" si="1"/>
        <v>0</v>
      </c>
      <c r="Q11" s="67">
        <f ca="1" t="shared" si="2"/>
        <v>0</v>
      </c>
    </row>
    <row r="12" ht="15.95" customHeight="1" spans="1:17">
      <c r="A12" s="20"/>
      <c r="B12" s="296" t="s">
        <v>1229</v>
      </c>
      <c r="C12" s="296"/>
      <c r="D12" s="167" t="s">
        <v>434</v>
      </c>
      <c r="E12" s="24">
        <f>A3*8</f>
        <v>8</v>
      </c>
      <c r="F12" s="93">
        <v>8</v>
      </c>
      <c r="G12" s="192"/>
      <c r="H12" s="148"/>
      <c r="I12" s="101"/>
      <c r="J12" s="101"/>
      <c r="K12" s="101"/>
      <c r="L12" s="101"/>
      <c r="M12" s="101"/>
      <c r="N12" s="24">
        <v>8</v>
      </c>
      <c r="O12" s="27">
        <f ca="1" t="shared" si="0"/>
        <v>64</v>
      </c>
      <c r="P12" s="67">
        <f t="shared" si="1"/>
        <v>0</v>
      </c>
      <c r="Q12" s="67">
        <f ca="1" t="shared" si="2"/>
        <v>0</v>
      </c>
    </row>
    <row r="13" ht="15.95" customHeight="1" spans="1:17">
      <c r="A13" s="20"/>
      <c r="B13" s="296" t="s">
        <v>1230</v>
      </c>
      <c r="C13" s="296"/>
      <c r="D13" s="167" t="s">
        <v>28</v>
      </c>
      <c r="E13" s="24">
        <f>A3*4</f>
        <v>4</v>
      </c>
      <c r="F13" s="93">
        <v>22</v>
      </c>
      <c r="G13" s="192"/>
      <c r="H13" s="148"/>
      <c r="I13" s="101"/>
      <c r="J13" s="101"/>
      <c r="K13" s="101"/>
      <c r="L13" s="101"/>
      <c r="M13" s="101"/>
      <c r="N13" s="24">
        <v>4</v>
      </c>
      <c r="O13" s="27">
        <f ca="1" t="shared" si="0"/>
        <v>88</v>
      </c>
      <c r="P13" s="67">
        <f t="shared" si="1"/>
        <v>0</v>
      </c>
      <c r="Q13" s="67">
        <f ca="1" t="shared" si="2"/>
        <v>0</v>
      </c>
    </row>
    <row r="14" ht="15.95" customHeight="1" spans="1:17">
      <c r="A14" s="20" t="s">
        <v>13</v>
      </c>
      <c r="B14" s="91" t="s">
        <v>1231</v>
      </c>
      <c r="C14" s="91"/>
      <c r="D14" s="167" t="s">
        <v>612</v>
      </c>
      <c r="E14" s="28">
        <f>A3</f>
        <v>1</v>
      </c>
      <c r="F14" s="297">
        <v>629.2</v>
      </c>
      <c r="G14" s="148"/>
      <c r="H14" s="148"/>
      <c r="I14" s="101"/>
      <c r="J14" s="101"/>
      <c r="K14" s="101"/>
      <c r="L14" s="101"/>
      <c r="M14" s="101"/>
      <c r="N14" s="28">
        <v>1</v>
      </c>
      <c r="O14" s="27">
        <f ca="1" t="shared" si="0"/>
        <v>629.2</v>
      </c>
      <c r="P14" s="67">
        <f t="shared" si="1"/>
        <v>0</v>
      </c>
      <c r="Q14" s="67">
        <f ca="1" t="shared" si="2"/>
        <v>0</v>
      </c>
    </row>
    <row r="15" ht="15.95" customHeight="1" spans="1:17">
      <c r="A15" s="20"/>
      <c r="B15" s="91" t="s">
        <v>1232</v>
      </c>
      <c r="C15" s="91"/>
      <c r="D15" s="167" t="s">
        <v>664</v>
      </c>
      <c r="E15" s="28">
        <f>A3*4</f>
        <v>4</v>
      </c>
      <c r="F15" s="93">
        <v>209</v>
      </c>
      <c r="G15" s="148"/>
      <c r="H15" s="148"/>
      <c r="I15" s="101"/>
      <c r="J15" s="101"/>
      <c r="K15" s="101"/>
      <c r="L15" s="101"/>
      <c r="M15" s="101"/>
      <c r="N15" s="28">
        <v>4</v>
      </c>
      <c r="O15" s="27">
        <f ca="1" t="shared" si="0"/>
        <v>836</v>
      </c>
      <c r="P15" s="67">
        <f t="shared" si="1"/>
        <v>0</v>
      </c>
      <c r="Q15" s="67">
        <f ca="1" t="shared" si="2"/>
        <v>0</v>
      </c>
    </row>
    <row r="16" ht="15.95" customHeight="1" spans="1:17">
      <c r="A16" s="20" t="s">
        <v>1235</v>
      </c>
      <c r="B16" s="296" t="s">
        <v>561</v>
      </c>
      <c r="C16" s="296"/>
      <c r="D16" s="167" t="s">
        <v>434</v>
      </c>
      <c r="E16" s="28">
        <f>A3*8</f>
        <v>8</v>
      </c>
      <c r="F16" s="93">
        <v>0.55</v>
      </c>
      <c r="G16" s="95"/>
      <c r="H16" s="95"/>
      <c r="I16" s="101"/>
      <c r="J16" s="61"/>
      <c r="K16" s="61"/>
      <c r="L16" s="61"/>
      <c r="M16" s="61"/>
      <c r="N16" s="28">
        <v>8</v>
      </c>
      <c r="O16" s="27">
        <f ca="1" t="shared" si="0"/>
        <v>4.4</v>
      </c>
      <c r="P16" s="67">
        <f t="shared" si="1"/>
        <v>0</v>
      </c>
      <c r="Q16" s="67">
        <f ca="1" t="shared" si="2"/>
        <v>0</v>
      </c>
    </row>
    <row r="17" ht="15.95" customHeight="1" spans="1:17">
      <c r="A17" s="20"/>
      <c r="B17" s="296" t="s">
        <v>565</v>
      </c>
      <c r="C17" s="296"/>
      <c r="D17" s="167" t="s">
        <v>434</v>
      </c>
      <c r="E17" s="24">
        <f>A3*8</f>
        <v>8</v>
      </c>
      <c r="F17" s="101">
        <v>0.9</v>
      </c>
      <c r="G17" s="95"/>
      <c r="H17" s="95"/>
      <c r="I17" s="61"/>
      <c r="J17" s="61"/>
      <c r="K17" s="61"/>
      <c r="L17" s="61"/>
      <c r="M17" s="61"/>
      <c r="N17" s="24">
        <v>8</v>
      </c>
      <c r="O17" s="27">
        <f ca="1" t="shared" si="0"/>
        <v>7.2</v>
      </c>
      <c r="P17" s="67">
        <f t="shared" si="1"/>
        <v>0</v>
      </c>
      <c r="Q17" s="67">
        <f ca="1" t="shared" si="2"/>
        <v>0</v>
      </c>
    </row>
    <row r="18" spans="14:17">
      <c r="N18" s="1" t="s">
        <v>1218</v>
      </c>
      <c r="O18" s="1">
        <f ca="1">SUM(O5:O17)</f>
        <v>3445.982599808</v>
      </c>
      <c r="P18" s="1" t="s">
        <v>1219</v>
      </c>
      <c r="Q18" s="3">
        <f ca="1">SUM(Q5:Q17)</f>
        <v>0</v>
      </c>
    </row>
    <row r="19" ht="12.95" customHeight="1" spans="1:2">
      <c r="A19" s="50" t="s">
        <v>1220</v>
      </c>
      <c r="B19" s="51"/>
    </row>
    <row r="20" ht="17.1" customHeight="1" spans="1:15">
      <c r="A20" s="50" t="s">
        <v>1221</v>
      </c>
      <c r="B20" s="51"/>
      <c r="N20" s="1" t="s">
        <v>1236</v>
      </c>
      <c r="O20" s="1">
        <f ca="1">O18+Q18</f>
        <v>3445.982599808</v>
      </c>
    </row>
  </sheetData>
  <mergeCells count="7">
    <mergeCell ref="A1:G1"/>
    <mergeCell ref="A2:E2"/>
    <mergeCell ref="A3:B3"/>
    <mergeCell ref="C3:G3"/>
    <mergeCell ref="A5:A13"/>
    <mergeCell ref="A14:A15"/>
    <mergeCell ref="A16:A17"/>
  </mergeCells>
  <dataValidations count="2">
    <dataValidation allowBlank="1" showInputMessage="1" showErrorMessage="1" sqref="C14 B14:B15"/>
    <dataValidation type="list" allowBlank="1" showInputMessage="1" showErrorMessage="1" sqref="C15">
      <formula1>"围布[白]{全新},围布[白]{A类},围布[白]{B类},围布[白]{C类},围布[白]{D类},透光窗围布[白]{全新},透光窗围布[白]{A类},透光窗围布[白]{B类},透光窗围布[白]{C类},透光窗围布[白]{D类}"</formula1>
    </dataValidation>
  </dataValidations>
  <pageMargins left="0.75" right="0.75" top="1" bottom="1" header="0.509027777777778" footer="0.509027777777778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7030A0"/>
  </sheetPr>
  <dimension ref="A1:G21"/>
  <sheetViews>
    <sheetView showGridLines="0" workbookViewId="0">
      <selection activeCell="E31" sqref="E31"/>
    </sheetView>
  </sheetViews>
  <sheetFormatPr defaultColWidth="9" defaultRowHeight="14.25" outlineLevelCol="6"/>
  <cols>
    <col min="1" max="1" width="21.125" style="1" customWidth="1"/>
    <col min="2" max="2" width="19.125" style="1" customWidth="1"/>
    <col min="3" max="3" width="15.5" style="1" customWidth="1"/>
    <col min="4" max="4" width="11.375" style="1" customWidth="1"/>
    <col min="5" max="5" width="10.5" style="1" customWidth="1"/>
    <col min="6" max="6" width="9" style="1"/>
    <col min="7" max="7" width="12.625" style="1" customWidth="1"/>
    <col min="8" max="16384" width="9" style="1"/>
  </cols>
  <sheetData>
    <row r="1" spans="1:4">
      <c r="A1" s="2" t="str">
        <f ca="1">'数据修改（批量）'!A1</f>
        <v>上海有色铝锭价格</v>
      </c>
      <c r="B1" s="2"/>
      <c r="C1" s="2"/>
      <c r="D1" s="3"/>
    </row>
    <row r="2" spans="1:7">
      <c r="A2" s="4">
        <f ca="1">'数据修改（批量）'!A2</f>
        <v>16200</v>
      </c>
      <c r="B2" s="2" t="str">
        <f ca="1">'数据修改（批量）'!B2</f>
        <v>项目</v>
      </c>
      <c r="C2" s="2" t="str">
        <f ca="1">'数据修改（批量）'!C2</f>
        <v>加工费</v>
      </c>
      <c r="D2" s="2" t="str">
        <f ca="1">'数据修改（批量）'!D2</f>
        <v>包装物</v>
      </c>
      <c r="E2" s="2" t="str">
        <f ca="1">'数据修改（批量）'!E2</f>
        <v>运费</v>
      </c>
      <c r="F2" s="2" t="str">
        <f ca="1">'数据修改（批量）'!F2</f>
        <v>单价</v>
      </c>
      <c r="G2" s="2" t="str">
        <f ca="1">'数据修改（批量）'!G2</f>
        <v>每公斤价格</v>
      </c>
    </row>
    <row r="3" spans="1:7">
      <c r="A3" s="2"/>
      <c r="B3" s="2" t="str">
        <f ca="1">'数据修改（批量）'!B3</f>
        <v>203料</v>
      </c>
      <c r="C3" s="2">
        <f ca="1">'数据修改（批量）'!C3</f>
        <v>5500</v>
      </c>
      <c r="D3" s="2">
        <f ca="1">'数据修改（批量）'!D3</f>
        <v>868</v>
      </c>
      <c r="E3" s="2">
        <f ca="1">'数据修改（批量）'!E3</f>
        <v>80</v>
      </c>
      <c r="F3" s="2">
        <f ca="1">'数据修改（批量）'!F3</f>
        <v>22648</v>
      </c>
      <c r="G3" s="2">
        <f ca="1">'数据修改（批量）'!G3</f>
        <v>22.648</v>
      </c>
    </row>
    <row r="4" spans="1:7">
      <c r="A4" s="2"/>
      <c r="B4" s="2" t="str">
        <f ca="1">'数据修改（批量）'!B4</f>
        <v>203料氧化</v>
      </c>
      <c r="C4" s="2">
        <f ca="1">'数据修改（批量）'!C4</f>
        <v>6000</v>
      </c>
      <c r="D4" s="2">
        <f ca="1">'数据修改（批量）'!D4</f>
        <v>888</v>
      </c>
      <c r="E4" s="2">
        <f ca="1">'数据修改（批量）'!E4</f>
        <v>80</v>
      </c>
      <c r="F4" s="2">
        <f ca="1">'数据修改（批量）'!F4</f>
        <v>23168</v>
      </c>
      <c r="G4" s="2">
        <f ca="1">'数据修改（批量）'!G4</f>
        <v>23.168</v>
      </c>
    </row>
    <row r="5" spans="2:7">
      <c r="B5" s="2" t="str">
        <f ca="1">'数据修改（批量）'!B5</f>
        <v>小料加工费</v>
      </c>
      <c r="C5" s="2">
        <f ca="1">'数据修改（批量）'!C5</f>
        <v>4500</v>
      </c>
      <c r="D5" s="2">
        <f ca="1">'数据修改（批量）'!D5</f>
        <v>828</v>
      </c>
      <c r="E5" s="2">
        <f ca="1">'数据修改（批量）'!E5</f>
        <v>80</v>
      </c>
      <c r="F5" s="2">
        <f ca="1">'数据修改（批量）'!F5</f>
        <v>21608</v>
      </c>
      <c r="G5" s="2">
        <f ca="1">'数据修改（批量）'!G5</f>
        <v>21.608</v>
      </c>
    </row>
    <row r="6" spans="1:4">
      <c r="A6" s="2" t="str">
        <f ca="1">'数据修改（批量）'!A6</f>
        <v>南海有色铝锭价格</v>
      </c>
      <c r="D6" s="5"/>
    </row>
    <row r="7" spans="1:1">
      <c r="A7" s="4">
        <f ca="1">'数据修改（批量）'!A7</f>
        <v>16600</v>
      </c>
    </row>
    <row r="8" spans="2:7">
      <c r="B8" s="2" t="str">
        <f ca="1">'数据修改（批量）'!B8</f>
        <v>项目</v>
      </c>
      <c r="C8" s="2" t="str">
        <f ca="1">'数据修改（批量）'!C8</f>
        <v>加工费</v>
      </c>
      <c r="D8" s="2" t="str">
        <f ca="1">'数据修改（批量）'!D8</f>
        <v>包装物</v>
      </c>
      <c r="E8" s="2" t="str">
        <f ca="1">'数据修改（批量）'!E8</f>
        <v>运费</v>
      </c>
      <c r="F8" s="2" t="str">
        <f ca="1">'数据修改（批量）'!F8</f>
        <v>单价</v>
      </c>
      <c r="G8" s="2" t="str">
        <f ca="1">'数据修改（批量）'!G8</f>
        <v>每公斤价格</v>
      </c>
    </row>
    <row r="9" spans="2:7">
      <c r="B9" s="2" t="str">
        <f ca="1">'数据修改（批量）'!B9</f>
        <v>300/350料8米以上</v>
      </c>
      <c r="C9" s="2">
        <f ca="1">'数据修改（批量）'!C9</f>
        <v>7800</v>
      </c>
      <c r="D9" s="2">
        <f ca="1">'数据修改（批量）'!D9</f>
        <v>976</v>
      </c>
      <c r="E9" s="2">
        <f ca="1">'数据修改（批量）'!E9</f>
        <v>1000</v>
      </c>
      <c r="F9" s="2">
        <f ca="1">'数据修改（批量）'!F9</f>
        <v>26376</v>
      </c>
      <c r="G9" s="2">
        <f ca="1">'数据修改（批量）'!G9</f>
        <v>26.376</v>
      </c>
    </row>
    <row r="10" spans="2:7">
      <c r="B10" s="2" t="str">
        <f ca="1">'数据修改（批量）'!B10</f>
        <v>300/350料8米以下</v>
      </c>
      <c r="C10" s="2">
        <f ca="1">'数据修改（批量）'!C10</f>
        <v>7100</v>
      </c>
      <c r="D10" s="2">
        <f ca="1">'数据修改（批量）'!D10</f>
        <v>948</v>
      </c>
      <c r="E10" s="2">
        <f ca="1">'数据修改（批量）'!E10</f>
        <v>1000</v>
      </c>
      <c r="F10" s="2">
        <f ca="1">'数据修改（批量）'!F10</f>
        <v>25648</v>
      </c>
      <c r="G10" s="2">
        <f ca="1">'数据修改（批量）'!G10</f>
        <v>25.648</v>
      </c>
    </row>
    <row r="12" spans="1:4">
      <c r="A12" s="2" t="str">
        <f ca="1">'数据修改（批量）'!A12</f>
        <v>篷布</v>
      </c>
      <c r="B12" s="2"/>
      <c r="C12" s="2"/>
      <c r="D12" s="3"/>
    </row>
    <row r="13" spans="1:7">
      <c r="A13" s="2"/>
      <c r="B13" s="2" t="str">
        <f ca="1">'数据修改（批量）'!B13</f>
        <v>项目</v>
      </c>
      <c r="C13" s="2" t="str">
        <f ca="1">'数据修改（批量）'!C13</f>
        <v>运费</v>
      </c>
      <c r="D13" s="2" t="str">
        <f ca="1">'数据修改（批量）'!D13</f>
        <v>单价</v>
      </c>
      <c r="E13" s="2" t="str">
        <f ca="1">'数据修改（批量）'!E13</f>
        <v>每平价格</v>
      </c>
      <c r="F13" s="2"/>
      <c r="G13" s="2"/>
    </row>
    <row r="14" spans="1:7">
      <c r="A14" s="2"/>
      <c r="B14" s="2">
        <f ca="1">'数据修改（批量）'!B14</f>
        <v>650</v>
      </c>
      <c r="C14" s="2">
        <f ca="1">'数据修改（批量）'!C14</f>
        <v>0.5</v>
      </c>
      <c r="D14" s="4">
        <f ca="1">'数据修改（批量）'!D14</f>
        <v>13.8</v>
      </c>
      <c r="E14" s="2">
        <f ca="1">'数据修改（批量）'!E14</f>
        <v>14.3</v>
      </c>
      <c r="F14" s="2"/>
      <c r="G14" s="2"/>
    </row>
    <row r="15" spans="1:7">
      <c r="A15" s="2"/>
      <c r="B15" s="2">
        <f ca="1">'数据修改（批量）'!B15</f>
        <v>780</v>
      </c>
      <c r="C15" s="2">
        <f ca="1">'数据修改（批量）'!C15</f>
        <v>0.5</v>
      </c>
      <c r="D15" s="4">
        <f ca="1">'数据修改（批量）'!D15</f>
        <v>16.8</v>
      </c>
      <c r="E15" s="2">
        <f ca="1">'数据修改（批量）'!E15</f>
        <v>17.3</v>
      </c>
      <c r="F15" s="2"/>
      <c r="G15" s="2"/>
    </row>
    <row r="16" spans="2:7">
      <c r="B16" s="2">
        <f ca="1">'数据修改（批量）'!B16</f>
        <v>850</v>
      </c>
      <c r="C16" s="2">
        <f ca="1">'数据修改（批量）'!C16</f>
        <v>0.5</v>
      </c>
      <c r="D16" s="4">
        <f ca="1">'数据修改（批量）'!D16</f>
        <v>18</v>
      </c>
      <c r="E16" s="2">
        <f ca="1">'数据修改（批量）'!E16</f>
        <v>18.5</v>
      </c>
      <c r="F16" s="2"/>
      <c r="G16" s="2"/>
    </row>
    <row r="21" spans="1:7">
      <c r="A21" s="6" t="str">
        <f ca="1">'数据修改（批量）'!A21</f>
        <v>说明：黄色部分可以根据价格修改</v>
      </c>
      <c r="B21" s="6"/>
      <c r="C21" s="6"/>
      <c r="D21" s="6"/>
      <c r="E21" s="6"/>
      <c r="F21" s="6"/>
      <c r="G21" s="6"/>
    </row>
  </sheetData>
  <mergeCells count="1">
    <mergeCell ref="A21:G21"/>
  </mergeCells>
  <pageMargins left="0.75" right="0.75" top="1" bottom="1" header="0.509027777777778" footer="0.509027777777778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FF0000"/>
  </sheetPr>
  <dimension ref="A1:Q22"/>
  <sheetViews>
    <sheetView showGridLines="0" workbookViewId="0">
      <selection activeCell="E31" sqref="E31"/>
    </sheetView>
  </sheetViews>
  <sheetFormatPr defaultColWidth="9" defaultRowHeight="14.25"/>
  <cols>
    <col min="1" max="1" width="4.125" style="1" customWidth="1"/>
    <col min="2" max="2" width="17.375" style="1" customWidth="1"/>
    <col min="3" max="3" width="9.5" style="1" customWidth="1"/>
    <col min="4" max="4" width="9.5" style="51" customWidth="1"/>
    <col min="5" max="5" width="9.5" style="3" customWidth="1"/>
    <col min="6" max="7" width="9.5" style="1" customWidth="1"/>
    <col min="8" max="16384" width="9" style="1"/>
  </cols>
  <sheetData>
    <row r="1" ht="20.1" customHeight="1" spans="1:7">
      <c r="A1" s="291" t="s">
        <v>1238</v>
      </c>
      <c r="B1" s="291"/>
      <c r="C1" s="291"/>
      <c r="D1" s="292"/>
      <c r="E1" s="291"/>
      <c r="F1" s="291"/>
      <c r="G1" s="291"/>
    </row>
    <row r="2" ht="24" customHeight="1" spans="1:10">
      <c r="A2" s="141" t="s">
        <v>1239</v>
      </c>
      <c r="B2" s="141"/>
      <c r="C2" s="141"/>
      <c r="D2" s="11"/>
      <c r="E2" s="9"/>
      <c r="F2" s="11" t="s">
        <v>1198</v>
      </c>
      <c r="G2" s="11">
        <f>5*5*A3</f>
        <v>25</v>
      </c>
      <c r="H2" s="55"/>
      <c r="I2" s="55"/>
      <c r="J2" s="3"/>
    </row>
    <row r="3" ht="17.1" customHeight="1" spans="1:10">
      <c r="A3" s="165">
        <v>1</v>
      </c>
      <c r="B3" s="165"/>
      <c r="C3" s="293" t="s">
        <v>1199</v>
      </c>
      <c r="D3" s="294"/>
      <c r="E3" s="294"/>
      <c r="F3" s="294"/>
      <c r="G3" s="295"/>
      <c r="H3" s="55"/>
      <c r="I3" s="55"/>
      <c r="J3" s="3"/>
    </row>
    <row r="4" ht="36" spans="1:17">
      <c r="A4" s="165" t="s">
        <v>1200</v>
      </c>
      <c r="B4" s="75" t="s">
        <v>1201</v>
      </c>
      <c r="C4" s="75" t="s">
        <v>1202</v>
      </c>
      <c r="D4" s="75" t="s">
        <v>22</v>
      </c>
      <c r="E4" s="75" t="s">
        <v>1203</v>
      </c>
      <c r="F4" s="75" t="s">
        <v>1204</v>
      </c>
      <c r="G4" s="75" t="s">
        <v>1205</v>
      </c>
      <c r="H4" s="165" t="s">
        <v>1206</v>
      </c>
      <c r="I4" s="165" t="s">
        <v>1207</v>
      </c>
      <c r="J4" s="165" t="s">
        <v>1208</v>
      </c>
      <c r="K4" s="75" t="s">
        <v>1209</v>
      </c>
      <c r="L4" s="165" t="s">
        <v>1210</v>
      </c>
      <c r="M4" s="75" t="s">
        <v>1211</v>
      </c>
      <c r="N4" s="164" t="s">
        <v>1212</v>
      </c>
      <c r="O4" s="165" t="s">
        <v>1213</v>
      </c>
      <c r="P4" s="165" t="s">
        <v>1214</v>
      </c>
      <c r="Q4" s="75" t="s">
        <v>1213</v>
      </c>
    </row>
    <row r="5" ht="15.95" customHeight="1" spans="1:17">
      <c r="A5" s="20" t="s">
        <v>1215</v>
      </c>
      <c r="B5" s="296" t="s">
        <v>1224</v>
      </c>
      <c r="C5" s="296"/>
      <c r="D5" s="167" t="s">
        <v>28</v>
      </c>
      <c r="E5" s="24">
        <f>A3*4</f>
        <v>4</v>
      </c>
      <c r="F5" s="93">
        <f ca="1">I5+J5+K5+L5+M5</f>
        <v>123.67382016</v>
      </c>
      <c r="G5" s="148">
        <v>2.4</v>
      </c>
      <c r="H5" s="148">
        <v>2.168</v>
      </c>
      <c r="I5" s="101">
        <f ca="1">G5*H5*'5米（尖顶）参数'!G5*1.1</f>
        <v>123.67382016</v>
      </c>
      <c r="J5" s="101"/>
      <c r="K5" s="101"/>
      <c r="L5" s="101"/>
      <c r="M5" s="101"/>
      <c r="N5" s="167">
        <v>4</v>
      </c>
      <c r="O5" s="67">
        <f ca="1" t="shared" ref="O5:O19" si="0">N5*F5</f>
        <v>494.69528064</v>
      </c>
      <c r="P5" s="67">
        <f t="shared" ref="P5:P19" si="1">E5-N5</f>
        <v>0</v>
      </c>
      <c r="Q5" s="67">
        <f ca="1" t="shared" ref="Q5:Q19" si="2">P5*F5</f>
        <v>0</v>
      </c>
    </row>
    <row r="6" ht="15.95" customHeight="1" spans="1:17">
      <c r="A6" s="20"/>
      <c r="B6" s="296" t="s">
        <v>1225</v>
      </c>
      <c r="C6" s="296"/>
      <c r="D6" s="167" t="s">
        <v>28</v>
      </c>
      <c r="E6" s="24">
        <f>A3*4</f>
        <v>4</v>
      </c>
      <c r="F6" s="93">
        <f ca="1">I6+J6+K6+L6+M6</f>
        <v>251.92417824</v>
      </c>
      <c r="G6" s="148">
        <v>4.85</v>
      </c>
      <c r="H6" s="148">
        <v>2.168</v>
      </c>
      <c r="I6" s="101">
        <f ca="1">G6*H6*'5米（尖顶）参数'!G5*1.1</f>
        <v>249.92417824</v>
      </c>
      <c r="J6" s="101"/>
      <c r="K6" s="101"/>
      <c r="L6" s="101">
        <v>2</v>
      </c>
      <c r="M6" s="101"/>
      <c r="N6" s="167">
        <v>4</v>
      </c>
      <c r="O6" s="67">
        <f ca="1" t="shared" si="0"/>
        <v>1007.69671296</v>
      </c>
      <c r="P6" s="67">
        <f t="shared" si="1"/>
        <v>0</v>
      </c>
      <c r="Q6" s="67">
        <f ca="1" t="shared" si="2"/>
        <v>0</v>
      </c>
    </row>
    <row r="7" ht="15.95" customHeight="1" spans="1:17">
      <c r="A7" s="20"/>
      <c r="B7" s="296" t="s">
        <v>1226</v>
      </c>
      <c r="C7" s="296"/>
      <c r="D7" s="167" t="s">
        <v>28</v>
      </c>
      <c r="E7" s="24">
        <f>A3*4</f>
        <v>4</v>
      </c>
      <c r="F7" s="93">
        <f ca="1">I7+J7+K7+L7+M7</f>
        <v>70.994788648</v>
      </c>
      <c r="G7" s="148">
        <v>3.51</v>
      </c>
      <c r="H7" s="148">
        <v>0.821</v>
      </c>
      <c r="I7" s="101">
        <f ca="1">G7*H7*'5米（尖顶）参数'!G5*1.1</f>
        <v>68.494788648</v>
      </c>
      <c r="J7" s="101"/>
      <c r="K7" s="101"/>
      <c r="L7" s="101">
        <v>1</v>
      </c>
      <c r="M7" s="101">
        <v>1.5</v>
      </c>
      <c r="N7" s="167">
        <v>4</v>
      </c>
      <c r="O7" s="67">
        <f ca="1" t="shared" si="0"/>
        <v>283.979154592</v>
      </c>
      <c r="P7" s="67">
        <f t="shared" si="1"/>
        <v>0</v>
      </c>
      <c r="Q7" s="67">
        <f ca="1" t="shared" si="2"/>
        <v>0</v>
      </c>
    </row>
    <row r="8" ht="15.95" customHeight="1" spans="1:17">
      <c r="A8" s="20"/>
      <c r="B8" s="296" t="s">
        <v>1227</v>
      </c>
      <c r="C8" s="296"/>
      <c r="D8" s="167" t="s">
        <v>28</v>
      </c>
      <c r="E8" s="28">
        <f>A3</f>
        <v>1</v>
      </c>
      <c r="F8" s="93">
        <v>39.8</v>
      </c>
      <c r="G8" s="95"/>
      <c r="H8" s="95"/>
      <c r="I8" s="61"/>
      <c r="J8" s="61"/>
      <c r="K8" s="61"/>
      <c r="L8" s="61"/>
      <c r="M8" s="61"/>
      <c r="N8" s="167">
        <v>1</v>
      </c>
      <c r="O8" s="67">
        <f ca="1" t="shared" si="0"/>
        <v>39.8</v>
      </c>
      <c r="P8" s="67">
        <f t="shared" si="1"/>
        <v>0</v>
      </c>
      <c r="Q8" s="67">
        <f ca="1" t="shared" si="2"/>
        <v>0</v>
      </c>
    </row>
    <row r="9" ht="15.95" customHeight="1" spans="1:17">
      <c r="A9" s="20"/>
      <c r="B9" s="296" t="s">
        <v>537</v>
      </c>
      <c r="C9" s="296"/>
      <c r="D9" s="167" t="s">
        <v>28</v>
      </c>
      <c r="E9" s="24">
        <f>A3</f>
        <v>1</v>
      </c>
      <c r="F9" s="93">
        <v>51.75</v>
      </c>
      <c r="G9" s="148"/>
      <c r="H9" s="148"/>
      <c r="I9" s="101"/>
      <c r="J9" s="101"/>
      <c r="K9" s="101"/>
      <c r="L9" s="101"/>
      <c r="M9" s="101"/>
      <c r="N9" s="167">
        <v>1</v>
      </c>
      <c r="O9" s="67">
        <f ca="1" t="shared" si="0"/>
        <v>51.75</v>
      </c>
      <c r="P9" s="67">
        <f t="shared" si="1"/>
        <v>0</v>
      </c>
      <c r="Q9" s="67">
        <f ca="1" t="shared" si="2"/>
        <v>0</v>
      </c>
    </row>
    <row r="10" ht="15.95" customHeight="1" spans="1:17">
      <c r="A10" s="20"/>
      <c r="B10" s="296" t="s">
        <v>1228</v>
      </c>
      <c r="C10" s="296"/>
      <c r="D10" s="167" t="s">
        <v>555</v>
      </c>
      <c r="E10" s="24">
        <f>A3*4</f>
        <v>4</v>
      </c>
      <c r="F10" s="93">
        <v>10.9</v>
      </c>
      <c r="G10" s="148"/>
      <c r="H10" s="148"/>
      <c r="I10" s="101"/>
      <c r="J10" s="101"/>
      <c r="K10" s="101"/>
      <c r="L10" s="101"/>
      <c r="M10" s="101"/>
      <c r="N10" s="169">
        <v>4</v>
      </c>
      <c r="O10" s="67">
        <f ca="1" t="shared" si="0"/>
        <v>43.6</v>
      </c>
      <c r="P10" s="67">
        <f t="shared" si="1"/>
        <v>0</v>
      </c>
      <c r="Q10" s="67">
        <f ca="1" t="shared" si="2"/>
        <v>0</v>
      </c>
    </row>
    <row r="11" ht="15.95" customHeight="1" spans="1:17">
      <c r="A11" s="20"/>
      <c r="B11" s="296" t="s">
        <v>1240</v>
      </c>
      <c r="C11" s="296"/>
      <c r="D11" s="167" t="s">
        <v>434</v>
      </c>
      <c r="E11" s="24">
        <f>A3*4</f>
        <v>4</v>
      </c>
      <c r="F11" s="93">
        <v>25</v>
      </c>
      <c r="G11" s="148"/>
      <c r="H11" s="148"/>
      <c r="I11" s="101"/>
      <c r="J11" s="101"/>
      <c r="K11" s="101"/>
      <c r="L11" s="101"/>
      <c r="M11" s="101"/>
      <c r="N11" s="169">
        <v>4</v>
      </c>
      <c r="O11" s="67">
        <f ca="1" t="shared" si="0"/>
        <v>100</v>
      </c>
      <c r="P11" s="67">
        <f t="shared" si="1"/>
        <v>0</v>
      </c>
      <c r="Q11" s="67">
        <f ca="1" t="shared" si="2"/>
        <v>0</v>
      </c>
    </row>
    <row r="12" ht="15.95" customHeight="1" spans="1:17">
      <c r="A12" s="20"/>
      <c r="B12" s="296" t="s">
        <v>531</v>
      </c>
      <c r="C12" s="296"/>
      <c r="D12" s="167" t="s">
        <v>434</v>
      </c>
      <c r="E12" s="24">
        <f>A3*4</f>
        <v>4</v>
      </c>
      <c r="F12" s="93">
        <v>48.3</v>
      </c>
      <c r="G12" s="192"/>
      <c r="H12" s="148"/>
      <c r="I12" s="202"/>
      <c r="J12" s="101"/>
      <c r="K12" s="101"/>
      <c r="L12" s="101"/>
      <c r="M12" s="101"/>
      <c r="N12" s="167">
        <v>4</v>
      </c>
      <c r="O12" s="67">
        <f ca="1" t="shared" si="0"/>
        <v>193.2</v>
      </c>
      <c r="P12" s="67">
        <f t="shared" si="1"/>
        <v>0</v>
      </c>
      <c r="Q12" s="67">
        <f ca="1" t="shared" si="2"/>
        <v>0</v>
      </c>
    </row>
    <row r="13" ht="15.95" customHeight="1" spans="1:17">
      <c r="A13" s="20"/>
      <c r="B13" s="296" t="s">
        <v>1229</v>
      </c>
      <c r="C13" s="296"/>
      <c r="D13" s="167" t="s">
        <v>434</v>
      </c>
      <c r="E13" s="24">
        <f>A3*8</f>
        <v>8</v>
      </c>
      <c r="F13" s="93">
        <v>7</v>
      </c>
      <c r="G13" s="192"/>
      <c r="H13" s="148"/>
      <c r="I13" s="101"/>
      <c r="J13" s="101"/>
      <c r="K13" s="101"/>
      <c r="L13" s="101"/>
      <c r="M13" s="101"/>
      <c r="N13" s="167">
        <v>8</v>
      </c>
      <c r="O13" s="67">
        <f ca="1" t="shared" si="0"/>
        <v>56</v>
      </c>
      <c r="P13" s="67">
        <f t="shared" si="1"/>
        <v>0</v>
      </c>
      <c r="Q13" s="67">
        <f ca="1" t="shared" si="2"/>
        <v>0</v>
      </c>
    </row>
    <row r="14" ht="15.95" customHeight="1" spans="1:17">
      <c r="A14" s="20"/>
      <c r="B14" s="296" t="s">
        <v>1230</v>
      </c>
      <c r="C14" s="296"/>
      <c r="D14" s="167" t="s">
        <v>28</v>
      </c>
      <c r="E14" s="24">
        <f>A3*4</f>
        <v>4</v>
      </c>
      <c r="F14" s="93">
        <v>27</v>
      </c>
      <c r="G14" s="148"/>
      <c r="H14" s="148"/>
      <c r="I14" s="101"/>
      <c r="J14" s="101"/>
      <c r="K14" s="101"/>
      <c r="L14" s="101"/>
      <c r="M14" s="101"/>
      <c r="N14" s="167">
        <v>4</v>
      </c>
      <c r="O14" s="67">
        <f ca="1" t="shared" si="0"/>
        <v>108</v>
      </c>
      <c r="P14" s="67">
        <f t="shared" si="1"/>
        <v>0</v>
      </c>
      <c r="Q14" s="67">
        <f ca="1" t="shared" si="2"/>
        <v>0</v>
      </c>
    </row>
    <row r="15" ht="15.95" customHeight="1" spans="1:17">
      <c r="A15" s="20" t="s">
        <v>13</v>
      </c>
      <c r="B15" s="91" t="s">
        <v>1231</v>
      </c>
      <c r="C15" s="91"/>
      <c r="D15" s="167" t="s">
        <v>612</v>
      </c>
      <c r="E15" s="28">
        <f>A3</f>
        <v>1</v>
      </c>
      <c r="F15" s="93">
        <v>880</v>
      </c>
      <c r="G15" s="148"/>
      <c r="H15" s="148"/>
      <c r="I15" s="101"/>
      <c r="J15" s="101"/>
      <c r="K15" s="101"/>
      <c r="L15" s="101"/>
      <c r="M15" s="101"/>
      <c r="N15" s="167">
        <v>1</v>
      </c>
      <c r="O15" s="67">
        <f ca="1" t="shared" si="0"/>
        <v>880</v>
      </c>
      <c r="P15" s="67">
        <f t="shared" si="1"/>
        <v>0</v>
      </c>
      <c r="Q15" s="67">
        <f ca="1" t="shared" si="2"/>
        <v>0</v>
      </c>
    </row>
    <row r="16" ht="15.95" customHeight="1" spans="1:17">
      <c r="A16" s="20"/>
      <c r="B16" s="91" t="s">
        <v>1232</v>
      </c>
      <c r="C16" s="91"/>
      <c r="D16" s="167" t="s">
        <v>664</v>
      </c>
      <c r="E16" s="28">
        <f>A3*4</f>
        <v>4</v>
      </c>
      <c r="F16" s="93">
        <v>237.6</v>
      </c>
      <c r="G16" s="95"/>
      <c r="H16" s="95"/>
      <c r="I16" s="61"/>
      <c r="J16" s="61"/>
      <c r="K16" s="61"/>
      <c r="L16" s="61"/>
      <c r="M16" s="61"/>
      <c r="N16" s="167">
        <v>4</v>
      </c>
      <c r="O16" s="67">
        <f ca="1" t="shared" si="0"/>
        <v>950.4</v>
      </c>
      <c r="P16" s="67">
        <f t="shared" si="1"/>
        <v>0</v>
      </c>
      <c r="Q16" s="67">
        <f ca="1" t="shared" si="2"/>
        <v>0</v>
      </c>
    </row>
    <row r="17" ht="15.95" customHeight="1" spans="1:17">
      <c r="A17" s="20" t="s">
        <v>1235</v>
      </c>
      <c r="B17" s="296" t="s">
        <v>561</v>
      </c>
      <c r="C17" s="296"/>
      <c r="D17" s="167" t="s">
        <v>434</v>
      </c>
      <c r="E17" s="28">
        <f>A3*8</f>
        <v>8</v>
      </c>
      <c r="F17" s="93">
        <v>0.55</v>
      </c>
      <c r="G17" s="95"/>
      <c r="H17" s="95"/>
      <c r="I17" s="61"/>
      <c r="J17" s="61"/>
      <c r="K17" s="61"/>
      <c r="L17" s="61"/>
      <c r="M17" s="61"/>
      <c r="N17" s="167">
        <v>8</v>
      </c>
      <c r="O17" s="67">
        <f ca="1" t="shared" si="0"/>
        <v>4.4</v>
      </c>
      <c r="P17" s="67">
        <f t="shared" si="1"/>
        <v>0</v>
      </c>
      <c r="Q17" s="67">
        <f ca="1" t="shared" si="2"/>
        <v>0</v>
      </c>
    </row>
    <row r="18" ht="15.95" customHeight="1" spans="1:17">
      <c r="A18" s="20"/>
      <c r="B18" s="296" t="s">
        <v>565</v>
      </c>
      <c r="C18" s="296"/>
      <c r="D18" s="167" t="s">
        <v>434</v>
      </c>
      <c r="E18" s="28">
        <v>8</v>
      </c>
      <c r="F18" s="93">
        <v>0.9</v>
      </c>
      <c r="G18" s="95"/>
      <c r="H18" s="95"/>
      <c r="I18" s="61"/>
      <c r="J18" s="61"/>
      <c r="K18" s="61"/>
      <c r="L18" s="61"/>
      <c r="M18" s="61"/>
      <c r="N18" s="167">
        <v>8</v>
      </c>
      <c r="O18" s="67">
        <f ca="1" t="shared" si="0"/>
        <v>7.2</v>
      </c>
      <c r="P18" s="67">
        <f t="shared" si="1"/>
        <v>0</v>
      </c>
      <c r="Q18" s="67">
        <f ca="1" t="shared" si="2"/>
        <v>0</v>
      </c>
    </row>
    <row r="19" ht="15.95" customHeight="1" spans="1:17">
      <c r="A19" s="20"/>
      <c r="B19" s="296" t="s">
        <v>557</v>
      </c>
      <c r="C19" s="296"/>
      <c r="D19" s="167" t="s">
        <v>434</v>
      </c>
      <c r="E19" s="24">
        <f>A3*12</f>
        <v>12</v>
      </c>
      <c r="F19" s="93">
        <v>0.2</v>
      </c>
      <c r="G19" s="95"/>
      <c r="H19" s="95"/>
      <c r="I19" s="61"/>
      <c r="J19" s="61"/>
      <c r="K19" s="61"/>
      <c r="L19" s="61"/>
      <c r="M19" s="61"/>
      <c r="N19" s="167">
        <v>12</v>
      </c>
      <c r="O19" s="67">
        <f ca="1" t="shared" si="0"/>
        <v>2.4</v>
      </c>
      <c r="P19" s="67">
        <f t="shared" si="1"/>
        <v>0</v>
      </c>
      <c r="Q19" s="67">
        <f ca="1" t="shared" si="2"/>
        <v>0</v>
      </c>
    </row>
    <row r="20" spans="14:17">
      <c r="N20" s="1" t="s">
        <v>1218</v>
      </c>
      <c r="O20" s="1">
        <f ca="1">SUM(O5:O19)</f>
        <v>4223.121148192</v>
      </c>
      <c r="P20" s="1" t="s">
        <v>1219</v>
      </c>
      <c r="Q20" s="84">
        <f ca="1">SUM(Q5:Q19)</f>
        <v>0</v>
      </c>
    </row>
    <row r="21" ht="13.5" spans="1:1">
      <c r="A21" s="50" t="s">
        <v>1220</v>
      </c>
    </row>
    <row r="22" spans="1:15">
      <c r="A22" s="50" t="s">
        <v>1221</v>
      </c>
      <c r="N22" s="1" t="s">
        <v>1236</v>
      </c>
      <c r="O22" s="1">
        <f ca="1">O20+Q20</f>
        <v>4223.121148192</v>
      </c>
    </row>
  </sheetData>
  <mergeCells count="7">
    <mergeCell ref="A1:G1"/>
    <mergeCell ref="A2:E2"/>
    <mergeCell ref="A3:B3"/>
    <mergeCell ref="C3:G3"/>
    <mergeCell ref="A5:A14"/>
    <mergeCell ref="A15:A16"/>
    <mergeCell ref="A17:A19"/>
  </mergeCells>
  <dataValidations count="1">
    <dataValidation allowBlank="1" showInputMessage="1" showErrorMessage="1" sqref="B15:B16 C15:C16"/>
  </dataValidations>
  <printOptions horizontalCentered="1"/>
  <pageMargins left="0" right="0" top="0.979166666666667" bottom="0" header="0" footer="0"/>
  <pageSetup paperSize="9" scale="120" orientation="portrait" verticalDpi="1200"/>
  <headerFooter alignWithMargins="0">
    <oddHeader>&amp;C&amp;"方正姚体,加粗"&amp;12 高山篷房制造（沈阳）有限公司   &amp;R&amp;"黑体,加粗"&amp;12 400-024-1800</oddHeader>
    <oddFooter>&amp;C共&amp;N页/第&amp;P页&amp;R&amp;D/&amp;T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FF0000"/>
  </sheetPr>
  <dimension ref="A1:Q22"/>
  <sheetViews>
    <sheetView showGridLines="0" workbookViewId="0">
      <selection activeCell="E31" sqref="E31"/>
    </sheetView>
  </sheetViews>
  <sheetFormatPr defaultColWidth="9" defaultRowHeight="14.25"/>
  <cols>
    <col min="1" max="1" width="4.125" style="1" customWidth="1"/>
    <col min="2" max="2" width="17.375" style="1" customWidth="1"/>
    <col min="3" max="3" width="9.5" style="1" customWidth="1"/>
    <col min="4" max="4" width="9.5" style="51" customWidth="1"/>
    <col min="5" max="5" width="9.5" style="3" customWidth="1"/>
    <col min="6" max="7" width="9.5" style="1" customWidth="1"/>
    <col min="8" max="16384" width="9" style="1"/>
  </cols>
  <sheetData>
    <row r="1" ht="20.1" customHeight="1" spans="1:7">
      <c r="A1" s="291" t="s">
        <v>1241</v>
      </c>
      <c r="B1" s="291"/>
      <c r="C1" s="291"/>
      <c r="D1" s="292"/>
      <c r="E1" s="291"/>
      <c r="F1" s="291"/>
      <c r="G1" s="291"/>
    </row>
    <row r="2" ht="24" customHeight="1" spans="1:10">
      <c r="A2" s="141" t="s">
        <v>1239</v>
      </c>
      <c r="B2" s="141"/>
      <c r="C2" s="141"/>
      <c r="D2" s="11"/>
      <c r="E2" s="9"/>
      <c r="F2" s="11" t="s">
        <v>1198</v>
      </c>
      <c r="G2" s="11">
        <f>5*5*A3</f>
        <v>25</v>
      </c>
      <c r="H2" s="55"/>
      <c r="I2" s="55"/>
      <c r="J2" s="3"/>
    </row>
    <row r="3" ht="17.1" customHeight="1" spans="1:10">
      <c r="A3" s="165">
        <v>1</v>
      </c>
      <c r="B3" s="165"/>
      <c r="C3" s="293" t="s">
        <v>1199</v>
      </c>
      <c r="D3" s="294"/>
      <c r="E3" s="294"/>
      <c r="F3" s="294"/>
      <c r="G3" s="295"/>
      <c r="H3" s="55"/>
      <c r="I3" s="55"/>
      <c r="J3" s="3"/>
    </row>
    <row r="4" ht="36" spans="1:17">
      <c r="A4" s="165" t="s">
        <v>1200</v>
      </c>
      <c r="B4" s="75" t="s">
        <v>1201</v>
      </c>
      <c r="C4" s="75" t="s">
        <v>1202</v>
      </c>
      <c r="D4" s="75" t="s">
        <v>22</v>
      </c>
      <c r="E4" s="75" t="s">
        <v>1203</v>
      </c>
      <c r="F4" s="75" t="s">
        <v>1204</v>
      </c>
      <c r="G4" s="75" t="s">
        <v>1205</v>
      </c>
      <c r="H4" s="165" t="s">
        <v>1206</v>
      </c>
      <c r="I4" s="165" t="s">
        <v>1207</v>
      </c>
      <c r="J4" s="165" t="s">
        <v>1208</v>
      </c>
      <c r="K4" s="75" t="s">
        <v>1209</v>
      </c>
      <c r="L4" s="165" t="s">
        <v>1210</v>
      </c>
      <c r="M4" s="75" t="s">
        <v>1211</v>
      </c>
      <c r="N4" s="164" t="s">
        <v>1212</v>
      </c>
      <c r="O4" s="165" t="s">
        <v>1213</v>
      </c>
      <c r="P4" s="165" t="s">
        <v>1214</v>
      </c>
      <c r="Q4" s="75" t="s">
        <v>1213</v>
      </c>
    </row>
    <row r="5" ht="15.95" customHeight="1" spans="1:17">
      <c r="A5" s="20" t="s">
        <v>1215</v>
      </c>
      <c r="B5" s="296" t="s">
        <v>1224</v>
      </c>
      <c r="C5" s="296"/>
      <c r="D5" s="167" t="s">
        <v>28</v>
      </c>
      <c r="E5" s="24">
        <f>A3*4</f>
        <v>4</v>
      </c>
      <c r="F5" s="93">
        <f ca="1">I5+J5+K5+L5+M5</f>
        <v>156.13249344</v>
      </c>
      <c r="G5" s="148">
        <v>2.4</v>
      </c>
      <c r="H5" s="148">
        <v>2.737</v>
      </c>
      <c r="I5" s="101">
        <f ca="1">G5*H5*'5米（尖顶）参数'!G5*1.1</f>
        <v>156.13249344</v>
      </c>
      <c r="J5" s="101"/>
      <c r="K5" s="101"/>
      <c r="L5" s="101"/>
      <c r="M5" s="101"/>
      <c r="N5" s="167">
        <v>4</v>
      </c>
      <c r="O5" s="67">
        <f ca="1" t="shared" ref="O5:O19" si="0">N5*F5</f>
        <v>624.52997376</v>
      </c>
      <c r="P5" s="67">
        <f t="shared" ref="P5:P19" si="1">E5-N5</f>
        <v>0</v>
      </c>
      <c r="Q5" s="67">
        <f ca="1" t="shared" ref="Q5:Q19" si="2">P5*F5</f>
        <v>0</v>
      </c>
    </row>
    <row r="6" ht="15.95" customHeight="1" spans="1:17">
      <c r="A6" s="20"/>
      <c r="B6" s="296" t="s">
        <v>1225</v>
      </c>
      <c r="C6" s="296"/>
      <c r="D6" s="167" t="s">
        <v>28</v>
      </c>
      <c r="E6" s="24">
        <f>A3*4</f>
        <v>4</v>
      </c>
      <c r="F6" s="93">
        <f ca="1">I6+J6+K6+L6+M6</f>
        <v>317.51774716</v>
      </c>
      <c r="G6" s="148">
        <v>4.85</v>
      </c>
      <c r="H6" s="148">
        <v>2.737</v>
      </c>
      <c r="I6" s="101">
        <f ca="1">G6*H6*'5米（尖顶）参数'!G5*1.1</f>
        <v>315.51774716</v>
      </c>
      <c r="J6" s="101"/>
      <c r="K6" s="101"/>
      <c r="L6" s="101">
        <v>2</v>
      </c>
      <c r="M6" s="101"/>
      <c r="N6" s="167">
        <v>4</v>
      </c>
      <c r="O6" s="67">
        <f ca="1" t="shared" si="0"/>
        <v>1270.07098864</v>
      </c>
      <c r="P6" s="67">
        <f t="shared" si="1"/>
        <v>0</v>
      </c>
      <c r="Q6" s="67">
        <f ca="1" t="shared" si="2"/>
        <v>0</v>
      </c>
    </row>
    <row r="7" ht="15.95" customHeight="1" spans="1:17">
      <c r="A7" s="20"/>
      <c r="B7" s="296" t="s">
        <v>1226</v>
      </c>
      <c r="C7" s="296"/>
      <c r="D7" s="167" t="s">
        <v>28</v>
      </c>
      <c r="E7" s="24">
        <f>A3*4</f>
        <v>4</v>
      </c>
      <c r="F7" s="93">
        <f ca="1">I7+J7+K7+L7+M7</f>
        <v>70.994788648</v>
      </c>
      <c r="G7" s="148">
        <v>3.51</v>
      </c>
      <c r="H7" s="148">
        <v>0.821</v>
      </c>
      <c r="I7" s="101">
        <f ca="1">G7*H7*'5米（尖顶）参数'!G5*1.1</f>
        <v>68.494788648</v>
      </c>
      <c r="J7" s="101"/>
      <c r="K7" s="101"/>
      <c r="L7" s="101">
        <v>1</v>
      </c>
      <c r="M7" s="101">
        <v>1.5</v>
      </c>
      <c r="N7" s="167">
        <v>4</v>
      </c>
      <c r="O7" s="67">
        <f ca="1" t="shared" si="0"/>
        <v>283.979154592</v>
      </c>
      <c r="P7" s="67">
        <f t="shared" si="1"/>
        <v>0</v>
      </c>
      <c r="Q7" s="67">
        <f ca="1" t="shared" si="2"/>
        <v>0</v>
      </c>
    </row>
    <row r="8" ht="15.95" customHeight="1" spans="1:17">
      <c r="A8" s="20"/>
      <c r="B8" s="296" t="s">
        <v>1227</v>
      </c>
      <c r="C8" s="296"/>
      <c r="D8" s="167" t="s">
        <v>28</v>
      </c>
      <c r="E8" s="28">
        <f>A3</f>
        <v>1</v>
      </c>
      <c r="F8" s="93">
        <v>39.8</v>
      </c>
      <c r="G8" s="95"/>
      <c r="H8" s="95"/>
      <c r="I8" s="61"/>
      <c r="J8" s="61"/>
      <c r="K8" s="61"/>
      <c r="L8" s="61"/>
      <c r="M8" s="61"/>
      <c r="N8" s="167">
        <v>1</v>
      </c>
      <c r="O8" s="67">
        <f ca="1" t="shared" si="0"/>
        <v>39.8</v>
      </c>
      <c r="P8" s="67">
        <f t="shared" si="1"/>
        <v>0</v>
      </c>
      <c r="Q8" s="67">
        <f ca="1" t="shared" si="2"/>
        <v>0</v>
      </c>
    </row>
    <row r="9" ht="15.95" customHeight="1" spans="1:17">
      <c r="A9" s="20"/>
      <c r="B9" s="296" t="s">
        <v>537</v>
      </c>
      <c r="C9" s="296"/>
      <c r="D9" s="167" t="s">
        <v>28</v>
      </c>
      <c r="E9" s="24">
        <f>A3</f>
        <v>1</v>
      </c>
      <c r="F9" s="93">
        <v>51.75</v>
      </c>
      <c r="G9" s="148"/>
      <c r="H9" s="148"/>
      <c r="I9" s="101"/>
      <c r="J9" s="101"/>
      <c r="K9" s="101"/>
      <c r="L9" s="101"/>
      <c r="M9" s="101"/>
      <c r="N9" s="167">
        <v>1</v>
      </c>
      <c r="O9" s="67">
        <f ca="1" t="shared" si="0"/>
        <v>51.75</v>
      </c>
      <c r="P9" s="67">
        <f t="shared" si="1"/>
        <v>0</v>
      </c>
      <c r="Q9" s="67">
        <f ca="1" t="shared" si="2"/>
        <v>0</v>
      </c>
    </row>
    <row r="10" ht="15.95" customHeight="1" spans="1:17">
      <c r="A10" s="20"/>
      <c r="B10" s="296" t="s">
        <v>1228</v>
      </c>
      <c r="C10" s="296"/>
      <c r="D10" s="167" t="s">
        <v>555</v>
      </c>
      <c r="E10" s="24">
        <f>A3*4</f>
        <v>4</v>
      </c>
      <c r="F10" s="93">
        <v>10.9</v>
      </c>
      <c r="G10" s="148"/>
      <c r="H10" s="148"/>
      <c r="I10" s="101"/>
      <c r="J10" s="101"/>
      <c r="K10" s="101"/>
      <c r="L10" s="101"/>
      <c r="M10" s="101"/>
      <c r="N10" s="169">
        <v>4</v>
      </c>
      <c r="O10" s="67">
        <f ca="1" t="shared" si="0"/>
        <v>43.6</v>
      </c>
      <c r="P10" s="67">
        <f t="shared" si="1"/>
        <v>0</v>
      </c>
      <c r="Q10" s="67">
        <f ca="1" t="shared" si="2"/>
        <v>0</v>
      </c>
    </row>
    <row r="11" ht="15.95" customHeight="1" spans="1:17">
      <c r="A11" s="20"/>
      <c r="B11" s="296" t="s">
        <v>1240</v>
      </c>
      <c r="C11" s="296"/>
      <c r="D11" s="167" t="s">
        <v>434</v>
      </c>
      <c r="E11" s="24">
        <f>A3*4</f>
        <v>4</v>
      </c>
      <c r="F11" s="93">
        <v>25</v>
      </c>
      <c r="G11" s="148"/>
      <c r="H11" s="148"/>
      <c r="I11" s="101"/>
      <c r="J11" s="101"/>
      <c r="K11" s="101"/>
      <c r="L11" s="101"/>
      <c r="M11" s="101"/>
      <c r="N11" s="169">
        <v>4</v>
      </c>
      <c r="O11" s="67">
        <f ca="1" t="shared" si="0"/>
        <v>100</v>
      </c>
      <c r="P11" s="67">
        <f t="shared" si="1"/>
        <v>0</v>
      </c>
      <c r="Q11" s="67">
        <f ca="1" t="shared" si="2"/>
        <v>0</v>
      </c>
    </row>
    <row r="12" ht="15.95" customHeight="1" spans="1:17">
      <c r="A12" s="20"/>
      <c r="B12" s="296" t="s">
        <v>531</v>
      </c>
      <c r="C12" s="296"/>
      <c r="D12" s="167" t="s">
        <v>434</v>
      </c>
      <c r="E12" s="24">
        <f>A3*4</f>
        <v>4</v>
      </c>
      <c r="F12" s="93">
        <v>48.3</v>
      </c>
      <c r="G12" s="192"/>
      <c r="H12" s="148"/>
      <c r="I12" s="202"/>
      <c r="J12" s="101"/>
      <c r="K12" s="101"/>
      <c r="L12" s="101"/>
      <c r="M12" s="101"/>
      <c r="N12" s="167">
        <v>4</v>
      </c>
      <c r="O12" s="67">
        <f ca="1" t="shared" si="0"/>
        <v>193.2</v>
      </c>
      <c r="P12" s="67">
        <f t="shared" si="1"/>
        <v>0</v>
      </c>
      <c r="Q12" s="67">
        <f ca="1" t="shared" si="2"/>
        <v>0</v>
      </c>
    </row>
    <row r="13" ht="15.95" customHeight="1" spans="1:17">
      <c r="A13" s="20"/>
      <c r="B13" s="296" t="s">
        <v>1229</v>
      </c>
      <c r="C13" s="296"/>
      <c r="D13" s="167" t="s">
        <v>434</v>
      </c>
      <c r="E13" s="24">
        <f>A3*8</f>
        <v>8</v>
      </c>
      <c r="F13" s="93">
        <v>7</v>
      </c>
      <c r="G13" s="192"/>
      <c r="H13" s="148"/>
      <c r="I13" s="101"/>
      <c r="J13" s="101"/>
      <c r="K13" s="101"/>
      <c r="L13" s="101"/>
      <c r="M13" s="101"/>
      <c r="N13" s="167">
        <v>8</v>
      </c>
      <c r="O13" s="67">
        <f ca="1" t="shared" si="0"/>
        <v>56</v>
      </c>
      <c r="P13" s="67">
        <f t="shared" si="1"/>
        <v>0</v>
      </c>
      <c r="Q13" s="67">
        <f ca="1" t="shared" si="2"/>
        <v>0</v>
      </c>
    </row>
    <row r="14" ht="15.95" customHeight="1" spans="1:17">
      <c r="A14" s="20"/>
      <c r="B14" s="296" t="s">
        <v>1230</v>
      </c>
      <c r="C14" s="296"/>
      <c r="D14" s="167" t="s">
        <v>28</v>
      </c>
      <c r="E14" s="24">
        <f>A3*4</f>
        <v>4</v>
      </c>
      <c r="F14" s="93">
        <v>27</v>
      </c>
      <c r="G14" s="148"/>
      <c r="H14" s="148"/>
      <c r="I14" s="101"/>
      <c r="J14" s="101"/>
      <c r="K14" s="101"/>
      <c r="L14" s="101"/>
      <c r="M14" s="101"/>
      <c r="N14" s="167">
        <v>4</v>
      </c>
      <c r="O14" s="67">
        <f ca="1" t="shared" si="0"/>
        <v>108</v>
      </c>
      <c r="P14" s="67">
        <f t="shared" si="1"/>
        <v>0</v>
      </c>
      <c r="Q14" s="67">
        <f ca="1" t="shared" si="2"/>
        <v>0</v>
      </c>
    </row>
    <row r="15" ht="15.95" customHeight="1" spans="1:17">
      <c r="A15" s="20" t="s">
        <v>13</v>
      </c>
      <c r="B15" s="91" t="s">
        <v>1231</v>
      </c>
      <c r="C15" s="91"/>
      <c r="D15" s="167" t="s">
        <v>612</v>
      </c>
      <c r="E15" s="28">
        <f>A3</f>
        <v>1</v>
      </c>
      <c r="F15" s="93">
        <v>880</v>
      </c>
      <c r="G15" s="148"/>
      <c r="H15" s="148"/>
      <c r="I15" s="101"/>
      <c r="J15" s="101"/>
      <c r="K15" s="101"/>
      <c r="L15" s="101"/>
      <c r="M15" s="101"/>
      <c r="N15" s="167">
        <v>1</v>
      </c>
      <c r="O15" s="67">
        <f ca="1" t="shared" si="0"/>
        <v>880</v>
      </c>
      <c r="P15" s="67">
        <f t="shared" si="1"/>
        <v>0</v>
      </c>
      <c r="Q15" s="67">
        <f ca="1" t="shared" si="2"/>
        <v>0</v>
      </c>
    </row>
    <row r="16" ht="15.95" customHeight="1" spans="1:17">
      <c r="A16" s="20"/>
      <c r="B16" s="91" t="s">
        <v>1232</v>
      </c>
      <c r="C16" s="91"/>
      <c r="D16" s="167" t="s">
        <v>664</v>
      </c>
      <c r="E16" s="28">
        <f>A3*4</f>
        <v>4</v>
      </c>
      <c r="F16" s="93">
        <v>237.6</v>
      </c>
      <c r="G16" s="95"/>
      <c r="H16" s="95"/>
      <c r="I16" s="61"/>
      <c r="J16" s="61"/>
      <c r="K16" s="61"/>
      <c r="L16" s="61"/>
      <c r="M16" s="61"/>
      <c r="N16" s="167">
        <v>4</v>
      </c>
      <c r="O16" s="67">
        <f ca="1" t="shared" si="0"/>
        <v>950.4</v>
      </c>
      <c r="P16" s="67">
        <f t="shared" si="1"/>
        <v>0</v>
      </c>
      <c r="Q16" s="67">
        <f ca="1" t="shared" si="2"/>
        <v>0</v>
      </c>
    </row>
    <row r="17" ht="15.95" customHeight="1" spans="1:17">
      <c r="A17" s="20" t="s">
        <v>1235</v>
      </c>
      <c r="B17" s="296" t="s">
        <v>561</v>
      </c>
      <c r="C17" s="296"/>
      <c r="D17" s="167" t="s">
        <v>434</v>
      </c>
      <c r="E17" s="28">
        <f>A3*8</f>
        <v>8</v>
      </c>
      <c r="F17" s="93">
        <v>0.55</v>
      </c>
      <c r="G17" s="95"/>
      <c r="H17" s="95"/>
      <c r="I17" s="61"/>
      <c r="J17" s="61"/>
      <c r="K17" s="61"/>
      <c r="L17" s="61"/>
      <c r="M17" s="61"/>
      <c r="N17" s="167">
        <v>8</v>
      </c>
      <c r="O17" s="67">
        <f ca="1" t="shared" si="0"/>
        <v>4.4</v>
      </c>
      <c r="P17" s="67">
        <f t="shared" si="1"/>
        <v>0</v>
      </c>
      <c r="Q17" s="67">
        <f ca="1" t="shared" si="2"/>
        <v>0</v>
      </c>
    </row>
    <row r="18" ht="15.95" customHeight="1" spans="1:17">
      <c r="A18" s="20"/>
      <c r="B18" s="296" t="s">
        <v>565</v>
      </c>
      <c r="C18" s="296"/>
      <c r="D18" s="167" t="s">
        <v>434</v>
      </c>
      <c r="E18" s="28">
        <v>8</v>
      </c>
      <c r="F18" s="93">
        <v>0.9</v>
      </c>
      <c r="G18" s="95"/>
      <c r="H18" s="95"/>
      <c r="I18" s="61"/>
      <c r="J18" s="61"/>
      <c r="K18" s="61"/>
      <c r="L18" s="61"/>
      <c r="M18" s="61"/>
      <c r="N18" s="167">
        <v>8</v>
      </c>
      <c r="O18" s="67">
        <f ca="1" t="shared" si="0"/>
        <v>7.2</v>
      </c>
      <c r="P18" s="67">
        <f t="shared" si="1"/>
        <v>0</v>
      </c>
      <c r="Q18" s="67">
        <f ca="1" t="shared" si="2"/>
        <v>0</v>
      </c>
    </row>
    <row r="19" ht="15.95" customHeight="1" spans="1:17">
      <c r="A19" s="20"/>
      <c r="B19" s="296" t="s">
        <v>557</v>
      </c>
      <c r="C19" s="296"/>
      <c r="D19" s="167" t="s">
        <v>434</v>
      </c>
      <c r="E19" s="24">
        <f>A3*12</f>
        <v>12</v>
      </c>
      <c r="F19" s="93">
        <v>0.2</v>
      </c>
      <c r="G19" s="95"/>
      <c r="H19" s="95"/>
      <c r="I19" s="61"/>
      <c r="J19" s="61"/>
      <c r="K19" s="61"/>
      <c r="L19" s="61"/>
      <c r="M19" s="61"/>
      <c r="N19" s="167">
        <v>12</v>
      </c>
      <c r="O19" s="67">
        <f ca="1" t="shared" si="0"/>
        <v>2.4</v>
      </c>
      <c r="P19" s="67">
        <f t="shared" si="1"/>
        <v>0</v>
      </c>
      <c r="Q19" s="67">
        <f ca="1" t="shared" si="2"/>
        <v>0</v>
      </c>
    </row>
    <row r="20" spans="14:17">
      <c r="N20" s="1" t="s">
        <v>1218</v>
      </c>
      <c r="O20" s="1">
        <f ca="1">SUM(O5:O19)</f>
        <v>4615.330116992</v>
      </c>
      <c r="P20" s="1" t="s">
        <v>1219</v>
      </c>
      <c r="Q20" s="84">
        <f ca="1">SUM(Q5:Q19)</f>
        <v>0</v>
      </c>
    </row>
    <row r="21" ht="13.5" spans="1:1">
      <c r="A21" s="50" t="s">
        <v>1220</v>
      </c>
    </row>
    <row r="22" spans="1:15">
      <c r="A22" s="50" t="s">
        <v>1221</v>
      </c>
      <c r="N22" s="1" t="s">
        <v>1236</v>
      </c>
      <c r="O22" s="1">
        <f ca="1">O20+Q20</f>
        <v>4615.330116992</v>
      </c>
    </row>
  </sheetData>
  <mergeCells count="7">
    <mergeCell ref="A1:G1"/>
    <mergeCell ref="A2:E2"/>
    <mergeCell ref="A3:B3"/>
    <mergeCell ref="C3:G3"/>
    <mergeCell ref="A5:A14"/>
    <mergeCell ref="A15:A16"/>
    <mergeCell ref="A17:A19"/>
  </mergeCells>
  <dataValidations count="1">
    <dataValidation allowBlank="1" showInputMessage="1" showErrorMessage="1" sqref="B15:B16 C15:C16"/>
  </dataValidations>
  <pageMargins left="0.75" right="0.75" top="1" bottom="1" header="0.509027777777778" footer="0.509027777777778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7030A0"/>
  </sheetPr>
  <dimension ref="A1:G21"/>
  <sheetViews>
    <sheetView showGridLines="0" workbookViewId="0">
      <selection activeCell="E31" sqref="E31"/>
    </sheetView>
  </sheetViews>
  <sheetFormatPr defaultColWidth="9" defaultRowHeight="14.25" outlineLevelCol="6"/>
  <cols>
    <col min="1" max="1" width="21.125" style="1" customWidth="1"/>
    <col min="2" max="2" width="19.125" style="1" customWidth="1"/>
    <col min="3" max="3" width="15.5" style="1" customWidth="1"/>
    <col min="4" max="4" width="11.375" style="1" customWidth="1"/>
    <col min="5" max="5" width="10.5" style="1" customWidth="1"/>
    <col min="6" max="6" width="9" style="1"/>
    <col min="7" max="7" width="12.625" style="1" customWidth="1"/>
    <col min="8" max="16384" width="9" style="1"/>
  </cols>
  <sheetData>
    <row r="1" spans="1:4">
      <c r="A1" s="2" t="str">
        <f ca="1">'数据修改（批量）'!A1</f>
        <v>上海有色铝锭价格</v>
      </c>
      <c r="B1" s="2"/>
      <c r="C1" s="2"/>
      <c r="D1" s="3"/>
    </row>
    <row r="2" spans="1:7">
      <c r="A2" s="4">
        <f ca="1">'数据修改（批量）'!A2</f>
        <v>16200</v>
      </c>
      <c r="B2" s="2" t="str">
        <f ca="1">'数据修改（批量）'!B2</f>
        <v>项目</v>
      </c>
      <c r="C2" s="2" t="str">
        <f ca="1">'数据修改（批量）'!C2</f>
        <v>加工费</v>
      </c>
      <c r="D2" s="2" t="str">
        <f ca="1">'数据修改（批量）'!D2</f>
        <v>包装物</v>
      </c>
      <c r="E2" s="2" t="str">
        <f ca="1">'数据修改（批量）'!E2</f>
        <v>运费</v>
      </c>
      <c r="F2" s="2" t="str">
        <f ca="1">'数据修改（批量）'!F2</f>
        <v>单价</v>
      </c>
      <c r="G2" s="2" t="str">
        <f ca="1">'数据修改（批量）'!G2</f>
        <v>每公斤价格</v>
      </c>
    </row>
    <row r="3" spans="1:7">
      <c r="A3" s="2"/>
      <c r="B3" s="2" t="str">
        <f ca="1">'数据修改（批量）'!B3</f>
        <v>203料</v>
      </c>
      <c r="C3" s="2">
        <f ca="1">'数据修改（批量）'!C3</f>
        <v>5500</v>
      </c>
      <c r="D3" s="2">
        <f ca="1">'数据修改（批量）'!D3</f>
        <v>868</v>
      </c>
      <c r="E3" s="2">
        <f ca="1">'数据修改（批量）'!E3</f>
        <v>80</v>
      </c>
      <c r="F3" s="2">
        <f ca="1">'数据修改（批量）'!F3</f>
        <v>22648</v>
      </c>
      <c r="G3" s="2">
        <f ca="1">'数据修改（批量）'!G3</f>
        <v>22.648</v>
      </c>
    </row>
    <row r="4" spans="1:7">
      <c r="A4" s="2"/>
      <c r="B4" s="2" t="str">
        <f ca="1">'数据修改（批量）'!B4</f>
        <v>203料氧化</v>
      </c>
      <c r="C4" s="2">
        <f ca="1">'数据修改（批量）'!C4</f>
        <v>6000</v>
      </c>
      <c r="D4" s="2">
        <f ca="1">'数据修改（批量）'!D4</f>
        <v>888</v>
      </c>
      <c r="E4" s="2">
        <f ca="1">'数据修改（批量）'!E4</f>
        <v>80</v>
      </c>
      <c r="F4" s="2">
        <f ca="1">'数据修改（批量）'!F4</f>
        <v>23168</v>
      </c>
      <c r="G4" s="2">
        <f ca="1">'数据修改（批量）'!G4</f>
        <v>23.168</v>
      </c>
    </row>
    <row r="5" spans="2:7">
      <c r="B5" s="2" t="str">
        <f ca="1">'数据修改（批量）'!B5</f>
        <v>小料加工费</v>
      </c>
      <c r="C5" s="2">
        <f ca="1">'数据修改（批量）'!C5</f>
        <v>4500</v>
      </c>
      <c r="D5" s="2">
        <f ca="1">'数据修改（批量）'!D5</f>
        <v>828</v>
      </c>
      <c r="E5" s="2">
        <f ca="1">'数据修改（批量）'!E5</f>
        <v>80</v>
      </c>
      <c r="F5" s="2">
        <f ca="1">'数据修改（批量）'!F5</f>
        <v>21608</v>
      </c>
      <c r="G5" s="2">
        <f ca="1">'数据修改（批量）'!G5</f>
        <v>21.608</v>
      </c>
    </row>
    <row r="6" spans="1:4">
      <c r="A6" s="2" t="str">
        <f ca="1">'数据修改（批量）'!A6</f>
        <v>南海有色铝锭价格</v>
      </c>
      <c r="D6" s="5"/>
    </row>
    <row r="7" spans="1:1">
      <c r="A7" s="4">
        <f ca="1">'数据修改（批量）'!A7</f>
        <v>16600</v>
      </c>
    </row>
    <row r="8" spans="2:7">
      <c r="B8" s="2" t="str">
        <f ca="1">'数据修改（批量）'!B8</f>
        <v>项目</v>
      </c>
      <c r="C8" s="2" t="str">
        <f ca="1">'数据修改（批量）'!C8</f>
        <v>加工费</v>
      </c>
      <c r="D8" s="2" t="str">
        <f ca="1">'数据修改（批量）'!D8</f>
        <v>包装物</v>
      </c>
      <c r="E8" s="2" t="str">
        <f ca="1">'数据修改（批量）'!E8</f>
        <v>运费</v>
      </c>
      <c r="F8" s="2" t="str">
        <f ca="1">'数据修改（批量）'!F8</f>
        <v>单价</v>
      </c>
      <c r="G8" s="2" t="str">
        <f ca="1">'数据修改（批量）'!G8</f>
        <v>每公斤价格</v>
      </c>
    </row>
    <row r="9" spans="2:7">
      <c r="B9" s="2" t="str">
        <f ca="1">'数据修改（批量）'!B9</f>
        <v>300/350料8米以上</v>
      </c>
      <c r="C9" s="2">
        <f ca="1">'数据修改（批量）'!C9</f>
        <v>7800</v>
      </c>
      <c r="D9" s="2">
        <f ca="1">'数据修改（批量）'!D9</f>
        <v>976</v>
      </c>
      <c r="E9" s="2">
        <f ca="1">'数据修改（批量）'!E9</f>
        <v>1000</v>
      </c>
      <c r="F9" s="2">
        <f ca="1">'数据修改（批量）'!F9</f>
        <v>26376</v>
      </c>
      <c r="G9" s="2">
        <f ca="1">'数据修改（批量）'!G9</f>
        <v>26.376</v>
      </c>
    </row>
    <row r="10" spans="2:7">
      <c r="B10" s="2" t="str">
        <f ca="1">'数据修改（批量）'!B10</f>
        <v>300/350料8米以下</v>
      </c>
      <c r="C10" s="2">
        <f ca="1">'数据修改（批量）'!C10</f>
        <v>7100</v>
      </c>
      <c r="D10" s="2">
        <f ca="1">'数据修改（批量）'!D10</f>
        <v>948</v>
      </c>
      <c r="E10" s="2">
        <f ca="1">'数据修改（批量）'!E10</f>
        <v>1000</v>
      </c>
      <c r="F10" s="2">
        <f ca="1">'数据修改（批量）'!F10</f>
        <v>25648</v>
      </c>
      <c r="G10" s="2">
        <f ca="1">'数据修改（批量）'!G10</f>
        <v>25.648</v>
      </c>
    </row>
    <row r="12" spans="1:4">
      <c r="A12" s="2" t="str">
        <f ca="1">'数据修改（批量）'!A12</f>
        <v>篷布</v>
      </c>
      <c r="B12" s="2"/>
      <c r="C12" s="2"/>
      <c r="D12" s="3"/>
    </row>
    <row r="13" spans="1:7">
      <c r="A13" s="2"/>
      <c r="B13" s="2" t="str">
        <f ca="1">'数据修改（批量）'!B13</f>
        <v>项目</v>
      </c>
      <c r="C13" s="2" t="str">
        <f ca="1">'数据修改（批量）'!C13</f>
        <v>运费</v>
      </c>
      <c r="D13" s="2" t="str">
        <f ca="1">'数据修改（批量）'!D13</f>
        <v>单价</v>
      </c>
      <c r="E13" s="2" t="str">
        <f ca="1">'数据修改（批量）'!E13</f>
        <v>每平价格</v>
      </c>
      <c r="F13" s="2"/>
      <c r="G13" s="2"/>
    </row>
    <row r="14" spans="1:7">
      <c r="A14" s="2"/>
      <c r="B14" s="2">
        <f ca="1">'数据修改（批量）'!B14</f>
        <v>650</v>
      </c>
      <c r="C14" s="2">
        <f ca="1">'数据修改（批量）'!C14</f>
        <v>0.5</v>
      </c>
      <c r="D14" s="4">
        <f ca="1">'数据修改（批量）'!D14</f>
        <v>13.8</v>
      </c>
      <c r="E14" s="2">
        <f ca="1">'数据修改（批量）'!E14</f>
        <v>14.3</v>
      </c>
      <c r="F14" s="2"/>
      <c r="G14" s="2"/>
    </row>
    <row r="15" spans="1:7">
      <c r="A15" s="2"/>
      <c r="B15" s="2">
        <f ca="1">'数据修改（批量）'!B15</f>
        <v>780</v>
      </c>
      <c r="C15" s="2">
        <f ca="1">'数据修改（批量）'!C15</f>
        <v>0.5</v>
      </c>
      <c r="D15" s="4">
        <f ca="1">'数据修改（批量）'!D15</f>
        <v>16.8</v>
      </c>
      <c r="E15" s="2">
        <f ca="1">'数据修改（批量）'!E15</f>
        <v>17.3</v>
      </c>
      <c r="F15" s="2"/>
      <c r="G15" s="2"/>
    </row>
    <row r="16" spans="2:7">
      <c r="B16" s="2">
        <f ca="1">'数据修改（批量）'!B16</f>
        <v>850</v>
      </c>
      <c r="C16" s="2">
        <f ca="1">'数据修改（批量）'!C16</f>
        <v>0.5</v>
      </c>
      <c r="D16" s="4">
        <f ca="1">'数据修改（批量）'!D16</f>
        <v>18</v>
      </c>
      <c r="E16" s="2">
        <f ca="1">'数据修改（批量）'!E16</f>
        <v>18.5</v>
      </c>
      <c r="F16" s="2"/>
      <c r="G16" s="2"/>
    </row>
    <row r="21" spans="1:7">
      <c r="A21" s="6" t="str">
        <f ca="1">'数据修改（批量）'!A21</f>
        <v>说明：黄色部分可以根据价格修改</v>
      </c>
      <c r="B21" s="6"/>
      <c r="C21" s="6"/>
      <c r="D21" s="6"/>
      <c r="E21" s="6"/>
      <c r="F21" s="6"/>
      <c r="G21" s="6"/>
    </row>
  </sheetData>
  <mergeCells count="1">
    <mergeCell ref="A21:G21"/>
  </mergeCells>
  <pageMargins left="0.75" right="0.75" top="1" bottom="1" header="0.509027777777778" footer="0.509027777777778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FFFF00"/>
  </sheetPr>
  <dimension ref="A1:Q22"/>
  <sheetViews>
    <sheetView showGridLines="0" workbookViewId="0">
      <selection activeCell="E31" sqref="E31"/>
    </sheetView>
  </sheetViews>
  <sheetFormatPr defaultColWidth="9" defaultRowHeight="14.25"/>
  <cols>
    <col min="1" max="1" width="4.125" style="1" customWidth="1"/>
    <col min="2" max="2" width="17.375" style="1" customWidth="1"/>
    <col min="3" max="3" width="9.5" style="1" customWidth="1"/>
    <col min="4" max="4" width="9.5" style="51" customWidth="1"/>
    <col min="5" max="5" width="9.5" style="3" customWidth="1"/>
    <col min="6" max="7" width="9.5" style="1" customWidth="1"/>
    <col min="8" max="16384" width="9" style="1"/>
  </cols>
  <sheetData>
    <row r="1" ht="20.1" customHeight="1" spans="1:7">
      <c r="A1" s="291" t="s">
        <v>1242</v>
      </c>
      <c r="B1" s="291"/>
      <c r="C1" s="291"/>
      <c r="D1" s="292"/>
      <c r="E1" s="291"/>
      <c r="F1" s="291"/>
      <c r="G1" s="291"/>
    </row>
    <row r="2" ht="24" customHeight="1" spans="1:10">
      <c r="A2" s="141" t="s">
        <v>1243</v>
      </c>
      <c r="B2" s="141"/>
      <c r="C2" s="141"/>
      <c r="D2" s="11"/>
      <c r="E2" s="9"/>
      <c r="F2" s="11" t="s">
        <v>1198</v>
      </c>
      <c r="G2" s="11">
        <f>5*5*A3</f>
        <v>25</v>
      </c>
      <c r="H2" s="55"/>
      <c r="I2" s="55"/>
      <c r="J2" s="3"/>
    </row>
    <row r="3" ht="17.1" customHeight="1" spans="1:10">
      <c r="A3" s="165">
        <v>1</v>
      </c>
      <c r="B3" s="165"/>
      <c r="C3" s="293" t="s">
        <v>1199</v>
      </c>
      <c r="D3" s="294"/>
      <c r="E3" s="294"/>
      <c r="F3" s="294"/>
      <c r="G3" s="295"/>
      <c r="H3" s="55"/>
      <c r="I3" s="55"/>
      <c r="J3" s="3"/>
    </row>
    <row r="4" ht="36" spans="1:17">
      <c r="A4" s="165" t="s">
        <v>1200</v>
      </c>
      <c r="B4" s="75" t="s">
        <v>1201</v>
      </c>
      <c r="C4" s="75" t="s">
        <v>1202</v>
      </c>
      <c r="D4" s="75" t="s">
        <v>22</v>
      </c>
      <c r="E4" s="75" t="s">
        <v>1203</v>
      </c>
      <c r="F4" s="75" t="s">
        <v>1204</v>
      </c>
      <c r="G4" s="75" t="s">
        <v>1205</v>
      </c>
      <c r="H4" s="165" t="s">
        <v>1206</v>
      </c>
      <c r="I4" s="165" t="s">
        <v>1207</v>
      </c>
      <c r="J4" s="165" t="s">
        <v>1208</v>
      </c>
      <c r="K4" s="75" t="s">
        <v>1209</v>
      </c>
      <c r="L4" s="165" t="s">
        <v>1210</v>
      </c>
      <c r="M4" s="75" t="s">
        <v>1211</v>
      </c>
      <c r="N4" s="164" t="s">
        <v>1212</v>
      </c>
      <c r="O4" s="165" t="s">
        <v>1213</v>
      </c>
      <c r="P4" s="165" t="s">
        <v>1214</v>
      </c>
      <c r="Q4" s="75" t="s">
        <v>1213</v>
      </c>
    </row>
    <row r="5" ht="15.95" customHeight="1" spans="1:17">
      <c r="A5" s="20" t="s">
        <v>1215</v>
      </c>
      <c r="B5" s="296" t="s">
        <v>1224</v>
      </c>
      <c r="C5" s="296"/>
      <c r="D5" s="167" t="s">
        <v>28</v>
      </c>
      <c r="E5" s="24">
        <f>A3*4</f>
        <v>4</v>
      </c>
      <c r="F5" s="93">
        <f ca="1">I5+J5+K5+L5+M5</f>
        <v>123.67382016</v>
      </c>
      <c r="G5" s="148">
        <v>2.4</v>
      </c>
      <c r="H5" s="148">
        <v>2.168</v>
      </c>
      <c r="I5" s="101">
        <f ca="1">G5*H5*'6米（尖顶）参数'!G5*1.1</f>
        <v>123.67382016</v>
      </c>
      <c r="J5" s="101"/>
      <c r="K5" s="101"/>
      <c r="L5" s="101"/>
      <c r="M5" s="101"/>
      <c r="N5" s="167">
        <v>4</v>
      </c>
      <c r="O5" s="67">
        <f ca="1" t="shared" ref="O5:O19" si="0">N5*F5</f>
        <v>494.69528064</v>
      </c>
      <c r="P5" s="67">
        <f t="shared" ref="P5:P19" si="1">E5-N5</f>
        <v>0</v>
      </c>
      <c r="Q5" s="67">
        <f ca="1" t="shared" ref="Q5:Q19" si="2">P5*F5</f>
        <v>0</v>
      </c>
    </row>
    <row r="6" ht="15.95" customHeight="1" spans="1:17">
      <c r="A6" s="20"/>
      <c r="B6" s="296" t="s">
        <v>1225</v>
      </c>
      <c r="C6" s="296"/>
      <c r="D6" s="167" t="s">
        <v>28</v>
      </c>
      <c r="E6" s="24">
        <f>A3*4</f>
        <v>4</v>
      </c>
      <c r="F6" s="93">
        <f ca="1">I6+J6+K6+L6+M6</f>
        <v>303.45493664</v>
      </c>
      <c r="G6" s="148">
        <v>5.85</v>
      </c>
      <c r="H6" s="148">
        <v>2.168</v>
      </c>
      <c r="I6" s="101">
        <f ca="1">G6*H6*'6米（尖顶）参数'!G5*1.1</f>
        <v>301.45493664</v>
      </c>
      <c r="J6" s="101"/>
      <c r="K6" s="101"/>
      <c r="L6" s="101">
        <v>2</v>
      </c>
      <c r="M6" s="101"/>
      <c r="N6" s="167">
        <v>4</v>
      </c>
      <c r="O6" s="67">
        <f ca="1" t="shared" si="0"/>
        <v>1213.81974656</v>
      </c>
      <c r="P6" s="67">
        <f t="shared" si="1"/>
        <v>0</v>
      </c>
      <c r="Q6" s="67">
        <f ca="1" t="shared" si="2"/>
        <v>0</v>
      </c>
    </row>
    <row r="7" ht="15.95" customHeight="1" spans="1:17">
      <c r="A7" s="20"/>
      <c r="B7" s="296" t="s">
        <v>1226</v>
      </c>
      <c r="C7" s="296"/>
      <c r="D7" s="167" t="s">
        <v>28</v>
      </c>
      <c r="E7" s="24">
        <f>A3*4</f>
        <v>4</v>
      </c>
      <c r="F7" s="93">
        <f ca="1">I7+J7+K7+L7+M7</f>
        <v>82.703299528</v>
      </c>
      <c r="G7" s="148">
        <v>4.11</v>
      </c>
      <c r="H7" s="148">
        <v>0.821</v>
      </c>
      <c r="I7" s="101">
        <f ca="1">G7*H7*'6米（尖顶）参数'!G5*1.1</f>
        <v>80.203299528</v>
      </c>
      <c r="J7" s="101"/>
      <c r="K7" s="101"/>
      <c r="L7" s="101">
        <v>1</v>
      </c>
      <c r="M7" s="101">
        <v>1.5</v>
      </c>
      <c r="N7" s="167">
        <v>4</v>
      </c>
      <c r="O7" s="67">
        <f ca="1" t="shared" si="0"/>
        <v>330.813198112</v>
      </c>
      <c r="P7" s="67">
        <f t="shared" si="1"/>
        <v>0</v>
      </c>
      <c r="Q7" s="67">
        <f ca="1" t="shared" si="2"/>
        <v>0</v>
      </c>
    </row>
    <row r="8" ht="15.95" customHeight="1" spans="1:17">
      <c r="A8" s="20"/>
      <c r="B8" s="296" t="s">
        <v>1227</v>
      </c>
      <c r="C8" s="296"/>
      <c r="D8" s="167" t="s">
        <v>28</v>
      </c>
      <c r="E8" s="28">
        <f>A3</f>
        <v>1</v>
      </c>
      <c r="F8" s="93">
        <v>39.8</v>
      </c>
      <c r="G8" s="95"/>
      <c r="H8" s="95"/>
      <c r="I8" s="61"/>
      <c r="J8" s="61"/>
      <c r="K8" s="61"/>
      <c r="L8" s="61"/>
      <c r="M8" s="61"/>
      <c r="N8" s="167">
        <v>1</v>
      </c>
      <c r="O8" s="67">
        <f ca="1" t="shared" si="0"/>
        <v>39.8</v>
      </c>
      <c r="P8" s="67">
        <f t="shared" si="1"/>
        <v>0</v>
      </c>
      <c r="Q8" s="67">
        <f ca="1" t="shared" si="2"/>
        <v>0</v>
      </c>
    </row>
    <row r="9" ht="15.95" customHeight="1" spans="1:17">
      <c r="A9" s="20"/>
      <c r="B9" s="296" t="s">
        <v>537</v>
      </c>
      <c r="C9" s="296"/>
      <c r="D9" s="167" t="s">
        <v>28</v>
      </c>
      <c r="E9" s="24">
        <f>A3</f>
        <v>1</v>
      </c>
      <c r="F9" s="93">
        <v>51.75</v>
      </c>
      <c r="G9" s="148"/>
      <c r="H9" s="148"/>
      <c r="I9" s="101"/>
      <c r="J9" s="101"/>
      <c r="K9" s="101"/>
      <c r="L9" s="101"/>
      <c r="M9" s="101"/>
      <c r="N9" s="167">
        <v>1</v>
      </c>
      <c r="O9" s="67">
        <f ca="1" t="shared" si="0"/>
        <v>51.75</v>
      </c>
      <c r="P9" s="67">
        <f t="shared" si="1"/>
        <v>0</v>
      </c>
      <c r="Q9" s="67">
        <f ca="1" t="shared" si="2"/>
        <v>0</v>
      </c>
    </row>
    <row r="10" ht="15.95" customHeight="1" spans="1:17">
      <c r="A10" s="20"/>
      <c r="B10" s="296" t="s">
        <v>1228</v>
      </c>
      <c r="C10" s="296"/>
      <c r="D10" s="167" t="s">
        <v>555</v>
      </c>
      <c r="E10" s="24">
        <f>A3*4</f>
        <v>4</v>
      </c>
      <c r="F10" s="93">
        <v>10.9</v>
      </c>
      <c r="G10" s="148"/>
      <c r="H10" s="148"/>
      <c r="I10" s="101"/>
      <c r="J10" s="101"/>
      <c r="K10" s="101"/>
      <c r="L10" s="101"/>
      <c r="M10" s="101"/>
      <c r="N10" s="169">
        <v>4</v>
      </c>
      <c r="O10" s="67">
        <f ca="1" t="shared" si="0"/>
        <v>43.6</v>
      </c>
      <c r="P10" s="67">
        <f t="shared" si="1"/>
        <v>0</v>
      </c>
      <c r="Q10" s="67">
        <f ca="1" t="shared" si="2"/>
        <v>0</v>
      </c>
    </row>
    <row r="11" ht="15.95" customHeight="1" spans="1:17">
      <c r="A11" s="20"/>
      <c r="B11" s="296" t="s">
        <v>1240</v>
      </c>
      <c r="C11" s="296"/>
      <c r="D11" s="167" t="s">
        <v>434</v>
      </c>
      <c r="E11" s="24">
        <f>A3*4</f>
        <v>4</v>
      </c>
      <c r="F11" s="93">
        <v>25</v>
      </c>
      <c r="G11" s="148"/>
      <c r="H11" s="148"/>
      <c r="I11" s="101"/>
      <c r="J11" s="101"/>
      <c r="K11" s="101"/>
      <c r="L11" s="101"/>
      <c r="M11" s="101"/>
      <c r="N11" s="169">
        <v>4</v>
      </c>
      <c r="O11" s="67">
        <f ca="1" t="shared" si="0"/>
        <v>100</v>
      </c>
      <c r="P11" s="67">
        <f t="shared" si="1"/>
        <v>0</v>
      </c>
      <c r="Q11" s="67">
        <f ca="1" t="shared" si="2"/>
        <v>0</v>
      </c>
    </row>
    <row r="12" ht="15.95" customHeight="1" spans="1:17">
      <c r="A12" s="20"/>
      <c r="B12" s="296" t="s">
        <v>531</v>
      </c>
      <c r="C12" s="296"/>
      <c r="D12" s="167" t="s">
        <v>434</v>
      </c>
      <c r="E12" s="24">
        <f>A3*4</f>
        <v>4</v>
      </c>
      <c r="F12" s="93">
        <v>48.3</v>
      </c>
      <c r="G12" s="192"/>
      <c r="H12" s="148"/>
      <c r="I12" s="202"/>
      <c r="J12" s="101"/>
      <c r="K12" s="101"/>
      <c r="L12" s="101"/>
      <c r="M12" s="101"/>
      <c r="N12" s="167">
        <v>4</v>
      </c>
      <c r="O12" s="67">
        <f ca="1" t="shared" si="0"/>
        <v>193.2</v>
      </c>
      <c r="P12" s="67">
        <f t="shared" si="1"/>
        <v>0</v>
      </c>
      <c r="Q12" s="67">
        <f ca="1" t="shared" si="2"/>
        <v>0</v>
      </c>
    </row>
    <row r="13" ht="15.95" customHeight="1" spans="1:17">
      <c r="A13" s="20"/>
      <c r="B13" s="296" t="s">
        <v>1229</v>
      </c>
      <c r="C13" s="296"/>
      <c r="D13" s="167" t="s">
        <v>434</v>
      </c>
      <c r="E13" s="24">
        <f>A3*8</f>
        <v>8</v>
      </c>
      <c r="F13" s="93">
        <v>8</v>
      </c>
      <c r="G13" s="192"/>
      <c r="H13" s="148"/>
      <c r="I13" s="101"/>
      <c r="J13" s="101"/>
      <c r="K13" s="101"/>
      <c r="L13" s="101"/>
      <c r="M13" s="101"/>
      <c r="N13" s="167">
        <v>8</v>
      </c>
      <c r="O13" s="67">
        <f ca="1" t="shared" si="0"/>
        <v>64</v>
      </c>
      <c r="P13" s="67">
        <f t="shared" si="1"/>
        <v>0</v>
      </c>
      <c r="Q13" s="67">
        <f ca="1" t="shared" si="2"/>
        <v>0</v>
      </c>
    </row>
    <row r="14" ht="15.95" customHeight="1" spans="1:17">
      <c r="A14" s="20"/>
      <c r="B14" s="296" t="s">
        <v>1230</v>
      </c>
      <c r="C14" s="296"/>
      <c r="D14" s="167" t="s">
        <v>28</v>
      </c>
      <c r="E14" s="24">
        <f>A3*4</f>
        <v>4</v>
      </c>
      <c r="F14" s="93">
        <v>33</v>
      </c>
      <c r="G14" s="148"/>
      <c r="H14" s="148"/>
      <c r="I14" s="101"/>
      <c r="J14" s="101"/>
      <c r="K14" s="101"/>
      <c r="L14" s="101"/>
      <c r="M14" s="101"/>
      <c r="N14" s="167">
        <v>4</v>
      </c>
      <c r="O14" s="67">
        <f ca="1" t="shared" si="0"/>
        <v>132</v>
      </c>
      <c r="P14" s="67">
        <f t="shared" si="1"/>
        <v>0</v>
      </c>
      <c r="Q14" s="67">
        <f ca="1" t="shared" si="2"/>
        <v>0</v>
      </c>
    </row>
    <row r="15" ht="15.95" customHeight="1" spans="1:17">
      <c r="A15" s="20" t="s">
        <v>13</v>
      </c>
      <c r="B15" s="91" t="s">
        <v>1231</v>
      </c>
      <c r="C15" s="91"/>
      <c r="D15" s="167" t="s">
        <v>612</v>
      </c>
      <c r="E15" s="28">
        <f>A3</f>
        <v>1</v>
      </c>
      <c r="F15" s="93">
        <v>990</v>
      </c>
      <c r="G15" s="148"/>
      <c r="H15" s="148"/>
      <c r="I15" s="101"/>
      <c r="J15" s="101"/>
      <c r="K15" s="101"/>
      <c r="L15" s="101"/>
      <c r="M15" s="101"/>
      <c r="N15" s="167">
        <v>1</v>
      </c>
      <c r="O15" s="67">
        <f ca="1" t="shared" si="0"/>
        <v>990</v>
      </c>
      <c r="P15" s="67">
        <f t="shared" si="1"/>
        <v>0</v>
      </c>
      <c r="Q15" s="67">
        <f ca="1" t="shared" si="2"/>
        <v>0</v>
      </c>
    </row>
    <row r="16" ht="15.95" customHeight="1" spans="1:17">
      <c r="A16" s="20"/>
      <c r="B16" s="91" t="s">
        <v>1232</v>
      </c>
      <c r="C16" s="91"/>
      <c r="D16" s="167" t="s">
        <v>664</v>
      </c>
      <c r="E16" s="28">
        <f>A3*4</f>
        <v>4</v>
      </c>
      <c r="F16" s="93">
        <v>285</v>
      </c>
      <c r="G16" s="95"/>
      <c r="H16" s="95"/>
      <c r="I16" s="61"/>
      <c r="J16" s="61"/>
      <c r="K16" s="61"/>
      <c r="L16" s="61"/>
      <c r="M16" s="61"/>
      <c r="N16" s="167">
        <v>4</v>
      </c>
      <c r="O16" s="67">
        <f ca="1" t="shared" si="0"/>
        <v>1140</v>
      </c>
      <c r="P16" s="67">
        <f t="shared" si="1"/>
        <v>0</v>
      </c>
      <c r="Q16" s="67">
        <f ca="1" t="shared" si="2"/>
        <v>0</v>
      </c>
    </row>
    <row r="17" ht="15.95" customHeight="1" spans="1:17">
      <c r="A17" s="20" t="s">
        <v>1235</v>
      </c>
      <c r="B17" s="296" t="s">
        <v>561</v>
      </c>
      <c r="C17" s="296"/>
      <c r="D17" s="167" t="s">
        <v>434</v>
      </c>
      <c r="E17" s="28">
        <f>A3*8</f>
        <v>8</v>
      </c>
      <c r="F17" s="93">
        <v>0.55</v>
      </c>
      <c r="G17" s="95"/>
      <c r="H17" s="95"/>
      <c r="I17" s="61"/>
      <c r="J17" s="61"/>
      <c r="K17" s="61"/>
      <c r="L17" s="61"/>
      <c r="M17" s="61"/>
      <c r="N17" s="167">
        <v>8</v>
      </c>
      <c r="O17" s="67">
        <f ca="1" t="shared" si="0"/>
        <v>4.4</v>
      </c>
      <c r="P17" s="67">
        <f t="shared" si="1"/>
        <v>0</v>
      </c>
      <c r="Q17" s="67">
        <f ca="1" t="shared" si="2"/>
        <v>0</v>
      </c>
    </row>
    <row r="18" ht="15.95" customHeight="1" spans="1:17">
      <c r="A18" s="20"/>
      <c r="B18" s="296" t="s">
        <v>565</v>
      </c>
      <c r="C18" s="296"/>
      <c r="D18" s="167" t="s">
        <v>434</v>
      </c>
      <c r="E18" s="28">
        <v>8</v>
      </c>
      <c r="F18" s="93">
        <v>0.9</v>
      </c>
      <c r="G18" s="95"/>
      <c r="H18" s="95"/>
      <c r="I18" s="61"/>
      <c r="J18" s="61"/>
      <c r="K18" s="61"/>
      <c r="L18" s="61"/>
      <c r="M18" s="61"/>
      <c r="N18" s="167">
        <v>8</v>
      </c>
      <c r="O18" s="67">
        <f ca="1" t="shared" si="0"/>
        <v>7.2</v>
      </c>
      <c r="P18" s="67">
        <f t="shared" si="1"/>
        <v>0</v>
      </c>
      <c r="Q18" s="67">
        <f ca="1" t="shared" si="2"/>
        <v>0</v>
      </c>
    </row>
    <row r="19" ht="15.95" customHeight="1" spans="1:17">
      <c r="A19" s="20"/>
      <c r="B19" s="296" t="s">
        <v>557</v>
      </c>
      <c r="C19" s="296"/>
      <c r="D19" s="167" t="s">
        <v>434</v>
      </c>
      <c r="E19" s="24">
        <f>A3*12</f>
        <v>12</v>
      </c>
      <c r="F19" s="93">
        <v>0.2</v>
      </c>
      <c r="G19" s="95"/>
      <c r="H19" s="95"/>
      <c r="I19" s="61"/>
      <c r="J19" s="61"/>
      <c r="K19" s="61"/>
      <c r="L19" s="61"/>
      <c r="M19" s="61"/>
      <c r="N19" s="167">
        <v>12</v>
      </c>
      <c r="O19" s="67">
        <f ca="1" t="shared" si="0"/>
        <v>2.4</v>
      </c>
      <c r="P19" s="67">
        <f t="shared" si="1"/>
        <v>0</v>
      </c>
      <c r="Q19" s="67">
        <f ca="1" t="shared" si="2"/>
        <v>0</v>
      </c>
    </row>
    <row r="20" spans="14:17">
      <c r="N20" s="1" t="s">
        <v>1218</v>
      </c>
      <c r="O20" s="1">
        <f ca="1">SUM(O5:O19)</f>
        <v>4807.678225312</v>
      </c>
      <c r="P20" s="1" t="s">
        <v>1219</v>
      </c>
      <c r="Q20" s="84">
        <f ca="1">SUM(Q5:Q19)</f>
        <v>0</v>
      </c>
    </row>
    <row r="21" ht="13.5" spans="1:1">
      <c r="A21" s="50" t="s">
        <v>1220</v>
      </c>
    </row>
    <row r="22" spans="1:15">
      <c r="A22" s="50" t="s">
        <v>1221</v>
      </c>
      <c r="N22" s="1" t="s">
        <v>1236</v>
      </c>
      <c r="O22" s="1">
        <f ca="1">O20+Q20</f>
        <v>4807.678225312</v>
      </c>
    </row>
  </sheetData>
  <mergeCells count="7">
    <mergeCell ref="A1:G1"/>
    <mergeCell ref="A2:E2"/>
    <mergeCell ref="A3:B3"/>
    <mergeCell ref="C3:G3"/>
    <mergeCell ref="A5:A14"/>
    <mergeCell ref="A15:A16"/>
    <mergeCell ref="A17:A19"/>
  </mergeCells>
  <dataValidations count="1">
    <dataValidation allowBlank="1" showInputMessage="1" showErrorMessage="1" sqref="B15:B16 C15:C16"/>
  </dataValidations>
  <printOptions horizontalCentered="1"/>
  <pageMargins left="0" right="0" top="0.979166666666667" bottom="0" header="0" footer="0"/>
  <pageSetup paperSize="9" scale="120" orientation="portrait" verticalDpi="1200"/>
  <headerFooter alignWithMargins="0">
    <oddHeader>&amp;C&amp;"方正姚体,加粗"&amp;12 高山篷房制造（沈阳）有限公司   &amp;R&amp;"黑体,加粗"&amp;12 400-024-1800</oddHeader>
    <oddFooter>&amp;C共&amp;N页/第&amp;P页&amp;R&amp;D/&amp;T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FFFF00"/>
  </sheetPr>
  <dimension ref="A1:Q22"/>
  <sheetViews>
    <sheetView showGridLines="0" workbookViewId="0">
      <selection activeCell="E31" sqref="E31"/>
    </sheetView>
  </sheetViews>
  <sheetFormatPr defaultColWidth="9" defaultRowHeight="14.25"/>
  <cols>
    <col min="1" max="1" width="4.125" style="1" customWidth="1"/>
    <col min="2" max="2" width="17.375" style="1" customWidth="1"/>
    <col min="3" max="3" width="9.5" style="1" customWidth="1"/>
    <col min="4" max="4" width="9.5" style="51" customWidth="1"/>
    <col min="5" max="5" width="9.5" style="3" customWidth="1"/>
    <col min="6" max="7" width="9.5" style="1" customWidth="1"/>
    <col min="8" max="16384" width="9" style="1"/>
  </cols>
  <sheetData>
    <row r="1" ht="20.1" customHeight="1" spans="1:7">
      <c r="A1" s="291" t="s">
        <v>1244</v>
      </c>
      <c r="B1" s="291"/>
      <c r="C1" s="291"/>
      <c r="D1" s="292"/>
      <c r="E1" s="291"/>
      <c r="F1" s="291"/>
      <c r="G1" s="291"/>
    </row>
    <row r="2" ht="24" customHeight="1" spans="1:10">
      <c r="A2" s="141" t="s">
        <v>1239</v>
      </c>
      <c r="B2" s="141"/>
      <c r="C2" s="141"/>
      <c r="D2" s="11"/>
      <c r="E2" s="9"/>
      <c r="F2" s="11" t="s">
        <v>1198</v>
      </c>
      <c r="G2" s="11">
        <f>5*5*A3</f>
        <v>25</v>
      </c>
      <c r="H2" s="55"/>
      <c r="I2" s="55"/>
      <c r="J2" s="3"/>
    </row>
    <row r="3" ht="17.1" customHeight="1" spans="1:10">
      <c r="A3" s="165">
        <v>1</v>
      </c>
      <c r="B3" s="165"/>
      <c r="C3" s="293" t="s">
        <v>1199</v>
      </c>
      <c r="D3" s="294"/>
      <c r="E3" s="294"/>
      <c r="F3" s="294"/>
      <c r="G3" s="295"/>
      <c r="H3" s="55"/>
      <c r="I3" s="55"/>
      <c r="J3" s="3"/>
    </row>
    <row r="4" ht="36" spans="1:17">
      <c r="A4" s="165" t="s">
        <v>1200</v>
      </c>
      <c r="B4" s="75" t="s">
        <v>1201</v>
      </c>
      <c r="C4" s="75" t="s">
        <v>1202</v>
      </c>
      <c r="D4" s="75" t="s">
        <v>22</v>
      </c>
      <c r="E4" s="75" t="s">
        <v>1203</v>
      </c>
      <c r="F4" s="75" t="s">
        <v>1204</v>
      </c>
      <c r="G4" s="75" t="s">
        <v>1205</v>
      </c>
      <c r="H4" s="165" t="s">
        <v>1206</v>
      </c>
      <c r="I4" s="165" t="s">
        <v>1207</v>
      </c>
      <c r="J4" s="165" t="s">
        <v>1208</v>
      </c>
      <c r="K4" s="75" t="s">
        <v>1209</v>
      </c>
      <c r="L4" s="165" t="s">
        <v>1210</v>
      </c>
      <c r="M4" s="75" t="s">
        <v>1211</v>
      </c>
      <c r="N4" s="164" t="s">
        <v>1212</v>
      </c>
      <c r="O4" s="165" t="s">
        <v>1213</v>
      </c>
      <c r="P4" s="165" t="s">
        <v>1214</v>
      </c>
      <c r="Q4" s="75" t="s">
        <v>1213</v>
      </c>
    </row>
    <row r="5" ht="15.95" customHeight="1" spans="1:17">
      <c r="A5" s="20" t="s">
        <v>1215</v>
      </c>
      <c r="B5" s="296" t="s">
        <v>1224</v>
      </c>
      <c r="C5" s="296"/>
      <c r="D5" s="167" t="s">
        <v>28</v>
      </c>
      <c r="E5" s="24">
        <f>A3*4</f>
        <v>4</v>
      </c>
      <c r="F5" s="93">
        <f ca="1">I5+J5+K5+L5+M5</f>
        <v>156.13249344</v>
      </c>
      <c r="G5" s="148">
        <v>2.4</v>
      </c>
      <c r="H5" s="148">
        <v>2.737</v>
      </c>
      <c r="I5" s="101">
        <f ca="1">G5*H5*'6米（尖顶）参数'!G5*1.1</f>
        <v>156.13249344</v>
      </c>
      <c r="J5" s="101"/>
      <c r="K5" s="101"/>
      <c r="L5" s="101"/>
      <c r="M5" s="101"/>
      <c r="N5" s="167">
        <v>4</v>
      </c>
      <c r="O5" s="67">
        <f ca="1" t="shared" ref="O5:O19" si="0">N5*F5</f>
        <v>624.52997376</v>
      </c>
      <c r="P5" s="67">
        <f t="shared" ref="P5:P19" si="1">E5-N5</f>
        <v>0</v>
      </c>
      <c r="Q5" s="67">
        <f ca="1" t="shared" ref="Q5:Q19" si="2">P5*F5</f>
        <v>0</v>
      </c>
    </row>
    <row r="6" ht="15.95" customHeight="1" spans="1:17">
      <c r="A6" s="20"/>
      <c r="B6" s="296" t="s">
        <v>1225</v>
      </c>
      <c r="C6" s="296"/>
      <c r="D6" s="167" t="s">
        <v>28</v>
      </c>
      <c r="E6" s="24">
        <f>A3*4</f>
        <v>4</v>
      </c>
      <c r="F6" s="93">
        <f ca="1">I6+J6+K6+L6+M6</f>
        <v>382.57295276</v>
      </c>
      <c r="G6" s="148">
        <v>5.85</v>
      </c>
      <c r="H6" s="148">
        <v>2.737</v>
      </c>
      <c r="I6" s="101">
        <f ca="1">G6*H6*'6米（尖顶）参数'!G5*1.1</f>
        <v>380.57295276</v>
      </c>
      <c r="J6" s="101"/>
      <c r="K6" s="101"/>
      <c r="L6" s="101">
        <v>2</v>
      </c>
      <c r="M6" s="101"/>
      <c r="N6" s="167">
        <v>4</v>
      </c>
      <c r="O6" s="67">
        <f ca="1" t="shared" si="0"/>
        <v>1530.29181104</v>
      </c>
      <c r="P6" s="67">
        <f t="shared" si="1"/>
        <v>0</v>
      </c>
      <c r="Q6" s="67">
        <f ca="1" t="shared" si="2"/>
        <v>0</v>
      </c>
    </row>
    <row r="7" ht="15.95" customHeight="1" spans="1:17">
      <c r="A7" s="20"/>
      <c r="B7" s="296" t="s">
        <v>1226</v>
      </c>
      <c r="C7" s="296"/>
      <c r="D7" s="167" t="s">
        <v>28</v>
      </c>
      <c r="E7" s="24">
        <f>A3*4</f>
        <v>4</v>
      </c>
      <c r="F7" s="93">
        <f ca="1">I7+J7+K7+L7+M7</f>
        <v>82.703299528</v>
      </c>
      <c r="G7" s="148">
        <v>4.11</v>
      </c>
      <c r="H7" s="148">
        <v>0.821</v>
      </c>
      <c r="I7" s="101">
        <f ca="1">G7*H7*'6米（尖顶）参数'!G5*1.1</f>
        <v>80.203299528</v>
      </c>
      <c r="J7" s="101"/>
      <c r="K7" s="101"/>
      <c r="L7" s="101">
        <v>1</v>
      </c>
      <c r="M7" s="101">
        <v>1.5</v>
      </c>
      <c r="N7" s="167">
        <v>4</v>
      </c>
      <c r="O7" s="67">
        <f ca="1" t="shared" si="0"/>
        <v>330.813198112</v>
      </c>
      <c r="P7" s="67">
        <f t="shared" si="1"/>
        <v>0</v>
      </c>
      <c r="Q7" s="67">
        <f ca="1" t="shared" si="2"/>
        <v>0</v>
      </c>
    </row>
    <row r="8" ht="15.95" customHeight="1" spans="1:17">
      <c r="A8" s="20"/>
      <c r="B8" s="296" t="s">
        <v>1227</v>
      </c>
      <c r="C8" s="296"/>
      <c r="D8" s="167" t="s">
        <v>28</v>
      </c>
      <c r="E8" s="28">
        <f>A3</f>
        <v>1</v>
      </c>
      <c r="F8" s="93">
        <v>39.8</v>
      </c>
      <c r="G8" s="95"/>
      <c r="H8" s="95"/>
      <c r="I8" s="61"/>
      <c r="J8" s="61"/>
      <c r="K8" s="61"/>
      <c r="L8" s="61"/>
      <c r="M8" s="61"/>
      <c r="N8" s="167">
        <v>1</v>
      </c>
      <c r="O8" s="67">
        <f ca="1" t="shared" si="0"/>
        <v>39.8</v>
      </c>
      <c r="P8" s="67">
        <f t="shared" si="1"/>
        <v>0</v>
      </c>
      <c r="Q8" s="67">
        <f ca="1" t="shared" si="2"/>
        <v>0</v>
      </c>
    </row>
    <row r="9" ht="15.95" customHeight="1" spans="1:17">
      <c r="A9" s="20"/>
      <c r="B9" s="296" t="s">
        <v>537</v>
      </c>
      <c r="C9" s="296"/>
      <c r="D9" s="167" t="s">
        <v>28</v>
      </c>
      <c r="E9" s="24">
        <f>A3</f>
        <v>1</v>
      </c>
      <c r="F9" s="93">
        <v>51.75</v>
      </c>
      <c r="G9" s="148"/>
      <c r="H9" s="148"/>
      <c r="I9" s="101"/>
      <c r="J9" s="101"/>
      <c r="K9" s="101"/>
      <c r="L9" s="101"/>
      <c r="M9" s="101"/>
      <c r="N9" s="167">
        <v>1</v>
      </c>
      <c r="O9" s="67">
        <f ca="1" t="shared" si="0"/>
        <v>51.75</v>
      </c>
      <c r="P9" s="67">
        <f t="shared" si="1"/>
        <v>0</v>
      </c>
      <c r="Q9" s="67">
        <f ca="1" t="shared" si="2"/>
        <v>0</v>
      </c>
    </row>
    <row r="10" ht="15.95" customHeight="1" spans="1:17">
      <c r="A10" s="20"/>
      <c r="B10" s="296" t="s">
        <v>1228</v>
      </c>
      <c r="C10" s="296"/>
      <c r="D10" s="167" t="s">
        <v>555</v>
      </c>
      <c r="E10" s="24">
        <f>A3*4</f>
        <v>4</v>
      </c>
      <c r="F10" s="93">
        <v>10.9</v>
      </c>
      <c r="G10" s="148"/>
      <c r="H10" s="148"/>
      <c r="I10" s="101"/>
      <c r="J10" s="101"/>
      <c r="K10" s="101"/>
      <c r="L10" s="101"/>
      <c r="M10" s="101"/>
      <c r="N10" s="169">
        <v>4</v>
      </c>
      <c r="O10" s="67">
        <f ca="1" t="shared" si="0"/>
        <v>43.6</v>
      </c>
      <c r="P10" s="67">
        <f t="shared" si="1"/>
        <v>0</v>
      </c>
      <c r="Q10" s="67">
        <f ca="1" t="shared" si="2"/>
        <v>0</v>
      </c>
    </row>
    <row r="11" ht="15.95" customHeight="1" spans="1:17">
      <c r="A11" s="20"/>
      <c r="B11" s="296" t="s">
        <v>1240</v>
      </c>
      <c r="C11" s="296"/>
      <c r="D11" s="167" t="s">
        <v>434</v>
      </c>
      <c r="E11" s="24">
        <f>A3*4</f>
        <v>4</v>
      </c>
      <c r="F11" s="93">
        <v>25</v>
      </c>
      <c r="G11" s="148"/>
      <c r="H11" s="148"/>
      <c r="I11" s="101"/>
      <c r="J11" s="101"/>
      <c r="K11" s="101"/>
      <c r="L11" s="101"/>
      <c r="M11" s="101"/>
      <c r="N11" s="169">
        <v>4</v>
      </c>
      <c r="O11" s="67">
        <f ca="1" t="shared" si="0"/>
        <v>100</v>
      </c>
      <c r="P11" s="67">
        <f t="shared" si="1"/>
        <v>0</v>
      </c>
      <c r="Q11" s="67">
        <f ca="1" t="shared" si="2"/>
        <v>0</v>
      </c>
    </row>
    <row r="12" ht="15.95" customHeight="1" spans="1:17">
      <c r="A12" s="20"/>
      <c r="B12" s="296" t="s">
        <v>531</v>
      </c>
      <c r="C12" s="296"/>
      <c r="D12" s="167" t="s">
        <v>434</v>
      </c>
      <c r="E12" s="24">
        <f>A3*4</f>
        <v>4</v>
      </c>
      <c r="F12" s="93">
        <v>48.3</v>
      </c>
      <c r="G12" s="192"/>
      <c r="H12" s="148"/>
      <c r="I12" s="202"/>
      <c r="J12" s="101"/>
      <c r="K12" s="101"/>
      <c r="L12" s="101"/>
      <c r="M12" s="101"/>
      <c r="N12" s="167">
        <v>4</v>
      </c>
      <c r="O12" s="67">
        <f ca="1" t="shared" si="0"/>
        <v>193.2</v>
      </c>
      <c r="P12" s="67">
        <f t="shared" si="1"/>
        <v>0</v>
      </c>
      <c r="Q12" s="67">
        <f ca="1" t="shared" si="2"/>
        <v>0</v>
      </c>
    </row>
    <row r="13" ht="15.95" customHeight="1" spans="1:17">
      <c r="A13" s="20"/>
      <c r="B13" s="296" t="s">
        <v>1229</v>
      </c>
      <c r="C13" s="296"/>
      <c r="D13" s="167" t="s">
        <v>434</v>
      </c>
      <c r="E13" s="24">
        <f>A3*8</f>
        <v>8</v>
      </c>
      <c r="F13" s="93">
        <v>8</v>
      </c>
      <c r="G13" s="192"/>
      <c r="H13" s="148"/>
      <c r="I13" s="101"/>
      <c r="J13" s="101"/>
      <c r="K13" s="101"/>
      <c r="L13" s="101"/>
      <c r="M13" s="101"/>
      <c r="N13" s="167">
        <v>8</v>
      </c>
      <c r="O13" s="67">
        <f ca="1" t="shared" si="0"/>
        <v>64</v>
      </c>
      <c r="P13" s="67">
        <f t="shared" si="1"/>
        <v>0</v>
      </c>
      <c r="Q13" s="67">
        <f ca="1" t="shared" si="2"/>
        <v>0</v>
      </c>
    </row>
    <row r="14" ht="15.95" customHeight="1" spans="1:17">
      <c r="A14" s="20"/>
      <c r="B14" s="296" t="s">
        <v>1230</v>
      </c>
      <c r="C14" s="296"/>
      <c r="D14" s="167" t="s">
        <v>28</v>
      </c>
      <c r="E14" s="24">
        <f>A3*4</f>
        <v>4</v>
      </c>
      <c r="F14" s="93">
        <v>33</v>
      </c>
      <c r="G14" s="148"/>
      <c r="H14" s="148"/>
      <c r="I14" s="101"/>
      <c r="J14" s="101"/>
      <c r="K14" s="101"/>
      <c r="L14" s="101"/>
      <c r="M14" s="101"/>
      <c r="N14" s="167">
        <v>4</v>
      </c>
      <c r="O14" s="67">
        <f ca="1" t="shared" si="0"/>
        <v>132</v>
      </c>
      <c r="P14" s="67">
        <f t="shared" si="1"/>
        <v>0</v>
      </c>
      <c r="Q14" s="67">
        <f ca="1" t="shared" si="2"/>
        <v>0</v>
      </c>
    </row>
    <row r="15" ht="15.95" customHeight="1" spans="1:17">
      <c r="A15" s="20" t="s">
        <v>13</v>
      </c>
      <c r="B15" s="91" t="s">
        <v>1231</v>
      </c>
      <c r="C15" s="91"/>
      <c r="D15" s="167" t="s">
        <v>612</v>
      </c>
      <c r="E15" s="28">
        <f>A3</f>
        <v>1</v>
      </c>
      <c r="F15" s="93">
        <v>990</v>
      </c>
      <c r="G15" s="148"/>
      <c r="H15" s="148"/>
      <c r="I15" s="101"/>
      <c r="J15" s="101"/>
      <c r="K15" s="101"/>
      <c r="L15" s="101"/>
      <c r="M15" s="101"/>
      <c r="N15" s="167">
        <v>1</v>
      </c>
      <c r="O15" s="67">
        <f ca="1" t="shared" si="0"/>
        <v>990</v>
      </c>
      <c r="P15" s="67">
        <f t="shared" si="1"/>
        <v>0</v>
      </c>
      <c r="Q15" s="67">
        <f ca="1" t="shared" si="2"/>
        <v>0</v>
      </c>
    </row>
    <row r="16" ht="15.95" customHeight="1" spans="1:17">
      <c r="A16" s="20"/>
      <c r="B16" s="91" t="s">
        <v>1232</v>
      </c>
      <c r="C16" s="91"/>
      <c r="D16" s="167" t="s">
        <v>664</v>
      </c>
      <c r="E16" s="28">
        <f>A3*4</f>
        <v>4</v>
      </c>
      <c r="F16" s="93">
        <v>285</v>
      </c>
      <c r="G16" s="95"/>
      <c r="H16" s="95"/>
      <c r="I16" s="61"/>
      <c r="J16" s="61"/>
      <c r="K16" s="61"/>
      <c r="L16" s="61"/>
      <c r="M16" s="61"/>
      <c r="N16" s="167">
        <v>4</v>
      </c>
      <c r="O16" s="67">
        <f ca="1" t="shared" si="0"/>
        <v>1140</v>
      </c>
      <c r="P16" s="67">
        <f t="shared" si="1"/>
        <v>0</v>
      </c>
      <c r="Q16" s="67">
        <f ca="1" t="shared" si="2"/>
        <v>0</v>
      </c>
    </row>
    <row r="17" ht="15.95" customHeight="1" spans="1:17">
      <c r="A17" s="20" t="s">
        <v>1235</v>
      </c>
      <c r="B17" s="296" t="s">
        <v>561</v>
      </c>
      <c r="C17" s="296"/>
      <c r="D17" s="167" t="s">
        <v>434</v>
      </c>
      <c r="E17" s="28">
        <f>A3*8</f>
        <v>8</v>
      </c>
      <c r="F17" s="93">
        <v>0.55</v>
      </c>
      <c r="G17" s="95"/>
      <c r="H17" s="95"/>
      <c r="I17" s="61"/>
      <c r="J17" s="61"/>
      <c r="K17" s="61"/>
      <c r="L17" s="61"/>
      <c r="M17" s="61"/>
      <c r="N17" s="167">
        <v>8</v>
      </c>
      <c r="O17" s="67">
        <f ca="1" t="shared" si="0"/>
        <v>4.4</v>
      </c>
      <c r="P17" s="67">
        <f t="shared" si="1"/>
        <v>0</v>
      </c>
      <c r="Q17" s="67">
        <f ca="1" t="shared" si="2"/>
        <v>0</v>
      </c>
    </row>
    <row r="18" ht="15.95" customHeight="1" spans="1:17">
      <c r="A18" s="20"/>
      <c r="B18" s="296" t="s">
        <v>565</v>
      </c>
      <c r="C18" s="296"/>
      <c r="D18" s="167" t="s">
        <v>434</v>
      </c>
      <c r="E18" s="28">
        <v>8</v>
      </c>
      <c r="F18" s="93">
        <v>0.9</v>
      </c>
      <c r="G18" s="95"/>
      <c r="H18" s="95"/>
      <c r="I18" s="61"/>
      <c r="J18" s="61"/>
      <c r="K18" s="61"/>
      <c r="L18" s="61"/>
      <c r="M18" s="61"/>
      <c r="N18" s="167">
        <v>8</v>
      </c>
      <c r="O18" s="67">
        <f ca="1" t="shared" si="0"/>
        <v>7.2</v>
      </c>
      <c r="P18" s="67">
        <f t="shared" si="1"/>
        <v>0</v>
      </c>
      <c r="Q18" s="67">
        <f ca="1" t="shared" si="2"/>
        <v>0</v>
      </c>
    </row>
    <row r="19" ht="15.95" customHeight="1" spans="1:17">
      <c r="A19" s="20"/>
      <c r="B19" s="296" t="s">
        <v>557</v>
      </c>
      <c r="C19" s="296"/>
      <c r="D19" s="167" t="s">
        <v>434</v>
      </c>
      <c r="E19" s="24">
        <f>A3*12</f>
        <v>12</v>
      </c>
      <c r="F19" s="93">
        <v>0.2</v>
      </c>
      <c r="G19" s="95"/>
      <c r="H19" s="95"/>
      <c r="I19" s="61"/>
      <c r="J19" s="61"/>
      <c r="K19" s="61"/>
      <c r="L19" s="61"/>
      <c r="M19" s="61"/>
      <c r="N19" s="167">
        <v>12</v>
      </c>
      <c r="O19" s="67">
        <f ca="1" t="shared" si="0"/>
        <v>2.4</v>
      </c>
      <c r="P19" s="67">
        <f t="shared" si="1"/>
        <v>0</v>
      </c>
      <c r="Q19" s="67">
        <f ca="1" t="shared" si="2"/>
        <v>0</v>
      </c>
    </row>
    <row r="20" spans="14:17">
      <c r="N20" s="1" t="s">
        <v>1218</v>
      </c>
      <c r="O20" s="1">
        <f ca="1">SUM(O5:O19)</f>
        <v>5253.984982912</v>
      </c>
      <c r="P20" s="1" t="s">
        <v>1219</v>
      </c>
      <c r="Q20" s="84">
        <f ca="1">SUM(Q5:Q19)</f>
        <v>0</v>
      </c>
    </row>
    <row r="21" ht="13.5" spans="1:1">
      <c r="A21" s="50" t="s">
        <v>1220</v>
      </c>
    </row>
    <row r="22" spans="1:15">
      <c r="A22" s="50" t="s">
        <v>1221</v>
      </c>
      <c r="N22" s="1" t="s">
        <v>1236</v>
      </c>
      <c r="O22" s="1">
        <f ca="1">O20+Q20</f>
        <v>5253.984982912</v>
      </c>
    </row>
  </sheetData>
  <mergeCells count="7">
    <mergeCell ref="A1:G1"/>
    <mergeCell ref="A2:E2"/>
    <mergeCell ref="A3:B3"/>
    <mergeCell ref="C3:G3"/>
    <mergeCell ref="A5:A14"/>
    <mergeCell ref="A15:A16"/>
    <mergeCell ref="A17:A19"/>
  </mergeCells>
  <dataValidations count="1">
    <dataValidation allowBlank="1" showInputMessage="1" showErrorMessage="1" sqref="B15:B16 C15:C16"/>
  </dataValidations>
  <pageMargins left="0.75" right="0.75" top="1" bottom="1" header="0.509027777777778" footer="0.509027777777778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182"/>
  <sheetViews>
    <sheetView showGridLines="0" tabSelected="1" topLeftCell="A4" workbookViewId="0">
      <selection activeCell="B69" sqref="B69:D69"/>
    </sheetView>
  </sheetViews>
  <sheetFormatPr defaultColWidth="9" defaultRowHeight="13.5" outlineLevelCol="5"/>
  <cols>
    <col min="1" max="1" width="10.125" style="341" customWidth="1"/>
    <col min="2" max="2" width="10.125" style="342" customWidth="1"/>
    <col min="3" max="3" width="30.25" style="343" customWidth="1"/>
    <col min="4" max="4" width="24.25" style="343" customWidth="1"/>
    <col min="5" max="5" width="5.625" style="344" customWidth="1"/>
    <col min="6" max="6" width="5.625" style="345" customWidth="1"/>
    <col min="7" max="16384" width="9" style="344"/>
  </cols>
  <sheetData>
    <row r="1" s="338" customFormat="1" ht="18.75" spans="1:6">
      <c r="A1" s="315" t="s">
        <v>17</v>
      </c>
      <c r="B1" s="346"/>
      <c r="C1" s="346"/>
      <c r="D1" s="346"/>
      <c r="E1" s="346"/>
      <c r="F1" s="347"/>
    </row>
    <row r="2" s="338" customFormat="1" spans="1:6">
      <c r="A2" s="319" t="s">
        <v>18</v>
      </c>
      <c r="B2" s="319" t="s">
        <v>19</v>
      </c>
      <c r="C2" s="319" t="s">
        <v>20</v>
      </c>
      <c r="D2" s="319" t="s">
        <v>21</v>
      </c>
      <c r="E2" s="319" t="s">
        <v>22</v>
      </c>
      <c r="F2" s="320" t="s">
        <v>23</v>
      </c>
    </row>
    <row r="3" s="338" customFormat="1" spans="1:6">
      <c r="A3" s="325" t="s">
        <v>24</v>
      </c>
      <c r="B3" s="348" t="s">
        <v>25</v>
      </c>
      <c r="C3" s="349" t="s">
        <v>26</v>
      </c>
      <c r="D3" s="296" t="s">
        <v>27</v>
      </c>
      <c r="E3" s="23" t="s">
        <v>28</v>
      </c>
      <c r="F3" s="322">
        <v>1</v>
      </c>
    </row>
    <row r="4" s="338" customFormat="1" spans="1:6">
      <c r="A4" s="327"/>
      <c r="B4" s="348" t="s">
        <v>29</v>
      </c>
      <c r="C4" s="349" t="s">
        <v>30</v>
      </c>
      <c r="D4" s="296" t="s">
        <v>31</v>
      </c>
      <c r="E4" s="23" t="s">
        <v>28</v>
      </c>
      <c r="F4" s="322">
        <v>1</v>
      </c>
    </row>
    <row r="5" s="338" customFormat="1" spans="1:6">
      <c r="A5" s="327"/>
      <c r="B5" s="348" t="s">
        <v>32</v>
      </c>
      <c r="C5" s="349" t="s">
        <v>26</v>
      </c>
      <c r="D5" s="296" t="s">
        <v>33</v>
      </c>
      <c r="E5" s="23" t="s">
        <v>28</v>
      </c>
      <c r="F5" s="322">
        <v>1</v>
      </c>
    </row>
    <row r="6" s="338" customFormat="1" spans="1:6">
      <c r="A6" s="327"/>
      <c r="B6" s="348" t="s">
        <v>34</v>
      </c>
      <c r="C6" s="349" t="s">
        <v>30</v>
      </c>
      <c r="D6" s="296" t="s">
        <v>35</v>
      </c>
      <c r="E6" s="23" t="s">
        <v>28</v>
      </c>
      <c r="F6" s="322">
        <v>1</v>
      </c>
    </row>
    <row r="7" s="338" customFormat="1" spans="1:6">
      <c r="A7" s="327"/>
      <c r="B7" s="348" t="s">
        <v>36</v>
      </c>
      <c r="C7" s="349" t="s">
        <v>37</v>
      </c>
      <c r="D7" s="296" t="s">
        <v>38</v>
      </c>
      <c r="E7" s="23" t="s">
        <v>28</v>
      </c>
      <c r="F7" s="322">
        <v>1</v>
      </c>
    </row>
    <row r="8" s="338" customFormat="1" spans="1:6">
      <c r="A8" s="327"/>
      <c r="B8" s="348" t="s">
        <v>39</v>
      </c>
      <c r="C8" s="349" t="s">
        <v>40</v>
      </c>
      <c r="D8" s="296" t="s">
        <v>41</v>
      </c>
      <c r="E8" s="23" t="s">
        <v>28</v>
      </c>
      <c r="F8" s="322">
        <v>1</v>
      </c>
    </row>
    <row r="9" s="338" customFormat="1" spans="1:6">
      <c r="A9" s="327"/>
      <c r="B9" s="348" t="s">
        <v>42</v>
      </c>
      <c r="C9" s="349" t="s">
        <v>37</v>
      </c>
      <c r="D9" s="296" t="s">
        <v>43</v>
      </c>
      <c r="E9" s="23" t="s">
        <v>28</v>
      </c>
      <c r="F9" s="322">
        <v>1</v>
      </c>
    </row>
    <row r="10" s="338" customFormat="1" spans="1:6">
      <c r="A10" s="327"/>
      <c r="B10" s="348" t="s">
        <v>44</v>
      </c>
      <c r="C10" s="349" t="s">
        <v>40</v>
      </c>
      <c r="D10" s="296" t="s">
        <v>45</v>
      </c>
      <c r="E10" s="23" t="s">
        <v>28</v>
      </c>
      <c r="F10" s="322">
        <v>1</v>
      </c>
    </row>
    <row r="11" s="338" customFormat="1" spans="1:6">
      <c r="A11" s="327"/>
      <c r="B11" s="348" t="s">
        <v>46</v>
      </c>
      <c r="C11" s="349" t="s">
        <v>47</v>
      </c>
      <c r="D11" s="296" t="s">
        <v>48</v>
      </c>
      <c r="E11" s="23" t="s">
        <v>28</v>
      </c>
      <c r="F11" s="322">
        <v>1</v>
      </c>
    </row>
    <row r="12" s="338" customFormat="1" spans="1:6">
      <c r="A12" s="327"/>
      <c r="B12" s="348" t="s">
        <v>49</v>
      </c>
      <c r="C12" s="349" t="s">
        <v>50</v>
      </c>
      <c r="D12" s="296" t="s">
        <v>51</v>
      </c>
      <c r="E12" s="23" t="s">
        <v>28</v>
      </c>
      <c r="F12" s="322">
        <v>1</v>
      </c>
    </row>
    <row r="13" s="338" customFormat="1" spans="1:6">
      <c r="A13" s="327"/>
      <c r="B13" s="348" t="s">
        <v>52</v>
      </c>
      <c r="C13" s="349" t="s">
        <v>53</v>
      </c>
      <c r="D13" s="296" t="s">
        <v>54</v>
      </c>
      <c r="E13" s="23" t="s">
        <v>28</v>
      </c>
      <c r="F13" s="322">
        <v>1</v>
      </c>
    </row>
    <row r="14" s="338" customFormat="1" spans="1:6">
      <c r="A14" s="327"/>
      <c r="B14" s="348" t="s">
        <v>55</v>
      </c>
      <c r="C14" s="349" t="s">
        <v>56</v>
      </c>
      <c r="D14" s="296" t="s">
        <v>57</v>
      </c>
      <c r="E14" s="23" t="s">
        <v>28</v>
      </c>
      <c r="F14" s="322">
        <v>1</v>
      </c>
    </row>
    <row r="15" s="338" customFormat="1" spans="1:6">
      <c r="A15" s="327"/>
      <c r="B15" s="348" t="s">
        <v>58</v>
      </c>
      <c r="C15" s="349" t="s">
        <v>59</v>
      </c>
      <c r="D15" s="296" t="s">
        <v>60</v>
      </c>
      <c r="E15" s="23" t="s">
        <v>28</v>
      </c>
      <c r="F15" s="322">
        <v>1</v>
      </c>
    </row>
    <row r="16" s="338" customFormat="1" spans="1:6">
      <c r="A16" s="327"/>
      <c r="B16" s="348" t="s">
        <v>61</v>
      </c>
      <c r="C16" s="349" t="s">
        <v>62</v>
      </c>
      <c r="D16" s="296" t="s">
        <v>63</v>
      </c>
      <c r="E16" s="23" t="s">
        <v>28</v>
      </c>
      <c r="F16" s="322">
        <v>1</v>
      </c>
    </row>
    <row r="17" s="338" customFormat="1" spans="1:6">
      <c r="A17" s="327"/>
      <c r="B17" s="348" t="s">
        <v>64</v>
      </c>
      <c r="C17" s="349" t="s">
        <v>65</v>
      </c>
      <c r="D17" s="296" t="s">
        <v>66</v>
      </c>
      <c r="E17" s="23" t="s">
        <v>28</v>
      </c>
      <c r="F17" s="322">
        <v>1</v>
      </c>
    </row>
    <row r="18" s="338" customFormat="1" spans="1:6">
      <c r="A18" s="327"/>
      <c r="B18" s="348" t="s">
        <v>67</v>
      </c>
      <c r="C18" s="349" t="s">
        <v>68</v>
      </c>
      <c r="D18" s="296" t="s">
        <v>69</v>
      </c>
      <c r="E18" s="23" t="s">
        <v>28</v>
      </c>
      <c r="F18" s="322">
        <v>1</v>
      </c>
    </row>
    <row r="19" s="338" customFormat="1" spans="1:6">
      <c r="A19" s="327"/>
      <c r="B19" s="348" t="s">
        <v>70</v>
      </c>
      <c r="C19" s="349" t="s">
        <v>68</v>
      </c>
      <c r="D19" s="296" t="s">
        <v>71</v>
      </c>
      <c r="E19" s="23" t="s">
        <v>28</v>
      </c>
      <c r="F19" s="322">
        <v>1</v>
      </c>
    </row>
    <row r="20" s="338" customFormat="1" spans="1:6">
      <c r="A20" s="327"/>
      <c r="B20" s="348" t="s">
        <v>72</v>
      </c>
      <c r="C20" s="349" t="s">
        <v>73</v>
      </c>
      <c r="D20" s="296" t="s">
        <v>74</v>
      </c>
      <c r="E20" s="23" t="s">
        <v>28</v>
      </c>
      <c r="F20" s="322">
        <v>1</v>
      </c>
    </row>
    <row r="21" s="338" customFormat="1" spans="1:6">
      <c r="A21" s="327"/>
      <c r="B21" s="348" t="s">
        <v>75</v>
      </c>
      <c r="C21" s="349" t="s">
        <v>68</v>
      </c>
      <c r="D21" s="296" t="s">
        <v>76</v>
      </c>
      <c r="E21" s="23" t="s">
        <v>28</v>
      </c>
      <c r="F21" s="322">
        <v>1</v>
      </c>
    </row>
    <row r="22" s="338" customFormat="1" spans="1:6">
      <c r="A22" s="327"/>
      <c r="B22" s="348" t="s">
        <v>77</v>
      </c>
      <c r="C22" s="349" t="s">
        <v>78</v>
      </c>
      <c r="D22" s="296" t="s">
        <v>79</v>
      </c>
      <c r="E22" s="23" t="s">
        <v>28</v>
      </c>
      <c r="F22" s="322">
        <v>1</v>
      </c>
    </row>
    <row r="23" s="338" customFormat="1" spans="1:6">
      <c r="A23" s="327"/>
      <c r="B23" s="348" t="s">
        <v>80</v>
      </c>
      <c r="C23" s="349" t="s">
        <v>81</v>
      </c>
      <c r="D23" s="296" t="s">
        <v>76</v>
      </c>
      <c r="E23" s="23" t="s">
        <v>28</v>
      </c>
      <c r="F23" s="322">
        <v>1</v>
      </c>
    </row>
    <row r="24" s="338" customFormat="1" spans="1:6">
      <c r="A24" s="327"/>
      <c r="B24" s="348" t="s">
        <v>82</v>
      </c>
      <c r="C24" s="349" t="s">
        <v>83</v>
      </c>
      <c r="D24" s="296" t="s">
        <v>84</v>
      </c>
      <c r="E24" s="23" t="s">
        <v>28</v>
      </c>
      <c r="F24" s="322">
        <v>1</v>
      </c>
    </row>
    <row r="25" s="338" customFormat="1" spans="1:6">
      <c r="A25" s="327"/>
      <c r="B25" s="348" t="s">
        <v>85</v>
      </c>
      <c r="C25" s="349" t="s">
        <v>86</v>
      </c>
      <c r="D25" s="296" t="s">
        <v>79</v>
      </c>
      <c r="E25" s="23" t="s">
        <v>28</v>
      </c>
      <c r="F25" s="322">
        <v>1</v>
      </c>
    </row>
    <row r="26" s="338" customFormat="1" spans="1:6">
      <c r="A26" s="327"/>
      <c r="B26" s="348" t="s">
        <v>87</v>
      </c>
      <c r="C26" s="349" t="s">
        <v>88</v>
      </c>
      <c r="D26" s="296" t="s">
        <v>89</v>
      </c>
      <c r="E26" s="23" t="s">
        <v>28</v>
      </c>
      <c r="F26" s="322">
        <v>1</v>
      </c>
    </row>
    <row r="27" s="338" customFormat="1" spans="1:6">
      <c r="A27" s="327"/>
      <c r="B27" s="348" t="s">
        <v>90</v>
      </c>
      <c r="C27" s="349" t="s">
        <v>78</v>
      </c>
      <c r="D27" s="296" t="s">
        <v>91</v>
      </c>
      <c r="E27" s="23" t="s">
        <v>28</v>
      </c>
      <c r="F27" s="322">
        <v>1</v>
      </c>
    </row>
    <row r="28" s="338" customFormat="1" spans="1:6">
      <c r="A28" s="327"/>
      <c r="B28" s="348" t="s">
        <v>92</v>
      </c>
      <c r="C28" s="349" t="s">
        <v>86</v>
      </c>
      <c r="D28" s="296" t="s">
        <v>91</v>
      </c>
      <c r="E28" s="23" t="s">
        <v>28</v>
      </c>
      <c r="F28" s="322">
        <v>1</v>
      </c>
    </row>
    <row r="29" s="338" customFormat="1" spans="1:6">
      <c r="A29" s="327"/>
      <c r="B29" s="348" t="s">
        <v>93</v>
      </c>
      <c r="C29" s="349" t="s">
        <v>88</v>
      </c>
      <c r="D29" s="296" t="s">
        <v>94</v>
      </c>
      <c r="E29" s="23" t="s">
        <v>28</v>
      </c>
      <c r="F29" s="322">
        <v>1</v>
      </c>
    </row>
    <row r="30" s="338" customFormat="1" spans="1:6">
      <c r="A30" s="327"/>
      <c r="B30" s="348" t="s">
        <v>95</v>
      </c>
      <c r="C30" s="349" t="s">
        <v>96</v>
      </c>
      <c r="D30" s="296" t="s">
        <v>97</v>
      </c>
      <c r="E30" s="23" t="s">
        <v>28</v>
      </c>
      <c r="F30" s="322">
        <v>1</v>
      </c>
    </row>
    <row r="31" s="338" customFormat="1" spans="1:6">
      <c r="A31" s="327"/>
      <c r="B31" s="348" t="s">
        <v>98</v>
      </c>
      <c r="C31" s="349" t="s">
        <v>99</v>
      </c>
      <c r="D31" s="296" t="s">
        <v>94</v>
      </c>
      <c r="E31" s="23" t="s">
        <v>28</v>
      </c>
      <c r="F31" s="322">
        <v>1</v>
      </c>
    </row>
    <row r="32" s="338" customFormat="1" spans="1:6">
      <c r="A32" s="327"/>
      <c r="B32" s="348" t="s">
        <v>100</v>
      </c>
      <c r="C32" s="349" t="s">
        <v>101</v>
      </c>
      <c r="D32" s="296" t="s">
        <v>102</v>
      </c>
      <c r="E32" s="23" t="s">
        <v>28</v>
      </c>
      <c r="F32" s="322">
        <v>1</v>
      </c>
    </row>
    <row r="33" s="338" customFormat="1" spans="1:6">
      <c r="A33" s="327"/>
      <c r="B33" s="348" t="s">
        <v>103</v>
      </c>
      <c r="C33" s="349" t="s">
        <v>104</v>
      </c>
      <c r="D33" s="296" t="s">
        <v>105</v>
      </c>
      <c r="E33" s="23" t="s">
        <v>28</v>
      </c>
      <c r="F33" s="322">
        <v>1</v>
      </c>
    </row>
    <row r="34" s="338" customFormat="1" spans="1:6">
      <c r="A34" s="327"/>
      <c r="B34" s="348" t="s">
        <v>106</v>
      </c>
      <c r="C34" s="349" t="s">
        <v>107</v>
      </c>
      <c r="D34" s="296" t="s">
        <v>105</v>
      </c>
      <c r="E34" s="23" t="s">
        <v>28</v>
      </c>
      <c r="F34" s="322">
        <v>1</v>
      </c>
    </row>
    <row r="35" s="338" customFormat="1" spans="1:6">
      <c r="A35" s="327"/>
      <c r="B35" s="348" t="s">
        <v>108</v>
      </c>
      <c r="C35" s="349" t="s">
        <v>109</v>
      </c>
      <c r="D35" s="296" t="s">
        <v>110</v>
      </c>
      <c r="E35" s="23" t="s">
        <v>28</v>
      </c>
      <c r="F35" s="322">
        <v>1</v>
      </c>
    </row>
    <row r="36" s="338" customFormat="1" spans="1:6">
      <c r="A36" s="327"/>
      <c r="B36" s="348" t="s">
        <v>111</v>
      </c>
      <c r="C36" s="349" t="s">
        <v>112</v>
      </c>
      <c r="D36" s="296" t="s">
        <v>91</v>
      </c>
      <c r="E36" s="23" t="s">
        <v>28</v>
      </c>
      <c r="F36" s="322">
        <v>1</v>
      </c>
    </row>
    <row r="37" s="338" customFormat="1" spans="1:6">
      <c r="A37" s="327"/>
      <c r="B37" s="348" t="s">
        <v>113</v>
      </c>
      <c r="C37" s="349" t="s">
        <v>114</v>
      </c>
      <c r="D37" s="296" t="s">
        <v>91</v>
      </c>
      <c r="E37" s="23" t="s">
        <v>28</v>
      </c>
      <c r="F37" s="322">
        <v>1</v>
      </c>
    </row>
    <row r="38" s="338" customFormat="1" spans="1:6">
      <c r="A38" s="327"/>
      <c r="B38" s="348" t="s">
        <v>115</v>
      </c>
      <c r="C38" s="349" t="s">
        <v>116</v>
      </c>
      <c r="D38" s="296" t="s">
        <v>117</v>
      </c>
      <c r="E38" s="23" t="s">
        <v>28</v>
      </c>
      <c r="F38" s="322">
        <v>1</v>
      </c>
    </row>
    <row r="39" s="338" customFormat="1" spans="1:6">
      <c r="A39" s="327"/>
      <c r="B39" s="348" t="s">
        <v>118</v>
      </c>
      <c r="C39" s="349" t="s">
        <v>119</v>
      </c>
      <c r="D39" s="296" t="s">
        <v>120</v>
      </c>
      <c r="E39" s="23" t="s">
        <v>28</v>
      </c>
      <c r="F39" s="322">
        <v>1</v>
      </c>
    </row>
    <row r="40" s="338" customFormat="1" spans="1:6">
      <c r="A40" s="327"/>
      <c r="B40" s="348" t="s">
        <v>121</v>
      </c>
      <c r="C40" s="349" t="s">
        <v>122</v>
      </c>
      <c r="D40" s="296" t="s">
        <v>123</v>
      </c>
      <c r="E40" s="23" t="s">
        <v>28</v>
      </c>
      <c r="F40" s="322">
        <v>1</v>
      </c>
    </row>
    <row r="41" s="338" customFormat="1" spans="1:6">
      <c r="A41" s="327"/>
      <c r="B41" s="348" t="s">
        <v>124</v>
      </c>
      <c r="C41" s="349" t="s">
        <v>125</v>
      </c>
      <c r="D41" s="296" t="s">
        <v>123</v>
      </c>
      <c r="E41" s="23" t="s">
        <v>28</v>
      </c>
      <c r="F41" s="322">
        <v>1</v>
      </c>
    </row>
    <row r="42" s="338" customFormat="1" spans="1:6">
      <c r="A42" s="327"/>
      <c r="B42" s="348" t="s">
        <v>126</v>
      </c>
      <c r="C42" s="349" t="s">
        <v>127</v>
      </c>
      <c r="D42" s="296" t="s">
        <v>128</v>
      </c>
      <c r="E42" s="23" t="s">
        <v>28</v>
      </c>
      <c r="F42" s="322">
        <v>1</v>
      </c>
    </row>
    <row r="43" s="338" customFormat="1" spans="1:6">
      <c r="A43" s="327"/>
      <c r="B43" s="348" t="s">
        <v>129</v>
      </c>
      <c r="C43" s="349" t="s">
        <v>130</v>
      </c>
      <c r="D43" s="296" t="s">
        <v>131</v>
      </c>
      <c r="E43" s="23" t="s">
        <v>28</v>
      </c>
      <c r="F43" s="322">
        <v>1</v>
      </c>
    </row>
    <row r="44" s="338" customFormat="1" spans="1:6">
      <c r="A44" s="327"/>
      <c r="B44" s="348" t="s">
        <v>132</v>
      </c>
      <c r="C44" s="349" t="s">
        <v>133</v>
      </c>
      <c r="D44" s="296" t="s">
        <v>131</v>
      </c>
      <c r="E44" s="23" t="s">
        <v>28</v>
      </c>
      <c r="F44" s="322">
        <v>1</v>
      </c>
    </row>
    <row r="45" s="338" customFormat="1" spans="1:6">
      <c r="A45" s="327"/>
      <c r="B45" s="348" t="s">
        <v>134</v>
      </c>
      <c r="C45" s="349" t="s">
        <v>135</v>
      </c>
      <c r="D45" s="296" t="s">
        <v>136</v>
      </c>
      <c r="E45" s="23" t="s">
        <v>28</v>
      </c>
      <c r="F45" s="322">
        <v>1</v>
      </c>
    </row>
    <row r="46" s="338" customFormat="1" spans="1:6">
      <c r="A46" s="329"/>
      <c r="B46" s="348" t="s">
        <v>137</v>
      </c>
      <c r="C46" s="349" t="s">
        <v>73</v>
      </c>
      <c r="D46" s="296" t="s">
        <v>79</v>
      </c>
      <c r="E46" s="23" t="s">
        <v>28</v>
      </c>
      <c r="F46" s="322">
        <v>1</v>
      </c>
    </row>
    <row r="47" spans="1:6">
      <c r="A47" s="330" t="s">
        <v>138</v>
      </c>
      <c r="B47" s="348" t="s">
        <v>139</v>
      </c>
      <c r="C47" s="349" t="s">
        <v>140</v>
      </c>
      <c r="D47" s="296" t="s">
        <v>141</v>
      </c>
      <c r="E47" s="23" t="s">
        <v>28</v>
      </c>
      <c r="F47" s="322">
        <v>1</v>
      </c>
    </row>
    <row r="48" spans="1:6">
      <c r="A48" s="330"/>
      <c r="B48" s="348" t="s">
        <v>142</v>
      </c>
      <c r="C48" s="349" t="s">
        <v>143</v>
      </c>
      <c r="D48" s="296" t="s">
        <v>144</v>
      </c>
      <c r="E48" s="23" t="s">
        <v>28</v>
      </c>
      <c r="F48" s="322">
        <v>1</v>
      </c>
    </row>
    <row r="49" spans="1:6">
      <c r="A49" s="330"/>
      <c r="B49" s="348" t="s">
        <v>145</v>
      </c>
      <c r="C49" s="349" t="s">
        <v>146</v>
      </c>
      <c r="D49" s="296" t="s">
        <v>147</v>
      </c>
      <c r="E49" s="23" t="s">
        <v>28</v>
      </c>
      <c r="F49" s="322">
        <v>1</v>
      </c>
    </row>
    <row r="50" spans="1:6">
      <c r="A50" s="330"/>
      <c r="B50" s="348" t="s">
        <v>148</v>
      </c>
      <c r="C50" s="349" t="s">
        <v>149</v>
      </c>
      <c r="D50" s="296" t="s">
        <v>150</v>
      </c>
      <c r="E50" s="23" t="s">
        <v>28</v>
      </c>
      <c r="F50" s="322">
        <v>1</v>
      </c>
    </row>
    <row r="51" spans="1:6">
      <c r="A51" s="330"/>
      <c r="B51" s="348" t="s">
        <v>151</v>
      </c>
      <c r="C51" s="349" t="s">
        <v>152</v>
      </c>
      <c r="D51" s="296" t="s">
        <v>153</v>
      </c>
      <c r="E51" s="23" t="s">
        <v>28</v>
      </c>
      <c r="F51" s="322">
        <v>1</v>
      </c>
    </row>
    <row r="52" customFormat="1" spans="1:6">
      <c r="A52" s="330"/>
      <c r="B52" s="348" t="s">
        <v>154</v>
      </c>
      <c r="C52" s="349" t="s">
        <v>155</v>
      </c>
      <c r="D52" s="296" t="s">
        <v>156</v>
      </c>
      <c r="E52" s="23" t="s">
        <v>28</v>
      </c>
      <c r="F52" s="335">
        <v>1</v>
      </c>
    </row>
    <row r="53" s="339" customFormat="1" spans="1:6">
      <c r="A53" s="330"/>
      <c r="B53" s="348" t="s">
        <v>157</v>
      </c>
      <c r="C53" s="349" t="s">
        <v>158</v>
      </c>
      <c r="D53" s="296" t="s">
        <v>159</v>
      </c>
      <c r="E53" s="23" t="s">
        <v>28</v>
      </c>
      <c r="F53" s="335">
        <v>1</v>
      </c>
    </row>
    <row r="54" spans="1:6">
      <c r="A54" s="330"/>
      <c r="B54" s="348" t="s">
        <v>160</v>
      </c>
      <c r="C54" s="349" t="s">
        <v>161</v>
      </c>
      <c r="D54" s="296" t="s">
        <v>162</v>
      </c>
      <c r="E54" s="23" t="s">
        <v>28</v>
      </c>
      <c r="F54" s="322">
        <v>1</v>
      </c>
    </row>
    <row r="55" spans="1:6">
      <c r="A55" s="330"/>
      <c r="B55" s="348" t="s">
        <v>163</v>
      </c>
      <c r="C55" s="349" t="s">
        <v>164</v>
      </c>
      <c r="D55" s="296" t="s">
        <v>165</v>
      </c>
      <c r="E55" s="23" t="s">
        <v>28</v>
      </c>
      <c r="F55" s="322">
        <v>1</v>
      </c>
    </row>
    <row r="56" s="339" customFormat="1" spans="1:6">
      <c r="A56" s="330"/>
      <c r="B56" s="348" t="s">
        <v>166</v>
      </c>
      <c r="C56" s="349" t="s">
        <v>167</v>
      </c>
      <c r="D56" s="296" t="s">
        <v>168</v>
      </c>
      <c r="E56" s="23" t="s">
        <v>28</v>
      </c>
      <c r="F56" s="322">
        <v>1</v>
      </c>
    </row>
    <row r="57" spans="1:6">
      <c r="A57" s="330"/>
      <c r="B57" s="348" t="s">
        <v>169</v>
      </c>
      <c r="C57" s="349" t="s">
        <v>170</v>
      </c>
      <c r="D57" s="296" t="s">
        <v>171</v>
      </c>
      <c r="E57" s="23" t="s">
        <v>28</v>
      </c>
      <c r="F57" s="322">
        <v>1</v>
      </c>
    </row>
    <row r="58" spans="1:6">
      <c r="A58" s="330"/>
      <c r="B58" s="348" t="s">
        <v>172</v>
      </c>
      <c r="C58" s="349" t="s">
        <v>173</v>
      </c>
      <c r="D58" s="296" t="s">
        <v>174</v>
      </c>
      <c r="E58" s="23" t="s">
        <v>28</v>
      </c>
      <c r="F58" s="322">
        <v>1</v>
      </c>
    </row>
    <row r="59" spans="1:6">
      <c r="A59" s="330"/>
      <c r="B59" s="348" t="s">
        <v>175</v>
      </c>
      <c r="C59" s="349" t="s">
        <v>176</v>
      </c>
      <c r="D59" s="296" t="s">
        <v>128</v>
      </c>
      <c r="E59" s="23" t="s">
        <v>28</v>
      </c>
      <c r="F59" s="322">
        <v>1</v>
      </c>
    </row>
    <row r="60" spans="1:6">
      <c r="A60" s="330"/>
      <c r="B60" s="348" t="s">
        <v>177</v>
      </c>
      <c r="C60" s="349" t="s">
        <v>178</v>
      </c>
      <c r="D60" s="296" t="s">
        <v>179</v>
      </c>
      <c r="E60" s="23" t="s">
        <v>28</v>
      </c>
      <c r="F60" s="322">
        <v>1</v>
      </c>
    </row>
    <row r="61" spans="1:6">
      <c r="A61" s="330"/>
      <c r="B61" s="348" t="s">
        <v>180</v>
      </c>
      <c r="C61" s="349" t="s">
        <v>181</v>
      </c>
      <c r="D61" s="296" t="s">
        <v>136</v>
      </c>
      <c r="E61" s="23" t="s">
        <v>28</v>
      </c>
      <c r="F61" s="322">
        <v>1</v>
      </c>
    </row>
    <row r="62" spans="1:6">
      <c r="A62" s="330"/>
      <c r="B62" s="348" t="s">
        <v>182</v>
      </c>
      <c r="C62" s="349" t="s">
        <v>183</v>
      </c>
      <c r="D62" s="296" t="s">
        <v>136</v>
      </c>
      <c r="E62" s="23" t="s">
        <v>28</v>
      </c>
      <c r="F62" s="322">
        <v>1</v>
      </c>
    </row>
    <row r="63" spans="1:6">
      <c r="A63" s="330" t="s">
        <v>184</v>
      </c>
      <c r="B63" s="348" t="s">
        <v>185</v>
      </c>
      <c r="C63" s="349" t="s">
        <v>186</v>
      </c>
      <c r="D63" s="296" t="s">
        <v>187</v>
      </c>
      <c r="E63" s="23" t="s">
        <v>28</v>
      </c>
      <c r="F63" s="322">
        <v>1</v>
      </c>
    </row>
    <row r="64" spans="1:6">
      <c r="A64" s="330"/>
      <c r="B64" s="348" t="s">
        <v>188</v>
      </c>
      <c r="C64" s="349" t="s">
        <v>189</v>
      </c>
      <c r="D64" s="296" t="s">
        <v>190</v>
      </c>
      <c r="E64" s="23" t="s">
        <v>28</v>
      </c>
      <c r="F64" s="322">
        <v>1</v>
      </c>
    </row>
    <row r="65" spans="1:6">
      <c r="A65" s="330"/>
      <c r="B65" s="348" t="s">
        <v>191</v>
      </c>
      <c r="C65" s="349" t="s">
        <v>192</v>
      </c>
      <c r="D65" s="296" t="s">
        <v>193</v>
      </c>
      <c r="E65" s="23" t="s">
        <v>28</v>
      </c>
      <c r="F65" s="322">
        <v>1</v>
      </c>
    </row>
    <row r="66" spans="1:6">
      <c r="A66" s="330"/>
      <c r="B66" s="348" t="s">
        <v>194</v>
      </c>
      <c r="C66" s="349" t="s">
        <v>195</v>
      </c>
      <c r="D66" s="296" t="s">
        <v>196</v>
      </c>
      <c r="E66" s="23" t="s">
        <v>28</v>
      </c>
      <c r="F66" s="322">
        <v>1</v>
      </c>
    </row>
    <row r="67" spans="1:6">
      <c r="A67" s="330"/>
      <c r="B67" s="348" t="s">
        <v>197</v>
      </c>
      <c r="C67" s="349" t="s">
        <v>198</v>
      </c>
      <c r="D67" s="296" t="s">
        <v>199</v>
      </c>
      <c r="E67" s="23" t="s">
        <v>28</v>
      </c>
      <c r="F67" s="322">
        <v>1</v>
      </c>
    </row>
    <row r="68" spans="1:6">
      <c r="A68" s="330"/>
      <c r="B68" s="348" t="s">
        <v>200</v>
      </c>
      <c r="C68" s="349" t="s">
        <v>201</v>
      </c>
      <c r="D68" s="296" t="s">
        <v>202</v>
      </c>
      <c r="E68" s="23" t="s">
        <v>28</v>
      </c>
      <c r="F68" s="322">
        <v>1</v>
      </c>
    </row>
    <row r="69" spans="1:6">
      <c r="A69" s="330"/>
      <c r="B69" s="348" t="s">
        <v>203</v>
      </c>
      <c r="C69" s="349" t="s">
        <v>204</v>
      </c>
      <c r="D69" s="296" t="s">
        <v>159</v>
      </c>
      <c r="E69" s="23" t="s">
        <v>28</v>
      </c>
      <c r="F69" s="322">
        <v>1</v>
      </c>
    </row>
    <row r="70" spans="1:6">
      <c r="A70" s="330"/>
      <c r="B70" s="348" t="s">
        <v>205</v>
      </c>
      <c r="C70" s="349" t="s">
        <v>206</v>
      </c>
      <c r="D70" s="296" t="s">
        <v>207</v>
      </c>
      <c r="E70" s="23" t="s">
        <v>28</v>
      </c>
      <c r="F70" s="322">
        <v>1</v>
      </c>
    </row>
    <row r="71" spans="1:6">
      <c r="A71" s="330"/>
      <c r="B71" s="348" t="s">
        <v>208</v>
      </c>
      <c r="C71" s="349" t="s">
        <v>209</v>
      </c>
      <c r="D71" s="296" t="s">
        <v>210</v>
      </c>
      <c r="E71" s="23" t="s">
        <v>28</v>
      </c>
      <c r="F71" s="322">
        <v>1</v>
      </c>
    </row>
    <row r="72" spans="1:6">
      <c r="A72" s="330"/>
      <c r="B72" s="348" t="s">
        <v>211</v>
      </c>
      <c r="C72" s="349" t="s">
        <v>212</v>
      </c>
      <c r="D72" s="296" t="s">
        <v>213</v>
      </c>
      <c r="E72" s="23" t="s">
        <v>28</v>
      </c>
      <c r="F72" s="322">
        <v>1</v>
      </c>
    </row>
    <row r="73" spans="1:6">
      <c r="A73" s="330"/>
      <c r="B73" s="348" t="s">
        <v>214</v>
      </c>
      <c r="C73" s="349" t="s">
        <v>215</v>
      </c>
      <c r="D73" s="296" t="s">
        <v>216</v>
      </c>
      <c r="E73" s="23" t="s">
        <v>28</v>
      </c>
      <c r="F73" s="322">
        <v>1</v>
      </c>
    </row>
    <row r="74" spans="1:6">
      <c r="A74" s="330"/>
      <c r="B74" s="348" t="s">
        <v>217</v>
      </c>
      <c r="C74" s="349" t="s">
        <v>218</v>
      </c>
      <c r="D74" s="296" t="s">
        <v>219</v>
      </c>
      <c r="E74" s="23" t="s">
        <v>28</v>
      </c>
      <c r="F74" s="322">
        <v>1</v>
      </c>
    </row>
    <row r="75" spans="1:6">
      <c r="A75" s="330"/>
      <c r="B75" s="348" t="s">
        <v>220</v>
      </c>
      <c r="C75" s="349" t="s">
        <v>221</v>
      </c>
      <c r="D75" s="296" t="s">
        <v>222</v>
      </c>
      <c r="E75" s="23" t="s">
        <v>28</v>
      </c>
      <c r="F75" s="322">
        <v>1</v>
      </c>
    </row>
    <row r="76" spans="1:6">
      <c r="A76" s="330"/>
      <c r="B76" s="348" t="s">
        <v>223</v>
      </c>
      <c r="C76" s="349" t="s">
        <v>224</v>
      </c>
      <c r="D76" s="296" t="s">
        <v>225</v>
      </c>
      <c r="E76" s="23" t="s">
        <v>28</v>
      </c>
      <c r="F76" s="322">
        <v>1</v>
      </c>
    </row>
    <row r="77" spans="1:6">
      <c r="A77" s="330"/>
      <c r="B77" s="348" t="s">
        <v>226</v>
      </c>
      <c r="C77" s="349" t="s">
        <v>227</v>
      </c>
      <c r="D77" s="296" t="s">
        <v>228</v>
      </c>
      <c r="E77" s="23" t="s">
        <v>28</v>
      </c>
      <c r="F77" s="322">
        <v>1</v>
      </c>
    </row>
    <row r="78" spans="1:6">
      <c r="A78" s="330"/>
      <c r="B78" s="348" t="s">
        <v>229</v>
      </c>
      <c r="C78" s="349" t="s">
        <v>230</v>
      </c>
      <c r="D78" s="296" t="s">
        <v>231</v>
      </c>
      <c r="E78" s="23" t="s">
        <v>28</v>
      </c>
      <c r="F78" s="322">
        <v>1</v>
      </c>
    </row>
    <row r="79" spans="1:6">
      <c r="A79" s="330"/>
      <c r="B79" s="348" t="s">
        <v>232</v>
      </c>
      <c r="C79" s="349" t="s">
        <v>233</v>
      </c>
      <c r="D79" s="296" t="s">
        <v>234</v>
      </c>
      <c r="E79" s="23" t="s">
        <v>28</v>
      </c>
      <c r="F79" s="322">
        <v>1</v>
      </c>
    </row>
    <row r="80" spans="1:6">
      <c r="A80" s="330"/>
      <c r="B80" s="348" t="s">
        <v>235</v>
      </c>
      <c r="C80" s="349" t="s">
        <v>236</v>
      </c>
      <c r="D80" s="296" t="s">
        <v>237</v>
      </c>
      <c r="E80" s="23" t="s">
        <v>28</v>
      </c>
      <c r="F80" s="322">
        <v>1</v>
      </c>
    </row>
    <row r="81" spans="1:6">
      <c r="A81" s="330" t="s">
        <v>238</v>
      </c>
      <c r="B81" s="348" t="s">
        <v>239</v>
      </c>
      <c r="C81" s="349" t="s">
        <v>240</v>
      </c>
      <c r="D81" s="296"/>
      <c r="E81" s="23" t="s">
        <v>28</v>
      </c>
      <c r="F81" s="322">
        <v>1</v>
      </c>
    </row>
    <row r="82" spans="1:6">
      <c r="A82" s="330"/>
      <c r="B82" s="348" t="s">
        <v>241</v>
      </c>
      <c r="C82" s="349" t="s">
        <v>242</v>
      </c>
      <c r="D82" s="296" t="s">
        <v>243</v>
      </c>
      <c r="E82" s="23" t="s">
        <v>28</v>
      </c>
      <c r="F82" s="322">
        <v>1</v>
      </c>
    </row>
    <row r="83" spans="1:6">
      <c r="A83" s="330"/>
      <c r="B83" s="348" t="s">
        <v>244</v>
      </c>
      <c r="C83" s="349" t="s">
        <v>245</v>
      </c>
      <c r="D83" s="296" t="s">
        <v>246</v>
      </c>
      <c r="E83" s="23" t="s">
        <v>28</v>
      </c>
      <c r="F83" s="322">
        <v>1</v>
      </c>
    </row>
    <row r="84" spans="1:6">
      <c r="A84" s="330"/>
      <c r="B84" s="348" t="s">
        <v>247</v>
      </c>
      <c r="C84" s="349" t="s">
        <v>248</v>
      </c>
      <c r="D84" s="296" t="s">
        <v>249</v>
      </c>
      <c r="E84" s="23" t="s">
        <v>28</v>
      </c>
      <c r="F84" s="322">
        <v>1</v>
      </c>
    </row>
    <row r="85" spans="1:6">
      <c r="A85" s="330"/>
      <c r="B85" s="348" t="s">
        <v>250</v>
      </c>
      <c r="C85" s="349" t="s">
        <v>251</v>
      </c>
      <c r="D85" s="296" t="s">
        <v>252</v>
      </c>
      <c r="E85" s="23" t="s">
        <v>28</v>
      </c>
      <c r="F85" s="322">
        <v>1</v>
      </c>
    </row>
    <row r="86" spans="1:6">
      <c r="A86" s="330"/>
      <c r="B86" s="348" t="s">
        <v>253</v>
      </c>
      <c r="C86" s="349" t="s">
        <v>254</v>
      </c>
      <c r="D86" s="296" t="s">
        <v>255</v>
      </c>
      <c r="E86" s="23" t="s">
        <v>28</v>
      </c>
      <c r="F86" s="322">
        <v>1</v>
      </c>
    </row>
    <row r="87" spans="1:6">
      <c r="A87" s="330"/>
      <c r="B87" s="348" t="s">
        <v>256</v>
      </c>
      <c r="C87" s="349" t="s">
        <v>257</v>
      </c>
      <c r="D87" s="296" t="s">
        <v>258</v>
      </c>
      <c r="E87" s="23" t="s">
        <v>28</v>
      </c>
      <c r="F87" s="322">
        <v>1</v>
      </c>
    </row>
    <row r="88" spans="1:6">
      <c r="A88" s="330"/>
      <c r="B88" s="348" t="s">
        <v>259</v>
      </c>
      <c r="C88" s="349" t="s">
        <v>260</v>
      </c>
      <c r="D88" s="296" t="s">
        <v>261</v>
      </c>
      <c r="E88" s="23" t="s">
        <v>28</v>
      </c>
      <c r="F88" s="322">
        <v>1</v>
      </c>
    </row>
    <row r="89" spans="1:6">
      <c r="A89" s="330"/>
      <c r="B89" s="348" t="s">
        <v>262</v>
      </c>
      <c r="C89" s="350" t="s">
        <v>263</v>
      </c>
      <c r="D89" s="296" t="s">
        <v>264</v>
      </c>
      <c r="E89" s="23" t="s">
        <v>28</v>
      </c>
      <c r="F89" s="322">
        <v>1</v>
      </c>
    </row>
    <row r="90" spans="1:6">
      <c r="A90" s="330"/>
      <c r="B90" s="348" t="s">
        <v>265</v>
      </c>
      <c r="C90" s="349" t="s">
        <v>266</v>
      </c>
      <c r="D90" s="296" t="s">
        <v>267</v>
      </c>
      <c r="E90" s="23" t="s">
        <v>28</v>
      </c>
      <c r="F90" s="322">
        <v>1</v>
      </c>
    </row>
    <row r="91" spans="1:6">
      <c r="A91" s="330"/>
      <c r="B91" s="348" t="s">
        <v>268</v>
      </c>
      <c r="C91" s="349" t="s">
        <v>269</v>
      </c>
      <c r="D91" s="296" t="s">
        <v>270</v>
      </c>
      <c r="E91" s="23" t="s">
        <v>28</v>
      </c>
      <c r="F91" s="322">
        <v>1</v>
      </c>
    </row>
    <row r="92" spans="1:6">
      <c r="A92" s="330"/>
      <c r="B92" s="348" t="s">
        <v>271</v>
      </c>
      <c r="C92" s="349" t="s">
        <v>272</v>
      </c>
      <c r="D92" s="296" t="s">
        <v>273</v>
      </c>
      <c r="E92" s="23" t="s">
        <v>28</v>
      </c>
      <c r="F92" s="322">
        <v>1</v>
      </c>
    </row>
    <row r="93" spans="1:6">
      <c r="A93" s="330"/>
      <c r="B93" s="348" t="s">
        <v>274</v>
      </c>
      <c r="C93" s="349" t="s">
        <v>275</v>
      </c>
      <c r="D93" s="296" t="s">
        <v>276</v>
      </c>
      <c r="E93" s="23" t="s">
        <v>28</v>
      </c>
      <c r="F93" s="322">
        <v>1</v>
      </c>
    </row>
    <row r="94" spans="1:6">
      <c r="A94" s="330" t="s">
        <v>277</v>
      </c>
      <c r="B94" s="348" t="s">
        <v>278</v>
      </c>
      <c r="C94" s="349" t="s">
        <v>279</v>
      </c>
      <c r="D94" s="296" t="s">
        <v>33</v>
      </c>
      <c r="E94" s="23" t="s">
        <v>28</v>
      </c>
      <c r="F94" s="322">
        <v>1</v>
      </c>
    </row>
    <row r="95" spans="1:6">
      <c r="A95" s="330"/>
      <c r="B95" s="348" t="s">
        <v>280</v>
      </c>
      <c r="C95" s="349" t="s">
        <v>281</v>
      </c>
      <c r="D95" s="296" t="s">
        <v>33</v>
      </c>
      <c r="E95" s="23" t="s">
        <v>28</v>
      </c>
      <c r="F95" s="322">
        <v>1</v>
      </c>
    </row>
    <row r="96" spans="1:6">
      <c r="A96" s="330"/>
      <c r="B96" s="348" t="s">
        <v>282</v>
      </c>
      <c r="C96" s="349" t="s">
        <v>283</v>
      </c>
      <c r="D96" s="296" t="s">
        <v>284</v>
      </c>
      <c r="E96" s="23" t="s">
        <v>28</v>
      </c>
      <c r="F96" s="322">
        <v>1</v>
      </c>
    </row>
    <row r="97" spans="1:6">
      <c r="A97" s="330"/>
      <c r="B97" s="348" t="s">
        <v>285</v>
      </c>
      <c r="C97" s="349" t="s">
        <v>286</v>
      </c>
      <c r="D97" s="296" t="s">
        <v>190</v>
      </c>
      <c r="E97" s="23" t="s">
        <v>28</v>
      </c>
      <c r="F97" s="322">
        <v>1</v>
      </c>
    </row>
    <row r="98" spans="1:6">
      <c r="A98" s="330"/>
      <c r="B98" s="348" t="s">
        <v>287</v>
      </c>
      <c r="C98" s="349" t="s">
        <v>288</v>
      </c>
      <c r="D98" s="296" t="s">
        <v>289</v>
      </c>
      <c r="E98" s="23" t="s">
        <v>28</v>
      </c>
      <c r="F98" s="322">
        <v>1</v>
      </c>
    </row>
    <row r="99" spans="1:6">
      <c r="A99" s="330"/>
      <c r="B99" s="348" t="s">
        <v>290</v>
      </c>
      <c r="C99" s="349" t="s">
        <v>291</v>
      </c>
      <c r="D99" s="296" t="s">
        <v>292</v>
      </c>
      <c r="E99" s="23" t="s">
        <v>28</v>
      </c>
      <c r="F99" s="322">
        <v>1</v>
      </c>
    </row>
    <row r="100" spans="1:6">
      <c r="A100" s="330"/>
      <c r="B100" s="348" t="s">
        <v>293</v>
      </c>
      <c r="C100" s="349" t="s">
        <v>294</v>
      </c>
      <c r="D100" s="296" t="s">
        <v>295</v>
      </c>
      <c r="E100" s="23" t="s">
        <v>28</v>
      </c>
      <c r="F100" s="322">
        <v>1</v>
      </c>
    </row>
    <row r="101" spans="1:6">
      <c r="A101" s="330"/>
      <c r="B101" s="348" t="s">
        <v>296</v>
      </c>
      <c r="C101" s="349" t="s">
        <v>297</v>
      </c>
      <c r="D101" s="296" t="s">
        <v>264</v>
      </c>
      <c r="E101" s="23" t="s">
        <v>28</v>
      </c>
      <c r="F101" s="322">
        <v>1</v>
      </c>
    </row>
    <row r="102" spans="1:6">
      <c r="A102" s="330" t="s">
        <v>298</v>
      </c>
      <c r="B102" s="348" t="s">
        <v>299</v>
      </c>
      <c r="C102" s="349" t="s">
        <v>300</v>
      </c>
      <c r="D102" s="296" t="s">
        <v>301</v>
      </c>
      <c r="E102" s="23" t="s">
        <v>28</v>
      </c>
      <c r="F102" s="322">
        <v>1</v>
      </c>
    </row>
    <row r="103" spans="1:6">
      <c r="A103" s="330"/>
      <c r="B103" s="348" t="s">
        <v>302</v>
      </c>
      <c r="C103" s="349" t="s">
        <v>303</v>
      </c>
      <c r="D103" s="296" t="s">
        <v>304</v>
      </c>
      <c r="E103" s="23" t="s">
        <v>28</v>
      </c>
      <c r="F103" s="322">
        <v>1</v>
      </c>
    </row>
    <row r="104" spans="1:6">
      <c r="A104" s="330"/>
      <c r="B104" s="348" t="s">
        <v>305</v>
      </c>
      <c r="C104" s="349" t="s">
        <v>306</v>
      </c>
      <c r="D104" s="296" t="s">
        <v>304</v>
      </c>
      <c r="E104" s="23" t="s">
        <v>28</v>
      </c>
      <c r="F104" s="322">
        <v>1</v>
      </c>
    </row>
    <row r="105" spans="1:6">
      <c r="A105" s="330"/>
      <c r="B105" s="348" t="s">
        <v>307</v>
      </c>
      <c r="C105" s="349" t="s">
        <v>308</v>
      </c>
      <c r="D105" s="296" t="s">
        <v>309</v>
      </c>
      <c r="E105" s="23" t="s">
        <v>28</v>
      </c>
      <c r="F105" s="322">
        <v>1</v>
      </c>
    </row>
    <row r="106" spans="1:6">
      <c r="A106" s="330"/>
      <c r="B106" s="348" t="s">
        <v>310</v>
      </c>
      <c r="C106" s="349" t="s">
        <v>311</v>
      </c>
      <c r="D106" s="296" t="s">
        <v>312</v>
      </c>
      <c r="E106" s="23" t="s">
        <v>28</v>
      </c>
      <c r="F106" s="322">
        <v>1</v>
      </c>
    </row>
    <row r="107" spans="1:6">
      <c r="A107" s="330"/>
      <c r="B107" s="348" t="s">
        <v>313</v>
      </c>
      <c r="C107" s="349" t="s">
        <v>314</v>
      </c>
      <c r="D107" s="296" t="s">
        <v>309</v>
      </c>
      <c r="E107" s="23" t="s">
        <v>28</v>
      </c>
      <c r="F107" s="322">
        <v>1</v>
      </c>
    </row>
    <row r="108" spans="1:6">
      <c r="A108" s="330"/>
      <c r="B108" s="348" t="s">
        <v>315</v>
      </c>
      <c r="C108" s="349" t="s">
        <v>316</v>
      </c>
      <c r="D108" s="296" t="s">
        <v>312</v>
      </c>
      <c r="E108" s="23" t="s">
        <v>28</v>
      </c>
      <c r="F108" s="322">
        <v>1</v>
      </c>
    </row>
    <row r="109" spans="1:6">
      <c r="A109" s="330"/>
      <c r="B109" s="348" t="s">
        <v>317</v>
      </c>
      <c r="C109" s="349" t="s">
        <v>318</v>
      </c>
      <c r="D109" s="296" t="s">
        <v>319</v>
      </c>
      <c r="E109" s="23" t="s">
        <v>28</v>
      </c>
      <c r="F109" s="322">
        <v>1</v>
      </c>
    </row>
    <row r="110" spans="1:6">
      <c r="A110" s="330"/>
      <c r="B110" s="348" t="s">
        <v>320</v>
      </c>
      <c r="C110" s="349" t="s">
        <v>321</v>
      </c>
      <c r="D110" s="296" t="s">
        <v>319</v>
      </c>
      <c r="E110" s="23" t="s">
        <v>28</v>
      </c>
      <c r="F110" s="322">
        <v>1</v>
      </c>
    </row>
    <row r="111" spans="1:6">
      <c r="A111" s="330"/>
      <c r="B111" s="348" t="s">
        <v>322</v>
      </c>
      <c r="C111" s="349" t="s">
        <v>323</v>
      </c>
      <c r="D111" s="296" t="s">
        <v>324</v>
      </c>
      <c r="E111" s="23" t="s">
        <v>28</v>
      </c>
      <c r="F111" s="322">
        <v>1</v>
      </c>
    </row>
    <row r="112" spans="1:6">
      <c r="A112" s="330"/>
      <c r="B112" s="348" t="s">
        <v>325</v>
      </c>
      <c r="C112" s="349" t="s">
        <v>326</v>
      </c>
      <c r="D112" s="296" t="s">
        <v>327</v>
      </c>
      <c r="E112" s="23" t="s">
        <v>28</v>
      </c>
      <c r="F112" s="322">
        <v>1</v>
      </c>
    </row>
    <row r="113" spans="1:6">
      <c r="A113" s="330"/>
      <c r="B113" s="348" t="s">
        <v>328</v>
      </c>
      <c r="C113" s="349" t="s">
        <v>329</v>
      </c>
      <c r="D113" s="296" t="s">
        <v>330</v>
      </c>
      <c r="E113" s="23" t="s">
        <v>28</v>
      </c>
      <c r="F113" s="322">
        <v>1</v>
      </c>
    </row>
    <row r="114" spans="1:6">
      <c r="A114" s="330"/>
      <c r="B114" s="348" t="s">
        <v>331</v>
      </c>
      <c r="C114" s="349" t="s">
        <v>332</v>
      </c>
      <c r="D114" s="296" t="s">
        <v>333</v>
      </c>
      <c r="E114" s="23" t="s">
        <v>28</v>
      </c>
      <c r="F114" s="322">
        <v>1</v>
      </c>
    </row>
    <row r="115" spans="1:6">
      <c r="A115" s="330"/>
      <c r="B115" s="348" t="s">
        <v>334</v>
      </c>
      <c r="C115" s="349" t="s">
        <v>335</v>
      </c>
      <c r="D115" s="296" t="s">
        <v>336</v>
      </c>
      <c r="E115" s="23" t="s">
        <v>28</v>
      </c>
      <c r="F115" s="322">
        <v>1</v>
      </c>
    </row>
    <row r="116" spans="1:6">
      <c r="A116" s="330"/>
      <c r="B116" s="348" t="s">
        <v>337</v>
      </c>
      <c r="C116" s="349" t="s">
        <v>338</v>
      </c>
      <c r="D116" s="296" t="s">
        <v>339</v>
      </c>
      <c r="E116" s="23" t="s">
        <v>28</v>
      </c>
      <c r="F116" s="322">
        <v>1</v>
      </c>
    </row>
    <row r="117" spans="1:6">
      <c r="A117" s="330"/>
      <c r="B117" s="348" t="s">
        <v>340</v>
      </c>
      <c r="C117" s="349" t="s">
        <v>341</v>
      </c>
      <c r="D117" s="296" t="s">
        <v>342</v>
      </c>
      <c r="E117" s="23" t="s">
        <v>28</v>
      </c>
      <c r="F117" s="322">
        <v>1</v>
      </c>
    </row>
    <row r="118" spans="1:6">
      <c r="A118" s="330"/>
      <c r="B118" s="348" t="s">
        <v>343</v>
      </c>
      <c r="C118" s="349" t="s">
        <v>344</v>
      </c>
      <c r="D118" s="296" t="s">
        <v>345</v>
      </c>
      <c r="E118" s="23" t="s">
        <v>28</v>
      </c>
      <c r="F118" s="322">
        <v>1</v>
      </c>
    </row>
    <row r="119" spans="1:6">
      <c r="A119" s="330" t="s">
        <v>346</v>
      </c>
      <c r="B119" s="348" t="s">
        <v>347</v>
      </c>
      <c r="C119" s="349" t="s">
        <v>348</v>
      </c>
      <c r="D119" s="296" t="s">
        <v>349</v>
      </c>
      <c r="E119" s="23" t="s">
        <v>28</v>
      </c>
      <c r="F119" s="322">
        <v>1</v>
      </c>
    </row>
    <row r="120" spans="1:6">
      <c r="A120" s="330"/>
      <c r="B120" s="348" t="s">
        <v>350</v>
      </c>
      <c r="C120" s="349" t="s">
        <v>351</v>
      </c>
      <c r="D120" s="296" t="s">
        <v>349</v>
      </c>
      <c r="E120" s="23" t="s">
        <v>28</v>
      </c>
      <c r="F120" s="322">
        <v>1</v>
      </c>
    </row>
    <row r="121" spans="1:6">
      <c r="A121" s="330"/>
      <c r="B121" s="348" t="s">
        <v>352</v>
      </c>
      <c r="C121" s="349" t="s">
        <v>353</v>
      </c>
      <c r="D121" s="296" t="s">
        <v>349</v>
      </c>
      <c r="E121" s="23" t="s">
        <v>28</v>
      </c>
      <c r="F121" s="322">
        <v>1</v>
      </c>
    </row>
    <row r="122" spans="1:6">
      <c r="A122" s="330"/>
      <c r="B122" s="348" t="s">
        <v>354</v>
      </c>
      <c r="C122" s="349" t="s">
        <v>355</v>
      </c>
      <c r="D122" s="296" t="s">
        <v>349</v>
      </c>
      <c r="E122" s="23" t="s">
        <v>28</v>
      </c>
      <c r="F122" s="322">
        <v>1</v>
      </c>
    </row>
    <row r="123" spans="1:6">
      <c r="A123" s="330"/>
      <c r="B123" s="348" t="s">
        <v>356</v>
      </c>
      <c r="C123" s="349" t="s">
        <v>357</v>
      </c>
      <c r="D123" s="296" t="s">
        <v>349</v>
      </c>
      <c r="E123" s="23" t="s">
        <v>28</v>
      </c>
      <c r="F123" s="322">
        <v>1</v>
      </c>
    </row>
    <row r="124" spans="1:6">
      <c r="A124" s="330"/>
      <c r="B124" s="348" t="s">
        <v>358</v>
      </c>
      <c r="C124" s="349" t="s">
        <v>359</v>
      </c>
      <c r="D124" s="296" t="s">
        <v>349</v>
      </c>
      <c r="E124" s="23" t="s">
        <v>28</v>
      </c>
      <c r="F124" s="322">
        <v>1</v>
      </c>
    </row>
    <row r="125" spans="1:6">
      <c r="A125" s="330"/>
      <c r="B125" s="348" t="s">
        <v>360</v>
      </c>
      <c r="C125" s="349" t="s">
        <v>361</v>
      </c>
      <c r="D125" s="296" t="s">
        <v>349</v>
      </c>
      <c r="E125" s="23" t="s">
        <v>28</v>
      </c>
      <c r="F125" s="322">
        <v>1</v>
      </c>
    </row>
    <row r="126" spans="1:6">
      <c r="A126" s="330"/>
      <c r="B126" s="348" t="s">
        <v>362</v>
      </c>
      <c r="C126" s="349" t="s">
        <v>363</v>
      </c>
      <c r="D126" s="296" t="s">
        <v>349</v>
      </c>
      <c r="E126" s="23" t="s">
        <v>28</v>
      </c>
      <c r="F126" s="322">
        <v>1</v>
      </c>
    </row>
    <row r="127" spans="1:6">
      <c r="A127" s="325" t="s">
        <v>364</v>
      </c>
      <c r="B127" s="348" t="s">
        <v>365</v>
      </c>
      <c r="C127" s="349" t="s">
        <v>366</v>
      </c>
      <c r="D127" s="296"/>
      <c r="E127" s="23" t="s">
        <v>28</v>
      </c>
      <c r="F127" s="322">
        <v>1</v>
      </c>
    </row>
    <row r="128" spans="1:6">
      <c r="A128" s="327"/>
      <c r="B128" s="348" t="s">
        <v>367</v>
      </c>
      <c r="C128" s="349" t="s">
        <v>368</v>
      </c>
      <c r="D128" s="296"/>
      <c r="E128" s="23" t="s">
        <v>28</v>
      </c>
      <c r="F128" s="322">
        <v>1</v>
      </c>
    </row>
    <row r="129" spans="1:6">
      <c r="A129" s="327"/>
      <c r="B129" s="348" t="s">
        <v>369</v>
      </c>
      <c r="C129" s="349" t="s">
        <v>370</v>
      </c>
      <c r="D129" s="296"/>
      <c r="E129" s="23" t="s">
        <v>28</v>
      </c>
      <c r="F129" s="322">
        <v>1</v>
      </c>
    </row>
    <row r="130" spans="1:6">
      <c r="A130" s="329"/>
      <c r="B130" s="348" t="s">
        <v>371</v>
      </c>
      <c r="C130" s="349" t="s">
        <v>372</v>
      </c>
      <c r="D130" s="296"/>
      <c r="E130" s="23" t="s">
        <v>28</v>
      </c>
      <c r="F130" s="322">
        <v>1</v>
      </c>
    </row>
    <row r="131" spans="1:6">
      <c r="A131" s="330" t="s">
        <v>373</v>
      </c>
      <c r="B131" s="348" t="s">
        <v>374</v>
      </c>
      <c r="C131" s="349" t="s">
        <v>375</v>
      </c>
      <c r="D131" s="296"/>
      <c r="E131" s="23" t="s">
        <v>28</v>
      </c>
      <c r="F131" s="322">
        <v>1</v>
      </c>
    </row>
    <row r="132" spans="1:6">
      <c r="A132" s="330"/>
      <c r="B132" s="348" t="s">
        <v>376</v>
      </c>
      <c r="C132" s="349" t="s">
        <v>377</v>
      </c>
      <c r="D132" s="296"/>
      <c r="E132" s="23" t="s">
        <v>28</v>
      </c>
      <c r="F132" s="322">
        <v>1</v>
      </c>
    </row>
    <row r="133" spans="1:6">
      <c r="A133" s="330"/>
      <c r="B133" s="348" t="s">
        <v>378</v>
      </c>
      <c r="C133" s="349" t="s">
        <v>379</v>
      </c>
      <c r="D133" s="296"/>
      <c r="E133" s="23" t="s">
        <v>28</v>
      </c>
      <c r="F133" s="322">
        <v>1</v>
      </c>
    </row>
    <row r="134" spans="1:6">
      <c r="A134" s="325" t="s">
        <v>380</v>
      </c>
      <c r="B134" s="348" t="s">
        <v>381</v>
      </c>
      <c r="C134" s="349" t="s">
        <v>382</v>
      </c>
      <c r="D134" s="296"/>
      <c r="E134" s="23" t="s">
        <v>28</v>
      </c>
      <c r="F134" s="322">
        <v>1</v>
      </c>
    </row>
    <row r="135" spans="1:6">
      <c r="A135" s="329"/>
      <c r="B135" s="348" t="s">
        <v>383</v>
      </c>
      <c r="C135" s="349" t="s">
        <v>384</v>
      </c>
      <c r="D135" s="296"/>
      <c r="E135" s="23" t="s">
        <v>28</v>
      </c>
      <c r="F135" s="322">
        <v>1</v>
      </c>
    </row>
    <row r="136" spans="1:6">
      <c r="A136" s="327" t="s">
        <v>385</v>
      </c>
      <c r="B136" s="348" t="s">
        <v>386</v>
      </c>
      <c r="C136" s="349" t="s">
        <v>387</v>
      </c>
      <c r="D136" s="296" t="s">
        <v>388</v>
      </c>
      <c r="E136" s="23" t="s">
        <v>28</v>
      </c>
      <c r="F136" s="322">
        <v>1</v>
      </c>
    </row>
    <row r="137" spans="1:6">
      <c r="A137" s="327"/>
      <c r="B137" s="348" t="s">
        <v>389</v>
      </c>
      <c r="C137" s="349" t="s">
        <v>390</v>
      </c>
      <c r="D137" s="296" t="s">
        <v>391</v>
      </c>
      <c r="E137" s="23" t="s">
        <v>28</v>
      </c>
      <c r="F137" s="322">
        <v>1</v>
      </c>
    </row>
    <row r="138" spans="1:6">
      <c r="A138" s="327"/>
      <c r="B138" s="348" t="s">
        <v>392</v>
      </c>
      <c r="C138" s="349" t="s">
        <v>393</v>
      </c>
      <c r="D138" s="296" t="s">
        <v>394</v>
      </c>
      <c r="E138" s="23" t="s">
        <v>28</v>
      </c>
      <c r="F138" s="322">
        <v>1</v>
      </c>
    </row>
    <row r="139" s="340" customFormat="1" spans="1:6">
      <c r="A139" s="327"/>
      <c r="B139" s="348" t="s">
        <v>395</v>
      </c>
      <c r="C139" s="349" t="s">
        <v>396</v>
      </c>
      <c r="D139" s="296" t="s">
        <v>397</v>
      </c>
      <c r="E139" s="23" t="s">
        <v>28</v>
      </c>
      <c r="F139" s="335">
        <v>1</v>
      </c>
    </row>
    <row r="140" spans="1:6">
      <c r="A140" s="327"/>
      <c r="B140" s="348" t="s">
        <v>398</v>
      </c>
      <c r="C140" s="349" t="s">
        <v>399</v>
      </c>
      <c r="D140" s="296" t="s">
        <v>400</v>
      </c>
      <c r="E140" s="23" t="s">
        <v>28</v>
      </c>
      <c r="F140" s="322">
        <v>1</v>
      </c>
    </row>
    <row r="141" spans="1:6">
      <c r="A141" s="327"/>
      <c r="B141" s="348" t="s">
        <v>401</v>
      </c>
      <c r="C141" s="349" t="s">
        <v>402</v>
      </c>
      <c r="D141" s="296" t="s">
        <v>403</v>
      </c>
      <c r="E141" s="23" t="s">
        <v>28</v>
      </c>
      <c r="F141" s="322">
        <v>1</v>
      </c>
    </row>
    <row r="142" spans="1:6">
      <c r="A142" s="329"/>
      <c r="B142" s="348" t="s">
        <v>404</v>
      </c>
      <c r="C142" s="349" t="s">
        <v>405</v>
      </c>
      <c r="D142" s="296" t="s">
        <v>406</v>
      </c>
      <c r="E142" s="23" t="s">
        <v>28</v>
      </c>
      <c r="F142" s="322">
        <v>1</v>
      </c>
    </row>
    <row r="143" spans="1:6">
      <c r="A143" s="325" t="s">
        <v>407</v>
      </c>
      <c r="B143" s="348" t="s">
        <v>408</v>
      </c>
      <c r="C143" s="349" t="s">
        <v>409</v>
      </c>
      <c r="D143" s="296" t="s">
        <v>410</v>
      </c>
      <c r="E143" s="23" t="s">
        <v>28</v>
      </c>
      <c r="F143" s="322">
        <v>1</v>
      </c>
    </row>
    <row r="144" spans="1:6">
      <c r="A144" s="327"/>
      <c r="B144" s="348" t="s">
        <v>411</v>
      </c>
      <c r="C144" s="349" t="s">
        <v>412</v>
      </c>
      <c r="D144" s="296" t="s">
        <v>410</v>
      </c>
      <c r="E144" s="23" t="s">
        <v>28</v>
      </c>
      <c r="F144" s="322">
        <v>1</v>
      </c>
    </row>
    <row r="145" spans="1:6">
      <c r="A145" s="327"/>
      <c r="B145" s="348" t="s">
        <v>413</v>
      </c>
      <c r="C145" s="349" t="s">
        <v>414</v>
      </c>
      <c r="D145" s="296" t="s">
        <v>410</v>
      </c>
      <c r="E145" s="23" t="s">
        <v>28</v>
      </c>
      <c r="F145" s="322">
        <v>1</v>
      </c>
    </row>
    <row r="146" spans="1:6">
      <c r="A146" s="327"/>
      <c r="B146" s="348" t="s">
        <v>415</v>
      </c>
      <c r="C146" s="349" t="s">
        <v>416</v>
      </c>
      <c r="D146" s="296" t="s">
        <v>410</v>
      </c>
      <c r="E146" s="23" t="s">
        <v>28</v>
      </c>
      <c r="F146" s="322">
        <v>1</v>
      </c>
    </row>
    <row r="147" spans="1:6">
      <c r="A147" s="327"/>
      <c r="B147" s="348" t="s">
        <v>417</v>
      </c>
      <c r="C147" s="349" t="s">
        <v>418</v>
      </c>
      <c r="D147" s="296" t="s">
        <v>410</v>
      </c>
      <c r="E147" s="23" t="s">
        <v>28</v>
      </c>
      <c r="F147" s="322">
        <v>1</v>
      </c>
    </row>
    <row r="148" spans="1:6">
      <c r="A148" s="327"/>
      <c r="B148" s="348" t="s">
        <v>419</v>
      </c>
      <c r="C148" s="349" t="s">
        <v>420</v>
      </c>
      <c r="D148" s="296" t="s">
        <v>410</v>
      </c>
      <c r="E148" s="23" t="s">
        <v>28</v>
      </c>
      <c r="F148" s="322">
        <v>1</v>
      </c>
    </row>
    <row r="149" spans="1:6">
      <c r="A149" s="327"/>
      <c r="B149" s="348" t="s">
        <v>421</v>
      </c>
      <c r="C149" s="349" t="s">
        <v>422</v>
      </c>
      <c r="D149" s="296" t="s">
        <v>410</v>
      </c>
      <c r="E149" s="23" t="s">
        <v>28</v>
      </c>
      <c r="F149" s="322">
        <v>1</v>
      </c>
    </row>
    <row r="150" spans="1:6">
      <c r="A150" s="327"/>
      <c r="B150" s="348" t="s">
        <v>423</v>
      </c>
      <c r="C150" s="349" t="s">
        <v>424</v>
      </c>
      <c r="D150" s="296" t="s">
        <v>410</v>
      </c>
      <c r="E150" s="23" t="s">
        <v>28</v>
      </c>
      <c r="F150" s="322">
        <v>1</v>
      </c>
    </row>
    <row r="151" spans="1:6">
      <c r="A151" s="330" t="s">
        <v>425</v>
      </c>
      <c r="B151" s="348" t="s">
        <v>426</v>
      </c>
      <c r="C151" s="349" t="s">
        <v>427</v>
      </c>
      <c r="D151" s="296" t="s">
        <v>428</v>
      </c>
      <c r="E151" s="23" t="s">
        <v>28</v>
      </c>
      <c r="F151" s="322">
        <v>1</v>
      </c>
    </row>
    <row r="152" spans="1:6">
      <c r="A152" s="330"/>
      <c r="B152" s="348" t="s">
        <v>429</v>
      </c>
      <c r="C152" s="349" t="s">
        <v>430</v>
      </c>
      <c r="D152" s="296" t="s">
        <v>428</v>
      </c>
      <c r="E152" s="23" t="s">
        <v>28</v>
      </c>
      <c r="F152" s="322">
        <v>1</v>
      </c>
    </row>
    <row r="153" spans="1:6">
      <c r="A153" s="323"/>
      <c r="B153" s="324"/>
      <c r="C153" s="351"/>
      <c r="D153" s="351"/>
      <c r="E153"/>
      <c r="F153"/>
    </row>
    <row r="154" spans="1:6">
      <c r="A154" s="323"/>
      <c r="B154" s="324"/>
      <c r="C154" s="351"/>
      <c r="D154" s="351"/>
      <c r="E154"/>
      <c r="F154"/>
    </row>
    <row r="155" spans="1:6">
      <c r="A155" s="323"/>
      <c r="B155" s="324"/>
      <c r="C155" s="351"/>
      <c r="D155" s="351"/>
      <c r="E155"/>
      <c r="F155"/>
    </row>
    <row r="156" spans="1:6">
      <c r="A156" s="323"/>
      <c r="B156" s="324"/>
      <c r="C156" s="351"/>
      <c r="D156" s="351"/>
      <c r="E156"/>
      <c r="F156"/>
    </row>
    <row r="157" spans="1:6">
      <c r="A157" s="323"/>
      <c r="B157" s="324"/>
      <c r="C157" s="351"/>
      <c r="D157" s="351"/>
      <c r="E157"/>
      <c r="F157"/>
    </row>
    <row r="158" spans="1:6">
      <c r="A158" s="323"/>
      <c r="B158" s="324"/>
      <c r="C158" s="351"/>
      <c r="D158" s="351"/>
      <c r="E158"/>
      <c r="F158"/>
    </row>
    <row r="159" spans="1:6">
      <c r="A159" s="323"/>
      <c r="B159" s="324"/>
      <c r="C159" s="351"/>
      <c r="D159" s="351"/>
      <c r="E159"/>
      <c r="F159"/>
    </row>
    <row r="160" spans="1:6">
      <c r="A160" s="323"/>
      <c r="B160" s="324"/>
      <c r="C160" s="351"/>
      <c r="D160" s="351"/>
      <c r="E160"/>
      <c r="F160"/>
    </row>
    <row r="161" spans="1:6">
      <c r="A161" s="323"/>
      <c r="B161" s="324"/>
      <c r="C161" s="351"/>
      <c r="D161" s="351"/>
      <c r="E161"/>
      <c r="F161"/>
    </row>
    <row r="162" spans="1:6">
      <c r="A162" s="323"/>
      <c r="B162" s="324"/>
      <c r="C162" s="351"/>
      <c r="D162" s="351"/>
      <c r="E162"/>
      <c r="F162"/>
    </row>
    <row r="163" spans="1:6">
      <c r="A163" s="323"/>
      <c r="B163" s="324"/>
      <c r="C163" s="351"/>
      <c r="D163" s="351"/>
      <c r="E163"/>
      <c r="F163"/>
    </row>
    <row r="164" spans="1:6">
      <c r="A164" s="323"/>
      <c r="B164" s="324"/>
      <c r="C164" s="351"/>
      <c r="D164" s="351"/>
      <c r="E164"/>
      <c r="F164"/>
    </row>
    <row r="165" spans="1:6">
      <c r="A165" s="323"/>
      <c r="B165" s="324"/>
      <c r="C165" s="351"/>
      <c r="D165" s="351"/>
      <c r="E165"/>
      <c r="F165"/>
    </row>
    <row r="166" spans="1:6">
      <c r="A166" s="323"/>
      <c r="B166" s="324"/>
      <c r="C166" s="351"/>
      <c r="D166" s="351"/>
      <c r="E166"/>
      <c r="F166"/>
    </row>
    <row r="167" spans="1:6">
      <c r="A167" s="323"/>
      <c r="B167" s="324"/>
      <c r="C167" s="351"/>
      <c r="D167" s="351"/>
      <c r="E167"/>
      <c r="F167"/>
    </row>
    <row r="168" spans="1:6">
      <c r="A168" s="323"/>
      <c r="B168" s="324"/>
      <c r="C168" s="351"/>
      <c r="D168" s="351"/>
      <c r="E168"/>
      <c r="F168"/>
    </row>
    <row r="169" spans="1:6">
      <c r="A169" s="323"/>
      <c r="B169" s="324"/>
      <c r="C169" s="351"/>
      <c r="D169" s="351"/>
      <c r="E169"/>
      <c r="F169"/>
    </row>
    <row r="170" spans="1:6">
      <c r="A170" s="323"/>
      <c r="B170" s="324"/>
      <c r="C170" s="351"/>
      <c r="D170" s="351"/>
      <c r="E170"/>
      <c r="F170"/>
    </row>
    <row r="171" spans="1:6">
      <c r="A171" s="323"/>
      <c r="B171" s="324"/>
      <c r="C171" s="351"/>
      <c r="D171" s="351"/>
      <c r="E171"/>
      <c r="F171"/>
    </row>
    <row r="172" spans="1:6">
      <c r="A172" s="323"/>
      <c r="B172" s="324"/>
      <c r="C172" s="351"/>
      <c r="D172" s="351"/>
      <c r="E172"/>
      <c r="F172"/>
    </row>
    <row r="173" spans="1:6">
      <c r="A173" s="323"/>
      <c r="B173" s="324"/>
      <c r="C173" s="351"/>
      <c r="D173" s="351"/>
      <c r="E173"/>
      <c r="F173"/>
    </row>
    <row r="174" spans="1:6">
      <c r="A174" s="323"/>
      <c r="B174" s="324"/>
      <c r="C174" s="351"/>
      <c r="D174" s="351"/>
      <c r="E174"/>
      <c r="F174"/>
    </row>
    <row r="175" spans="1:6">
      <c r="A175" s="323"/>
      <c r="B175" s="324"/>
      <c r="C175" s="351"/>
      <c r="D175" s="351"/>
      <c r="E175"/>
      <c r="F175"/>
    </row>
    <row r="176" spans="1:6">
      <c r="A176" s="323"/>
      <c r="B176" s="324"/>
      <c r="C176" s="351"/>
      <c r="D176" s="351"/>
      <c r="E176"/>
      <c r="F176"/>
    </row>
    <row r="177" spans="1:6">
      <c r="A177" s="323"/>
      <c r="B177" s="324"/>
      <c r="C177" s="351"/>
      <c r="D177" s="351"/>
      <c r="E177"/>
      <c r="F177"/>
    </row>
    <row r="178" spans="1:6">
      <c r="A178" s="323"/>
      <c r="B178" s="324"/>
      <c r="C178" s="351"/>
      <c r="D178" s="351"/>
      <c r="E178"/>
      <c r="F178"/>
    </row>
    <row r="179" spans="1:6">
      <c r="A179" s="323"/>
      <c r="B179" s="324"/>
      <c r="C179" s="351"/>
      <c r="D179" s="351"/>
      <c r="E179"/>
      <c r="F179"/>
    </row>
    <row r="180" spans="1:6">
      <c r="A180" s="323"/>
      <c r="B180" s="324"/>
      <c r="C180" s="351"/>
      <c r="D180" s="351"/>
      <c r="E180"/>
      <c r="F180"/>
    </row>
    <row r="181" spans="1:6">
      <c r="A181" s="323"/>
      <c r="B181" s="324"/>
      <c r="C181" s="351"/>
      <c r="D181" s="351"/>
      <c r="E181"/>
      <c r="F181"/>
    </row>
    <row r="182" spans="1:6">
      <c r="A182" s="323"/>
      <c r="B182" s="324"/>
      <c r="C182" s="351"/>
      <c r="D182" s="351"/>
      <c r="E182"/>
      <c r="F182"/>
    </row>
  </sheetData>
  <mergeCells count="13">
    <mergeCell ref="A3:A46"/>
    <mergeCell ref="A47:A62"/>
    <mergeCell ref="A63:A80"/>
    <mergeCell ref="A81:A93"/>
    <mergeCell ref="A94:A101"/>
    <mergeCell ref="A102:A118"/>
    <mergeCell ref="A119:A126"/>
    <mergeCell ref="A127:A130"/>
    <mergeCell ref="A131:A133"/>
    <mergeCell ref="A134:A135"/>
    <mergeCell ref="A136:A142"/>
    <mergeCell ref="A143:A150"/>
    <mergeCell ref="A151:A152"/>
  </mergeCells>
  <pageMargins left="0.75" right="0.75" top="1" bottom="1" header="0.511805555555556" footer="0.511805555555556"/>
  <pageSetup paperSize="9" orientation="portrait"/>
  <headerFooter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7030A0"/>
  </sheetPr>
  <dimension ref="A1:G21"/>
  <sheetViews>
    <sheetView showGridLines="0" workbookViewId="0">
      <selection activeCell="E31" sqref="E31"/>
    </sheetView>
  </sheetViews>
  <sheetFormatPr defaultColWidth="9" defaultRowHeight="14.25" outlineLevelCol="6"/>
  <cols>
    <col min="1" max="1" width="21.125" style="1" customWidth="1"/>
    <col min="2" max="2" width="19.125" style="1" customWidth="1"/>
    <col min="3" max="3" width="15.5" style="1" customWidth="1"/>
    <col min="4" max="4" width="11.375" style="1" customWidth="1"/>
    <col min="5" max="5" width="10.5" style="1" customWidth="1"/>
    <col min="6" max="6" width="9" style="1"/>
    <col min="7" max="7" width="12.625" style="1" customWidth="1"/>
    <col min="8" max="16384" width="9" style="1"/>
  </cols>
  <sheetData>
    <row r="1" spans="1:4">
      <c r="A1" s="2" t="str">
        <f ca="1">'数据修改（批量）'!A1</f>
        <v>上海有色铝锭价格</v>
      </c>
      <c r="B1" s="2"/>
      <c r="C1" s="2"/>
      <c r="D1" s="3"/>
    </row>
    <row r="2" spans="1:7">
      <c r="A2" s="4">
        <f ca="1">'数据修改（批量）'!A2</f>
        <v>16200</v>
      </c>
      <c r="B2" s="2" t="str">
        <f ca="1">'数据修改（批量）'!B2</f>
        <v>项目</v>
      </c>
      <c r="C2" s="2" t="str">
        <f ca="1">'数据修改（批量）'!C2</f>
        <v>加工费</v>
      </c>
      <c r="D2" s="2" t="str">
        <f ca="1">'数据修改（批量）'!D2</f>
        <v>包装物</v>
      </c>
      <c r="E2" s="2" t="str">
        <f ca="1">'数据修改（批量）'!E2</f>
        <v>运费</v>
      </c>
      <c r="F2" s="2" t="str">
        <f ca="1">'数据修改（批量）'!F2</f>
        <v>单价</v>
      </c>
      <c r="G2" s="2" t="str">
        <f ca="1">'数据修改（批量）'!G2</f>
        <v>每公斤价格</v>
      </c>
    </row>
    <row r="3" spans="1:7">
      <c r="A3" s="2"/>
      <c r="B3" s="2" t="str">
        <f ca="1">'数据修改（批量）'!B3</f>
        <v>203料</v>
      </c>
      <c r="C3" s="2">
        <f ca="1">'数据修改（批量）'!C3</f>
        <v>5500</v>
      </c>
      <c r="D3" s="2">
        <f ca="1">'数据修改（批量）'!D3</f>
        <v>868</v>
      </c>
      <c r="E3" s="2">
        <f ca="1">'数据修改（批量）'!E3</f>
        <v>80</v>
      </c>
      <c r="F3" s="2">
        <f ca="1">'数据修改（批量）'!F3</f>
        <v>22648</v>
      </c>
      <c r="G3" s="2">
        <f ca="1">'数据修改（批量）'!G3</f>
        <v>22.648</v>
      </c>
    </row>
    <row r="4" spans="1:7">
      <c r="A4" s="2"/>
      <c r="B4" s="2" t="str">
        <f ca="1">'数据修改（批量）'!B4</f>
        <v>203料氧化</v>
      </c>
      <c r="C4" s="2">
        <f ca="1">'数据修改（批量）'!C4</f>
        <v>6000</v>
      </c>
      <c r="D4" s="2">
        <f ca="1">'数据修改（批量）'!D4</f>
        <v>888</v>
      </c>
      <c r="E4" s="2">
        <f ca="1">'数据修改（批量）'!E4</f>
        <v>80</v>
      </c>
      <c r="F4" s="2">
        <f ca="1">'数据修改（批量）'!F4</f>
        <v>23168</v>
      </c>
      <c r="G4" s="2">
        <f ca="1">'数据修改（批量）'!G4</f>
        <v>23.168</v>
      </c>
    </row>
    <row r="5" spans="2:7">
      <c r="B5" s="2" t="str">
        <f ca="1">'数据修改（批量）'!B5</f>
        <v>小料加工费</v>
      </c>
      <c r="C5" s="2">
        <f ca="1">'数据修改（批量）'!C5</f>
        <v>4500</v>
      </c>
      <c r="D5" s="2">
        <f ca="1">'数据修改（批量）'!D5</f>
        <v>828</v>
      </c>
      <c r="E5" s="2">
        <f ca="1">'数据修改（批量）'!E5</f>
        <v>80</v>
      </c>
      <c r="F5" s="2">
        <f ca="1">'数据修改（批量）'!F5</f>
        <v>21608</v>
      </c>
      <c r="G5" s="2">
        <f ca="1">'数据修改（批量）'!G5</f>
        <v>21.608</v>
      </c>
    </row>
    <row r="6" spans="1:4">
      <c r="A6" s="2" t="str">
        <f ca="1">'数据修改（批量）'!A6</f>
        <v>南海有色铝锭价格</v>
      </c>
      <c r="D6" s="5"/>
    </row>
    <row r="7" spans="1:1">
      <c r="A7" s="4">
        <f ca="1">'数据修改（批量）'!A7</f>
        <v>16600</v>
      </c>
    </row>
    <row r="8" spans="2:7">
      <c r="B8" s="2" t="str">
        <f ca="1">'数据修改（批量）'!B8</f>
        <v>项目</v>
      </c>
      <c r="C8" s="2" t="str">
        <f ca="1">'数据修改（批量）'!C8</f>
        <v>加工费</v>
      </c>
      <c r="D8" s="2" t="str">
        <f ca="1">'数据修改（批量）'!D8</f>
        <v>包装物</v>
      </c>
      <c r="E8" s="2" t="str">
        <f ca="1">'数据修改（批量）'!E8</f>
        <v>运费</v>
      </c>
      <c r="F8" s="2" t="str">
        <f ca="1">'数据修改（批量）'!F8</f>
        <v>单价</v>
      </c>
      <c r="G8" s="2" t="str">
        <f ca="1">'数据修改（批量）'!G8</f>
        <v>每公斤价格</v>
      </c>
    </row>
    <row r="9" spans="2:7">
      <c r="B9" s="2" t="str">
        <f ca="1">'数据修改（批量）'!B9</f>
        <v>300/350料8米以上</v>
      </c>
      <c r="C9" s="2">
        <f ca="1">'数据修改（批量）'!C9</f>
        <v>7800</v>
      </c>
      <c r="D9" s="2">
        <f ca="1">'数据修改（批量）'!D9</f>
        <v>976</v>
      </c>
      <c r="E9" s="2">
        <f ca="1">'数据修改（批量）'!E9</f>
        <v>1000</v>
      </c>
      <c r="F9" s="2">
        <f ca="1">'数据修改（批量）'!F9</f>
        <v>26376</v>
      </c>
      <c r="G9" s="2">
        <f ca="1">'数据修改（批量）'!G9</f>
        <v>26.376</v>
      </c>
    </row>
    <row r="10" spans="2:7">
      <c r="B10" s="2" t="str">
        <f ca="1">'数据修改（批量）'!B10</f>
        <v>300/350料8米以下</v>
      </c>
      <c r="C10" s="2">
        <f ca="1">'数据修改（批量）'!C10</f>
        <v>7100</v>
      </c>
      <c r="D10" s="2">
        <f ca="1">'数据修改（批量）'!D10</f>
        <v>948</v>
      </c>
      <c r="E10" s="2">
        <f ca="1">'数据修改（批量）'!E10</f>
        <v>1000</v>
      </c>
      <c r="F10" s="2">
        <f ca="1">'数据修改（批量）'!F10</f>
        <v>25648</v>
      </c>
      <c r="G10" s="2">
        <f ca="1">'数据修改（批量）'!G10</f>
        <v>25.648</v>
      </c>
    </row>
    <row r="12" spans="1:4">
      <c r="A12" s="2" t="str">
        <f ca="1">'数据修改（批量）'!A12</f>
        <v>篷布</v>
      </c>
      <c r="B12" s="2"/>
      <c r="C12" s="2"/>
      <c r="D12" s="3"/>
    </row>
    <row r="13" spans="1:7">
      <c r="A13" s="2"/>
      <c r="B13" s="2" t="str">
        <f ca="1">'数据修改（批量）'!B13</f>
        <v>项目</v>
      </c>
      <c r="C13" s="2" t="str">
        <f ca="1">'数据修改（批量）'!C13</f>
        <v>运费</v>
      </c>
      <c r="D13" s="2" t="str">
        <f ca="1">'数据修改（批量）'!D13</f>
        <v>单价</v>
      </c>
      <c r="E13" s="2" t="str">
        <f ca="1">'数据修改（批量）'!E13</f>
        <v>每平价格</v>
      </c>
      <c r="F13" s="2"/>
      <c r="G13" s="2"/>
    </row>
    <row r="14" spans="1:7">
      <c r="A14" s="2"/>
      <c r="B14" s="2">
        <f ca="1">'数据修改（批量）'!B14</f>
        <v>650</v>
      </c>
      <c r="C14" s="2">
        <f ca="1">'数据修改（批量）'!C14</f>
        <v>0.5</v>
      </c>
      <c r="D14" s="4">
        <f ca="1">'数据修改（批量）'!D14</f>
        <v>13.8</v>
      </c>
      <c r="E14" s="2">
        <f ca="1">'数据修改（批量）'!E14</f>
        <v>14.3</v>
      </c>
      <c r="F14" s="2"/>
      <c r="G14" s="2"/>
    </row>
    <row r="15" spans="1:7">
      <c r="A15" s="2"/>
      <c r="B15" s="2">
        <f ca="1">'数据修改（批量）'!B15</f>
        <v>780</v>
      </c>
      <c r="C15" s="2">
        <f ca="1">'数据修改（批量）'!C15</f>
        <v>0.5</v>
      </c>
      <c r="D15" s="4">
        <f ca="1">'数据修改（批量）'!D15</f>
        <v>16.8</v>
      </c>
      <c r="E15" s="2">
        <f ca="1">'数据修改（批量）'!E15</f>
        <v>17.3</v>
      </c>
      <c r="F15" s="2"/>
      <c r="G15" s="2"/>
    </row>
    <row r="16" spans="2:7">
      <c r="B16" s="2">
        <f ca="1">'数据修改（批量）'!B16</f>
        <v>850</v>
      </c>
      <c r="C16" s="2">
        <f ca="1">'数据修改（批量）'!C16</f>
        <v>0.5</v>
      </c>
      <c r="D16" s="4">
        <f ca="1">'数据修改（批量）'!D16</f>
        <v>18</v>
      </c>
      <c r="E16" s="2">
        <f ca="1">'数据修改（批量）'!E16</f>
        <v>18.5</v>
      </c>
      <c r="F16" s="2"/>
      <c r="G16" s="2"/>
    </row>
    <row r="21" spans="1:7">
      <c r="A21" s="6" t="str">
        <f ca="1">'数据修改（批量）'!A21</f>
        <v>说明：黄色部分可以根据价格修改</v>
      </c>
      <c r="B21" s="6"/>
      <c r="C21" s="6"/>
      <c r="D21" s="6"/>
      <c r="E21" s="6"/>
      <c r="F21" s="6"/>
      <c r="G21" s="6"/>
    </row>
  </sheetData>
  <mergeCells count="1">
    <mergeCell ref="A21:G21"/>
  </mergeCells>
  <pageMargins left="0.75" right="0.75" top="1" bottom="1" header="0.509027777777778" footer="0.509027777777778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FF0000"/>
  </sheetPr>
  <dimension ref="A1:T30"/>
  <sheetViews>
    <sheetView showGridLines="0" workbookViewId="0">
      <selection activeCell="B9" sqref="B9"/>
    </sheetView>
  </sheetViews>
  <sheetFormatPr defaultColWidth="9" defaultRowHeight="14.25"/>
  <cols>
    <col min="1" max="1" width="3" style="1" customWidth="1"/>
    <col min="2" max="2" width="16.75" style="1" customWidth="1"/>
    <col min="3" max="3" width="8.375" style="3" customWidth="1"/>
    <col min="4" max="4" width="8.375" style="1" customWidth="1"/>
    <col min="5" max="5" width="8.375" style="3" customWidth="1"/>
    <col min="6" max="6" width="11.625" style="1" customWidth="1"/>
    <col min="7" max="13" width="15" style="1" customWidth="1"/>
    <col min="14" max="14" width="67.25" style="1" customWidth="1"/>
    <col min="15" max="15" width="9.75" style="1" customWidth="1"/>
    <col min="16" max="18" width="12.625" style="3" customWidth="1"/>
    <col min="19" max="19" width="12.75" style="3" hidden="1" customWidth="1"/>
    <col min="20" max="20" width="9" style="1" hidden="1" customWidth="1"/>
    <col min="21" max="16384" width="9" style="1"/>
  </cols>
  <sheetData>
    <row r="1" ht="26.1" customHeight="1" spans="1:15">
      <c r="A1" s="7" t="s">
        <v>1245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161"/>
    </row>
    <row r="2" ht="17.1" customHeight="1" spans="1:18">
      <c r="A2" s="141" t="s">
        <v>1246</v>
      </c>
      <c r="B2" s="141"/>
      <c r="C2" s="141"/>
      <c r="D2" s="9" t="s">
        <v>1198</v>
      </c>
      <c r="E2" s="10">
        <f>A3*3*3</f>
        <v>18</v>
      </c>
      <c r="F2" s="186"/>
      <c r="G2" s="187"/>
      <c r="H2" s="187"/>
      <c r="I2" s="187"/>
      <c r="J2" s="187"/>
      <c r="K2" s="187"/>
      <c r="L2" s="187"/>
      <c r="M2" s="187"/>
      <c r="N2" s="197"/>
      <c r="O2" s="162"/>
      <c r="P2" s="55"/>
      <c r="Q2" s="55"/>
      <c r="R2" s="55"/>
    </row>
    <row r="3" ht="17.1" customHeight="1" spans="1:18">
      <c r="A3" s="177">
        <v>2</v>
      </c>
      <c r="B3" s="177"/>
      <c r="C3" s="178" t="s">
        <v>1247</v>
      </c>
      <c r="D3" s="179">
        <v>3</v>
      </c>
      <c r="E3" s="189" t="s">
        <v>1248</v>
      </c>
      <c r="F3" s="246">
        <v>2</v>
      </c>
      <c r="G3" s="189" t="s">
        <v>1249</v>
      </c>
      <c r="H3" s="247"/>
      <c r="I3" s="110"/>
      <c r="J3" s="110"/>
      <c r="K3" s="110"/>
      <c r="L3" s="110"/>
      <c r="M3" s="265"/>
      <c r="N3" s="266"/>
      <c r="P3" s="55"/>
      <c r="Q3" s="55"/>
      <c r="R3" s="55"/>
    </row>
    <row r="4" ht="17.1" customHeight="1" spans="1:20">
      <c r="A4" s="165" t="s">
        <v>1200</v>
      </c>
      <c r="B4" s="165" t="s">
        <v>1201</v>
      </c>
      <c r="C4" s="165" t="s">
        <v>1250</v>
      </c>
      <c r="D4" s="165" t="s">
        <v>22</v>
      </c>
      <c r="E4" s="165" t="s">
        <v>1251</v>
      </c>
      <c r="F4" s="139" t="s">
        <v>1204</v>
      </c>
      <c r="G4" s="75" t="s">
        <v>1252</v>
      </c>
      <c r="H4" s="75" t="s">
        <v>1253</v>
      </c>
      <c r="I4" s="75" t="s">
        <v>1254</v>
      </c>
      <c r="J4" s="75" t="s">
        <v>1255</v>
      </c>
      <c r="K4" s="75" t="s">
        <v>1209</v>
      </c>
      <c r="L4" s="75" t="s">
        <v>1256</v>
      </c>
      <c r="M4" s="75" t="s">
        <v>1211</v>
      </c>
      <c r="N4" s="163" t="s">
        <v>1257</v>
      </c>
      <c r="O4" s="267" t="s">
        <v>1212</v>
      </c>
      <c r="P4" s="268" t="s">
        <v>1258</v>
      </c>
      <c r="Q4" s="285" t="s">
        <v>1259</v>
      </c>
      <c r="R4" s="286" t="s">
        <v>1213</v>
      </c>
      <c r="S4" s="287" t="s">
        <v>1260</v>
      </c>
      <c r="T4" s="286" t="s">
        <v>1213</v>
      </c>
    </row>
    <row r="5" spans="1:20">
      <c r="A5" s="153" t="s">
        <v>1215</v>
      </c>
      <c r="B5" s="91" t="s">
        <v>1224</v>
      </c>
      <c r="C5" s="23"/>
      <c r="D5" s="23" t="s">
        <v>28</v>
      </c>
      <c r="E5" s="24">
        <f>D3*2</f>
        <v>6</v>
      </c>
      <c r="F5" s="248">
        <f ca="1">G5+H5+I5+J5+K5+L5+M5</f>
        <v>142.425124928</v>
      </c>
      <c r="G5" s="249">
        <f>5.34/2</f>
        <v>2.67</v>
      </c>
      <c r="H5" s="249">
        <v>2.168</v>
      </c>
      <c r="I5" s="269">
        <f ca="1">G5*H5*'3米（弧形84料）参数 '!G5*1.1</f>
        <v>137.587124928</v>
      </c>
      <c r="J5" s="270"/>
      <c r="K5" s="270"/>
      <c r="L5" s="270"/>
      <c r="M5" s="270"/>
      <c r="N5" s="271" t="s">
        <v>1261</v>
      </c>
      <c r="O5" s="272">
        <v>4</v>
      </c>
      <c r="P5" s="60">
        <f ca="1" t="shared" ref="P5:P26" si="0">F5*O5</f>
        <v>569.700499712</v>
      </c>
      <c r="Q5" s="288">
        <f t="shared" ref="Q5:Q26" si="1">E5-O5</f>
        <v>2</v>
      </c>
      <c r="R5" s="67">
        <f ca="1" t="shared" ref="R5:R26" si="2">F5*Q5</f>
        <v>284.850249856</v>
      </c>
      <c r="S5" s="60">
        <v>0</v>
      </c>
      <c r="T5" s="289">
        <f ca="1" t="shared" ref="T5:T12" si="3">F5*S5</f>
        <v>0</v>
      </c>
    </row>
    <row r="6" spans="1:20">
      <c r="A6" s="153"/>
      <c r="B6" s="91" t="s">
        <v>1225</v>
      </c>
      <c r="C6" s="23"/>
      <c r="D6" s="23" t="s">
        <v>28</v>
      </c>
      <c r="E6" s="24">
        <f>D3</f>
        <v>3</v>
      </c>
      <c r="F6" s="248">
        <f ca="1">G6+H6+I6+J6+K6+L6+M6</f>
        <v>297.19718528</v>
      </c>
      <c r="G6" s="251">
        <v>4.2</v>
      </c>
      <c r="H6" s="251">
        <v>2.168</v>
      </c>
      <c r="I6" s="61">
        <f ca="1">G6*H6*'3米（弧形84料）参数 '!G5*1.1</f>
        <v>216.42918528</v>
      </c>
      <c r="J6" s="273">
        <f>1.2*2</f>
        <v>2.4</v>
      </c>
      <c r="K6" s="273"/>
      <c r="L6" s="273">
        <f>1*2</f>
        <v>2</v>
      </c>
      <c r="M6" s="273">
        <v>70</v>
      </c>
      <c r="N6" s="271" t="s">
        <v>1262</v>
      </c>
      <c r="O6" s="274">
        <v>2</v>
      </c>
      <c r="P6" s="60">
        <f ca="1" t="shared" si="0"/>
        <v>594.39437056</v>
      </c>
      <c r="Q6" s="288">
        <f t="shared" si="1"/>
        <v>1</v>
      </c>
      <c r="R6" s="67">
        <f ca="1" t="shared" si="2"/>
        <v>297.19718528</v>
      </c>
      <c r="S6" s="60">
        <v>0</v>
      </c>
      <c r="T6" s="289">
        <f ca="1" t="shared" si="3"/>
        <v>0</v>
      </c>
    </row>
    <row r="7" spans="1:20">
      <c r="A7" s="153"/>
      <c r="B7" s="91" t="s">
        <v>1226</v>
      </c>
      <c r="C7" s="23"/>
      <c r="D7" s="23" t="s">
        <v>28</v>
      </c>
      <c r="E7" s="24">
        <f>A3</f>
        <v>2</v>
      </c>
      <c r="F7" s="248">
        <f ca="1">I7+J7+K7+L7+M7</f>
        <v>61.76684516</v>
      </c>
      <c r="G7" s="252">
        <f>5.9/2</f>
        <v>2.95</v>
      </c>
      <c r="H7" s="252">
        <v>0.821</v>
      </c>
      <c r="I7" s="61">
        <f ca="1">G7*H7*'3米（弧形84料）参数 '!G5*1.1</f>
        <v>57.56684516</v>
      </c>
      <c r="J7" s="262"/>
      <c r="K7" s="262"/>
      <c r="L7" s="262">
        <f>0.3*2</f>
        <v>0.6</v>
      </c>
      <c r="M7" s="262">
        <f>1.8*2</f>
        <v>3.6</v>
      </c>
      <c r="N7" s="271" t="s">
        <v>1263</v>
      </c>
      <c r="O7" s="272">
        <v>1</v>
      </c>
      <c r="P7" s="60">
        <f ca="1" t="shared" si="0"/>
        <v>61.76684516</v>
      </c>
      <c r="Q7" s="288">
        <f t="shared" si="1"/>
        <v>1</v>
      </c>
      <c r="R7" s="67">
        <f ca="1" t="shared" si="2"/>
        <v>61.76684516</v>
      </c>
      <c r="S7" s="60"/>
      <c r="T7" s="289">
        <f ca="1" t="shared" si="3"/>
        <v>0</v>
      </c>
    </row>
    <row r="8" spans="1:20">
      <c r="A8" s="153"/>
      <c r="B8" s="91" t="s">
        <v>1264</v>
      </c>
      <c r="C8" s="23"/>
      <c r="D8" s="23" t="s">
        <v>28</v>
      </c>
      <c r="E8" s="24">
        <f>A3*2+F3</f>
        <v>6</v>
      </c>
      <c r="F8" s="248">
        <f ca="1">I8+J8+K8+L8+M8</f>
        <v>110.21835552</v>
      </c>
      <c r="G8" s="252">
        <f>5.9/2</f>
        <v>2.95</v>
      </c>
      <c r="H8" s="252">
        <v>1.512</v>
      </c>
      <c r="I8" s="61">
        <f ca="1">G8*H8*'3米（弧形84料）参数 '!G5*1.1</f>
        <v>106.01835552</v>
      </c>
      <c r="J8" s="262"/>
      <c r="K8" s="262"/>
      <c r="L8" s="262">
        <f>0.3*2</f>
        <v>0.6</v>
      </c>
      <c r="M8" s="262">
        <f>1.8*2</f>
        <v>3.6</v>
      </c>
      <c r="N8" s="271" t="s">
        <v>1265</v>
      </c>
      <c r="O8" s="272">
        <v>4</v>
      </c>
      <c r="P8" s="60">
        <f ca="1" t="shared" si="0"/>
        <v>440.87342208</v>
      </c>
      <c r="Q8" s="288">
        <f t="shared" si="1"/>
        <v>2</v>
      </c>
      <c r="R8" s="67">
        <f ca="1" t="shared" si="2"/>
        <v>220.43671104</v>
      </c>
      <c r="S8" s="60"/>
      <c r="T8" s="289">
        <f ca="1" t="shared" si="3"/>
        <v>0</v>
      </c>
    </row>
    <row r="9" spans="1:20">
      <c r="A9" s="153"/>
      <c r="B9" s="91" t="s">
        <v>1266</v>
      </c>
      <c r="C9" s="23"/>
      <c r="D9" s="23" t="s">
        <v>28</v>
      </c>
      <c r="E9" s="24">
        <f>A3*2</f>
        <v>4</v>
      </c>
      <c r="F9" s="248">
        <f>I9+J9+K9+L9+M9</f>
        <v>45</v>
      </c>
      <c r="G9" s="252">
        <f>5.86/2</f>
        <v>2.93</v>
      </c>
      <c r="H9" s="252">
        <v>0.868</v>
      </c>
      <c r="I9" s="61">
        <v>45</v>
      </c>
      <c r="J9" s="262"/>
      <c r="K9" s="262"/>
      <c r="L9" s="262"/>
      <c r="M9" s="262"/>
      <c r="N9" s="271" t="s">
        <v>1267</v>
      </c>
      <c r="O9" s="272">
        <v>2</v>
      </c>
      <c r="P9" s="60">
        <f ca="1" t="shared" si="0"/>
        <v>90</v>
      </c>
      <c r="Q9" s="288">
        <f t="shared" si="1"/>
        <v>2</v>
      </c>
      <c r="R9" s="67">
        <f ca="1" t="shared" si="2"/>
        <v>90</v>
      </c>
      <c r="S9" s="60"/>
      <c r="T9" s="289">
        <f ca="1" t="shared" si="3"/>
        <v>0</v>
      </c>
    </row>
    <row r="10" spans="1:20">
      <c r="A10" s="153"/>
      <c r="B10" s="91" t="s">
        <v>1268</v>
      </c>
      <c r="C10" s="23"/>
      <c r="D10" s="23" t="s">
        <v>28</v>
      </c>
      <c r="E10" s="24">
        <f>F3</f>
        <v>2</v>
      </c>
      <c r="F10" s="248">
        <f>I10+J10+K10+L10+M10</f>
        <v>45</v>
      </c>
      <c r="G10" s="250">
        <v>2.93</v>
      </c>
      <c r="H10" s="250">
        <v>0.868</v>
      </c>
      <c r="I10" s="61">
        <v>45</v>
      </c>
      <c r="J10" s="261"/>
      <c r="K10" s="261"/>
      <c r="L10" s="261"/>
      <c r="M10" s="261"/>
      <c r="N10" s="271" t="s">
        <v>1269</v>
      </c>
      <c r="O10" s="272">
        <v>2</v>
      </c>
      <c r="P10" s="60">
        <f ca="1" t="shared" si="0"/>
        <v>90</v>
      </c>
      <c r="Q10" s="288">
        <f t="shared" si="1"/>
        <v>0</v>
      </c>
      <c r="R10" s="67">
        <f ca="1" t="shared" si="2"/>
        <v>0</v>
      </c>
      <c r="S10" s="47">
        <f>F3*2-O10</f>
        <v>2</v>
      </c>
      <c r="T10" s="289">
        <f ca="1" t="shared" si="3"/>
        <v>90</v>
      </c>
    </row>
    <row r="11" spans="1:20">
      <c r="A11" s="153"/>
      <c r="B11" s="253" t="s">
        <v>1270</v>
      </c>
      <c r="C11" s="254"/>
      <c r="D11" s="254" t="s">
        <v>28</v>
      </c>
      <c r="E11" s="255">
        <v>3</v>
      </c>
      <c r="F11" s="248">
        <f>I11+J11+K11+L11+M11</f>
        <v>53.84</v>
      </c>
      <c r="G11" s="256">
        <v>12</v>
      </c>
      <c r="H11" s="256">
        <v>3.6</v>
      </c>
      <c r="I11" s="248">
        <f>G11*H11*1.2</f>
        <v>51.84</v>
      </c>
      <c r="J11" s="275"/>
      <c r="K11" s="275"/>
      <c r="L11" s="275">
        <v>2</v>
      </c>
      <c r="M11" s="275"/>
      <c r="N11" s="271" t="s">
        <v>1271</v>
      </c>
      <c r="O11" s="276">
        <v>2</v>
      </c>
      <c r="P11" s="277">
        <f ca="1" t="shared" si="0"/>
        <v>107.68</v>
      </c>
      <c r="Q11" s="288">
        <f t="shared" si="1"/>
        <v>1</v>
      </c>
      <c r="R11" s="290">
        <f ca="1" t="shared" si="2"/>
        <v>53.84</v>
      </c>
      <c r="S11" s="60"/>
      <c r="T11" s="289">
        <f ca="1" t="shared" si="3"/>
        <v>0</v>
      </c>
    </row>
    <row r="12" spans="1:20">
      <c r="A12" s="153"/>
      <c r="B12" s="91" t="s">
        <v>1272</v>
      </c>
      <c r="C12" s="23"/>
      <c r="D12" s="23" t="s">
        <v>28</v>
      </c>
      <c r="E12" s="32">
        <f>E11*2</f>
        <v>6</v>
      </c>
      <c r="F12" s="248">
        <v>51</v>
      </c>
      <c r="G12" s="256"/>
      <c r="H12" s="256"/>
      <c r="I12" s="248"/>
      <c r="J12" s="262"/>
      <c r="K12" s="262"/>
      <c r="L12" s="262"/>
      <c r="M12" s="262"/>
      <c r="N12" s="271" t="s">
        <v>1273</v>
      </c>
      <c r="O12" s="278">
        <v>4</v>
      </c>
      <c r="P12" s="60">
        <f ca="1" t="shared" si="0"/>
        <v>204</v>
      </c>
      <c r="Q12" s="288">
        <f t="shared" si="1"/>
        <v>2</v>
      </c>
      <c r="R12" s="67">
        <f ca="1" t="shared" si="2"/>
        <v>102</v>
      </c>
      <c r="S12" s="60"/>
      <c r="T12" s="289">
        <f ca="1" t="shared" si="3"/>
        <v>0</v>
      </c>
    </row>
    <row r="13" spans="1:20">
      <c r="A13" s="153"/>
      <c r="B13" s="91" t="s">
        <v>1274</v>
      </c>
      <c r="C13" s="23"/>
      <c r="D13" s="23" t="s">
        <v>28</v>
      </c>
      <c r="E13" s="24">
        <f>E22+F3</f>
        <v>6</v>
      </c>
      <c r="F13" s="101">
        <v>11</v>
      </c>
      <c r="G13" s="148"/>
      <c r="H13" s="148"/>
      <c r="I13" s="101"/>
      <c r="J13" s="261"/>
      <c r="K13" s="261"/>
      <c r="L13" s="261"/>
      <c r="M13" s="261"/>
      <c r="N13" s="271" t="s">
        <v>1275</v>
      </c>
      <c r="O13" s="278">
        <v>4</v>
      </c>
      <c r="P13" s="60">
        <f ca="1" t="shared" si="0"/>
        <v>44</v>
      </c>
      <c r="Q13" s="288">
        <f t="shared" si="1"/>
        <v>2</v>
      </c>
      <c r="R13" s="67">
        <f ca="1" t="shared" si="2"/>
        <v>22</v>
      </c>
      <c r="S13" s="60"/>
      <c r="T13" s="289"/>
    </row>
    <row r="14" spans="1:20">
      <c r="A14" s="153"/>
      <c r="B14" s="91" t="s">
        <v>1276</v>
      </c>
      <c r="C14" s="23"/>
      <c r="D14" s="23" t="s">
        <v>28</v>
      </c>
      <c r="E14" s="28">
        <f>F3</f>
        <v>2</v>
      </c>
      <c r="F14" s="61">
        <f ca="1">I14+J14+K14+L14+M14</f>
        <v>163.61573728</v>
      </c>
      <c r="G14" s="95">
        <v>2.95</v>
      </c>
      <c r="H14" s="95">
        <v>2.168</v>
      </c>
      <c r="I14" s="61">
        <f ca="1">G14*H14*'3米（弧形84料）参数 '!G5*1.1</f>
        <v>152.01573728</v>
      </c>
      <c r="J14" s="61"/>
      <c r="K14" s="61">
        <f>2*5</f>
        <v>10</v>
      </c>
      <c r="L14" s="61">
        <f>2*0.8</f>
        <v>1.6</v>
      </c>
      <c r="M14" s="61"/>
      <c r="N14" s="271" t="s">
        <v>1277</v>
      </c>
      <c r="O14" s="272">
        <v>2</v>
      </c>
      <c r="P14" s="60">
        <f ca="1" t="shared" si="0"/>
        <v>327.23147456</v>
      </c>
      <c r="Q14" s="288">
        <f t="shared" si="1"/>
        <v>0</v>
      </c>
      <c r="R14" s="67">
        <f ca="1" t="shared" si="2"/>
        <v>0</v>
      </c>
      <c r="S14" s="47">
        <f>F3*2-O14</f>
        <v>2</v>
      </c>
      <c r="T14" s="289">
        <f ca="1" t="shared" ref="T14:T25" si="4">F14*S14</f>
        <v>327.23147456</v>
      </c>
    </row>
    <row r="15" spans="1:20">
      <c r="A15" s="153" t="s">
        <v>1278</v>
      </c>
      <c r="B15" s="91" t="s">
        <v>512</v>
      </c>
      <c r="C15" s="23"/>
      <c r="D15" s="23" t="s">
        <v>434</v>
      </c>
      <c r="E15" s="23">
        <f>D3*2</f>
        <v>6</v>
      </c>
      <c r="F15" s="258">
        <v>22.8</v>
      </c>
      <c r="G15" s="259"/>
      <c r="H15" s="259"/>
      <c r="I15" s="281"/>
      <c r="J15" s="258"/>
      <c r="K15" s="258"/>
      <c r="L15" s="258"/>
      <c r="M15" s="258"/>
      <c r="N15" s="271" t="s">
        <v>1279</v>
      </c>
      <c r="O15" s="282">
        <v>4</v>
      </c>
      <c r="P15" s="60">
        <f ca="1" t="shared" si="0"/>
        <v>91.2</v>
      </c>
      <c r="Q15" s="288">
        <f t="shared" si="1"/>
        <v>2</v>
      </c>
      <c r="R15" s="67">
        <f ca="1" t="shared" si="2"/>
        <v>45.6</v>
      </c>
      <c r="S15" s="60"/>
      <c r="T15" s="289">
        <f ca="1" t="shared" si="4"/>
        <v>0</v>
      </c>
    </row>
    <row r="16" spans="1:20">
      <c r="A16" s="153"/>
      <c r="B16" s="91" t="s">
        <v>1280</v>
      </c>
      <c r="C16" s="23"/>
      <c r="D16" s="23" t="s">
        <v>434</v>
      </c>
      <c r="E16" s="28">
        <f>E5</f>
        <v>6</v>
      </c>
      <c r="F16" s="263">
        <v>10.8</v>
      </c>
      <c r="G16" s="256"/>
      <c r="H16" s="256"/>
      <c r="I16" s="248"/>
      <c r="J16" s="263"/>
      <c r="K16" s="263"/>
      <c r="L16" s="263"/>
      <c r="M16" s="263"/>
      <c r="N16" s="271" t="s">
        <v>1281</v>
      </c>
      <c r="O16" s="272">
        <v>4</v>
      </c>
      <c r="P16" s="60">
        <f ca="1" t="shared" si="0"/>
        <v>43.2</v>
      </c>
      <c r="Q16" s="288">
        <f t="shared" si="1"/>
        <v>2</v>
      </c>
      <c r="R16" s="67">
        <f ca="1" t="shared" si="2"/>
        <v>21.6</v>
      </c>
      <c r="S16" s="60"/>
      <c r="T16" s="289">
        <f ca="1" t="shared" si="4"/>
        <v>0</v>
      </c>
    </row>
    <row r="17" spans="1:20">
      <c r="A17" s="153"/>
      <c r="B17" s="91" t="s">
        <v>1282</v>
      </c>
      <c r="C17" s="23"/>
      <c r="D17" s="23" t="s">
        <v>434</v>
      </c>
      <c r="E17" s="24">
        <f>D3*2-F3*2+F3</f>
        <v>4</v>
      </c>
      <c r="F17" s="262">
        <v>2</v>
      </c>
      <c r="G17" s="256"/>
      <c r="H17" s="256"/>
      <c r="I17" s="248"/>
      <c r="J17" s="262"/>
      <c r="K17" s="262"/>
      <c r="L17" s="262"/>
      <c r="M17" s="262"/>
      <c r="N17" s="271" t="s">
        <v>1283</v>
      </c>
      <c r="O17" s="272">
        <v>2</v>
      </c>
      <c r="P17" s="60">
        <f ca="1" t="shared" si="0"/>
        <v>4</v>
      </c>
      <c r="Q17" s="288">
        <f t="shared" si="1"/>
        <v>2</v>
      </c>
      <c r="R17" s="67">
        <f ca="1" t="shared" si="2"/>
        <v>4</v>
      </c>
      <c r="S17" s="60"/>
      <c r="T17" s="289">
        <f ca="1" t="shared" si="4"/>
        <v>0</v>
      </c>
    </row>
    <row r="18" spans="1:20">
      <c r="A18" s="153"/>
      <c r="B18" s="91" t="s">
        <v>1284</v>
      </c>
      <c r="C18" s="23"/>
      <c r="D18" s="23" t="s">
        <v>434</v>
      </c>
      <c r="E18" s="24">
        <f>D3*2</f>
        <v>6</v>
      </c>
      <c r="F18" s="262">
        <v>2.7</v>
      </c>
      <c r="G18" s="256"/>
      <c r="H18" s="256"/>
      <c r="I18" s="248"/>
      <c r="J18" s="262"/>
      <c r="K18" s="262"/>
      <c r="L18" s="262"/>
      <c r="M18" s="262"/>
      <c r="N18" s="271" t="s">
        <v>1285</v>
      </c>
      <c r="O18" s="272">
        <v>4</v>
      </c>
      <c r="P18" s="60">
        <f ca="1" t="shared" si="0"/>
        <v>10.8</v>
      </c>
      <c r="Q18" s="288">
        <f t="shared" si="1"/>
        <v>2</v>
      </c>
      <c r="R18" s="67">
        <f ca="1" t="shared" si="2"/>
        <v>5.4</v>
      </c>
      <c r="S18" s="60"/>
      <c r="T18" s="289">
        <f ca="1" t="shared" si="4"/>
        <v>0</v>
      </c>
    </row>
    <row r="19" spans="1:20">
      <c r="A19" s="153"/>
      <c r="B19" s="91" t="s">
        <v>517</v>
      </c>
      <c r="C19" s="23"/>
      <c r="D19" s="23" t="s">
        <v>434</v>
      </c>
      <c r="E19" s="24">
        <f>F3*2</f>
        <v>4</v>
      </c>
      <c r="F19" s="262">
        <v>2.7</v>
      </c>
      <c r="G19" s="256"/>
      <c r="H19" s="256"/>
      <c r="I19" s="248"/>
      <c r="J19" s="262"/>
      <c r="K19" s="262"/>
      <c r="L19" s="262"/>
      <c r="M19" s="262"/>
      <c r="N19" s="271" t="s">
        <v>1285</v>
      </c>
      <c r="O19" s="272">
        <v>4</v>
      </c>
      <c r="P19" s="60">
        <f ca="1" t="shared" si="0"/>
        <v>10.8</v>
      </c>
      <c r="Q19" s="288">
        <f t="shared" si="1"/>
        <v>0</v>
      </c>
      <c r="R19" s="67">
        <f ca="1" t="shared" si="2"/>
        <v>0</v>
      </c>
      <c r="S19" s="47">
        <f>F3*2-O19</f>
        <v>0</v>
      </c>
      <c r="T19" s="289">
        <f ca="1" t="shared" si="4"/>
        <v>0</v>
      </c>
    </row>
    <row r="20" spans="1:20">
      <c r="A20" s="153" t="s">
        <v>1216</v>
      </c>
      <c r="B20" s="91" t="s">
        <v>1231</v>
      </c>
      <c r="C20" s="23"/>
      <c r="D20" s="23" t="s">
        <v>612</v>
      </c>
      <c r="E20" s="24">
        <f>A3</f>
        <v>2</v>
      </c>
      <c r="F20" s="261">
        <f ca="1">I20+J20+K20+L20+M20</f>
        <v>296.232</v>
      </c>
      <c r="G20" s="148">
        <v>3</v>
      </c>
      <c r="H20" s="148">
        <v>4.3</v>
      </c>
      <c r="I20" s="101">
        <f ca="1">G20*H20*'3米（弧形84料）参数 '!D15*1.1</f>
        <v>238.392</v>
      </c>
      <c r="J20" s="261">
        <f>4.3*2*4*1.1</f>
        <v>37.84</v>
      </c>
      <c r="K20" s="261">
        <v>20</v>
      </c>
      <c r="L20" s="261"/>
      <c r="M20" s="261"/>
      <c r="N20" s="271" t="s">
        <v>1286</v>
      </c>
      <c r="O20" s="272">
        <v>1</v>
      </c>
      <c r="P20" s="60">
        <f ca="1" t="shared" si="0"/>
        <v>296.232</v>
      </c>
      <c r="Q20" s="288">
        <f t="shared" si="1"/>
        <v>1</v>
      </c>
      <c r="R20" s="67">
        <f ca="1" t="shared" si="2"/>
        <v>296.232</v>
      </c>
      <c r="S20" s="60"/>
      <c r="T20" s="289">
        <f ca="1" t="shared" si="4"/>
        <v>0</v>
      </c>
    </row>
    <row r="21" spans="1:20">
      <c r="A21" s="153"/>
      <c r="B21" s="91" t="s">
        <v>1287</v>
      </c>
      <c r="C21" s="23"/>
      <c r="D21" s="23" t="s">
        <v>664</v>
      </c>
      <c r="E21" s="24">
        <f>F3</f>
        <v>2</v>
      </c>
      <c r="F21" s="261">
        <f ca="1">I21+J21+K21+L21+M21</f>
        <v>87.1804</v>
      </c>
      <c r="G21" s="148">
        <v>3.15</v>
      </c>
      <c r="H21" s="148">
        <v>1.2</v>
      </c>
      <c r="I21" s="101">
        <f ca="1">G21*H21*'3米（弧形84料）参数 '!D14*1.1</f>
        <v>57.3804</v>
      </c>
      <c r="J21" s="261">
        <f>4.5*4*1.1</f>
        <v>19.8</v>
      </c>
      <c r="K21" s="261">
        <v>10</v>
      </c>
      <c r="L21" s="261"/>
      <c r="M21" s="261"/>
      <c r="N21" s="271" t="s">
        <v>1288</v>
      </c>
      <c r="O21" s="272">
        <v>2</v>
      </c>
      <c r="P21" s="60">
        <f ca="1" t="shared" si="0"/>
        <v>174.3608</v>
      </c>
      <c r="Q21" s="288">
        <f t="shared" si="1"/>
        <v>0</v>
      </c>
      <c r="R21" s="67">
        <f ca="1" t="shared" si="2"/>
        <v>0</v>
      </c>
      <c r="S21" s="47">
        <f>F3-O21</f>
        <v>0</v>
      </c>
      <c r="T21" s="289">
        <f ca="1" t="shared" si="4"/>
        <v>0</v>
      </c>
    </row>
    <row r="22" spans="1:20">
      <c r="A22" s="153"/>
      <c r="B22" s="91" t="s">
        <v>1232</v>
      </c>
      <c r="C22" s="23"/>
      <c r="D22" s="23" t="s">
        <v>664</v>
      </c>
      <c r="E22" s="24">
        <f>A3*2</f>
        <v>4</v>
      </c>
      <c r="F22" s="261">
        <f ca="1">I22+J22+K22+L22+M22</f>
        <v>161.66224</v>
      </c>
      <c r="G22" s="256">
        <v>3.06</v>
      </c>
      <c r="H22" s="256">
        <v>2.8</v>
      </c>
      <c r="I22" s="101">
        <f ca="1">G22*H22*'3米（弧形84料）参数 '!D14*1.1</f>
        <v>130.06224</v>
      </c>
      <c r="J22" s="262">
        <f>0.8*8</f>
        <v>6.4</v>
      </c>
      <c r="K22" s="262">
        <v>9</v>
      </c>
      <c r="L22" s="262">
        <v>5</v>
      </c>
      <c r="M22" s="262">
        <f>5.6*2</f>
        <v>11.2</v>
      </c>
      <c r="N22" s="271" t="s">
        <v>1289</v>
      </c>
      <c r="O22" s="272">
        <v>2</v>
      </c>
      <c r="P22" s="60">
        <f ca="1" t="shared" si="0"/>
        <v>323.32448</v>
      </c>
      <c r="Q22" s="288">
        <f t="shared" si="1"/>
        <v>2</v>
      </c>
      <c r="R22" s="67">
        <f ca="1" t="shared" si="2"/>
        <v>323.32448</v>
      </c>
      <c r="S22" s="60"/>
      <c r="T22" s="289">
        <f ca="1" t="shared" si="4"/>
        <v>0</v>
      </c>
    </row>
    <row r="23" spans="1:20">
      <c r="A23" s="153"/>
      <c r="B23" s="91" t="s">
        <v>1290</v>
      </c>
      <c r="C23" s="23"/>
      <c r="D23" s="23" t="s">
        <v>664</v>
      </c>
      <c r="E23" s="24">
        <f>F3</f>
        <v>2</v>
      </c>
      <c r="F23" s="261">
        <f ca="1">I23+J23+K23+L23+M23</f>
        <v>170.8128</v>
      </c>
      <c r="G23" s="148">
        <v>3.2</v>
      </c>
      <c r="H23" s="148">
        <v>2.8</v>
      </c>
      <c r="I23" s="101">
        <f ca="1">G23*H23*'3米（弧形84料）参数 '!D14*1.1</f>
        <v>136.0128</v>
      </c>
      <c r="J23" s="261">
        <f>12*0.8</f>
        <v>9.6</v>
      </c>
      <c r="K23" s="261">
        <v>9</v>
      </c>
      <c r="L23" s="261">
        <v>5</v>
      </c>
      <c r="M23" s="261">
        <f>5.6*2</f>
        <v>11.2</v>
      </c>
      <c r="N23" s="271" t="s">
        <v>1291</v>
      </c>
      <c r="O23" s="272">
        <v>2</v>
      </c>
      <c r="P23" s="60">
        <f ca="1" t="shared" si="0"/>
        <v>341.6256</v>
      </c>
      <c r="Q23" s="288">
        <f t="shared" si="1"/>
        <v>0</v>
      </c>
      <c r="R23" s="67">
        <f ca="1" t="shared" si="2"/>
        <v>0</v>
      </c>
      <c r="S23" s="47">
        <f>F3*2-O23</f>
        <v>2</v>
      </c>
      <c r="T23" s="289">
        <f ca="1" t="shared" si="4"/>
        <v>341.6256</v>
      </c>
    </row>
    <row r="24" spans="1:20">
      <c r="A24" s="153" t="s">
        <v>1217</v>
      </c>
      <c r="B24" s="91" t="s">
        <v>1292</v>
      </c>
      <c r="C24" s="23"/>
      <c r="D24" s="23" t="s">
        <v>434</v>
      </c>
      <c r="E24" s="24">
        <f>D3*8</f>
        <v>24</v>
      </c>
      <c r="F24" s="261">
        <v>0.48</v>
      </c>
      <c r="G24" s="148"/>
      <c r="H24" s="148"/>
      <c r="I24" s="101"/>
      <c r="J24" s="261"/>
      <c r="K24" s="261"/>
      <c r="L24" s="261"/>
      <c r="M24" s="261"/>
      <c r="N24" s="271" t="s">
        <v>1293</v>
      </c>
      <c r="O24" s="272">
        <v>16</v>
      </c>
      <c r="P24" s="60">
        <f ca="1" t="shared" si="0"/>
        <v>7.68</v>
      </c>
      <c r="Q24" s="288">
        <f t="shared" si="1"/>
        <v>8</v>
      </c>
      <c r="R24" s="67">
        <f ca="1" t="shared" si="2"/>
        <v>3.84</v>
      </c>
      <c r="S24" s="47"/>
      <c r="T24" s="289">
        <f ca="1" t="shared" si="4"/>
        <v>0</v>
      </c>
    </row>
    <row r="25" spans="1:20">
      <c r="A25" s="153"/>
      <c r="B25" s="91" t="s">
        <v>1294</v>
      </c>
      <c r="C25" s="23"/>
      <c r="D25" s="23" t="s">
        <v>434</v>
      </c>
      <c r="E25" s="264">
        <f>E5</f>
        <v>6</v>
      </c>
      <c r="F25" s="261">
        <v>0.95</v>
      </c>
      <c r="G25" s="148"/>
      <c r="H25" s="148"/>
      <c r="I25" s="101"/>
      <c r="J25" s="261"/>
      <c r="K25" s="261"/>
      <c r="L25" s="261"/>
      <c r="M25" s="261"/>
      <c r="N25" s="271" t="s">
        <v>1295</v>
      </c>
      <c r="O25" s="272">
        <v>4</v>
      </c>
      <c r="P25" s="60">
        <f ca="1" t="shared" si="0"/>
        <v>3.8</v>
      </c>
      <c r="Q25" s="288">
        <f t="shared" si="1"/>
        <v>2</v>
      </c>
      <c r="R25" s="67">
        <f ca="1" t="shared" si="2"/>
        <v>1.9</v>
      </c>
      <c r="S25" s="47">
        <v>2</v>
      </c>
      <c r="T25" s="289">
        <f ca="1" t="shared" si="4"/>
        <v>1.9</v>
      </c>
    </row>
    <row r="26" spans="1:20">
      <c r="A26" s="153"/>
      <c r="B26" s="91" t="s">
        <v>1296</v>
      </c>
      <c r="C26" s="23"/>
      <c r="D26" s="23" t="s">
        <v>434</v>
      </c>
      <c r="E26" s="24">
        <f>E11*4+E16</f>
        <v>18</v>
      </c>
      <c r="F26" s="261">
        <v>1.5</v>
      </c>
      <c r="G26" s="148"/>
      <c r="H26" s="148"/>
      <c r="I26" s="101"/>
      <c r="J26" s="261"/>
      <c r="K26" s="261"/>
      <c r="L26" s="261"/>
      <c r="M26" s="261"/>
      <c r="N26" s="271" t="s">
        <v>1297</v>
      </c>
      <c r="O26" s="272">
        <v>16</v>
      </c>
      <c r="P26" s="60">
        <f ca="1" t="shared" si="0"/>
        <v>24</v>
      </c>
      <c r="Q26" s="288">
        <f t="shared" si="1"/>
        <v>2</v>
      </c>
      <c r="R26" s="67">
        <f ca="1" t="shared" si="2"/>
        <v>3</v>
      </c>
      <c r="S26" s="60"/>
      <c r="T26" s="289">
        <v>0</v>
      </c>
    </row>
    <row r="27" ht="18.95" customHeight="1" spans="3:20">
      <c r="C27" s="1"/>
      <c r="E27" s="1"/>
      <c r="O27" s="110" t="s">
        <v>1298</v>
      </c>
      <c r="P27" s="126">
        <f ca="1">SUM(P5:P26)</f>
        <v>3860.669492072</v>
      </c>
      <c r="Q27" s="110" t="s">
        <v>1299</v>
      </c>
      <c r="R27" s="126">
        <f ca="1">SUM(R5:R26)</f>
        <v>1836.987471336</v>
      </c>
      <c r="S27" s="84">
        <f>3134+269</f>
        <v>3403</v>
      </c>
      <c r="T27" s="84">
        <f ca="1">SUM(T5:T26)</f>
        <v>760.75707456</v>
      </c>
    </row>
    <row r="28" spans="1:13">
      <c r="A28" s="1" t="s">
        <v>1300</v>
      </c>
      <c r="B28" s="54"/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4"/>
    </row>
    <row r="29" spans="2:16">
      <c r="B29" s="54"/>
      <c r="C29" s="54"/>
      <c r="D29" s="54"/>
      <c r="E29" s="54"/>
      <c r="F29" s="54"/>
      <c r="G29" s="54"/>
      <c r="H29" s="54"/>
      <c r="I29" s="54"/>
      <c r="J29" s="54"/>
      <c r="K29" s="54"/>
      <c r="L29" s="54"/>
      <c r="M29" s="54"/>
      <c r="O29" s="1" t="s">
        <v>1301</v>
      </c>
      <c r="P29" s="3">
        <f ca="1">P27+R27</f>
        <v>5697.656963408</v>
      </c>
    </row>
    <row r="30" spans="2:16">
      <c r="B30" s="54"/>
      <c r="C30" s="54"/>
      <c r="D30" s="54"/>
      <c r="E30" s="54"/>
      <c r="F30" s="54"/>
      <c r="G30" s="54"/>
      <c r="H30" s="54"/>
      <c r="I30" s="54"/>
      <c r="J30" s="54"/>
      <c r="K30" s="54"/>
      <c r="L30" s="54"/>
      <c r="M30" s="54"/>
      <c r="O30" s="1" t="s">
        <v>5</v>
      </c>
      <c r="P30" s="3">
        <f ca="1">P29/E2</f>
        <v>316.536497967111</v>
      </c>
    </row>
  </sheetData>
  <mergeCells count="9">
    <mergeCell ref="A1:N1"/>
    <mergeCell ref="A2:C2"/>
    <mergeCell ref="F2:N2"/>
    <mergeCell ref="A3:B3"/>
    <mergeCell ref="H3:M3"/>
    <mergeCell ref="A5:A14"/>
    <mergeCell ref="A15:A19"/>
    <mergeCell ref="A20:A23"/>
    <mergeCell ref="A24:A26"/>
  </mergeCells>
  <dataValidations count="4">
    <dataValidation type="list" allowBlank="1" showInputMessage="1" showErrorMessage="1" sqref="B20">
      <formula1>"顶布[白]{全新},顶布[白]{A类},顶布[白]{B类},顶布[白]{C类},顶布[白]{D类}"</formula1>
    </dataValidation>
    <dataValidation type="list" allowBlank="1" showInputMessage="1" showErrorMessage="1" sqref="B21">
      <formula1>"山尖布[白]{全新},山尖布[白]{A类},山尖布[白]{B类},山尖布[白]{C类},山尖布[白]{D类}"</formula1>
    </dataValidation>
    <dataValidation type="list" allowBlank="1" showInputMessage="1" showErrorMessage="1" sqref="B22">
      <formula1>"围布[白]{全新},围布[白]{A类},围布[白]{B类},围布[白]{C类},围布[白]{D类},透光窗围布[白]{全新},透光窗围布[白]{A类},透光窗围布[白]{B类},透光窗围布[白]{C类},透光窗围布[白]{D类}"</formula1>
    </dataValidation>
    <dataValidation type="list" allowBlank="1" showInputMessage="1" showErrorMessage="1" sqref="B23">
      <formula1>"端围布[白]{全新},端围布[白]{A类},端围布[白]{B类},端围布[白]{C类},端围布[白]{D类},透光窗端围布[白]{全新},透光窗端围布[白]{A类},透光窗端围布[白]{B类},透光窗端围布[白]{C类},透光窗端围布[白]{D类}"</formula1>
    </dataValidation>
  </dataValidations>
  <printOptions horizontalCentered="1"/>
  <pageMargins left="0.388888888888889" right="0.388888888888889" top="0.588888888888889" bottom="0.279166666666667" header="0.159027777777778" footer="0.0791666666666667"/>
  <pageSetup paperSize="9" orientation="portrait"/>
  <headerFooter alignWithMargins="0" scaleWithDoc="0">
    <oddHeader>&amp;C&amp;"方正姚体,加粗"&amp;12高山篷房制造（沈阳）有限公司&amp;R&amp;"方正姚体,加粗"&amp;12 400-024-1800</oddHeader>
    <oddFooter>&amp;L&amp;"SimSun"&amp;9&amp;C&amp;"SimSun"&amp;9第 &amp;P 页，共 &amp;N 页&amp;R&amp;"SimSun"&amp;9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7030A0"/>
  </sheetPr>
  <dimension ref="A1:G21"/>
  <sheetViews>
    <sheetView showGridLines="0" workbookViewId="0">
      <selection activeCell="E31" sqref="E31"/>
    </sheetView>
  </sheetViews>
  <sheetFormatPr defaultColWidth="9" defaultRowHeight="14.25" outlineLevelCol="6"/>
  <cols>
    <col min="1" max="1" width="19.5" style="1" customWidth="1"/>
    <col min="2" max="2" width="20.5" style="1" customWidth="1"/>
    <col min="3" max="3" width="9" style="1"/>
    <col min="4" max="4" width="9.875" style="1" customWidth="1"/>
    <col min="5" max="6" width="9" style="1"/>
    <col min="7" max="7" width="13" style="1" customWidth="1"/>
    <col min="8" max="16384" width="9" style="1"/>
  </cols>
  <sheetData>
    <row r="1" spans="1:4">
      <c r="A1" s="2" t="str">
        <f ca="1">'数据修改（批量）'!A1</f>
        <v>上海有色铝锭价格</v>
      </c>
      <c r="B1" s="2"/>
      <c r="C1" s="2"/>
      <c r="D1" s="3"/>
    </row>
    <row r="2" spans="1:7">
      <c r="A2" s="4">
        <f ca="1">'数据修改（批量）'!A2</f>
        <v>16200</v>
      </c>
      <c r="B2" s="2" t="str">
        <f ca="1">'数据修改（批量）'!B2</f>
        <v>项目</v>
      </c>
      <c r="C2" s="2" t="str">
        <f ca="1">'数据修改（批量）'!C2</f>
        <v>加工费</v>
      </c>
      <c r="D2" s="2" t="str">
        <f ca="1">'数据修改（批量）'!D2</f>
        <v>包装物</v>
      </c>
      <c r="E2" s="2" t="str">
        <f ca="1">'数据修改（批量）'!E2</f>
        <v>运费</v>
      </c>
      <c r="F2" s="2" t="str">
        <f ca="1">'数据修改（批量）'!F2</f>
        <v>单价</v>
      </c>
      <c r="G2" s="2" t="str">
        <f ca="1">'数据修改（批量）'!G2</f>
        <v>每公斤价格</v>
      </c>
    </row>
    <row r="3" spans="1:7">
      <c r="A3" s="2"/>
      <c r="B3" s="2" t="str">
        <f ca="1">'数据修改（批量）'!B3</f>
        <v>203料</v>
      </c>
      <c r="C3" s="2">
        <f ca="1">'数据修改（批量）'!C3</f>
        <v>5500</v>
      </c>
      <c r="D3" s="2">
        <f ca="1">'数据修改（批量）'!D3</f>
        <v>868</v>
      </c>
      <c r="E3" s="2">
        <f ca="1">'数据修改（批量）'!E3</f>
        <v>80</v>
      </c>
      <c r="F3" s="2">
        <f ca="1">'数据修改（批量）'!F3</f>
        <v>22648</v>
      </c>
      <c r="G3" s="2">
        <f ca="1">'数据修改（批量）'!G3</f>
        <v>22.648</v>
      </c>
    </row>
    <row r="4" spans="1:7">
      <c r="A4" s="2"/>
      <c r="B4" s="2" t="str">
        <f ca="1">'数据修改（批量）'!B4</f>
        <v>203料氧化</v>
      </c>
      <c r="C4" s="2">
        <f ca="1">'数据修改（批量）'!C4</f>
        <v>6000</v>
      </c>
      <c r="D4" s="2">
        <f ca="1">'数据修改（批量）'!D4</f>
        <v>888</v>
      </c>
      <c r="E4" s="2">
        <f ca="1">'数据修改（批量）'!E4</f>
        <v>80</v>
      </c>
      <c r="F4" s="2">
        <f ca="1">'数据修改（批量）'!F4</f>
        <v>23168</v>
      </c>
      <c r="G4" s="2">
        <f ca="1">'数据修改（批量）'!G4</f>
        <v>23.168</v>
      </c>
    </row>
    <row r="5" spans="2:7">
      <c r="B5" s="2" t="str">
        <f ca="1">'数据修改（批量）'!B5</f>
        <v>小料加工费</v>
      </c>
      <c r="C5" s="2">
        <f ca="1">'数据修改（批量）'!C5</f>
        <v>4500</v>
      </c>
      <c r="D5" s="2">
        <f ca="1">'数据修改（批量）'!D5</f>
        <v>828</v>
      </c>
      <c r="E5" s="2">
        <f ca="1">'数据修改（批量）'!E5</f>
        <v>80</v>
      </c>
      <c r="F5" s="2">
        <f ca="1">'数据修改（批量）'!F5</f>
        <v>21608</v>
      </c>
      <c r="G5" s="2">
        <f ca="1">'数据修改（批量）'!G5</f>
        <v>21.608</v>
      </c>
    </row>
    <row r="6" spans="1:4">
      <c r="A6" s="2" t="str">
        <f ca="1">'数据修改（批量）'!A6</f>
        <v>南海有色铝锭价格</v>
      </c>
      <c r="D6" s="5"/>
    </row>
    <row r="7" spans="1:1">
      <c r="A7" s="4">
        <f ca="1">'数据修改（批量）'!A7</f>
        <v>16600</v>
      </c>
    </row>
    <row r="8" spans="2:7">
      <c r="B8" s="2" t="str">
        <f ca="1">'数据修改（批量）'!B8</f>
        <v>项目</v>
      </c>
      <c r="C8" s="2" t="str">
        <f ca="1">'数据修改（批量）'!C8</f>
        <v>加工费</v>
      </c>
      <c r="D8" s="2" t="str">
        <f ca="1">'数据修改（批量）'!D8</f>
        <v>包装物</v>
      </c>
      <c r="E8" s="2" t="str">
        <f ca="1">'数据修改（批量）'!E8</f>
        <v>运费</v>
      </c>
      <c r="F8" s="2" t="str">
        <f ca="1">'数据修改（批量）'!F8</f>
        <v>单价</v>
      </c>
      <c r="G8" s="2" t="str">
        <f ca="1">'数据修改（批量）'!G8</f>
        <v>每公斤价格</v>
      </c>
    </row>
    <row r="9" spans="2:7">
      <c r="B9" s="2" t="str">
        <f ca="1">'数据修改（批量）'!B9</f>
        <v>300/350料8米以上</v>
      </c>
      <c r="C9" s="2">
        <f ca="1">'数据修改（批量）'!C9</f>
        <v>7800</v>
      </c>
      <c r="D9" s="2">
        <f ca="1">'数据修改（批量）'!D9</f>
        <v>976</v>
      </c>
      <c r="E9" s="2">
        <f ca="1">'数据修改（批量）'!E9</f>
        <v>1000</v>
      </c>
      <c r="F9" s="2">
        <f ca="1">'数据修改（批量）'!F9</f>
        <v>26376</v>
      </c>
      <c r="G9" s="2">
        <f ca="1">'数据修改（批量）'!G9</f>
        <v>26.376</v>
      </c>
    </row>
    <row r="10" spans="2:7">
      <c r="B10" s="2" t="str">
        <f ca="1">'数据修改（批量）'!B10</f>
        <v>300/350料8米以下</v>
      </c>
      <c r="C10" s="2">
        <f ca="1">'数据修改（批量）'!C10</f>
        <v>7100</v>
      </c>
      <c r="D10" s="2">
        <f ca="1">'数据修改（批量）'!D10</f>
        <v>948</v>
      </c>
      <c r="E10" s="2">
        <f ca="1">'数据修改（批量）'!E10</f>
        <v>1000</v>
      </c>
      <c r="F10" s="2">
        <f ca="1">'数据修改（批量）'!F10</f>
        <v>25648</v>
      </c>
      <c r="G10" s="2">
        <f ca="1">'数据修改（批量）'!G10</f>
        <v>25.648</v>
      </c>
    </row>
    <row r="12" spans="1:4">
      <c r="A12" s="2" t="str">
        <f ca="1">'数据修改（批量）'!A12</f>
        <v>篷布</v>
      </c>
      <c r="B12" s="2"/>
      <c r="C12" s="2"/>
      <c r="D12" s="3"/>
    </row>
    <row r="13" spans="1:7">
      <c r="A13" s="2"/>
      <c r="B13" s="2" t="str">
        <f ca="1">'数据修改（批量）'!B13</f>
        <v>项目</v>
      </c>
      <c r="C13" s="2" t="str">
        <f ca="1">'数据修改（批量）'!C13</f>
        <v>运费</v>
      </c>
      <c r="D13" s="2" t="str">
        <f ca="1">'数据修改（批量）'!D13</f>
        <v>单价</v>
      </c>
      <c r="E13" s="2" t="str">
        <f ca="1">'数据修改（批量）'!E13</f>
        <v>每平价格</v>
      </c>
      <c r="F13" s="2"/>
      <c r="G13" s="2"/>
    </row>
    <row r="14" spans="1:7">
      <c r="A14" s="2"/>
      <c r="B14" s="2">
        <f ca="1">'数据修改（批量）'!B14</f>
        <v>650</v>
      </c>
      <c r="C14" s="2">
        <f ca="1">'数据修改（批量）'!C14</f>
        <v>0.5</v>
      </c>
      <c r="D14" s="4">
        <f ca="1">'数据修改（批量）'!D14</f>
        <v>13.8</v>
      </c>
      <c r="E14" s="2">
        <f ca="1">'数据修改（批量）'!E14</f>
        <v>14.3</v>
      </c>
      <c r="F14" s="2"/>
      <c r="G14" s="2"/>
    </row>
    <row r="15" spans="1:7">
      <c r="A15" s="2"/>
      <c r="B15" s="2">
        <f ca="1">'数据修改（批量）'!B15</f>
        <v>780</v>
      </c>
      <c r="C15" s="2">
        <f ca="1">'数据修改（批量）'!C15</f>
        <v>0.5</v>
      </c>
      <c r="D15" s="4">
        <f ca="1">'数据修改（批量）'!D15</f>
        <v>16.8</v>
      </c>
      <c r="E15" s="2">
        <f ca="1">'数据修改（批量）'!E15</f>
        <v>17.3</v>
      </c>
      <c r="F15" s="2"/>
      <c r="G15" s="2"/>
    </row>
    <row r="16" spans="2:7">
      <c r="B16" s="2">
        <f ca="1">'数据修改（批量）'!B16</f>
        <v>850</v>
      </c>
      <c r="C16" s="2">
        <f ca="1">'数据修改（批量）'!C16</f>
        <v>0.5</v>
      </c>
      <c r="D16" s="4">
        <f ca="1">'数据修改（批量）'!D16</f>
        <v>18</v>
      </c>
      <c r="E16" s="2">
        <f ca="1">'数据修改（批量）'!E16</f>
        <v>18.5</v>
      </c>
      <c r="F16" s="2"/>
      <c r="G16" s="2"/>
    </row>
    <row r="21" spans="1:7">
      <c r="A21" s="6" t="str">
        <f ca="1">'数据修改（批量）'!A21</f>
        <v>说明：黄色部分可以根据价格修改</v>
      </c>
      <c r="B21" s="6"/>
      <c r="C21" s="6"/>
      <c r="D21" s="6"/>
      <c r="E21" s="6"/>
      <c r="F21" s="6"/>
      <c r="G21" s="6"/>
    </row>
  </sheetData>
  <mergeCells count="1">
    <mergeCell ref="A21:G21"/>
  </mergeCells>
  <pageMargins left="0.75" right="0.75" top="1" bottom="1" header="0.509027777777778" footer="0.509027777777778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FFFF00"/>
  </sheetPr>
  <dimension ref="A1:T31"/>
  <sheetViews>
    <sheetView showGridLines="0" workbookViewId="0">
      <selection activeCell="B9" sqref="B9"/>
    </sheetView>
  </sheetViews>
  <sheetFormatPr defaultColWidth="9" defaultRowHeight="14.25"/>
  <cols>
    <col min="1" max="1" width="3" style="1" customWidth="1"/>
    <col min="2" max="2" width="16.75" style="1" customWidth="1"/>
    <col min="3" max="3" width="7.5" style="3" customWidth="1"/>
    <col min="4" max="4" width="8" style="1" customWidth="1"/>
    <col min="5" max="5" width="10.125" style="3" customWidth="1"/>
    <col min="6" max="6" width="11.625" style="1" customWidth="1"/>
    <col min="7" max="7" width="15" style="1" customWidth="1"/>
    <col min="8" max="8" width="11.625" style="1" customWidth="1"/>
    <col min="9" max="9" width="16" style="1" customWidth="1"/>
    <col min="10" max="10" width="15.25" style="1" customWidth="1"/>
    <col min="11" max="11" width="11.625" style="1" customWidth="1"/>
    <col min="12" max="12" width="15.75" style="1" customWidth="1"/>
    <col min="13" max="13" width="11.625" style="1" customWidth="1"/>
    <col min="14" max="14" width="67.25" style="1" customWidth="1"/>
    <col min="15" max="15" width="9.75" style="1" customWidth="1"/>
    <col min="16" max="18" width="9" style="3"/>
    <col min="19" max="19" width="12.75" style="3" hidden="1" customWidth="1"/>
    <col min="20" max="20" width="9" style="1" hidden="1" customWidth="1"/>
    <col min="21" max="16384" width="9" style="1"/>
  </cols>
  <sheetData>
    <row r="1" ht="26.1" customHeight="1" spans="1:15">
      <c r="A1" s="7" t="s">
        <v>1302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161"/>
    </row>
    <row r="2" ht="18.95" customHeight="1" spans="1:18">
      <c r="A2" s="141" t="s">
        <v>1246</v>
      </c>
      <c r="B2" s="141"/>
      <c r="C2" s="141"/>
      <c r="D2" s="9" t="s">
        <v>1198</v>
      </c>
      <c r="E2" s="10">
        <f>A3*3*3</f>
        <v>18</v>
      </c>
      <c r="F2" s="11" t="s">
        <v>1202</v>
      </c>
      <c r="G2" s="11"/>
      <c r="H2" s="11"/>
      <c r="I2" s="11"/>
      <c r="J2" s="11"/>
      <c r="K2" s="11"/>
      <c r="L2" s="11"/>
      <c r="M2" s="11"/>
      <c r="N2" s="11"/>
      <c r="O2" s="162"/>
      <c r="P2" s="55"/>
      <c r="Q2" s="55"/>
      <c r="R2" s="55"/>
    </row>
    <row r="3" ht="18.95" customHeight="1" spans="1:18">
      <c r="A3" s="177">
        <v>2</v>
      </c>
      <c r="B3" s="177"/>
      <c r="C3" s="178" t="s">
        <v>1247</v>
      </c>
      <c r="D3" s="179">
        <v>3</v>
      </c>
      <c r="E3" s="189" t="s">
        <v>1248</v>
      </c>
      <c r="F3" s="246">
        <v>2</v>
      </c>
      <c r="G3" s="189" t="s">
        <v>1249</v>
      </c>
      <c r="H3" s="247"/>
      <c r="I3" s="110"/>
      <c r="J3" s="110"/>
      <c r="K3" s="110"/>
      <c r="L3" s="110"/>
      <c r="M3" s="265"/>
      <c r="N3" s="266"/>
      <c r="P3" s="55"/>
      <c r="Q3" s="55"/>
      <c r="R3" s="55"/>
    </row>
    <row r="4" ht="18.95" customHeight="1" spans="1:20">
      <c r="A4" s="165" t="s">
        <v>1200</v>
      </c>
      <c r="B4" s="165" t="s">
        <v>1201</v>
      </c>
      <c r="C4" s="165" t="s">
        <v>1250</v>
      </c>
      <c r="D4" s="165" t="s">
        <v>22</v>
      </c>
      <c r="E4" s="165" t="s">
        <v>1251</v>
      </c>
      <c r="F4" s="139" t="s">
        <v>1204</v>
      </c>
      <c r="G4" s="75" t="s">
        <v>1252</v>
      </c>
      <c r="H4" s="75" t="s">
        <v>1253</v>
      </c>
      <c r="I4" s="75" t="s">
        <v>1254</v>
      </c>
      <c r="J4" s="75" t="s">
        <v>1255</v>
      </c>
      <c r="K4" s="75" t="s">
        <v>1209</v>
      </c>
      <c r="L4" s="75" t="s">
        <v>1256</v>
      </c>
      <c r="M4" s="75" t="s">
        <v>1211</v>
      </c>
      <c r="N4" s="163" t="s">
        <v>1257</v>
      </c>
      <c r="O4" s="267" t="s">
        <v>1212</v>
      </c>
      <c r="P4" s="268" t="s">
        <v>1258</v>
      </c>
      <c r="Q4" s="285" t="s">
        <v>1259</v>
      </c>
      <c r="R4" s="286" t="s">
        <v>1213</v>
      </c>
      <c r="S4" s="287" t="s">
        <v>1260</v>
      </c>
      <c r="T4" s="286" t="s">
        <v>1213</v>
      </c>
    </row>
    <row r="5" spans="1:20">
      <c r="A5" s="153" t="s">
        <v>1215</v>
      </c>
      <c r="B5" s="91" t="s">
        <v>1224</v>
      </c>
      <c r="C5" s="23"/>
      <c r="D5" s="23" t="s">
        <v>28</v>
      </c>
      <c r="E5" s="24">
        <f>D3*2</f>
        <v>6</v>
      </c>
      <c r="F5" s="248">
        <f ca="1">G5+H5+I5+J5+K5+L5+M5</f>
        <v>142.425124928</v>
      </c>
      <c r="G5" s="249">
        <f>5.34/2</f>
        <v>2.67</v>
      </c>
      <c r="H5" s="249">
        <v>2.168</v>
      </c>
      <c r="I5" s="269">
        <f ca="1">G5*H5*'3米（人字84料）参数'!G5*1.1</f>
        <v>137.587124928</v>
      </c>
      <c r="J5" s="270"/>
      <c r="K5" s="270"/>
      <c r="L5" s="270"/>
      <c r="M5" s="270"/>
      <c r="N5" s="271" t="s">
        <v>1261</v>
      </c>
      <c r="O5" s="272">
        <v>4</v>
      </c>
      <c r="P5" s="60">
        <f ca="1" t="shared" ref="P5:P27" si="0">F5*O5</f>
        <v>569.700499712</v>
      </c>
      <c r="Q5" s="288">
        <f t="shared" ref="Q5:Q27" si="1">E5-O5</f>
        <v>2</v>
      </c>
      <c r="R5" s="67">
        <f ca="1" t="shared" ref="R5:R27" si="2">F5*Q5</f>
        <v>284.850249856</v>
      </c>
      <c r="S5" s="60">
        <v>0</v>
      </c>
      <c r="T5" s="289">
        <f ca="1" t="shared" ref="T5:T12" si="3">F5*S5</f>
        <v>0</v>
      </c>
    </row>
    <row r="6" spans="1:20">
      <c r="A6" s="153"/>
      <c r="B6" s="91" t="s">
        <v>1225</v>
      </c>
      <c r="C6" s="23"/>
      <c r="D6" s="23" t="s">
        <v>28</v>
      </c>
      <c r="E6" s="24">
        <f>D3*2</f>
        <v>6</v>
      </c>
      <c r="F6" s="248">
        <f ca="1">G6+H6+I6+J6+K6+L6+M6</f>
        <v>94.0968272</v>
      </c>
      <c r="G6" s="251">
        <v>1.75</v>
      </c>
      <c r="H6" s="251">
        <v>2.168</v>
      </c>
      <c r="I6" s="61">
        <f ca="1">G6*H6*'3米（人字84料）参数'!G5*1.1</f>
        <v>90.1788272</v>
      </c>
      <c r="J6" s="273"/>
      <c r="K6" s="273"/>
      <c r="L6" s="273"/>
      <c r="M6" s="273"/>
      <c r="N6" s="271" t="s">
        <v>1303</v>
      </c>
      <c r="O6" s="274">
        <v>4</v>
      </c>
      <c r="P6" s="60">
        <f ca="1" t="shared" si="0"/>
        <v>376.3873088</v>
      </c>
      <c r="Q6" s="288">
        <f t="shared" si="1"/>
        <v>2</v>
      </c>
      <c r="R6" s="67">
        <f ca="1" t="shared" si="2"/>
        <v>188.1936544</v>
      </c>
      <c r="S6" s="60">
        <v>0</v>
      </c>
      <c r="T6" s="289">
        <f ca="1" t="shared" si="3"/>
        <v>0</v>
      </c>
    </row>
    <row r="7" spans="1:20">
      <c r="A7" s="153"/>
      <c r="B7" s="91" t="s">
        <v>1226</v>
      </c>
      <c r="C7" s="23"/>
      <c r="D7" s="23" t="s">
        <v>28</v>
      </c>
      <c r="E7" s="24">
        <f>A3</f>
        <v>2</v>
      </c>
      <c r="F7" s="248">
        <f ca="1">I7+J7+K7+L7+M7</f>
        <v>61.76684516</v>
      </c>
      <c r="G7" s="252">
        <f>5.9/2</f>
        <v>2.95</v>
      </c>
      <c r="H7" s="252">
        <v>0.821</v>
      </c>
      <c r="I7" s="61">
        <f ca="1">G7*H7*'3米（人字84料）参数'!G5*1.1</f>
        <v>57.56684516</v>
      </c>
      <c r="J7" s="262"/>
      <c r="K7" s="262"/>
      <c r="L7" s="262">
        <f>0.3*2</f>
        <v>0.6</v>
      </c>
      <c r="M7" s="262">
        <f>1.8*2</f>
        <v>3.6</v>
      </c>
      <c r="N7" s="271" t="s">
        <v>1263</v>
      </c>
      <c r="O7" s="272">
        <v>1</v>
      </c>
      <c r="P7" s="60">
        <f ca="1" t="shared" si="0"/>
        <v>61.76684516</v>
      </c>
      <c r="Q7" s="288">
        <f t="shared" si="1"/>
        <v>1</v>
      </c>
      <c r="R7" s="67">
        <f ca="1" t="shared" si="2"/>
        <v>61.76684516</v>
      </c>
      <c r="S7" s="60"/>
      <c r="T7" s="289">
        <f ca="1" t="shared" si="3"/>
        <v>0</v>
      </c>
    </row>
    <row r="8" spans="1:20">
      <c r="A8" s="153"/>
      <c r="B8" s="91" t="s">
        <v>1264</v>
      </c>
      <c r="C8" s="23"/>
      <c r="D8" s="23" t="s">
        <v>28</v>
      </c>
      <c r="E8" s="24">
        <f>A3*2</f>
        <v>4</v>
      </c>
      <c r="F8" s="248">
        <f ca="1">I8+J8+K8+L8+M8</f>
        <v>110.21835552</v>
      </c>
      <c r="G8" s="252">
        <f>5.9/2</f>
        <v>2.95</v>
      </c>
      <c r="H8" s="252">
        <v>1.512</v>
      </c>
      <c r="I8" s="61">
        <f ca="1">G8*H8*'3米（人字84料）参数'!G5*1.1</f>
        <v>106.01835552</v>
      </c>
      <c r="J8" s="262"/>
      <c r="K8" s="262"/>
      <c r="L8" s="262">
        <f>0.3*2</f>
        <v>0.6</v>
      </c>
      <c r="M8" s="262">
        <f>1.8*2</f>
        <v>3.6</v>
      </c>
      <c r="N8" s="271" t="s">
        <v>1265</v>
      </c>
      <c r="O8" s="272">
        <v>2</v>
      </c>
      <c r="P8" s="60">
        <f ca="1" t="shared" si="0"/>
        <v>220.43671104</v>
      </c>
      <c r="Q8" s="288">
        <f t="shared" si="1"/>
        <v>2</v>
      </c>
      <c r="R8" s="67">
        <f ca="1" t="shared" si="2"/>
        <v>220.43671104</v>
      </c>
      <c r="S8" s="60"/>
      <c r="T8" s="289">
        <f ca="1" t="shared" si="3"/>
        <v>0</v>
      </c>
    </row>
    <row r="9" spans="1:20">
      <c r="A9" s="153"/>
      <c r="B9" s="91" t="s">
        <v>1266</v>
      </c>
      <c r="C9" s="23"/>
      <c r="D9" s="23" t="s">
        <v>28</v>
      </c>
      <c r="E9" s="24">
        <f>A3*2</f>
        <v>4</v>
      </c>
      <c r="F9" s="248">
        <f>I9+J9+K9+L9+M9</f>
        <v>45</v>
      </c>
      <c r="G9" s="252">
        <f>5.86/2</f>
        <v>2.93</v>
      </c>
      <c r="H9" s="252">
        <v>0.868</v>
      </c>
      <c r="I9" s="61">
        <v>45</v>
      </c>
      <c r="J9" s="262"/>
      <c r="K9" s="262"/>
      <c r="L9" s="262"/>
      <c r="M9" s="262"/>
      <c r="N9" s="271" t="s">
        <v>1267</v>
      </c>
      <c r="O9" s="272">
        <v>2</v>
      </c>
      <c r="P9" s="60">
        <f ca="1" t="shared" si="0"/>
        <v>90</v>
      </c>
      <c r="Q9" s="288">
        <f t="shared" si="1"/>
        <v>2</v>
      </c>
      <c r="R9" s="67">
        <f ca="1" t="shared" si="2"/>
        <v>90</v>
      </c>
      <c r="S9" s="60"/>
      <c r="T9" s="289">
        <f ca="1" t="shared" si="3"/>
        <v>0</v>
      </c>
    </row>
    <row r="10" spans="1:20">
      <c r="A10" s="153"/>
      <c r="B10" s="91" t="s">
        <v>1268</v>
      </c>
      <c r="C10" s="23"/>
      <c r="D10" s="23" t="s">
        <v>28</v>
      </c>
      <c r="E10" s="24">
        <f>F3</f>
        <v>2</v>
      </c>
      <c r="F10" s="248">
        <f>I10+J10+K10+L10+M10</f>
        <v>45</v>
      </c>
      <c r="G10" s="250">
        <v>2.93</v>
      </c>
      <c r="H10" s="250">
        <v>0.868</v>
      </c>
      <c r="I10" s="61">
        <v>45</v>
      </c>
      <c r="J10" s="261"/>
      <c r="K10" s="261"/>
      <c r="L10" s="261"/>
      <c r="M10" s="261"/>
      <c r="N10" s="271" t="s">
        <v>1269</v>
      </c>
      <c r="O10" s="272">
        <v>2</v>
      </c>
      <c r="P10" s="60">
        <f ca="1" t="shared" si="0"/>
        <v>90</v>
      </c>
      <c r="Q10" s="288">
        <f t="shared" si="1"/>
        <v>0</v>
      </c>
      <c r="R10" s="67">
        <f ca="1" t="shared" si="2"/>
        <v>0</v>
      </c>
      <c r="S10" s="47">
        <f>F3*2-O10</f>
        <v>2</v>
      </c>
      <c r="T10" s="289">
        <f ca="1" t="shared" si="3"/>
        <v>90</v>
      </c>
    </row>
    <row r="11" spans="1:20">
      <c r="A11" s="153"/>
      <c r="B11" s="253" t="s">
        <v>1270</v>
      </c>
      <c r="C11" s="254"/>
      <c r="D11" s="254" t="s">
        <v>28</v>
      </c>
      <c r="E11" s="255">
        <v>3</v>
      </c>
      <c r="F11" s="248">
        <f>I11+J11+K11+L11+M11</f>
        <v>53.84</v>
      </c>
      <c r="G11" s="256">
        <v>12</v>
      </c>
      <c r="H11" s="256">
        <v>3.6</v>
      </c>
      <c r="I11" s="248">
        <f>G11*H11*1.2</f>
        <v>51.84</v>
      </c>
      <c r="J11" s="275"/>
      <c r="K11" s="275"/>
      <c r="L11" s="275">
        <v>2</v>
      </c>
      <c r="M11" s="275"/>
      <c r="N11" s="271" t="s">
        <v>1271</v>
      </c>
      <c r="O11" s="276">
        <v>2</v>
      </c>
      <c r="P11" s="277">
        <f ca="1" t="shared" si="0"/>
        <v>107.68</v>
      </c>
      <c r="Q11" s="288">
        <f t="shared" si="1"/>
        <v>1</v>
      </c>
      <c r="R11" s="290">
        <f ca="1" t="shared" si="2"/>
        <v>53.84</v>
      </c>
      <c r="S11" s="60"/>
      <c r="T11" s="289">
        <f ca="1" t="shared" si="3"/>
        <v>0</v>
      </c>
    </row>
    <row r="12" spans="1:20">
      <c r="A12" s="153"/>
      <c r="B12" s="91" t="s">
        <v>1272</v>
      </c>
      <c r="C12" s="23"/>
      <c r="D12" s="23" t="s">
        <v>28</v>
      </c>
      <c r="E12" s="32">
        <f>E11*2</f>
        <v>6</v>
      </c>
      <c r="F12" s="248">
        <v>51</v>
      </c>
      <c r="G12" s="256"/>
      <c r="H12" s="256"/>
      <c r="I12" s="248"/>
      <c r="J12" s="262"/>
      <c r="K12" s="262"/>
      <c r="L12" s="262"/>
      <c r="M12" s="262"/>
      <c r="N12" s="271" t="s">
        <v>1273</v>
      </c>
      <c r="O12" s="278">
        <v>4</v>
      </c>
      <c r="P12" s="60">
        <f ca="1" t="shared" si="0"/>
        <v>204</v>
      </c>
      <c r="Q12" s="288">
        <f t="shared" si="1"/>
        <v>2</v>
      </c>
      <c r="R12" s="67">
        <f ca="1" t="shared" si="2"/>
        <v>102</v>
      </c>
      <c r="S12" s="60"/>
      <c r="T12" s="289">
        <f ca="1" t="shared" si="3"/>
        <v>0</v>
      </c>
    </row>
    <row r="13" spans="1:20">
      <c r="A13" s="153"/>
      <c r="B13" s="91" t="s">
        <v>1274</v>
      </c>
      <c r="C13" s="23"/>
      <c r="D13" s="23" t="s">
        <v>28</v>
      </c>
      <c r="E13" s="24">
        <f>E23+F3</f>
        <v>6</v>
      </c>
      <c r="F13" s="101">
        <v>11</v>
      </c>
      <c r="G13" s="148"/>
      <c r="H13" s="148"/>
      <c r="I13" s="101"/>
      <c r="J13" s="261"/>
      <c r="K13" s="261"/>
      <c r="L13" s="261"/>
      <c r="M13" s="261"/>
      <c r="N13" s="271" t="s">
        <v>1275</v>
      </c>
      <c r="O13" s="278">
        <v>4</v>
      </c>
      <c r="P13" s="60">
        <f ca="1" t="shared" si="0"/>
        <v>44</v>
      </c>
      <c r="Q13" s="288">
        <f t="shared" si="1"/>
        <v>2</v>
      </c>
      <c r="R13" s="67">
        <f ca="1" t="shared" si="2"/>
        <v>22</v>
      </c>
      <c r="S13" s="60"/>
      <c r="T13" s="289"/>
    </row>
    <row r="14" spans="1:20">
      <c r="A14" s="153"/>
      <c r="B14" s="91" t="s">
        <v>1276</v>
      </c>
      <c r="C14" s="23"/>
      <c r="D14" s="23" t="s">
        <v>28</v>
      </c>
      <c r="E14" s="28">
        <f>F3</f>
        <v>2</v>
      </c>
      <c r="F14" s="61">
        <f ca="1">I14+J14+K14+L14+M14</f>
        <v>163.61573728</v>
      </c>
      <c r="G14" s="95">
        <v>2.95</v>
      </c>
      <c r="H14" s="95">
        <v>2.168</v>
      </c>
      <c r="I14" s="61">
        <f ca="1">G14*H14*'3米（人字84料）参数'!G5*1.1</f>
        <v>152.01573728</v>
      </c>
      <c r="J14" s="61"/>
      <c r="K14" s="61">
        <f>2*5</f>
        <v>10</v>
      </c>
      <c r="L14" s="61">
        <f>2*0.8</f>
        <v>1.6</v>
      </c>
      <c r="M14" s="61"/>
      <c r="N14" s="271" t="s">
        <v>1277</v>
      </c>
      <c r="O14" s="272">
        <v>2</v>
      </c>
      <c r="P14" s="60">
        <f ca="1" t="shared" si="0"/>
        <v>327.23147456</v>
      </c>
      <c r="Q14" s="288">
        <f t="shared" si="1"/>
        <v>0</v>
      </c>
      <c r="R14" s="67">
        <f ca="1" t="shared" si="2"/>
        <v>0</v>
      </c>
      <c r="S14" s="47">
        <f>F3*2-O14</f>
        <v>2</v>
      </c>
      <c r="T14" s="289">
        <f ca="1" t="shared" ref="T14:T26" si="4">F14*S14</f>
        <v>327.23147456</v>
      </c>
    </row>
    <row r="15" spans="1:20">
      <c r="A15" s="153" t="s">
        <v>1278</v>
      </c>
      <c r="B15" s="91" t="s">
        <v>512</v>
      </c>
      <c r="C15" s="23"/>
      <c r="D15" s="23" t="s">
        <v>434</v>
      </c>
      <c r="E15" s="23">
        <f>D3*2</f>
        <v>6</v>
      </c>
      <c r="F15" s="258">
        <v>22.8</v>
      </c>
      <c r="G15" s="259"/>
      <c r="H15" s="259"/>
      <c r="I15" s="281"/>
      <c r="J15" s="258"/>
      <c r="K15" s="258"/>
      <c r="L15" s="258"/>
      <c r="M15" s="258"/>
      <c r="N15" s="271" t="s">
        <v>1279</v>
      </c>
      <c r="O15" s="282">
        <v>4</v>
      </c>
      <c r="P15" s="60">
        <f ca="1" t="shared" si="0"/>
        <v>91.2</v>
      </c>
      <c r="Q15" s="288">
        <f t="shared" si="1"/>
        <v>2</v>
      </c>
      <c r="R15" s="67">
        <f ca="1" t="shared" si="2"/>
        <v>45.6</v>
      </c>
      <c r="S15" s="60"/>
      <c r="T15" s="289">
        <f ca="1" t="shared" si="4"/>
        <v>0</v>
      </c>
    </row>
    <row r="16" spans="1:20">
      <c r="A16" s="153"/>
      <c r="B16" s="91" t="s">
        <v>1304</v>
      </c>
      <c r="C16" s="23"/>
      <c r="D16" s="23" t="s">
        <v>434</v>
      </c>
      <c r="E16" s="24">
        <f>D3</f>
        <v>3</v>
      </c>
      <c r="F16" s="261">
        <v>55</v>
      </c>
      <c r="G16" s="148"/>
      <c r="H16" s="148"/>
      <c r="I16" s="101"/>
      <c r="J16" s="261"/>
      <c r="K16" s="261"/>
      <c r="L16" s="261"/>
      <c r="M16" s="261"/>
      <c r="N16" s="271" t="s">
        <v>1305</v>
      </c>
      <c r="O16" s="272">
        <v>2</v>
      </c>
      <c r="P16" s="60">
        <f ca="1" t="shared" si="0"/>
        <v>110</v>
      </c>
      <c r="Q16" s="288">
        <f t="shared" si="1"/>
        <v>1</v>
      </c>
      <c r="R16" s="67">
        <f ca="1" t="shared" si="2"/>
        <v>55</v>
      </c>
      <c r="S16" s="60"/>
      <c r="T16" s="289">
        <f ca="1" t="shared" si="4"/>
        <v>0</v>
      </c>
    </row>
    <row r="17" spans="1:20">
      <c r="A17" s="153"/>
      <c r="B17" s="91" t="s">
        <v>1280</v>
      </c>
      <c r="C17" s="23"/>
      <c r="D17" s="23" t="s">
        <v>434</v>
      </c>
      <c r="E17" s="28">
        <f>E5</f>
        <v>6</v>
      </c>
      <c r="F17" s="263">
        <v>10.8</v>
      </c>
      <c r="G17" s="256"/>
      <c r="H17" s="256"/>
      <c r="I17" s="248"/>
      <c r="J17" s="263"/>
      <c r="K17" s="263"/>
      <c r="L17" s="263"/>
      <c r="M17" s="263"/>
      <c r="N17" s="271" t="s">
        <v>1281</v>
      </c>
      <c r="O17" s="272">
        <v>4</v>
      </c>
      <c r="P17" s="60">
        <f ca="1" t="shared" si="0"/>
        <v>43.2</v>
      </c>
      <c r="Q17" s="288">
        <f t="shared" si="1"/>
        <v>2</v>
      </c>
      <c r="R17" s="67">
        <f ca="1" t="shared" si="2"/>
        <v>21.6</v>
      </c>
      <c r="S17" s="60"/>
      <c r="T17" s="289">
        <f ca="1" t="shared" si="4"/>
        <v>0</v>
      </c>
    </row>
    <row r="18" spans="1:20">
      <c r="A18" s="153"/>
      <c r="B18" s="91" t="s">
        <v>1282</v>
      </c>
      <c r="C18" s="23"/>
      <c r="D18" s="23" t="s">
        <v>434</v>
      </c>
      <c r="E18" s="24">
        <f>D3*2-F3*2+F3</f>
        <v>4</v>
      </c>
      <c r="F18" s="262">
        <v>2</v>
      </c>
      <c r="G18" s="256"/>
      <c r="H18" s="256"/>
      <c r="I18" s="248"/>
      <c r="J18" s="262"/>
      <c r="K18" s="262"/>
      <c r="L18" s="262"/>
      <c r="M18" s="262"/>
      <c r="N18" s="271" t="s">
        <v>1283</v>
      </c>
      <c r="O18" s="272">
        <v>2</v>
      </c>
      <c r="P18" s="60">
        <f ca="1" t="shared" si="0"/>
        <v>4</v>
      </c>
      <c r="Q18" s="288">
        <f t="shared" si="1"/>
        <v>2</v>
      </c>
      <c r="R18" s="67">
        <f ca="1" t="shared" si="2"/>
        <v>4</v>
      </c>
      <c r="S18" s="60"/>
      <c r="T18" s="289">
        <f ca="1" t="shared" si="4"/>
        <v>0</v>
      </c>
    </row>
    <row r="19" spans="1:20">
      <c r="A19" s="153"/>
      <c r="B19" s="91" t="s">
        <v>1284</v>
      </c>
      <c r="C19" s="23"/>
      <c r="D19" s="23" t="s">
        <v>434</v>
      </c>
      <c r="E19" s="24">
        <f>D3*2</f>
        <v>6</v>
      </c>
      <c r="F19" s="262">
        <v>2.7</v>
      </c>
      <c r="G19" s="256"/>
      <c r="H19" s="256"/>
      <c r="I19" s="248"/>
      <c r="J19" s="262"/>
      <c r="K19" s="262"/>
      <c r="L19" s="262"/>
      <c r="M19" s="262"/>
      <c r="N19" s="271" t="s">
        <v>1285</v>
      </c>
      <c r="O19" s="272">
        <v>4</v>
      </c>
      <c r="P19" s="60">
        <f ca="1" t="shared" si="0"/>
        <v>10.8</v>
      </c>
      <c r="Q19" s="288">
        <f t="shared" si="1"/>
        <v>2</v>
      </c>
      <c r="R19" s="67">
        <f ca="1" t="shared" si="2"/>
        <v>5.4</v>
      </c>
      <c r="S19" s="60"/>
      <c r="T19" s="289">
        <f ca="1" t="shared" si="4"/>
        <v>0</v>
      </c>
    </row>
    <row r="20" spans="1:20">
      <c r="A20" s="153"/>
      <c r="B20" s="91" t="s">
        <v>517</v>
      </c>
      <c r="C20" s="23"/>
      <c r="D20" s="23" t="s">
        <v>434</v>
      </c>
      <c r="E20" s="24">
        <f>F3*2</f>
        <v>4</v>
      </c>
      <c r="F20" s="262">
        <v>2.7</v>
      </c>
      <c r="G20" s="256"/>
      <c r="H20" s="256"/>
      <c r="I20" s="248"/>
      <c r="J20" s="262"/>
      <c r="K20" s="262"/>
      <c r="L20" s="262"/>
      <c r="M20" s="262"/>
      <c r="N20" s="271" t="s">
        <v>1285</v>
      </c>
      <c r="O20" s="272">
        <v>4</v>
      </c>
      <c r="P20" s="60">
        <f ca="1" t="shared" si="0"/>
        <v>10.8</v>
      </c>
      <c r="Q20" s="288">
        <f t="shared" si="1"/>
        <v>0</v>
      </c>
      <c r="R20" s="67">
        <f ca="1" t="shared" si="2"/>
        <v>0</v>
      </c>
      <c r="S20" s="47">
        <f>F3*2-O20</f>
        <v>0</v>
      </c>
      <c r="T20" s="289">
        <f ca="1" t="shared" si="4"/>
        <v>0</v>
      </c>
    </row>
    <row r="21" spans="1:20">
      <c r="A21" s="153" t="s">
        <v>1216</v>
      </c>
      <c r="B21" s="91" t="s">
        <v>1231</v>
      </c>
      <c r="C21" s="23"/>
      <c r="D21" s="23" t="s">
        <v>612</v>
      </c>
      <c r="E21" s="24">
        <f>A3</f>
        <v>2</v>
      </c>
      <c r="F21" s="261">
        <f ca="1">I21+J21+K21+L21+M21</f>
        <v>296.232</v>
      </c>
      <c r="G21" s="148">
        <v>3</v>
      </c>
      <c r="H21" s="148">
        <v>4.3</v>
      </c>
      <c r="I21" s="101">
        <f ca="1">G21*H21*'3米（人字84料）参数'!D15*1.1</f>
        <v>238.392</v>
      </c>
      <c r="J21" s="261">
        <f>4.3*2*4*1.1</f>
        <v>37.84</v>
      </c>
      <c r="K21" s="261">
        <v>20</v>
      </c>
      <c r="L21" s="261"/>
      <c r="M21" s="261"/>
      <c r="N21" s="271" t="s">
        <v>1286</v>
      </c>
      <c r="O21" s="272">
        <v>1</v>
      </c>
      <c r="P21" s="60">
        <f ca="1" t="shared" si="0"/>
        <v>296.232</v>
      </c>
      <c r="Q21" s="288">
        <f t="shared" si="1"/>
        <v>1</v>
      </c>
      <c r="R21" s="67">
        <f ca="1" t="shared" si="2"/>
        <v>296.232</v>
      </c>
      <c r="S21" s="60"/>
      <c r="T21" s="289">
        <f ca="1" t="shared" si="4"/>
        <v>0</v>
      </c>
    </row>
    <row r="22" spans="1:20">
      <c r="A22" s="153"/>
      <c r="B22" s="91" t="s">
        <v>1287</v>
      </c>
      <c r="C22" s="23"/>
      <c r="D22" s="23" t="s">
        <v>664</v>
      </c>
      <c r="E22" s="24">
        <f>F3</f>
        <v>2</v>
      </c>
      <c r="F22" s="261">
        <f ca="1">I22+J22+K22+L22+M22</f>
        <v>123.7906</v>
      </c>
      <c r="G22" s="148">
        <v>3.15</v>
      </c>
      <c r="H22" s="148">
        <v>1.8</v>
      </c>
      <c r="I22" s="101">
        <f ca="1">G22*H22*'3米（人字84料）参数'!D14*1.1</f>
        <v>86.0706</v>
      </c>
      <c r="J22" s="261">
        <f>3.15*2*4*1.1</f>
        <v>27.72</v>
      </c>
      <c r="K22" s="261">
        <v>10</v>
      </c>
      <c r="L22" s="261"/>
      <c r="M22" s="261"/>
      <c r="N22" s="271" t="s">
        <v>1306</v>
      </c>
      <c r="O22" s="272">
        <v>2</v>
      </c>
      <c r="P22" s="60">
        <f ca="1" t="shared" si="0"/>
        <v>247.5812</v>
      </c>
      <c r="Q22" s="288">
        <f t="shared" si="1"/>
        <v>0</v>
      </c>
      <c r="R22" s="67">
        <f ca="1" t="shared" si="2"/>
        <v>0</v>
      </c>
      <c r="S22" s="47">
        <f>F3-O22</f>
        <v>0</v>
      </c>
      <c r="T22" s="289">
        <f ca="1" t="shared" si="4"/>
        <v>0</v>
      </c>
    </row>
    <row r="23" spans="1:20">
      <c r="A23" s="153"/>
      <c r="B23" s="91" t="s">
        <v>1232</v>
      </c>
      <c r="C23" s="23"/>
      <c r="D23" s="23" t="s">
        <v>664</v>
      </c>
      <c r="E23" s="24">
        <f>A3*2</f>
        <v>4</v>
      </c>
      <c r="F23" s="261">
        <f ca="1">I23+J23+K23+L23+M23</f>
        <v>161.66224</v>
      </c>
      <c r="G23" s="256">
        <v>3.06</v>
      </c>
      <c r="H23" s="256">
        <v>2.8</v>
      </c>
      <c r="I23" s="101">
        <f ca="1">G23*H23*'3米（人字84料）参数'!D14*1.1</f>
        <v>130.06224</v>
      </c>
      <c r="J23" s="262">
        <f>0.8*8</f>
        <v>6.4</v>
      </c>
      <c r="K23" s="262">
        <v>9</v>
      </c>
      <c r="L23" s="262">
        <v>5</v>
      </c>
      <c r="M23" s="262">
        <f>5.6*2</f>
        <v>11.2</v>
      </c>
      <c r="N23" s="271" t="s">
        <v>1289</v>
      </c>
      <c r="O23" s="272">
        <v>2</v>
      </c>
      <c r="P23" s="60">
        <f ca="1" t="shared" si="0"/>
        <v>323.32448</v>
      </c>
      <c r="Q23" s="288">
        <f t="shared" si="1"/>
        <v>2</v>
      </c>
      <c r="R23" s="67">
        <f ca="1" t="shared" si="2"/>
        <v>323.32448</v>
      </c>
      <c r="S23" s="60"/>
      <c r="T23" s="289">
        <f ca="1" t="shared" si="4"/>
        <v>0</v>
      </c>
    </row>
    <row r="24" spans="1:20">
      <c r="A24" s="153"/>
      <c r="B24" s="91" t="s">
        <v>1290</v>
      </c>
      <c r="C24" s="23"/>
      <c r="D24" s="23" t="s">
        <v>664</v>
      </c>
      <c r="E24" s="24">
        <f>F3</f>
        <v>2</v>
      </c>
      <c r="F24" s="261">
        <f ca="1">I24+J24+K24+L24+M24</f>
        <v>170.8128</v>
      </c>
      <c r="G24" s="148">
        <v>3.2</v>
      </c>
      <c r="H24" s="148">
        <v>2.8</v>
      </c>
      <c r="I24" s="101">
        <f ca="1">G24*H24*'3米（人字84料）参数'!D14*1.1</f>
        <v>136.0128</v>
      </c>
      <c r="J24" s="261">
        <f>12*0.8</f>
        <v>9.6</v>
      </c>
      <c r="K24" s="261">
        <v>9</v>
      </c>
      <c r="L24" s="261">
        <v>5</v>
      </c>
      <c r="M24" s="261">
        <f>5.6*2</f>
        <v>11.2</v>
      </c>
      <c r="N24" s="271" t="s">
        <v>1291</v>
      </c>
      <c r="O24" s="272">
        <v>2</v>
      </c>
      <c r="P24" s="60">
        <f ca="1" t="shared" si="0"/>
        <v>341.6256</v>
      </c>
      <c r="Q24" s="288">
        <f t="shared" si="1"/>
        <v>0</v>
      </c>
      <c r="R24" s="67">
        <f ca="1" t="shared" si="2"/>
        <v>0</v>
      </c>
      <c r="S24" s="47">
        <f>F3*2-O24</f>
        <v>2</v>
      </c>
      <c r="T24" s="289">
        <f ca="1" t="shared" si="4"/>
        <v>341.6256</v>
      </c>
    </row>
    <row r="25" spans="1:20">
      <c r="A25" s="153" t="s">
        <v>1217</v>
      </c>
      <c r="B25" s="91" t="s">
        <v>1292</v>
      </c>
      <c r="C25" s="23"/>
      <c r="D25" s="23" t="s">
        <v>434</v>
      </c>
      <c r="E25" s="24">
        <f>D3*8</f>
        <v>24</v>
      </c>
      <c r="F25" s="261">
        <v>0.48</v>
      </c>
      <c r="G25" s="148"/>
      <c r="H25" s="148"/>
      <c r="I25" s="101"/>
      <c r="J25" s="261"/>
      <c r="K25" s="261"/>
      <c r="L25" s="261"/>
      <c r="M25" s="261"/>
      <c r="N25" s="271" t="s">
        <v>1293</v>
      </c>
      <c r="O25" s="272">
        <v>16</v>
      </c>
      <c r="P25" s="60">
        <f ca="1" t="shared" si="0"/>
        <v>7.68</v>
      </c>
      <c r="Q25" s="288">
        <f t="shared" si="1"/>
        <v>8</v>
      </c>
      <c r="R25" s="67">
        <f ca="1" t="shared" si="2"/>
        <v>3.84</v>
      </c>
      <c r="S25" s="47"/>
      <c r="T25" s="289">
        <f ca="1" t="shared" si="4"/>
        <v>0</v>
      </c>
    </row>
    <row r="26" spans="1:20">
      <c r="A26" s="153"/>
      <c r="B26" s="91" t="s">
        <v>1294</v>
      </c>
      <c r="C26" s="23"/>
      <c r="D26" s="23" t="s">
        <v>434</v>
      </c>
      <c r="E26" s="264">
        <f>E5</f>
        <v>6</v>
      </c>
      <c r="F26" s="261">
        <v>0.95</v>
      </c>
      <c r="G26" s="148"/>
      <c r="H26" s="148"/>
      <c r="I26" s="101"/>
      <c r="J26" s="261"/>
      <c r="K26" s="261"/>
      <c r="L26" s="261"/>
      <c r="M26" s="261"/>
      <c r="N26" s="271" t="s">
        <v>1295</v>
      </c>
      <c r="O26" s="272">
        <v>4</v>
      </c>
      <c r="P26" s="60">
        <f ca="1" t="shared" si="0"/>
        <v>3.8</v>
      </c>
      <c r="Q26" s="288">
        <f t="shared" si="1"/>
        <v>2</v>
      </c>
      <c r="R26" s="67">
        <f ca="1" t="shared" si="2"/>
        <v>1.9</v>
      </c>
      <c r="S26" s="47">
        <v>2</v>
      </c>
      <c r="T26" s="289">
        <f ca="1" t="shared" si="4"/>
        <v>1.9</v>
      </c>
    </row>
    <row r="27" spans="1:20">
      <c r="A27" s="153"/>
      <c r="B27" s="91" t="s">
        <v>1296</v>
      </c>
      <c r="C27" s="23"/>
      <c r="D27" s="23" t="s">
        <v>434</v>
      </c>
      <c r="E27" s="24">
        <f>E11*4+E17</f>
        <v>18</v>
      </c>
      <c r="F27" s="261">
        <v>1.5</v>
      </c>
      <c r="G27" s="148"/>
      <c r="H27" s="148"/>
      <c r="I27" s="101"/>
      <c r="J27" s="261"/>
      <c r="K27" s="261"/>
      <c r="L27" s="261"/>
      <c r="M27" s="261"/>
      <c r="N27" s="271" t="s">
        <v>1297</v>
      </c>
      <c r="O27" s="272">
        <v>16</v>
      </c>
      <c r="P27" s="60">
        <f ca="1" t="shared" si="0"/>
        <v>24</v>
      </c>
      <c r="Q27" s="288">
        <f t="shared" si="1"/>
        <v>2</v>
      </c>
      <c r="R27" s="67">
        <f ca="1" t="shared" si="2"/>
        <v>3</v>
      </c>
      <c r="S27" s="60"/>
      <c r="T27" s="289">
        <v>0</v>
      </c>
    </row>
    <row r="28" ht="18.95" customHeight="1" spans="3:20">
      <c r="C28" s="1"/>
      <c r="E28" s="1"/>
      <c r="O28" s="110" t="s">
        <v>1298</v>
      </c>
      <c r="P28" s="126">
        <f ca="1">SUM(P5:P27)</f>
        <v>3605.446119272</v>
      </c>
      <c r="Q28" s="126" t="s">
        <v>1219</v>
      </c>
      <c r="R28" s="126">
        <f ca="1">SUM(R5:R27)</f>
        <v>1782.983940456</v>
      </c>
      <c r="S28" s="84">
        <f>3134+269</f>
        <v>3403</v>
      </c>
      <c r="T28" s="84">
        <f ca="1">SUM(T5:T27)</f>
        <v>760.75707456</v>
      </c>
    </row>
    <row r="29" spans="1:13">
      <c r="A29" s="1" t="s">
        <v>1300</v>
      </c>
      <c r="B29" s="54"/>
      <c r="C29" s="54"/>
      <c r="D29" s="54"/>
      <c r="E29" s="54"/>
      <c r="F29" s="54"/>
      <c r="G29" s="54"/>
      <c r="H29" s="54"/>
      <c r="I29" s="54"/>
      <c r="J29" s="54"/>
      <c r="K29" s="54"/>
      <c r="L29" s="54"/>
      <c r="M29" s="54"/>
    </row>
    <row r="30" spans="2:16">
      <c r="B30" s="54"/>
      <c r="C30" s="54"/>
      <c r="D30" s="54"/>
      <c r="E30" s="54"/>
      <c r="F30" s="54"/>
      <c r="G30" s="54"/>
      <c r="H30" s="54"/>
      <c r="I30" s="54"/>
      <c r="J30" s="54"/>
      <c r="K30" s="54"/>
      <c r="L30" s="54"/>
      <c r="M30" s="54"/>
      <c r="O30" s="1" t="s">
        <v>1301</v>
      </c>
      <c r="P30" s="3">
        <f ca="1">P28+R28</f>
        <v>5388.430059728</v>
      </c>
    </row>
    <row r="31" spans="2:16">
      <c r="B31" s="54"/>
      <c r="C31" s="54"/>
      <c r="D31" s="54"/>
      <c r="E31" s="54"/>
      <c r="F31" s="54"/>
      <c r="G31" s="54"/>
      <c r="H31" s="54"/>
      <c r="I31" s="54"/>
      <c r="J31" s="54"/>
      <c r="K31" s="54"/>
      <c r="L31" s="54"/>
      <c r="M31" s="54"/>
      <c r="O31" s="1" t="s">
        <v>5</v>
      </c>
      <c r="P31" s="3">
        <f ca="1">P30/E2</f>
        <v>299.357225540444</v>
      </c>
    </row>
  </sheetData>
  <mergeCells count="9">
    <mergeCell ref="A1:N1"/>
    <mergeCell ref="A2:C2"/>
    <mergeCell ref="G2:N2"/>
    <mergeCell ref="A3:B3"/>
    <mergeCell ref="H3:M3"/>
    <mergeCell ref="A5:A14"/>
    <mergeCell ref="A15:A20"/>
    <mergeCell ref="A21:A24"/>
    <mergeCell ref="A25:A27"/>
  </mergeCells>
  <dataValidations count="4">
    <dataValidation type="list" allowBlank="1" showInputMessage="1" showErrorMessage="1" sqref="B21">
      <formula1>"顶布[白]{全新},顶布[白]{A类},顶布[白]{B类},顶布[白]{C类},顶布[白]{D类}"</formula1>
    </dataValidation>
    <dataValidation type="list" allowBlank="1" showInputMessage="1" showErrorMessage="1" sqref="B22">
      <formula1>"山尖布[白]{全新},山尖布[白]{A类},山尖布[白]{B类},山尖布[白]{C类},山尖布[白]{D类}"</formula1>
    </dataValidation>
    <dataValidation type="list" allowBlank="1" showInputMessage="1" showErrorMessage="1" sqref="B23">
      <formula1>"围布[白]{全新},围布[白]{A类},围布[白]{B类},围布[白]{C类},围布[白]{D类},透光窗围布[白]{全新},透光窗围布[白]{A类},透光窗围布[白]{B类},透光窗围布[白]{C类},透光窗围布[白]{D类}"</formula1>
    </dataValidation>
    <dataValidation type="list" allowBlank="1" showInputMessage="1" showErrorMessage="1" sqref="B24">
      <formula1>"端围布[白]{全新},端围布[白]{A类},端围布[白]{B类},端围布[白]{C类},端围布[白]{D类},透光窗端围布[白]{全新},透光窗端围布[白]{A类},透光窗端围布[白]{B类},透光窗端围布[白]{C类},透光窗端围布[白]{D类}"</formula1>
    </dataValidation>
  </dataValidations>
  <printOptions horizontalCentered="1"/>
  <pageMargins left="0.388888888888889" right="0.388888888888889" top="0.588888888888889" bottom="0.279166666666667" header="0.159027777777778" footer="0.0791666666666667"/>
  <pageSetup paperSize="9" orientation="portrait"/>
  <headerFooter alignWithMargins="0" scaleWithDoc="0">
    <oddHeader>&amp;C&amp;"方正姚体,加粗"&amp;12高山篷房制造（沈阳）有限公司&amp;R&amp;"方正姚体,加粗"&amp;12 400-024-1800</oddHeader>
    <oddFooter>&amp;L&amp;"SimSun"&amp;9&amp;C&amp;"SimSun"&amp;9第 &amp;P 页，共 &amp;N 页&amp;R&amp;"SimSun"&amp;9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7030A0"/>
  </sheetPr>
  <dimension ref="A1:G21"/>
  <sheetViews>
    <sheetView showGridLines="0" workbookViewId="0">
      <selection activeCell="E31" sqref="E31"/>
    </sheetView>
  </sheetViews>
  <sheetFormatPr defaultColWidth="9" defaultRowHeight="14.25" outlineLevelCol="6"/>
  <cols>
    <col min="1" max="1" width="19" style="1" customWidth="1"/>
    <col min="2" max="2" width="19.125" style="1" customWidth="1"/>
    <col min="3" max="3" width="9" style="1"/>
    <col min="4" max="4" width="9.875" style="1" customWidth="1"/>
    <col min="5" max="6" width="9" style="1"/>
    <col min="7" max="7" width="13" style="1" customWidth="1"/>
    <col min="8" max="16384" width="9" style="1"/>
  </cols>
  <sheetData>
    <row r="1" spans="1:4">
      <c r="A1" s="2" t="str">
        <f ca="1">'数据修改（批量）'!A1</f>
        <v>上海有色铝锭价格</v>
      </c>
      <c r="B1" s="2"/>
      <c r="C1" s="2"/>
      <c r="D1" s="3"/>
    </row>
    <row r="2" spans="1:7">
      <c r="A2" s="4">
        <f ca="1">'数据修改（批量）'!A2</f>
        <v>16200</v>
      </c>
      <c r="B2" s="2" t="str">
        <f ca="1">'数据修改（批量）'!B2</f>
        <v>项目</v>
      </c>
      <c r="C2" s="2" t="str">
        <f ca="1">'数据修改（批量）'!C2</f>
        <v>加工费</v>
      </c>
      <c r="D2" s="2" t="str">
        <f ca="1">'数据修改（批量）'!D2</f>
        <v>包装物</v>
      </c>
      <c r="E2" s="2" t="str">
        <f ca="1">'数据修改（批量）'!E2</f>
        <v>运费</v>
      </c>
      <c r="F2" s="2" t="str">
        <f ca="1">'数据修改（批量）'!F2</f>
        <v>单价</v>
      </c>
      <c r="G2" s="2" t="str">
        <f ca="1">'数据修改（批量）'!G2</f>
        <v>每公斤价格</v>
      </c>
    </row>
    <row r="3" spans="1:7">
      <c r="A3" s="2"/>
      <c r="B3" s="2" t="str">
        <f ca="1">'数据修改（批量）'!B3</f>
        <v>203料</v>
      </c>
      <c r="C3" s="2">
        <f ca="1">'数据修改（批量）'!C3</f>
        <v>5500</v>
      </c>
      <c r="D3" s="2">
        <f ca="1">'数据修改（批量）'!D3</f>
        <v>868</v>
      </c>
      <c r="E3" s="2">
        <f ca="1">'数据修改（批量）'!E3</f>
        <v>80</v>
      </c>
      <c r="F3" s="2">
        <f ca="1">'数据修改（批量）'!F3</f>
        <v>22648</v>
      </c>
      <c r="G3" s="2">
        <f ca="1">'数据修改（批量）'!G3</f>
        <v>22.648</v>
      </c>
    </row>
    <row r="4" spans="1:7">
      <c r="A4" s="2"/>
      <c r="B4" s="2" t="str">
        <f ca="1">'数据修改（批量）'!B4</f>
        <v>203料氧化</v>
      </c>
      <c r="C4" s="2">
        <f ca="1">'数据修改（批量）'!C4</f>
        <v>6000</v>
      </c>
      <c r="D4" s="2">
        <f ca="1">'数据修改（批量）'!D4</f>
        <v>888</v>
      </c>
      <c r="E4" s="2">
        <f ca="1">'数据修改（批量）'!E4</f>
        <v>80</v>
      </c>
      <c r="F4" s="2">
        <f ca="1">'数据修改（批量）'!F4</f>
        <v>23168</v>
      </c>
      <c r="G4" s="2">
        <f ca="1">'数据修改（批量）'!G4</f>
        <v>23.168</v>
      </c>
    </row>
    <row r="5" spans="2:7">
      <c r="B5" s="2" t="str">
        <f ca="1">'数据修改（批量）'!B5</f>
        <v>小料加工费</v>
      </c>
      <c r="C5" s="2">
        <f ca="1">'数据修改（批量）'!C5</f>
        <v>4500</v>
      </c>
      <c r="D5" s="2">
        <f ca="1">'数据修改（批量）'!D5</f>
        <v>828</v>
      </c>
      <c r="E5" s="2">
        <f ca="1">'数据修改（批量）'!E5</f>
        <v>80</v>
      </c>
      <c r="F5" s="2">
        <f ca="1">'数据修改（批量）'!F5</f>
        <v>21608</v>
      </c>
      <c r="G5" s="2">
        <f ca="1">'数据修改（批量）'!G5</f>
        <v>21.608</v>
      </c>
    </row>
    <row r="6" spans="1:4">
      <c r="A6" s="2" t="str">
        <f ca="1">'数据修改（批量）'!A6</f>
        <v>南海有色铝锭价格</v>
      </c>
      <c r="D6" s="5"/>
    </row>
    <row r="7" spans="1:1">
      <c r="A7" s="4">
        <f ca="1">'数据修改（批量）'!A7</f>
        <v>16600</v>
      </c>
    </row>
    <row r="8" spans="2:7">
      <c r="B8" s="2" t="str">
        <f ca="1">'数据修改（批量）'!B8</f>
        <v>项目</v>
      </c>
      <c r="C8" s="2" t="str">
        <f ca="1">'数据修改（批量）'!C8</f>
        <v>加工费</v>
      </c>
      <c r="D8" s="2" t="str">
        <f ca="1">'数据修改（批量）'!D8</f>
        <v>包装物</v>
      </c>
      <c r="E8" s="2" t="str">
        <f ca="1">'数据修改（批量）'!E8</f>
        <v>运费</v>
      </c>
      <c r="F8" s="2" t="str">
        <f ca="1">'数据修改（批量）'!F8</f>
        <v>单价</v>
      </c>
      <c r="G8" s="2" t="str">
        <f ca="1">'数据修改（批量）'!G8</f>
        <v>每公斤价格</v>
      </c>
    </row>
    <row r="9" spans="2:7">
      <c r="B9" s="2" t="str">
        <f ca="1">'数据修改（批量）'!B9</f>
        <v>300/350料8米以上</v>
      </c>
      <c r="C9" s="2">
        <f ca="1">'数据修改（批量）'!C9</f>
        <v>7800</v>
      </c>
      <c r="D9" s="2">
        <f ca="1">'数据修改（批量）'!D9</f>
        <v>976</v>
      </c>
      <c r="E9" s="2">
        <f ca="1">'数据修改（批量）'!E9</f>
        <v>1000</v>
      </c>
      <c r="F9" s="2">
        <f ca="1">'数据修改（批量）'!F9</f>
        <v>26376</v>
      </c>
      <c r="G9" s="2">
        <f ca="1">'数据修改（批量）'!G9</f>
        <v>26.376</v>
      </c>
    </row>
    <row r="10" spans="2:7">
      <c r="B10" s="2" t="str">
        <f ca="1">'数据修改（批量）'!B10</f>
        <v>300/350料8米以下</v>
      </c>
      <c r="C10" s="2">
        <f ca="1">'数据修改（批量）'!C10</f>
        <v>7100</v>
      </c>
      <c r="D10" s="2">
        <f ca="1">'数据修改（批量）'!D10</f>
        <v>948</v>
      </c>
      <c r="E10" s="2">
        <f ca="1">'数据修改（批量）'!E10</f>
        <v>1000</v>
      </c>
      <c r="F10" s="2">
        <f ca="1">'数据修改（批量）'!F10</f>
        <v>25648</v>
      </c>
      <c r="G10" s="2">
        <f ca="1">'数据修改（批量）'!G10</f>
        <v>25.648</v>
      </c>
    </row>
    <row r="12" spans="1:4">
      <c r="A12" s="2" t="str">
        <f ca="1">'数据修改（批量）'!A12</f>
        <v>篷布</v>
      </c>
      <c r="B12" s="2"/>
      <c r="C12" s="2"/>
      <c r="D12" s="3"/>
    </row>
    <row r="13" spans="1:7">
      <c r="A13" s="2"/>
      <c r="B13" s="2" t="str">
        <f ca="1">'数据修改（批量）'!B13</f>
        <v>项目</v>
      </c>
      <c r="C13" s="2" t="str">
        <f ca="1">'数据修改（批量）'!C13</f>
        <v>运费</v>
      </c>
      <c r="D13" s="2" t="str">
        <f ca="1">'数据修改（批量）'!D13</f>
        <v>单价</v>
      </c>
      <c r="E13" s="2" t="str">
        <f ca="1">'数据修改（批量）'!E13</f>
        <v>每平价格</v>
      </c>
      <c r="F13" s="2"/>
      <c r="G13" s="2"/>
    </row>
    <row r="14" spans="1:7">
      <c r="A14" s="2"/>
      <c r="B14" s="2">
        <f ca="1">'数据修改（批量）'!B14</f>
        <v>650</v>
      </c>
      <c r="C14" s="2">
        <f ca="1">'数据修改（批量）'!C14</f>
        <v>0.5</v>
      </c>
      <c r="D14" s="4">
        <f ca="1">'数据修改（批量）'!D14</f>
        <v>13.8</v>
      </c>
      <c r="E14" s="2">
        <f ca="1">'数据修改（批量）'!E14</f>
        <v>14.3</v>
      </c>
      <c r="F14" s="2"/>
      <c r="G14" s="2"/>
    </row>
    <row r="15" spans="1:7">
      <c r="A15" s="2"/>
      <c r="B15" s="2">
        <f ca="1">'数据修改（批量）'!B15</f>
        <v>780</v>
      </c>
      <c r="C15" s="2">
        <f ca="1">'数据修改（批量）'!C15</f>
        <v>0.5</v>
      </c>
      <c r="D15" s="4">
        <f ca="1">'数据修改（批量）'!D15</f>
        <v>16.8</v>
      </c>
      <c r="E15" s="2">
        <f ca="1">'数据修改（批量）'!E15</f>
        <v>17.3</v>
      </c>
      <c r="F15" s="2"/>
      <c r="G15" s="2"/>
    </row>
    <row r="16" spans="2:7">
      <c r="B16" s="2">
        <f ca="1">'数据修改（批量）'!B16</f>
        <v>850</v>
      </c>
      <c r="C16" s="2">
        <f ca="1">'数据修改（批量）'!C16</f>
        <v>0.5</v>
      </c>
      <c r="D16" s="4">
        <f ca="1">'数据修改（批量）'!D16</f>
        <v>18</v>
      </c>
      <c r="E16" s="2">
        <f ca="1">'数据修改（批量）'!E16</f>
        <v>18.5</v>
      </c>
      <c r="F16" s="2"/>
      <c r="G16" s="2"/>
    </row>
    <row r="21" spans="1:7">
      <c r="A21" s="6" t="str">
        <f ca="1">'数据修改（批量）'!A21</f>
        <v>说明：黄色部分可以根据价格修改</v>
      </c>
      <c r="B21" s="6"/>
      <c r="C21" s="6"/>
      <c r="D21" s="6"/>
      <c r="E21" s="6"/>
      <c r="F21" s="6"/>
      <c r="G21" s="6"/>
    </row>
  </sheetData>
  <mergeCells count="1">
    <mergeCell ref="A21:G21"/>
  </mergeCells>
  <pageMargins left="0.75" right="0.75" top="1" bottom="1" header="0.509027777777778" footer="0.509027777777778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FF0000"/>
  </sheetPr>
  <dimension ref="A1:T34"/>
  <sheetViews>
    <sheetView showGridLines="0" workbookViewId="0">
      <selection activeCell="B10" sqref="B10"/>
    </sheetView>
  </sheetViews>
  <sheetFormatPr defaultColWidth="9" defaultRowHeight="14.25"/>
  <cols>
    <col min="1" max="1" width="3" style="1" customWidth="1"/>
    <col min="2" max="2" width="16.75" style="1" customWidth="1"/>
    <col min="3" max="3" width="7.5" style="3" customWidth="1"/>
    <col min="4" max="4" width="8" style="1" customWidth="1"/>
    <col min="5" max="5" width="10.125" style="3" customWidth="1"/>
    <col min="6" max="6" width="11.625" style="1" customWidth="1"/>
    <col min="7" max="7" width="15" style="1" customWidth="1"/>
    <col min="8" max="8" width="11.625" style="1" customWidth="1"/>
    <col min="9" max="9" width="16" style="1" customWidth="1"/>
    <col min="10" max="10" width="15.25" style="1" customWidth="1"/>
    <col min="11" max="11" width="11.625" style="1" customWidth="1"/>
    <col min="12" max="12" width="15.75" style="1" customWidth="1"/>
    <col min="13" max="13" width="11.625" style="1" customWidth="1"/>
    <col min="14" max="14" width="67.25" style="1" customWidth="1"/>
    <col min="15" max="15" width="9.75" style="1" customWidth="1"/>
    <col min="16" max="18" width="9" style="3"/>
    <col min="19" max="19" width="12.75" style="3" hidden="1" customWidth="1"/>
    <col min="20" max="20" width="9" style="1" hidden="1" customWidth="1"/>
    <col min="21" max="16384" width="9" style="1"/>
  </cols>
  <sheetData>
    <row r="1" ht="18.95" customHeight="1" spans="1:15">
      <c r="A1" s="7" t="s">
        <v>1307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</row>
    <row r="2" ht="15.95" customHeight="1" spans="1:18">
      <c r="A2" s="141" t="s">
        <v>1246</v>
      </c>
      <c r="B2" s="141"/>
      <c r="C2" s="141"/>
      <c r="D2" s="9" t="s">
        <v>1198</v>
      </c>
      <c r="E2" s="10">
        <f>A3*3*6</f>
        <v>36</v>
      </c>
      <c r="F2" s="11" t="s">
        <v>1202</v>
      </c>
      <c r="G2" s="186"/>
      <c r="H2" s="187"/>
      <c r="I2" s="187"/>
      <c r="J2" s="187"/>
      <c r="K2" s="187"/>
      <c r="L2" s="187"/>
      <c r="M2" s="187"/>
      <c r="N2" s="197"/>
      <c r="O2" s="162"/>
      <c r="P2" s="55"/>
      <c r="Q2" s="55"/>
      <c r="R2" s="55"/>
    </row>
    <row r="3" ht="15.95" customHeight="1" spans="1:18">
      <c r="A3" s="177">
        <v>2</v>
      </c>
      <c r="B3" s="177"/>
      <c r="C3" s="178" t="s">
        <v>1247</v>
      </c>
      <c r="D3" s="179">
        <v>3</v>
      </c>
      <c r="E3" s="189" t="s">
        <v>1248</v>
      </c>
      <c r="F3" s="246">
        <v>2</v>
      </c>
      <c r="G3" s="189" t="s">
        <v>1249</v>
      </c>
      <c r="H3" s="247"/>
      <c r="I3" s="110"/>
      <c r="J3" s="110"/>
      <c r="K3" s="110"/>
      <c r="L3" s="110"/>
      <c r="M3" s="265"/>
      <c r="N3" s="266"/>
      <c r="P3" s="55"/>
      <c r="Q3" s="55"/>
      <c r="R3" s="55"/>
    </row>
    <row r="4" ht="15.95" customHeight="1" spans="1:20">
      <c r="A4" s="165" t="s">
        <v>1200</v>
      </c>
      <c r="B4" s="165" t="s">
        <v>1201</v>
      </c>
      <c r="C4" s="165" t="s">
        <v>1250</v>
      </c>
      <c r="D4" s="165" t="s">
        <v>22</v>
      </c>
      <c r="E4" s="165" t="s">
        <v>1251</v>
      </c>
      <c r="F4" s="139" t="s">
        <v>1204</v>
      </c>
      <c r="G4" s="75" t="s">
        <v>1252</v>
      </c>
      <c r="H4" s="75" t="s">
        <v>1253</v>
      </c>
      <c r="I4" s="75" t="s">
        <v>1254</v>
      </c>
      <c r="J4" s="75" t="s">
        <v>1255</v>
      </c>
      <c r="K4" s="75" t="s">
        <v>1209</v>
      </c>
      <c r="L4" s="75" t="s">
        <v>1256</v>
      </c>
      <c r="M4" s="75" t="s">
        <v>1211</v>
      </c>
      <c r="N4" s="163" t="s">
        <v>1257</v>
      </c>
      <c r="O4" s="267" t="s">
        <v>1212</v>
      </c>
      <c r="P4" s="268" t="s">
        <v>1258</v>
      </c>
      <c r="Q4" s="285" t="s">
        <v>1259</v>
      </c>
      <c r="R4" s="286" t="s">
        <v>1213</v>
      </c>
      <c r="S4" s="287" t="s">
        <v>1260</v>
      </c>
      <c r="T4" s="286" t="s">
        <v>1213</v>
      </c>
    </row>
    <row r="5" spans="1:20">
      <c r="A5" s="153" t="s">
        <v>1215</v>
      </c>
      <c r="B5" s="91" t="s">
        <v>1224</v>
      </c>
      <c r="C5" s="23"/>
      <c r="D5" s="23" t="s">
        <v>28</v>
      </c>
      <c r="E5" s="24">
        <f>D3*2</f>
        <v>6</v>
      </c>
      <c r="F5" s="248">
        <f ca="1">G5+H5+I5+J5+K5+L5+M5</f>
        <v>142.425124928</v>
      </c>
      <c r="G5" s="249">
        <v>2.67</v>
      </c>
      <c r="H5" s="249">
        <v>2.168</v>
      </c>
      <c r="I5" s="269">
        <f ca="1">G5*H5*'6米（人字84料）参数'!G5*1.1</f>
        <v>137.587124928</v>
      </c>
      <c r="J5" s="270"/>
      <c r="K5" s="270"/>
      <c r="L5" s="270"/>
      <c r="M5" s="270"/>
      <c r="N5" s="271" t="s">
        <v>1261</v>
      </c>
      <c r="O5" s="272">
        <v>4</v>
      </c>
      <c r="P5" s="60">
        <f ca="1" t="shared" ref="P5:P30" si="0">F5*O5</f>
        <v>569.700499712</v>
      </c>
      <c r="Q5" s="288">
        <f t="shared" ref="Q5:Q30" si="1">E5-O5</f>
        <v>2</v>
      </c>
      <c r="R5" s="67">
        <f ca="1" t="shared" ref="R5:R30" si="2">F5*Q5</f>
        <v>284.850249856</v>
      </c>
      <c r="S5" s="60">
        <v>0</v>
      </c>
      <c r="T5" s="289">
        <f ca="1" t="shared" ref="T5:T13" si="3">F5*S5</f>
        <v>0</v>
      </c>
    </row>
    <row r="6" spans="1:20">
      <c r="A6" s="153"/>
      <c r="B6" s="91" t="s">
        <v>1308</v>
      </c>
      <c r="C6" s="23"/>
      <c r="D6" s="23" t="s">
        <v>28</v>
      </c>
      <c r="E6" s="24">
        <f>F3</f>
        <v>2</v>
      </c>
      <c r="F6" s="248">
        <f ca="1">G6+H6+I6+J6+K6+L6+M6</f>
        <v>216.0910336</v>
      </c>
      <c r="G6" s="250">
        <v>4</v>
      </c>
      <c r="H6" s="250">
        <v>2.168</v>
      </c>
      <c r="I6" s="101">
        <f ca="1">G6*H6*'6米（人字84料）参数'!G5*1.1</f>
        <v>206.1230336</v>
      </c>
      <c r="J6" s="261"/>
      <c r="K6" s="261">
        <v>2.5</v>
      </c>
      <c r="L6" s="261"/>
      <c r="M6" s="261">
        <f>0.65*2</f>
        <v>1.3</v>
      </c>
      <c r="N6" s="271" t="s">
        <v>1309</v>
      </c>
      <c r="O6" s="272">
        <v>2</v>
      </c>
      <c r="P6" s="60">
        <f ca="1" t="shared" si="0"/>
        <v>432.1820672</v>
      </c>
      <c r="Q6" s="67">
        <f t="shared" si="1"/>
        <v>0</v>
      </c>
      <c r="R6" s="67">
        <f ca="1" t="shared" si="2"/>
        <v>0</v>
      </c>
      <c r="S6" s="47">
        <f>F3-O6</f>
        <v>0</v>
      </c>
      <c r="T6" s="289">
        <f ca="1" t="shared" si="3"/>
        <v>0</v>
      </c>
    </row>
    <row r="7" spans="1:20">
      <c r="A7" s="153"/>
      <c r="B7" s="91" t="s">
        <v>1225</v>
      </c>
      <c r="C7" s="23"/>
      <c r="D7" s="23" t="s">
        <v>28</v>
      </c>
      <c r="E7" s="24">
        <f>D3*2</f>
        <v>6</v>
      </c>
      <c r="F7" s="248">
        <f ca="1">G7+H7+I7+J7+K7+L7+M7</f>
        <v>148.40104768</v>
      </c>
      <c r="G7" s="251">
        <v>2.7</v>
      </c>
      <c r="H7" s="251">
        <v>2.168</v>
      </c>
      <c r="I7" s="61">
        <f ca="1">G7*H7*'6米（人字84料）参数'!G5*1.1</f>
        <v>139.13304768</v>
      </c>
      <c r="J7" s="273">
        <f>1.2*2</f>
        <v>2.4</v>
      </c>
      <c r="K7" s="273"/>
      <c r="L7" s="273">
        <f>1*2</f>
        <v>2</v>
      </c>
      <c r="M7" s="273"/>
      <c r="N7" s="271" t="s">
        <v>1303</v>
      </c>
      <c r="O7" s="274">
        <v>4</v>
      </c>
      <c r="P7" s="60">
        <f ca="1" t="shared" si="0"/>
        <v>593.60419072</v>
      </c>
      <c r="Q7" s="288">
        <f t="shared" si="1"/>
        <v>2</v>
      </c>
      <c r="R7" s="67">
        <f ca="1" t="shared" si="2"/>
        <v>296.80209536</v>
      </c>
      <c r="S7" s="60">
        <v>0</v>
      </c>
      <c r="T7" s="289">
        <f ca="1" t="shared" si="3"/>
        <v>0</v>
      </c>
    </row>
    <row r="8" spans="1:20">
      <c r="A8" s="153"/>
      <c r="B8" s="91" t="s">
        <v>1226</v>
      </c>
      <c r="C8" s="23"/>
      <c r="D8" s="23" t="s">
        <v>28</v>
      </c>
      <c r="E8" s="24">
        <f>A3</f>
        <v>2</v>
      </c>
      <c r="F8" s="248">
        <f ca="1">I8+J8+K8+L8+M8</f>
        <v>61.76684516</v>
      </c>
      <c r="G8" s="252">
        <f>5.9/2</f>
        <v>2.95</v>
      </c>
      <c r="H8" s="252">
        <v>0.821</v>
      </c>
      <c r="I8" s="61">
        <f ca="1">G8*H8*'6米（人字84料）参数'!G5*1.1</f>
        <v>57.56684516</v>
      </c>
      <c r="J8" s="262"/>
      <c r="K8" s="262"/>
      <c r="L8" s="262">
        <f>0.3*2</f>
        <v>0.6</v>
      </c>
      <c r="M8" s="262">
        <f>1.8*2</f>
        <v>3.6</v>
      </c>
      <c r="N8" s="271" t="s">
        <v>1263</v>
      </c>
      <c r="O8" s="272">
        <v>1</v>
      </c>
      <c r="P8" s="60">
        <f ca="1" t="shared" si="0"/>
        <v>61.76684516</v>
      </c>
      <c r="Q8" s="288">
        <f t="shared" si="1"/>
        <v>1</v>
      </c>
      <c r="R8" s="67">
        <f ca="1" t="shared" si="2"/>
        <v>61.76684516</v>
      </c>
      <c r="S8" s="60"/>
      <c r="T8" s="289">
        <f ca="1" t="shared" si="3"/>
        <v>0</v>
      </c>
    </row>
    <row r="9" spans="1:20">
      <c r="A9" s="153"/>
      <c r="B9" s="91" t="s">
        <v>1264</v>
      </c>
      <c r="C9" s="23"/>
      <c r="D9" s="23" t="s">
        <v>28</v>
      </c>
      <c r="E9" s="24">
        <f>A3*2</f>
        <v>4</v>
      </c>
      <c r="F9" s="248">
        <f ca="1">I9+J9+K9+L9+M9</f>
        <v>110.21835552</v>
      </c>
      <c r="G9" s="252">
        <f>5.9/2</f>
        <v>2.95</v>
      </c>
      <c r="H9" s="252">
        <v>1.512</v>
      </c>
      <c r="I9" s="61">
        <f ca="1">G9*H9*'6米（人字84料）参数'!G5*1.1</f>
        <v>106.01835552</v>
      </c>
      <c r="J9" s="262"/>
      <c r="K9" s="262"/>
      <c r="L9" s="262">
        <f>0.3*2</f>
        <v>0.6</v>
      </c>
      <c r="M9" s="262">
        <f>1.8*2</f>
        <v>3.6</v>
      </c>
      <c r="N9" s="271" t="s">
        <v>1265</v>
      </c>
      <c r="O9" s="272">
        <v>2</v>
      </c>
      <c r="P9" s="60">
        <f ca="1" t="shared" si="0"/>
        <v>220.43671104</v>
      </c>
      <c r="Q9" s="288">
        <f t="shared" si="1"/>
        <v>2</v>
      </c>
      <c r="R9" s="67">
        <f ca="1" t="shared" si="2"/>
        <v>220.43671104</v>
      </c>
      <c r="S9" s="60"/>
      <c r="T9" s="289">
        <f ca="1" t="shared" si="3"/>
        <v>0</v>
      </c>
    </row>
    <row r="10" spans="1:20">
      <c r="A10" s="153"/>
      <c r="B10" s="91" t="s">
        <v>1266</v>
      </c>
      <c r="C10" s="23"/>
      <c r="D10" s="23" t="s">
        <v>28</v>
      </c>
      <c r="E10" s="24">
        <f>A3*2</f>
        <v>4</v>
      </c>
      <c r="F10" s="248">
        <f>I10+J10+K10+L10+M10</f>
        <v>45</v>
      </c>
      <c r="G10" s="252">
        <f>5.86/2</f>
        <v>2.93</v>
      </c>
      <c r="H10" s="252">
        <v>0.868</v>
      </c>
      <c r="I10" s="61">
        <v>45</v>
      </c>
      <c r="J10" s="262"/>
      <c r="K10" s="262"/>
      <c r="L10" s="262"/>
      <c r="M10" s="262"/>
      <c r="N10" s="271" t="s">
        <v>1267</v>
      </c>
      <c r="O10" s="272">
        <v>2</v>
      </c>
      <c r="P10" s="60">
        <f ca="1" t="shared" si="0"/>
        <v>90</v>
      </c>
      <c r="Q10" s="288">
        <f t="shared" si="1"/>
        <v>2</v>
      </c>
      <c r="R10" s="67">
        <f ca="1" t="shared" si="2"/>
        <v>90</v>
      </c>
      <c r="S10" s="60"/>
      <c r="T10" s="289">
        <f ca="1" t="shared" si="3"/>
        <v>0</v>
      </c>
    </row>
    <row r="11" spans="1:20">
      <c r="A11" s="153"/>
      <c r="B11" s="91" t="s">
        <v>1268</v>
      </c>
      <c r="C11" s="23"/>
      <c r="D11" s="23" t="s">
        <v>28</v>
      </c>
      <c r="E11" s="24">
        <f>F3*2</f>
        <v>4</v>
      </c>
      <c r="F11" s="248">
        <f>I11+J11+K11+L11+M11</f>
        <v>45</v>
      </c>
      <c r="G11" s="250">
        <v>2.93</v>
      </c>
      <c r="H11" s="250">
        <v>0.868</v>
      </c>
      <c r="I11" s="61">
        <v>45</v>
      </c>
      <c r="J11" s="261"/>
      <c r="K11" s="261"/>
      <c r="L11" s="261"/>
      <c r="M11" s="261"/>
      <c r="N11" s="271" t="s">
        <v>1269</v>
      </c>
      <c r="O11" s="272">
        <v>4</v>
      </c>
      <c r="P11" s="60">
        <f ca="1" t="shared" si="0"/>
        <v>180</v>
      </c>
      <c r="Q11" s="67">
        <f t="shared" si="1"/>
        <v>0</v>
      </c>
      <c r="R11" s="67">
        <f ca="1" t="shared" si="2"/>
        <v>0</v>
      </c>
      <c r="S11" s="47">
        <f>F3*2-O11</f>
        <v>0</v>
      </c>
      <c r="T11" s="289">
        <f ca="1" t="shared" si="3"/>
        <v>0</v>
      </c>
    </row>
    <row r="12" spans="1:20">
      <c r="A12" s="153"/>
      <c r="B12" s="253" t="s">
        <v>1270</v>
      </c>
      <c r="C12" s="254"/>
      <c r="D12" s="254" t="s">
        <v>28</v>
      </c>
      <c r="E12" s="255">
        <v>3</v>
      </c>
      <c r="F12" s="248">
        <f>I12+J12+K12+L12+M12</f>
        <v>53.84</v>
      </c>
      <c r="G12" s="256">
        <v>12</v>
      </c>
      <c r="H12" s="256">
        <v>3.6</v>
      </c>
      <c r="I12" s="248">
        <f>G12*H12*1.2</f>
        <v>51.84</v>
      </c>
      <c r="J12" s="275"/>
      <c r="K12" s="275"/>
      <c r="L12" s="275">
        <v>2</v>
      </c>
      <c r="M12" s="275"/>
      <c r="N12" s="271" t="s">
        <v>1271</v>
      </c>
      <c r="O12" s="276">
        <v>2</v>
      </c>
      <c r="P12" s="277">
        <f ca="1" t="shared" si="0"/>
        <v>107.68</v>
      </c>
      <c r="Q12" s="290">
        <f t="shared" si="1"/>
        <v>1</v>
      </c>
      <c r="R12" s="290">
        <f ca="1" t="shared" si="2"/>
        <v>53.84</v>
      </c>
      <c r="S12" s="60"/>
      <c r="T12" s="289">
        <f ca="1" t="shared" si="3"/>
        <v>0</v>
      </c>
    </row>
    <row r="13" spans="1:20">
      <c r="A13" s="153"/>
      <c r="B13" s="91" t="s">
        <v>1272</v>
      </c>
      <c r="C13" s="23"/>
      <c r="D13" s="23" t="s">
        <v>28</v>
      </c>
      <c r="E13" s="32">
        <f>E12*2</f>
        <v>6</v>
      </c>
      <c r="F13" s="248">
        <v>51</v>
      </c>
      <c r="G13" s="256"/>
      <c r="H13" s="256"/>
      <c r="I13" s="248"/>
      <c r="J13" s="262"/>
      <c r="K13" s="262"/>
      <c r="L13" s="262"/>
      <c r="M13" s="262"/>
      <c r="N13" s="271" t="s">
        <v>1273</v>
      </c>
      <c r="O13" s="278">
        <v>4</v>
      </c>
      <c r="P13" s="60">
        <f ca="1" t="shared" si="0"/>
        <v>204</v>
      </c>
      <c r="Q13" s="67">
        <f t="shared" si="1"/>
        <v>2</v>
      </c>
      <c r="R13" s="67">
        <f ca="1" t="shared" si="2"/>
        <v>102</v>
      </c>
      <c r="S13" s="60"/>
      <c r="T13" s="289">
        <f ca="1" t="shared" si="3"/>
        <v>0</v>
      </c>
    </row>
    <row r="14" spans="1:20">
      <c r="A14" s="153"/>
      <c r="B14" s="91" t="s">
        <v>1274</v>
      </c>
      <c r="C14" s="23"/>
      <c r="D14" s="23"/>
      <c r="E14" s="24">
        <f>E26+F3*2</f>
        <v>8</v>
      </c>
      <c r="F14" s="101">
        <v>11</v>
      </c>
      <c r="G14" s="148"/>
      <c r="H14" s="148"/>
      <c r="I14" s="101"/>
      <c r="J14" s="261"/>
      <c r="K14" s="261"/>
      <c r="L14" s="261"/>
      <c r="M14" s="261"/>
      <c r="N14" s="271" t="s">
        <v>1275</v>
      </c>
      <c r="O14" s="278">
        <v>2</v>
      </c>
      <c r="P14" s="60">
        <f ca="1" t="shared" si="0"/>
        <v>22</v>
      </c>
      <c r="Q14" s="67">
        <f t="shared" si="1"/>
        <v>6</v>
      </c>
      <c r="R14" s="67">
        <f ca="1" t="shared" si="2"/>
        <v>66</v>
      </c>
      <c r="S14" s="60"/>
      <c r="T14" s="289"/>
    </row>
    <row r="15" spans="1:20">
      <c r="A15" s="153"/>
      <c r="B15" s="91" t="s">
        <v>1276</v>
      </c>
      <c r="C15" s="23"/>
      <c r="D15" s="23" t="s">
        <v>28</v>
      </c>
      <c r="E15" s="28">
        <f>F3*2</f>
        <v>4</v>
      </c>
      <c r="F15" s="61">
        <f ca="1">I15+J15+K15+L15+M15</f>
        <v>163.61573728</v>
      </c>
      <c r="G15" s="95">
        <v>2.95</v>
      </c>
      <c r="H15" s="95">
        <v>2.168</v>
      </c>
      <c r="I15" s="61">
        <f ca="1">G15*H15*'6米（人字84料）参数'!G5*1.1</f>
        <v>152.01573728</v>
      </c>
      <c r="J15" s="61"/>
      <c r="K15" s="61">
        <f>2*5</f>
        <v>10</v>
      </c>
      <c r="L15" s="61">
        <f>2*0.8</f>
        <v>1.6</v>
      </c>
      <c r="M15" s="61"/>
      <c r="N15" s="271" t="s">
        <v>1277</v>
      </c>
      <c r="O15" s="272">
        <v>4</v>
      </c>
      <c r="P15" s="60">
        <f ca="1" t="shared" si="0"/>
        <v>654.46294912</v>
      </c>
      <c r="Q15" s="67">
        <f t="shared" si="1"/>
        <v>0</v>
      </c>
      <c r="R15" s="67">
        <f ca="1" t="shared" si="2"/>
        <v>0</v>
      </c>
      <c r="S15" s="47">
        <f>F3*2-O15</f>
        <v>0</v>
      </c>
      <c r="T15" s="289">
        <f ca="1" t="shared" ref="T15:T29" si="4">F15*S15</f>
        <v>0</v>
      </c>
    </row>
    <row r="16" spans="1:20">
      <c r="A16" s="153" t="s">
        <v>1278</v>
      </c>
      <c r="B16" s="91" t="s">
        <v>512</v>
      </c>
      <c r="C16" s="23"/>
      <c r="D16" s="23" t="s">
        <v>434</v>
      </c>
      <c r="E16" s="23">
        <f>D3*2</f>
        <v>6</v>
      </c>
      <c r="F16" s="258">
        <v>22.8</v>
      </c>
      <c r="G16" s="259"/>
      <c r="H16" s="259"/>
      <c r="I16" s="281"/>
      <c r="J16" s="258"/>
      <c r="K16" s="258"/>
      <c r="L16" s="258"/>
      <c r="M16" s="258"/>
      <c r="N16" s="271" t="s">
        <v>1279</v>
      </c>
      <c r="O16" s="282">
        <v>4</v>
      </c>
      <c r="P16" s="60">
        <f ca="1" t="shared" si="0"/>
        <v>91.2</v>
      </c>
      <c r="Q16" s="288">
        <f t="shared" si="1"/>
        <v>2</v>
      </c>
      <c r="R16" s="67">
        <f ca="1" t="shared" si="2"/>
        <v>45.6</v>
      </c>
      <c r="S16" s="60"/>
      <c r="T16" s="289">
        <f ca="1" t="shared" si="4"/>
        <v>0</v>
      </c>
    </row>
    <row r="17" spans="1:20">
      <c r="A17" s="153"/>
      <c r="B17" s="91" t="s">
        <v>1304</v>
      </c>
      <c r="C17" s="23"/>
      <c r="D17" s="23" t="s">
        <v>434</v>
      </c>
      <c r="E17" s="24">
        <f>D3</f>
        <v>3</v>
      </c>
      <c r="F17" s="261">
        <v>55</v>
      </c>
      <c r="G17" s="148"/>
      <c r="H17" s="148"/>
      <c r="I17" s="101"/>
      <c r="J17" s="261"/>
      <c r="K17" s="261"/>
      <c r="L17" s="261"/>
      <c r="M17" s="261"/>
      <c r="N17" s="271" t="s">
        <v>1305</v>
      </c>
      <c r="O17" s="272">
        <v>2</v>
      </c>
      <c r="P17" s="60">
        <f ca="1" t="shared" si="0"/>
        <v>110</v>
      </c>
      <c r="Q17" s="288">
        <f t="shared" si="1"/>
        <v>1</v>
      </c>
      <c r="R17" s="67">
        <f ca="1" t="shared" si="2"/>
        <v>55</v>
      </c>
      <c r="S17" s="60"/>
      <c r="T17" s="289">
        <f ca="1" t="shared" si="4"/>
        <v>0</v>
      </c>
    </row>
    <row r="18" spans="1:20">
      <c r="A18" s="153"/>
      <c r="B18" s="91" t="s">
        <v>1310</v>
      </c>
      <c r="C18" s="23"/>
      <c r="D18" s="23" t="s">
        <v>434</v>
      </c>
      <c r="E18" s="24">
        <f>E6</f>
        <v>2</v>
      </c>
      <c r="F18" s="262">
        <v>13.5</v>
      </c>
      <c r="G18" s="256"/>
      <c r="H18" s="256"/>
      <c r="I18" s="248"/>
      <c r="J18" s="262"/>
      <c r="K18" s="262"/>
      <c r="L18" s="262"/>
      <c r="M18" s="262"/>
      <c r="N18" s="271" t="s">
        <v>1311</v>
      </c>
      <c r="O18" s="272">
        <v>2</v>
      </c>
      <c r="P18" s="60">
        <f ca="1" t="shared" si="0"/>
        <v>27</v>
      </c>
      <c r="Q18" s="67">
        <f t="shared" si="1"/>
        <v>0</v>
      </c>
      <c r="R18" s="67">
        <f ca="1" t="shared" si="2"/>
        <v>0</v>
      </c>
      <c r="S18" s="47">
        <f>F3-O18</f>
        <v>0</v>
      </c>
      <c r="T18" s="289">
        <f ca="1" t="shared" si="4"/>
        <v>0</v>
      </c>
    </row>
    <row r="19" spans="1:20">
      <c r="A19" s="153"/>
      <c r="B19" s="91" t="s">
        <v>1280</v>
      </c>
      <c r="C19" s="23"/>
      <c r="D19" s="23" t="s">
        <v>434</v>
      </c>
      <c r="E19" s="28">
        <f>E5</f>
        <v>6</v>
      </c>
      <c r="F19" s="263">
        <v>10.8</v>
      </c>
      <c r="G19" s="256"/>
      <c r="H19" s="256"/>
      <c r="I19" s="248"/>
      <c r="J19" s="263"/>
      <c r="K19" s="263"/>
      <c r="L19" s="263"/>
      <c r="M19" s="263"/>
      <c r="N19" s="271" t="s">
        <v>1281</v>
      </c>
      <c r="O19" s="272">
        <v>4</v>
      </c>
      <c r="P19" s="60">
        <f ca="1" t="shared" si="0"/>
        <v>43.2</v>
      </c>
      <c r="Q19" s="288">
        <f t="shared" si="1"/>
        <v>2</v>
      </c>
      <c r="R19" s="67">
        <f ca="1" t="shared" si="2"/>
        <v>21.6</v>
      </c>
      <c r="S19" s="60"/>
      <c r="T19" s="289">
        <f ca="1" t="shared" si="4"/>
        <v>0</v>
      </c>
    </row>
    <row r="20" spans="1:20">
      <c r="A20" s="153"/>
      <c r="B20" s="91" t="s">
        <v>1282</v>
      </c>
      <c r="C20" s="23"/>
      <c r="D20" s="23" t="s">
        <v>434</v>
      </c>
      <c r="E20" s="24">
        <f>D3*2-F3*2+F3</f>
        <v>4</v>
      </c>
      <c r="F20" s="262">
        <v>2</v>
      </c>
      <c r="G20" s="256"/>
      <c r="H20" s="256"/>
      <c r="I20" s="248"/>
      <c r="J20" s="262"/>
      <c r="K20" s="262"/>
      <c r="L20" s="262"/>
      <c r="M20" s="262"/>
      <c r="N20" s="271" t="s">
        <v>1283</v>
      </c>
      <c r="O20" s="272">
        <v>2</v>
      </c>
      <c r="P20" s="60">
        <f ca="1" t="shared" si="0"/>
        <v>4</v>
      </c>
      <c r="Q20" s="288">
        <f t="shared" si="1"/>
        <v>2</v>
      </c>
      <c r="R20" s="67">
        <f ca="1" t="shared" si="2"/>
        <v>4</v>
      </c>
      <c r="S20" s="60"/>
      <c r="T20" s="289">
        <f ca="1" t="shared" si="4"/>
        <v>0</v>
      </c>
    </row>
    <row r="21" spans="1:20">
      <c r="A21" s="153"/>
      <c r="B21" s="91" t="s">
        <v>1284</v>
      </c>
      <c r="C21" s="23"/>
      <c r="D21" s="23" t="s">
        <v>434</v>
      </c>
      <c r="E21" s="24">
        <f>D3*2</f>
        <v>6</v>
      </c>
      <c r="F21" s="262">
        <v>2.7</v>
      </c>
      <c r="G21" s="256"/>
      <c r="H21" s="256"/>
      <c r="I21" s="248"/>
      <c r="J21" s="262"/>
      <c r="K21" s="262"/>
      <c r="L21" s="262"/>
      <c r="M21" s="262"/>
      <c r="N21" s="271" t="s">
        <v>1285</v>
      </c>
      <c r="O21" s="272">
        <v>4</v>
      </c>
      <c r="P21" s="60">
        <f ca="1" t="shared" si="0"/>
        <v>10.8</v>
      </c>
      <c r="Q21" s="288">
        <f t="shared" si="1"/>
        <v>2</v>
      </c>
      <c r="R21" s="67">
        <f ca="1" t="shared" si="2"/>
        <v>5.4</v>
      </c>
      <c r="S21" s="60"/>
      <c r="T21" s="289">
        <f ca="1" t="shared" si="4"/>
        <v>0</v>
      </c>
    </row>
    <row r="22" spans="1:20">
      <c r="A22" s="153"/>
      <c r="B22" s="91" t="s">
        <v>517</v>
      </c>
      <c r="C22" s="23"/>
      <c r="D22" s="23" t="s">
        <v>434</v>
      </c>
      <c r="E22" s="24">
        <f>F3*2</f>
        <v>4</v>
      </c>
      <c r="F22" s="262">
        <v>2.7</v>
      </c>
      <c r="G22" s="256"/>
      <c r="H22" s="256"/>
      <c r="I22" s="248"/>
      <c r="J22" s="262"/>
      <c r="K22" s="262"/>
      <c r="L22" s="262"/>
      <c r="M22" s="262"/>
      <c r="N22" s="271" t="s">
        <v>1285</v>
      </c>
      <c r="O22" s="272">
        <v>4</v>
      </c>
      <c r="P22" s="60">
        <f ca="1" t="shared" si="0"/>
        <v>10.8</v>
      </c>
      <c r="Q22" s="67">
        <f t="shared" si="1"/>
        <v>0</v>
      </c>
      <c r="R22" s="67">
        <f ca="1" t="shared" si="2"/>
        <v>0</v>
      </c>
      <c r="S22" s="47">
        <f>F3*2-O22</f>
        <v>0</v>
      </c>
      <c r="T22" s="289">
        <f ca="1" t="shared" si="4"/>
        <v>0</v>
      </c>
    </row>
    <row r="23" spans="1:20">
      <c r="A23" s="153"/>
      <c r="B23" s="91" t="s">
        <v>1312</v>
      </c>
      <c r="C23" s="23"/>
      <c r="D23" s="23" t="s">
        <v>434</v>
      </c>
      <c r="E23" s="24">
        <f>F3</f>
        <v>2</v>
      </c>
      <c r="F23" s="261">
        <v>15.5</v>
      </c>
      <c r="G23" s="148"/>
      <c r="H23" s="148"/>
      <c r="I23" s="101"/>
      <c r="J23" s="261"/>
      <c r="K23" s="261"/>
      <c r="L23" s="261"/>
      <c r="M23" s="261"/>
      <c r="N23" s="271" t="s">
        <v>1313</v>
      </c>
      <c r="O23" s="272">
        <v>2</v>
      </c>
      <c r="P23" s="60">
        <f ca="1" t="shared" si="0"/>
        <v>31</v>
      </c>
      <c r="Q23" s="67">
        <f t="shared" si="1"/>
        <v>0</v>
      </c>
      <c r="R23" s="67">
        <f ca="1" t="shared" si="2"/>
        <v>0</v>
      </c>
      <c r="S23" s="47">
        <f>F3-O23</f>
        <v>0</v>
      </c>
      <c r="T23" s="289">
        <f ca="1" t="shared" si="4"/>
        <v>0</v>
      </c>
    </row>
    <row r="24" spans="1:20">
      <c r="A24" s="153" t="s">
        <v>1216</v>
      </c>
      <c r="B24" s="91" t="s">
        <v>1231</v>
      </c>
      <c r="C24" s="23"/>
      <c r="D24" s="23" t="s">
        <v>612</v>
      </c>
      <c r="E24" s="24">
        <f>A3</f>
        <v>2</v>
      </c>
      <c r="F24" s="261">
        <f ca="1">I24+J24+K24+L24+M24</f>
        <v>427.088</v>
      </c>
      <c r="G24" s="148">
        <v>3</v>
      </c>
      <c r="H24" s="148">
        <v>6.2</v>
      </c>
      <c r="I24" s="101">
        <f ca="1">G24*H24*'6米（人字84料）参数'!D15*1.1</f>
        <v>343.728</v>
      </c>
      <c r="J24" s="261">
        <f>7.2*2*4*1.1</f>
        <v>63.36</v>
      </c>
      <c r="K24" s="261">
        <v>20</v>
      </c>
      <c r="L24" s="261"/>
      <c r="M24" s="261"/>
      <c r="N24" s="271" t="s">
        <v>1314</v>
      </c>
      <c r="O24" s="272">
        <v>1</v>
      </c>
      <c r="P24" s="60">
        <f ca="1" t="shared" si="0"/>
        <v>427.088</v>
      </c>
      <c r="Q24" s="288">
        <f t="shared" si="1"/>
        <v>1</v>
      </c>
      <c r="R24" s="67">
        <f ca="1" t="shared" si="2"/>
        <v>427.088</v>
      </c>
      <c r="S24" s="60"/>
      <c r="T24" s="289">
        <f ca="1" t="shared" si="4"/>
        <v>0</v>
      </c>
    </row>
    <row r="25" spans="1:20">
      <c r="A25" s="153"/>
      <c r="B25" s="91" t="s">
        <v>1287</v>
      </c>
      <c r="C25" s="23"/>
      <c r="D25" s="23" t="s">
        <v>664</v>
      </c>
      <c r="E25" s="24">
        <f>F3</f>
        <v>2</v>
      </c>
      <c r="F25" s="261">
        <f ca="1">I25+J25+K25+L25+M25</f>
        <v>146.52749</v>
      </c>
      <c r="G25" s="148">
        <v>3.15</v>
      </c>
      <c r="H25" s="148">
        <v>1.97</v>
      </c>
      <c r="I25" s="101">
        <f ca="1">G25*H25*'6米（人字84料）参数'!D14*1.1</f>
        <v>94.19949</v>
      </c>
      <c r="J25" s="261">
        <f>4.81*2*4*1.1</f>
        <v>42.328</v>
      </c>
      <c r="K25" s="261">
        <v>10</v>
      </c>
      <c r="L25" s="261"/>
      <c r="M25" s="261"/>
      <c r="N25" s="271" t="s">
        <v>1315</v>
      </c>
      <c r="O25" s="272">
        <v>2</v>
      </c>
      <c r="P25" s="60">
        <f ca="1" t="shared" si="0"/>
        <v>293.05498</v>
      </c>
      <c r="Q25" s="67">
        <f t="shared" si="1"/>
        <v>0</v>
      </c>
      <c r="R25" s="67">
        <f ca="1" t="shared" si="2"/>
        <v>0</v>
      </c>
      <c r="S25" s="47">
        <f>F3-O25</f>
        <v>0</v>
      </c>
      <c r="T25" s="289">
        <f ca="1" t="shared" si="4"/>
        <v>0</v>
      </c>
    </row>
    <row r="26" spans="1:20">
      <c r="A26" s="153"/>
      <c r="B26" s="91" t="s">
        <v>1232</v>
      </c>
      <c r="C26" s="23"/>
      <c r="D26" s="23" t="s">
        <v>664</v>
      </c>
      <c r="E26" s="24">
        <f>A3*2</f>
        <v>4</v>
      </c>
      <c r="F26" s="261">
        <f ca="1">I26+J26+K26+L26+M26</f>
        <v>184.6144</v>
      </c>
      <c r="G26" s="256">
        <v>3.6</v>
      </c>
      <c r="H26" s="256">
        <v>2.8</v>
      </c>
      <c r="I26" s="101">
        <f ca="1">G26*H26*'6米（人字84料）参数'!D14*1.1</f>
        <v>153.0144</v>
      </c>
      <c r="J26" s="262">
        <f>0.8*8</f>
        <v>6.4</v>
      </c>
      <c r="K26" s="262">
        <v>9</v>
      </c>
      <c r="L26" s="262">
        <v>5</v>
      </c>
      <c r="M26" s="262">
        <f>5.6*2</f>
        <v>11.2</v>
      </c>
      <c r="N26" s="271" t="s">
        <v>1289</v>
      </c>
      <c r="O26" s="272">
        <v>2</v>
      </c>
      <c r="P26" s="60">
        <f ca="1" t="shared" si="0"/>
        <v>369.2288</v>
      </c>
      <c r="Q26" s="288">
        <f t="shared" si="1"/>
        <v>2</v>
      </c>
      <c r="R26" s="67">
        <f ca="1" t="shared" si="2"/>
        <v>369.2288</v>
      </c>
      <c r="S26" s="60"/>
      <c r="T26" s="289">
        <f ca="1" t="shared" si="4"/>
        <v>0</v>
      </c>
    </row>
    <row r="27" spans="1:20">
      <c r="A27" s="153"/>
      <c r="B27" s="91" t="s">
        <v>1290</v>
      </c>
      <c r="C27" s="23"/>
      <c r="D27" s="23" t="s">
        <v>664</v>
      </c>
      <c r="E27" s="24">
        <f>F3*2</f>
        <v>4</v>
      </c>
      <c r="F27" s="261">
        <f ca="1">I27+J27+K27+L27+M27</f>
        <v>170.8128</v>
      </c>
      <c r="G27" s="148">
        <v>3.2</v>
      </c>
      <c r="H27" s="148">
        <v>2.8</v>
      </c>
      <c r="I27" s="101">
        <f ca="1">G27*H27*'6米（人字84料）参数'!D14*1.1</f>
        <v>136.0128</v>
      </c>
      <c r="J27" s="261">
        <f>12*0.8</f>
        <v>9.6</v>
      </c>
      <c r="K27" s="261">
        <v>9</v>
      </c>
      <c r="L27" s="261">
        <v>5</v>
      </c>
      <c r="M27" s="261">
        <f>5.6*2</f>
        <v>11.2</v>
      </c>
      <c r="N27" s="271" t="s">
        <v>1291</v>
      </c>
      <c r="O27" s="272">
        <v>4</v>
      </c>
      <c r="P27" s="60">
        <f ca="1" t="shared" si="0"/>
        <v>683.2512</v>
      </c>
      <c r="Q27" s="67">
        <f t="shared" si="1"/>
        <v>0</v>
      </c>
      <c r="R27" s="67">
        <f ca="1" t="shared" si="2"/>
        <v>0</v>
      </c>
      <c r="S27" s="47">
        <f>F3*2-O27</f>
        <v>0</v>
      </c>
      <c r="T27" s="289">
        <f ca="1" t="shared" si="4"/>
        <v>0</v>
      </c>
    </row>
    <row r="28" spans="1:20">
      <c r="A28" s="153" t="s">
        <v>1217</v>
      </c>
      <c r="B28" s="91" t="s">
        <v>1292</v>
      </c>
      <c r="C28" s="23"/>
      <c r="D28" s="23" t="s">
        <v>434</v>
      </c>
      <c r="E28" s="24">
        <f>D3*8</f>
        <v>24</v>
      </c>
      <c r="F28" s="261">
        <v>0.48</v>
      </c>
      <c r="G28" s="148"/>
      <c r="H28" s="148"/>
      <c r="I28" s="101"/>
      <c r="J28" s="261"/>
      <c r="K28" s="261"/>
      <c r="L28" s="261"/>
      <c r="M28" s="261"/>
      <c r="N28" s="271" t="s">
        <v>1293</v>
      </c>
      <c r="O28" s="272">
        <v>16</v>
      </c>
      <c r="P28" s="60">
        <f ca="1" t="shared" si="0"/>
        <v>7.68</v>
      </c>
      <c r="Q28" s="288">
        <f t="shared" si="1"/>
        <v>8</v>
      </c>
      <c r="R28" s="67">
        <f ca="1" t="shared" si="2"/>
        <v>3.84</v>
      </c>
      <c r="S28" s="47"/>
      <c r="T28" s="289">
        <f ca="1" t="shared" si="4"/>
        <v>0</v>
      </c>
    </row>
    <row r="29" spans="1:20">
      <c r="A29" s="153"/>
      <c r="B29" s="91" t="s">
        <v>565</v>
      </c>
      <c r="C29" s="23"/>
      <c r="D29" s="23" t="s">
        <v>434</v>
      </c>
      <c r="E29" s="264">
        <f>E5+E6</f>
        <v>8</v>
      </c>
      <c r="F29" s="261">
        <v>0.95</v>
      </c>
      <c r="G29" s="148"/>
      <c r="H29" s="148"/>
      <c r="I29" s="101"/>
      <c r="J29" s="261"/>
      <c r="K29" s="261"/>
      <c r="L29" s="261"/>
      <c r="M29" s="261"/>
      <c r="N29" s="271" t="s">
        <v>1295</v>
      </c>
      <c r="O29" s="272">
        <v>6</v>
      </c>
      <c r="P29" s="60">
        <f ca="1" t="shared" si="0"/>
        <v>5.7</v>
      </c>
      <c r="Q29" s="288">
        <f t="shared" si="1"/>
        <v>2</v>
      </c>
      <c r="R29" s="67">
        <f ca="1" t="shared" si="2"/>
        <v>1.9</v>
      </c>
      <c r="S29" s="47">
        <v>2</v>
      </c>
      <c r="T29" s="289">
        <f ca="1" t="shared" si="4"/>
        <v>1.9</v>
      </c>
    </row>
    <row r="30" spans="1:20">
      <c r="A30" s="153"/>
      <c r="B30" s="91" t="s">
        <v>567</v>
      </c>
      <c r="C30" s="23"/>
      <c r="D30" s="23" t="s">
        <v>434</v>
      </c>
      <c r="E30" s="24">
        <f>E12*4+E18+E19</f>
        <v>20</v>
      </c>
      <c r="F30" s="261">
        <v>1.5</v>
      </c>
      <c r="G30" s="148"/>
      <c r="H30" s="148"/>
      <c r="I30" s="101"/>
      <c r="J30" s="261"/>
      <c r="K30" s="261"/>
      <c r="L30" s="261"/>
      <c r="M30" s="261"/>
      <c r="N30" s="271" t="s">
        <v>1297</v>
      </c>
      <c r="O30" s="272">
        <v>18</v>
      </c>
      <c r="P30" s="60">
        <f ca="1" t="shared" si="0"/>
        <v>27</v>
      </c>
      <c r="Q30" s="288">
        <f t="shared" si="1"/>
        <v>2</v>
      </c>
      <c r="R30" s="67">
        <f ca="1" t="shared" si="2"/>
        <v>3</v>
      </c>
      <c r="S30" s="60"/>
      <c r="T30" s="289">
        <v>0</v>
      </c>
    </row>
    <row r="31" ht="18.95" customHeight="1" spans="3:20">
      <c r="C31" s="1"/>
      <c r="E31" s="1"/>
      <c r="O31" s="110" t="s">
        <v>1298</v>
      </c>
      <c r="P31" s="126">
        <f ca="1">SUM(P5:P30)</f>
        <v>5276.836242952</v>
      </c>
      <c r="Q31" s="126" t="s">
        <v>1219</v>
      </c>
      <c r="R31" s="126">
        <f ca="1">SUM(R5:R30)</f>
        <v>2112.352701416</v>
      </c>
      <c r="S31" s="84">
        <f>3134+269</f>
        <v>3403</v>
      </c>
      <c r="T31" s="84">
        <f ca="1">SUM(T5:T30)</f>
        <v>1.9</v>
      </c>
    </row>
    <row r="32" spans="2:13">
      <c r="B32" s="54" t="s">
        <v>1316</v>
      </c>
      <c r="C32" s="54"/>
      <c r="D32" s="54"/>
      <c r="E32" s="54"/>
      <c r="F32" s="54"/>
      <c r="G32" s="54"/>
      <c r="H32" s="54"/>
      <c r="I32" s="54"/>
      <c r="J32" s="54"/>
      <c r="K32" s="54"/>
      <c r="L32" s="54"/>
      <c r="M32" s="54"/>
    </row>
    <row r="33" spans="1:16">
      <c r="A33" s="1" t="s">
        <v>1300</v>
      </c>
      <c r="B33" s="3"/>
      <c r="C33" s="54"/>
      <c r="D33" s="54"/>
      <c r="E33" s="54"/>
      <c r="F33" s="54"/>
      <c r="G33" s="54"/>
      <c r="H33" s="54"/>
      <c r="I33" s="54"/>
      <c r="J33" s="54"/>
      <c r="K33" s="54"/>
      <c r="L33" s="54"/>
      <c r="M33" s="54"/>
      <c r="O33" s="1" t="s">
        <v>1301</v>
      </c>
      <c r="P33" s="3">
        <f ca="1">P31+R31</f>
        <v>7389.188944368</v>
      </c>
    </row>
    <row r="34" spans="2:16">
      <c r="B34" s="54"/>
      <c r="C34" s="54"/>
      <c r="D34" s="54"/>
      <c r="E34" s="54"/>
      <c r="F34" s="54"/>
      <c r="G34" s="54"/>
      <c r="H34" s="54"/>
      <c r="I34" s="54"/>
      <c r="J34" s="54"/>
      <c r="K34" s="54"/>
      <c r="L34" s="54"/>
      <c r="M34" s="54"/>
      <c r="O34" s="1" t="s">
        <v>5</v>
      </c>
      <c r="P34" s="3">
        <f ca="1">P33/E2</f>
        <v>205.255248454667</v>
      </c>
    </row>
  </sheetData>
  <mergeCells count="9">
    <mergeCell ref="A1:O1"/>
    <mergeCell ref="A2:C2"/>
    <mergeCell ref="G2:N2"/>
    <mergeCell ref="A3:B3"/>
    <mergeCell ref="H3:M3"/>
    <mergeCell ref="A5:A15"/>
    <mergeCell ref="A16:A23"/>
    <mergeCell ref="A24:A27"/>
    <mergeCell ref="A28:A30"/>
  </mergeCells>
  <dataValidations count="4">
    <dataValidation type="list" allowBlank="1" showInputMessage="1" showErrorMessage="1" sqref="B24">
      <formula1>"顶布[白]{全新},顶布[白]{A类},顶布[白]{B类},顶布[白]{C类},顶布[白]{D类}"</formula1>
    </dataValidation>
    <dataValidation type="list" allowBlank="1" showInputMessage="1" showErrorMessage="1" sqref="B25">
      <formula1>"山尖布[白]{全新},山尖布[白]{A类},山尖布[白]{B类},山尖布[白]{C类},山尖布[白]{D类}"</formula1>
    </dataValidation>
    <dataValidation type="list" allowBlank="1" showInputMessage="1" showErrorMessage="1" sqref="B26">
      <formula1>"围布[白]{全新},围布[白]{A类},围布[白]{B类},围布[白]{C类},围布[白]{D类},透光窗围布[白]{全新},透光窗围布[白]{A类},透光窗围布[白]{B类},透光窗围布[白]{C类},透光窗围布[白]{D类}"</formula1>
    </dataValidation>
    <dataValidation type="list" allowBlank="1" showInputMessage="1" showErrorMessage="1" sqref="B27">
      <formula1>"端围布[白]{全新},端围布[白]{A类},端围布[白]{B类},端围布[白]{C类},端围布[白]{D类},透光窗端围布[白]{全新},透光窗端围布[白]{A类},透光窗端围布[白]{B类},透光窗端围布[白]{C类},透光窗端围布[白]{D类}"</formula1>
    </dataValidation>
  </dataValidations>
  <printOptions horizontalCentered="1"/>
  <pageMargins left="0.388888888888889" right="0.388888888888889" top="0.588888888888889" bottom="0.279166666666667" header="0.159027777777778" footer="0.0791666666666667"/>
  <pageSetup paperSize="9" orientation="portrait"/>
  <headerFooter alignWithMargins="0" scaleWithDoc="0">
    <oddHeader>&amp;C&amp;"方正姚体,加粗"&amp;12高山篷房制造（沈阳）有限公司&amp;R&amp;"方正姚体,加粗"&amp;12 400-024-1800</oddHeader>
    <oddFooter>&amp;L&amp;"SimSun"&amp;9&amp;C&amp;"SimSun"&amp;9第 &amp;P 页，共 &amp;N 页&amp;R&amp;"SimSun"&amp;9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7030A0"/>
  </sheetPr>
  <dimension ref="A1:G21"/>
  <sheetViews>
    <sheetView showGridLines="0" workbookViewId="0">
      <selection activeCell="E31" sqref="E31"/>
    </sheetView>
  </sheetViews>
  <sheetFormatPr defaultColWidth="9" defaultRowHeight="14.25" outlineLevelCol="6"/>
  <cols>
    <col min="1" max="1" width="18.75" style="1" customWidth="1"/>
    <col min="2" max="2" width="18.625" style="1" customWidth="1"/>
    <col min="3" max="3" width="9" style="1"/>
    <col min="4" max="4" width="9.875" style="1" customWidth="1"/>
    <col min="5" max="6" width="9" style="1"/>
    <col min="7" max="7" width="13" style="1" customWidth="1"/>
    <col min="8" max="16384" width="9" style="1"/>
  </cols>
  <sheetData>
    <row r="1" spans="1:4">
      <c r="A1" s="2" t="str">
        <f ca="1">'数据修改（批量）'!A1</f>
        <v>上海有色铝锭价格</v>
      </c>
      <c r="B1" s="2"/>
      <c r="C1" s="2"/>
      <c r="D1" s="3"/>
    </row>
    <row r="2" spans="1:7">
      <c r="A2" s="4">
        <f ca="1">'数据修改（批量）'!A2</f>
        <v>16200</v>
      </c>
      <c r="B2" s="2" t="str">
        <f ca="1">'数据修改（批量）'!B2</f>
        <v>项目</v>
      </c>
      <c r="C2" s="2" t="str">
        <f ca="1">'数据修改（批量）'!C2</f>
        <v>加工费</v>
      </c>
      <c r="D2" s="2" t="str">
        <f ca="1">'数据修改（批量）'!D2</f>
        <v>包装物</v>
      </c>
      <c r="E2" s="2" t="str">
        <f ca="1">'数据修改（批量）'!E2</f>
        <v>运费</v>
      </c>
      <c r="F2" s="2" t="str">
        <f ca="1">'数据修改（批量）'!F2</f>
        <v>单价</v>
      </c>
      <c r="G2" s="2" t="str">
        <f ca="1">'数据修改（批量）'!G2</f>
        <v>每公斤价格</v>
      </c>
    </row>
    <row r="3" spans="1:7">
      <c r="A3" s="2"/>
      <c r="B3" s="2" t="str">
        <f ca="1">'数据修改（批量）'!B3</f>
        <v>203料</v>
      </c>
      <c r="C3" s="2">
        <f ca="1">'数据修改（批量）'!C3</f>
        <v>5500</v>
      </c>
      <c r="D3" s="2">
        <f ca="1">'数据修改（批量）'!D3</f>
        <v>868</v>
      </c>
      <c r="E3" s="2">
        <f ca="1">'数据修改（批量）'!E3</f>
        <v>80</v>
      </c>
      <c r="F3" s="2">
        <f ca="1">'数据修改（批量）'!F3</f>
        <v>22648</v>
      </c>
      <c r="G3" s="2">
        <f ca="1">'数据修改（批量）'!G3</f>
        <v>22.648</v>
      </c>
    </row>
    <row r="4" spans="1:7">
      <c r="A4" s="2"/>
      <c r="B4" s="2" t="str">
        <f ca="1">'数据修改（批量）'!B4</f>
        <v>203料氧化</v>
      </c>
      <c r="C4" s="2">
        <f ca="1">'数据修改（批量）'!C4</f>
        <v>6000</v>
      </c>
      <c r="D4" s="2">
        <f ca="1">'数据修改（批量）'!D4</f>
        <v>888</v>
      </c>
      <c r="E4" s="2">
        <f ca="1">'数据修改（批量）'!E4</f>
        <v>80</v>
      </c>
      <c r="F4" s="2">
        <f ca="1">'数据修改（批量）'!F4</f>
        <v>23168</v>
      </c>
      <c r="G4" s="2">
        <f ca="1">'数据修改（批量）'!G4</f>
        <v>23.168</v>
      </c>
    </row>
    <row r="5" spans="2:7">
      <c r="B5" s="2" t="str">
        <f ca="1">'数据修改（批量）'!B5</f>
        <v>小料加工费</v>
      </c>
      <c r="C5" s="2">
        <f ca="1">'数据修改（批量）'!C5</f>
        <v>4500</v>
      </c>
      <c r="D5" s="2">
        <f ca="1">'数据修改（批量）'!D5</f>
        <v>828</v>
      </c>
      <c r="E5" s="2">
        <f ca="1">'数据修改（批量）'!E5</f>
        <v>80</v>
      </c>
      <c r="F5" s="2">
        <f ca="1">'数据修改（批量）'!F5</f>
        <v>21608</v>
      </c>
      <c r="G5" s="2">
        <f ca="1">'数据修改（批量）'!G5</f>
        <v>21.608</v>
      </c>
    </row>
    <row r="6" spans="1:4">
      <c r="A6" s="2" t="str">
        <f ca="1">'数据修改（批量）'!A6</f>
        <v>南海有色铝锭价格</v>
      </c>
      <c r="D6" s="5"/>
    </row>
    <row r="7" spans="1:1">
      <c r="A7" s="4">
        <f ca="1">'数据修改（批量）'!A7</f>
        <v>16600</v>
      </c>
    </row>
    <row r="8" spans="2:7">
      <c r="B8" s="2" t="str">
        <f ca="1">'数据修改（批量）'!B8</f>
        <v>项目</v>
      </c>
      <c r="C8" s="2" t="str">
        <f ca="1">'数据修改（批量）'!C8</f>
        <v>加工费</v>
      </c>
      <c r="D8" s="2" t="str">
        <f ca="1">'数据修改（批量）'!D8</f>
        <v>包装物</v>
      </c>
      <c r="E8" s="2" t="str">
        <f ca="1">'数据修改（批量）'!E8</f>
        <v>运费</v>
      </c>
      <c r="F8" s="2" t="str">
        <f ca="1">'数据修改（批量）'!F8</f>
        <v>单价</v>
      </c>
      <c r="G8" s="2" t="str">
        <f ca="1">'数据修改（批量）'!G8</f>
        <v>每公斤价格</v>
      </c>
    </row>
    <row r="9" spans="2:7">
      <c r="B9" s="2" t="str">
        <f ca="1">'数据修改（批量）'!B9</f>
        <v>300/350料8米以上</v>
      </c>
      <c r="C9" s="2">
        <f ca="1">'数据修改（批量）'!C9</f>
        <v>7800</v>
      </c>
      <c r="D9" s="2">
        <f ca="1">'数据修改（批量）'!D9</f>
        <v>976</v>
      </c>
      <c r="E9" s="2">
        <f ca="1">'数据修改（批量）'!E9</f>
        <v>1000</v>
      </c>
      <c r="F9" s="2">
        <f ca="1">'数据修改（批量）'!F9</f>
        <v>26376</v>
      </c>
      <c r="G9" s="2">
        <f ca="1">'数据修改（批量）'!G9</f>
        <v>26.376</v>
      </c>
    </row>
    <row r="10" spans="2:7">
      <c r="B10" s="2" t="str">
        <f ca="1">'数据修改（批量）'!B10</f>
        <v>300/350料8米以下</v>
      </c>
      <c r="C10" s="2">
        <f ca="1">'数据修改（批量）'!C10</f>
        <v>7100</v>
      </c>
      <c r="D10" s="2">
        <f ca="1">'数据修改（批量）'!D10</f>
        <v>948</v>
      </c>
      <c r="E10" s="2">
        <f ca="1">'数据修改（批量）'!E10</f>
        <v>1000</v>
      </c>
      <c r="F10" s="2">
        <f ca="1">'数据修改（批量）'!F10</f>
        <v>25648</v>
      </c>
      <c r="G10" s="2">
        <f ca="1">'数据修改（批量）'!G10</f>
        <v>25.648</v>
      </c>
    </row>
    <row r="12" spans="1:4">
      <c r="A12" s="2" t="str">
        <f ca="1">'数据修改（批量）'!A12</f>
        <v>篷布</v>
      </c>
      <c r="B12" s="2"/>
      <c r="C12" s="2"/>
      <c r="D12" s="3"/>
    </row>
    <row r="13" spans="1:7">
      <c r="A13" s="2"/>
      <c r="B13" s="2" t="str">
        <f ca="1">'数据修改（批量）'!B13</f>
        <v>项目</v>
      </c>
      <c r="C13" s="2" t="str">
        <f ca="1">'数据修改（批量）'!C13</f>
        <v>运费</v>
      </c>
      <c r="D13" s="2" t="str">
        <f ca="1">'数据修改（批量）'!D13</f>
        <v>单价</v>
      </c>
      <c r="E13" s="2" t="str">
        <f ca="1">'数据修改（批量）'!E13</f>
        <v>每平价格</v>
      </c>
      <c r="F13" s="2"/>
      <c r="G13" s="2"/>
    </row>
    <row r="14" spans="1:7">
      <c r="A14" s="2"/>
      <c r="B14" s="2">
        <f ca="1">'数据修改（批量）'!B14</f>
        <v>650</v>
      </c>
      <c r="C14" s="2">
        <f ca="1">'数据修改（批量）'!C14</f>
        <v>0.5</v>
      </c>
      <c r="D14" s="4">
        <f ca="1">'数据修改（批量）'!D14</f>
        <v>13.8</v>
      </c>
      <c r="E14" s="2">
        <f ca="1">'数据修改（批量）'!E14</f>
        <v>14.3</v>
      </c>
      <c r="F14" s="2"/>
      <c r="G14" s="2"/>
    </row>
    <row r="15" spans="1:7">
      <c r="A15" s="2"/>
      <c r="B15" s="2">
        <f ca="1">'数据修改（批量）'!B15</f>
        <v>780</v>
      </c>
      <c r="C15" s="2">
        <f ca="1">'数据修改（批量）'!C15</f>
        <v>0.5</v>
      </c>
      <c r="D15" s="4">
        <f ca="1">'数据修改（批量）'!D15</f>
        <v>16.8</v>
      </c>
      <c r="E15" s="2">
        <f ca="1">'数据修改（批量）'!E15</f>
        <v>17.3</v>
      </c>
      <c r="F15" s="2"/>
      <c r="G15" s="2"/>
    </row>
    <row r="16" spans="2:7">
      <c r="B16" s="2">
        <f ca="1">'数据修改（批量）'!B16</f>
        <v>850</v>
      </c>
      <c r="C16" s="2">
        <f ca="1">'数据修改（批量）'!C16</f>
        <v>0.5</v>
      </c>
      <c r="D16" s="4">
        <f ca="1">'数据修改（批量）'!D16</f>
        <v>18</v>
      </c>
      <c r="E16" s="2">
        <f ca="1">'数据修改（批量）'!E16</f>
        <v>18.5</v>
      </c>
      <c r="F16" s="2"/>
      <c r="G16" s="2"/>
    </row>
    <row r="21" spans="1:7">
      <c r="A21" s="6" t="str">
        <f ca="1">'数据修改（批量）'!A21</f>
        <v>说明：黄色部分可以根据价格修改</v>
      </c>
      <c r="B21" s="6"/>
      <c r="C21" s="6"/>
      <c r="D21" s="6"/>
      <c r="E21" s="6"/>
      <c r="F21" s="6"/>
      <c r="G21" s="6"/>
    </row>
  </sheetData>
  <mergeCells count="1">
    <mergeCell ref="A21:G21"/>
  </mergeCells>
  <pageMargins left="0.75" right="0.75" top="1" bottom="1" header="0.509027777777778" footer="0.509027777777778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FFFF00"/>
  </sheetPr>
  <dimension ref="A1:T36"/>
  <sheetViews>
    <sheetView showGridLines="0" workbookViewId="0">
      <selection activeCell="B10" sqref="B10"/>
    </sheetView>
  </sheetViews>
  <sheetFormatPr defaultColWidth="9" defaultRowHeight="14.25"/>
  <cols>
    <col min="1" max="1" width="3" style="1" customWidth="1"/>
    <col min="2" max="2" width="16.75" style="1" customWidth="1"/>
    <col min="3" max="3" width="7.5" style="3" customWidth="1"/>
    <col min="4" max="4" width="8" style="1" customWidth="1"/>
    <col min="5" max="5" width="10.125" style="3" customWidth="1"/>
    <col min="6" max="6" width="11.625" style="1" customWidth="1"/>
    <col min="7" max="7" width="15" style="1" customWidth="1"/>
    <col min="8" max="8" width="11.625" style="1" customWidth="1"/>
    <col min="9" max="9" width="16" style="1" customWidth="1"/>
    <col min="10" max="10" width="15.25" style="1" customWidth="1"/>
    <col min="11" max="11" width="11.625" style="1" customWidth="1"/>
    <col min="12" max="12" width="15.75" style="1" customWidth="1"/>
    <col min="13" max="13" width="11.625" style="1" customWidth="1"/>
    <col min="14" max="14" width="67.25" style="1" customWidth="1"/>
    <col min="15" max="15" width="9.75" style="1" customWidth="1"/>
    <col min="16" max="18" width="9" style="3"/>
    <col min="19" max="19" width="12.75" style="3" hidden="1" customWidth="1"/>
    <col min="20" max="20" width="9" style="1" hidden="1" customWidth="1"/>
    <col min="21" max="16384" width="9" style="1"/>
  </cols>
  <sheetData>
    <row r="1" ht="15" customHeight="1" spans="1:15">
      <c r="A1" s="7" t="s">
        <v>1317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237"/>
    </row>
    <row r="2" ht="15" customHeight="1" spans="1:18">
      <c r="A2" s="141" t="s">
        <v>1246</v>
      </c>
      <c r="B2" s="141"/>
      <c r="C2" s="141"/>
      <c r="D2" s="9" t="s">
        <v>1198</v>
      </c>
      <c r="E2" s="10">
        <f>A3*3*7</f>
        <v>42</v>
      </c>
      <c r="F2" s="11" t="s">
        <v>1202</v>
      </c>
      <c r="G2" s="186"/>
      <c r="H2" s="187"/>
      <c r="I2" s="187"/>
      <c r="J2" s="187"/>
      <c r="K2" s="187"/>
      <c r="L2" s="187"/>
      <c r="M2" s="197"/>
      <c r="N2" s="11"/>
      <c r="O2" s="162"/>
      <c r="P2" s="55"/>
      <c r="Q2" s="55"/>
      <c r="R2" s="55"/>
    </row>
    <row r="3" ht="15" customHeight="1" spans="1:18">
      <c r="A3" s="177">
        <v>2</v>
      </c>
      <c r="B3" s="177"/>
      <c r="C3" s="178" t="s">
        <v>1247</v>
      </c>
      <c r="D3" s="179">
        <v>3</v>
      </c>
      <c r="E3" s="189" t="s">
        <v>1248</v>
      </c>
      <c r="F3" s="246">
        <v>2</v>
      </c>
      <c r="G3" s="189" t="s">
        <v>1249</v>
      </c>
      <c r="H3" s="247"/>
      <c r="I3" s="110"/>
      <c r="J3" s="110"/>
      <c r="K3" s="110"/>
      <c r="L3" s="110"/>
      <c r="M3" s="265"/>
      <c r="N3" s="266"/>
      <c r="P3" s="55"/>
      <c r="Q3" s="55"/>
      <c r="R3" s="55"/>
    </row>
    <row r="4" ht="15" customHeight="1" spans="1:20">
      <c r="A4" s="165" t="s">
        <v>1200</v>
      </c>
      <c r="B4" s="165" t="s">
        <v>1201</v>
      </c>
      <c r="C4" s="165" t="s">
        <v>1250</v>
      </c>
      <c r="D4" s="165" t="s">
        <v>22</v>
      </c>
      <c r="E4" s="165" t="s">
        <v>1251</v>
      </c>
      <c r="F4" s="139" t="s">
        <v>1204</v>
      </c>
      <c r="G4" s="75" t="s">
        <v>1252</v>
      </c>
      <c r="H4" s="75" t="s">
        <v>1253</v>
      </c>
      <c r="I4" s="75" t="s">
        <v>1254</v>
      </c>
      <c r="J4" s="75" t="s">
        <v>1255</v>
      </c>
      <c r="K4" s="75" t="s">
        <v>1209</v>
      </c>
      <c r="L4" s="75" t="s">
        <v>1256</v>
      </c>
      <c r="M4" s="75" t="s">
        <v>1211</v>
      </c>
      <c r="N4" s="163" t="s">
        <v>1257</v>
      </c>
      <c r="O4" s="267" t="s">
        <v>1212</v>
      </c>
      <c r="P4" s="268" t="s">
        <v>1258</v>
      </c>
      <c r="Q4" s="285" t="s">
        <v>1259</v>
      </c>
      <c r="R4" s="286" t="s">
        <v>1213</v>
      </c>
      <c r="S4" s="287" t="s">
        <v>1260</v>
      </c>
      <c r="T4" s="286" t="s">
        <v>1213</v>
      </c>
    </row>
    <row r="5" spans="1:20">
      <c r="A5" s="153" t="s">
        <v>1215</v>
      </c>
      <c r="B5" s="91" t="s">
        <v>1224</v>
      </c>
      <c r="C5" s="23"/>
      <c r="D5" s="23" t="s">
        <v>28</v>
      </c>
      <c r="E5" s="24">
        <f>D3*2</f>
        <v>6</v>
      </c>
      <c r="F5" s="248">
        <f ca="1">G5+H5+I5+J5+K5+L5+M5</f>
        <v>142.425124928</v>
      </c>
      <c r="G5" s="249">
        <f>5.34/2</f>
        <v>2.67</v>
      </c>
      <c r="H5" s="249">
        <v>2.168</v>
      </c>
      <c r="I5" s="269">
        <f ca="1">G5*H5*'7米（人字84料）参数'!G5*1.1</f>
        <v>137.587124928</v>
      </c>
      <c r="J5" s="270"/>
      <c r="K5" s="270"/>
      <c r="L5" s="270"/>
      <c r="M5" s="270"/>
      <c r="N5" s="271" t="s">
        <v>1261</v>
      </c>
      <c r="O5" s="272">
        <v>4</v>
      </c>
      <c r="P5" s="60">
        <f ca="1" t="shared" ref="P5:P32" si="0">F5*O5</f>
        <v>569.700499712</v>
      </c>
      <c r="Q5" s="288">
        <f t="shared" ref="Q5:Q32" si="1">E5-O5</f>
        <v>2</v>
      </c>
      <c r="R5" s="67">
        <f ca="1" t="shared" ref="R5:R32" si="2">F5*Q5</f>
        <v>284.850249856</v>
      </c>
      <c r="S5" s="60">
        <v>0</v>
      </c>
      <c r="T5" s="289">
        <f ca="1" t="shared" ref="T5:T13" si="3">F5*S5</f>
        <v>0</v>
      </c>
    </row>
    <row r="6" spans="1:20">
      <c r="A6" s="153"/>
      <c r="B6" s="91" t="s">
        <v>1308</v>
      </c>
      <c r="C6" s="23"/>
      <c r="D6" s="23" t="s">
        <v>28</v>
      </c>
      <c r="E6" s="24">
        <f>F3</f>
        <v>2</v>
      </c>
      <c r="F6" s="248">
        <f ca="1">G6+H6+I6+J6+K6+L6+M6</f>
        <v>216.0910336</v>
      </c>
      <c r="G6" s="250">
        <v>4</v>
      </c>
      <c r="H6" s="250">
        <v>2.168</v>
      </c>
      <c r="I6" s="101">
        <f ca="1">G6*H6*'7米（人字84料）参数'!G5*1.1</f>
        <v>206.1230336</v>
      </c>
      <c r="J6" s="261"/>
      <c r="K6" s="261">
        <v>2.5</v>
      </c>
      <c r="L6" s="261"/>
      <c r="M6" s="261">
        <f>0.65*2</f>
        <v>1.3</v>
      </c>
      <c r="N6" s="271" t="s">
        <v>1309</v>
      </c>
      <c r="O6" s="272">
        <v>2</v>
      </c>
      <c r="P6" s="60">
        <f ca="1" t="shared" si="0"/>
        <v>432.1820672</v>
      </c>
      <c r="Q6" s="67">
        <f t="shared" si="1"/>
        <v>0</v>
      </c>
      <c r="R6" s="67">
        <f ca="1" t="shared" si="2"/>
        <v>0</v>
      </c>
      <c r="S6" s="47">
        <f>F3-O6</f>
        <v>0</v>
      </c>
      <c r="T6" s="289">
        <f ca="1" t="shared" si="3"/>
        <v>0</v>
      </c>
    </row>
    <row r="7" spans="1:20">
      <c r="A7" s="153"/>
      <c r="B7" s="91" t="s">
        <v>1225</v>
      </c>
      <c r="C7" s="23"/>
      <c r="D7" s="23" t="s">
        <v>28</v>
      </c>
      <c r="E7" s="24">
        <f>D3*2</f>
        <v>6</v>
      </c>
      <c r="F7" s="248">
        <f ca="1">G7+H7+I7+J7+K7+L7+M7</f>
        <v>203.558344</v>
      </c>
      <c r="G7" s="251">
        <v>3.75</v>
      </c>
      <c r="H7" s="251">
        <v>2.168</v>
      </c>
      <c r="I7" s="61">
        <f ca="1">G7*H7*'7米（人字84料）参数'!G5*1.1</f>
        <v>193.240344</v>
      </c>
      <c r="J7" s="273">
        <f>1.2*2</f>
        <v>2.4</v>
      </c>
      <c r="K7" s="273"/>
      <c r="L7" s="273">
        <f>1*2</f>
        <v>2</v>
      </c>
      <c r="M7" s="273"/>
      <c r="N7" s="271" t="s">
        <v>1318</v>
      </c>
      <c r="O7" s="274">
        <v>4</v>
      </c>
      <c r="P7" s="60">
        <f ca="1" t="shared" si="0"/>
        <v>814.233376</v>
      </c>
      <c r="Q7" s="288">
        <f t="shared" si="1"/>
        <v>2</v>
      </c>
      <c r="R7" s="67">
        <f ca="1" t="shared" si="2"/>
        <v>407.116688</v>
      </c>
      <c r="S7" s="60">
        <v>0</v>
      </c>
      <c r="T7" s="289">
        <f ca="1" t="shared" si="3"/>
        <v>0</v>
      </c>
    </row>
    <row r="8" spans="1:20">
      <c r="A8" s="153"/>
      <c r="B8" s="91" t="s">
        <v>1226</v>
      </c>
      <c r="C8" s="23"/>
      <c r="D8" s="23" t="s">
        <v>28</v>
      </c>
      <c r="E8" s="24">
        <f>A3*3</f>
        <v>6</v>
      </c>
      <c r="F8" s="248">
        <f ca="1">I8+J8+K8+L8+M8</f>
        <v>61.76684516</v>
      </c>
      <c r="G8" s="252">
        <f>5.9/2</f>
        <v>2.95</v>
      </c>
      <c r="H8" s="252">
        <v>0.821</v>
      </c>
      <c r="I8" s="61">
        <f ca="1">G8*H8*'7米（人字84料）参数'!G5*1.1</f>
        <v>57.56684516</v>
      </c>
      <c r="J8" s="262"/>
      <c r="K8" s="262"/>
      <c r="L8" s="262">
        <f>0.3*2</f>
        <v>0.6</v>
      </c>
      <c r="M8" s="262">
        <f>1.8*2</f>
        <v>3.6</v>
      </c>
      <c r="N8" s="271" t="s">
        <v>1263</v>
      </c>
      <c r="O8" s="272">
        <v>3</v>
      </c>
      <c r="P8" s="60">
        <f ca="1" t="shared" si="0"/>
        <v>185.30053548</v>
      </c>
      <c r="Q8" s="288">
        <f t="shared" si="1"/>
        <v>3</v>
      </c>
      <c r="R8" s="67">
        <f ca="1" t="shared" si="2"/>
        <v>185.30053548</v>
      </c>
      <c r="S8" s="60"/>
      <c r="T8" s="289">
        <f ca="1" t="shared" si="3"/>
        <v>0</v>
      </c>
    </row>
    <row r="9" spans="1:20">
      <c r="A9" s="153"/>
      <c r="B9" s="91" t="s">
        <v>1264</v>
      </c>
      <c r="C9" s="23"/>
      <c r="D9" s="23" t="s">
        <v>28</v>
      </c>
      <c r="E9" s="24">
        <f>A3*2</f>
        <v>4</v>
      </c>
      <c r="F9" s="248">
        <f ca="1">I9+J9+K9+L9+M9</f>
        <v>110.21835552</v>
      </c>
      <c r="G9" s="252">
        <f>5.9/2</f>
        <v>2.95</v>
      </c>
      <c r="H9" s="252">
        <v>1.512</v>
      </c>
      <c r="I9" s="61">
        <f ca="1">G9*H9*'7米（人字84料）参数'!G5*1.1</f>
        <v>106.01835552</v>
      </c>
      <c r="J9" s="262"/>
      <c r="K9" s="262"/>
      <c r="L9" s="262">
        <f>0.3*2</f>
        <v>0.6</v>
      </c>
      <c r="M9" s="262">
        <f>1.8*2</f>
        <v>3.6</v>
      </c>
      <c r="N9" s="271" t="s">
        <v>1265</v>
      </c>
      <c r="O9" s="272">
        <v>2</v>
      </c>
      <c r="P9" s="60">
        <f ca="1" t="shared" si="0"/>
        <v>220.43671104</v>
      </c>
      <c r="Q9" s="288">
        <f t="shared" si="1"/>
        <v>2</v>
      </c>
      <c r="R9" s="67">
        <f ca="1" t="shared" si="2"/>
        <v>220.43671104</v>
      </c>
      <c r="S9" s="60"/>
      <c r="T9" s="289">
        <f ca="1" t="shared" si="3"/>
        <v>0</v>
      </c>
    </row>
    <row r="10" spans="1:20">
      <c r="A10" s="153"/>
      <c r="B10" s="91" t="s">
        <v>1266</v>
      </c>
      <c r="C10" s="23"/>
      <c r="D10" s="23" t="s">
        <v>28</v>
      </c>
      <c r="E10" s="24">
        <f>A3*2</f>
        <v>4</v>
      </c>
      <c r="F10" s="248">
        <f>I10+J10+K10+L10+M10</f>
        <v>45</v>
      </c>
      <c r="G10" s="252">
        <f>5.86/2</f>
        <v>2.93</v>
      </c>
      <c r="H10" s="252">
        <v>0.868</v>
      </c>
      <c r="I10" s="61">
        <v>45</v>
      </c>
      <c r="J10" s="262"/>
      <c r="K10" s="262"/>
      <c r="L10" s="262"/>
      <c r="M10" s="262"/>
      <c r="N10" s="271" t="s">
        <v>1267</v>
      </c>
      <c r="O10" s="272">
        <v>2</v>
      </c>
      <c r="P10" s="60">
        <f ca="1" t="shared" si="0"/>
        <v>90</v>
      </c>
      <c r="Q10" s="288">
        <f t="shared" si="1"/>
        <v>2</v>
      </c>
      <c r="R10" s="67">
        <f ca="1" t="shared" si="2"/>
        <v>90</v>
      </c>
      <c r="S10" s="60"/>
      <c r="T10" s="289">
        <f ca="1" t="shared" si="3"/>
        <v>0</v>
      </c>
    </row>
    <row r="11" spans="1:20">
      <c r="A11" s="153"/>
      <c r="B11" s="91" t="s">
        <v>1268</v>
      </c>
      <c r="C11" s="23"/>
      <c r="D11" s="23" t="s">
        <v>28</v>
      </c>
      <c r="E11" s="24">
        <f>F3*2</f>
        <v>4</v>
      </c>
      <c r="F11" s="248">
        <f>I11+J11+K11+L11+M11</f>
        <v>52.5</v>
      </c>
      <c r="G11" s="250">
        <v>3.5</v>
      </c>
      <c r="H11" s="250">
        <v>0.868</v>
      </c>
      <c r="I11" s="61">
        <v>52.5</v>
      </c>
      <c r="J11" s="261"/>
      <c r="K11" s="261"/>
      <c r="L11" s="261"/>
      <c r="M11" s="261"/>
      <c r="N11" s="271" t="s">
        <v>1319</v>
      </c>
      <c r="O11" s="272">
        <v>4</v>
      </c>
      <c r="P11" s="60">
        <f ca="1" t="shared" si="0"/>
        <v>210</v>
      </c>
      <c r="Q11" s="67">
        <f t="shared" si="1"/>
        <v>0</v>
      </c>
      <c r="R11" s="67">
        <f ca="1" t="shared" si="2"/>
        <v>0</v>
      </c>
      <c r="S11" s="47">
        <f>F3*2-O11</f>
        <v>0</v>
      </c>
      <c r="T11" s="289">
        <f ca="1" t="shared" si="3"/>
        <v>0</v>
      </c>
    </row>
    <row r="12" spans="1:20">
      <c r="A12" s="153"/>
      <c r="B12" s="253" t="s">
        <v>1270</v>
      </c>
      <c r="C12" s="254"/>
      <c r="D12" s="254" t="s">
        <v>28</v>
      </c>
      <c r="E12" s="255">
        <v>3</v>
      </c>
      <c r="F12" s="248">
        <f>I12+J12+K12+L12+M12</f>
        <v>53.84</v>
      </c>
      <c r="G12" s="256">
        <v>12</v>
      </c>
      <c r="H12" s="256">
        <v>3.6</v>
      </c>
      <c r="I12" s="248">
        <f>G12*H12*1.2</f>
        <v>51.84</v>
      </c>
      <c r="J12" s="275"/>
      <c r="K12" s="275"/>
      <c r="L12" s="275">
        <v>2</v>
      </c>
      <c r="M12" s="275"/>
      <c r="N12" s="271" t="s">
        <v>1271</v>
      </c>
      <c r="O12" s="276">
        <v>2</v>
      </c>
      <c r="P12" s="277">
        <f ca="1" t="shared" si="0"/>
        <v>107.68</v>
      </c>
      <c r="Q12" s="290">
        <f t="shared" si="1"/>
        <v>1</v>
      </c>
      <c r="R12" s="290">
        <f ca="1" t="shared" si="2"/>
        <v>53.84</v>
      </c>
      <c r="S12" s="60"/>
      <c r="T12" s="289">
        <f ca="1" t="shared" si="3"/>
        <v>0</v>
      </c>
    </row>
    <row r="13" spans="1:20">
      <c r="A13" s="153"/>
      <c r="B13" s="91" t="s">
        <v>1272</v>
      </c>
      <c r="C13" s="23"/>
      <c r="D13" s="23" t="s">
        <v>28</v>
      </c>
      <c r="E13" s="32">
        <f>E12*2</f>
        <v>6</v>
      </c>
      <c r="F13" s="248">
        <v>51</v>
      </c>
      <c r="G13" s="256"/>
      <c r="H13" s="256"/>
      <c r="I13" s="248"/>
      <c r="J13" s="262"/>
      <c r="K13" s="262"/>
      <c r="L13" s="262"/>
      <c r="M13" s="262"/>
      <c r="N13" s="271" t="s">
        <v>1273</v>
      </c>
      <c r="O13" s="278">
        <v>4</v>
      </c>
      <c r="P13" s="60">
        <f ca="1" t="shared" si="0"/>
        <v>204</v>
      </c>
      <c r="Q13" s="67">
        <f t="shared" si="1"/>
        <v>2</v>
      </c>
      <c r="R13" s="67">
        <f ca="1" t="shared" si="2"/>
        <v>102</v>
      </c>
      <c r="S13" s="60"/>
      <c r="T13" s="289">
        <f ca="1" t="shared" si="3"/>
        <v>0</v>
      </c>
    </row>
    <row r="14" spans="1:20">
      <c r="A14" s="153"/>
      <c r="B14" s="91" t="s">
        <v>1320</v>
      </c>
      <c r="C14" s="23"/>
      <c r="D14" s="23" t="s">
        <v>28</v>
      </c>
      <c r="E14" s="24">
        <f>E29</f>
        <v>4</v>
      </c>
      <c r="F14" s="101">
        <v>16</v>
      </c>
      <c r="G14" s="148"/>
      <c r="H14" s="148"/>
      <c r="I14" s="101"/>
      <c r="J14" s="261"/>
      <c r="K14" s="261"/>
      <c r="L14" s="261"/>
      <c r="M14" s="261"/>
      <c r="N14" s="271" t="s">
        <v>1321</v>
      </c>
      <c r="O14" s="278">
        <v>4</v>
      </c>
      <c r="P14" s="60">
        <f ca="1" t="shared" si="0"/>
        <v>64</v>
      </c>
      <c r="Q14" s="67">
        <f t="shared" si="1"/>
        <v>0</v>
      </c>
      <c r="R14" s="67">
        <f ca="1" t="shared" si="2"/>
        <v>0</v>
      </c>
      <c r="S14" s="60"/>
      <c r="T14" s="289"/>
    </row>
    <row r="15" spans="1:20">
      <c r="A15" s="153"/>
      <c r="B15" s="91" t="s">
        <v>1274</v>
      </c>
      <c r="C15" s="23"/>
      <c r="D15" s="23" t="s">
        <v>28</v>
      </c>
      <c r="E15" s="24">
        <f>E28</f>
        <v>4</v>
      </c>
      <c r="F15" s="101">
        <v>11</v>
      </c>
      <c r="G15" s="148"/>
      <c r="H15" s="148"/>
      <c r="I15" s="101"/>
      <c r="J15" s="261"/>
      <c r="K15" s="261"/>
      <c r="L15" s="261"/>
      <c r="M15" s="261"/>
      <c r="N15" s="271" t="s">
        <v>1275</v>
      </c>
      <c r="O15" s="278">
        <v>2</v>
      </c>
      <c r="P15" s="60">
        <f ca="1" t="shared" si="0"/>
        <v>22</v>
      </c>
      <c r="Q15" s="67">
        <f t="shared" si="1"/>
        <v>2</v>
      </c>
      <c r="R15" s="67">
        <f ca="1" t="shared" si="2"/>
        <v>22</v>
      </c>
      <c r="S15" s="60"/>
      <c r="T15" s="289"/>
    </row>
    <row r="16" spans="1:20">
      <c r="A16" s="153"/>
      <c r="B16" s="91" t="s">
        <v>1276</v>
      </c>
      <c r="C16" s="23"/>
      <c r="D16" s="23" t="s">
        <v>28</v>
      </c>
      <c r="E16" s="28">
        <f>F3*2</f>
        <v>4</v>
      </c>
      <c r="F16" s="61">
        <f ca="1">I16+J16+K16+L16+M16</f>
        <v>191.9576544</v>
      </c>
      <c r="G16" s="95">
        <v>3.5</v>
      </c>
      <c r="H16" s="95">
        <v>2.168</v>
      </c>
      <c r="I16" s="61">
        <f ca="1">G16*H16*'7米（人字84料）参数'!G5*1.1</f>
        <v>180.3576544</v>
      </c>
      <c r="J16" s="61"/>
      <c r="K16" s="61">
        <f>2*5</f>
        <v>10</v>
      </c>
      <c r="L16" s="61">
        <f>2*0.8</f>
        <v>1.6</v>
      </c>
      <c r="M16" s="61"/>
      <c r="N16" s="271" t="s">
        <v>1322</v>
      </c>
      <c r="O16" s="272">
        <v>4</v>
      </c>
      <c r="P16" s="60">
        <f ca="1" t="shared" si="0"/>
        <v>767.8306176</v>
      </c>
      <c r="Q16" s="67">
        <f t="shared" si="1"/>
        <v>0</v>
      </c>
      <c r="R16" s="67">
        <f ca="1" t="shared" si="2"/>
        <v>0</v>
      </c>
      <c r="S16" s="47">
        <f>F3*2-O16</f>
        <v>0</v>
      </c>
      <c r="T16" s="289">
        <f ca="1" t="shared" ref="T16:T31" si="4">F16*S16</f>
        <v>0</v>
      </c>
    </row>
    <row r="17" spans="1:20">
      <c r="A17" s="153" t="s">
        <v>1278</v>
      </c>
      <c r="B17" s="91" t="s">
        <v>514</v>
      </c>
      <c r="C17" s="23"/>
      <c r="D17" s="23" t="s">
        <v>434</v>
      </c>
      <c r="E17" s="23">
        <f>F3*2</f>
        <v>4</v>
      </c>
      <c r="F17" s="257">
        <v>46.8</v>
      </c>
      <c r="G17" s="192"/>
      <c r="H17" s="192"/>
      <c r="I17" s="279"/>
      <c r="J17" s="257"/>
      <c r="K17" s="257"/>
      <c r="L17" s="257"/>
      <c r="M17" s="257"/>
      <c r="N17" s="271" t="s">
        <v>1323</v>
      </c>
      <c r="O17" s="280">
        <v>4</v>
      </c>
      <c r="P17" s="60">
        <f ca="1" t="shared" si="0"/>
        <v>187.2</v>
      </c>
      <c r="Q17" s="67">
        <f t="shared" si="1"/>
        <v>0</v>
      </c>
      <c r="R17" s="67">
        <f ca="1" t="shared" si="2"/>
        <v>0</v>
      </c>
      <c r="S17" s="60"/>
      <c r="T17" s="289">
        <f ca="1" t="shared" si="4"/>
        <v>0</v>
      </c>
    </row>
    <row r="18" spans="1:20">
      <c r="A18" s="153"/>
      <c r="B18" s="91" t="s">
        <v>512</v>
      </c>
      <c r="C18" s="23"/>
      <c r="D18" s="23" t="s">
        <v>434</v>
      </c>
      <c r="E18" s="23">
        <f>D3*2-F3*2</f>
        <v>2</v>
      </c>
      <c r="F18" s="258">
        <v>22.8</v>
      </c>
      <c r="G18" s="259"/>
      <c r="H18" s="259"/>
      <c r="I18" s="281"/>
      <c r="J18" s="258"/>
      <c r="K18" s="258"/>
      <c r="L18" s="258"/>
      <c r="M18" s="258"/>
      <c r="N18" s="271" t="s">
        <v>1279</v>
      </c>
      <c r="O18" s="282">
        <v>0</v>
      </c>
      <c r="P18" s="60">
        <f ca="1" t="shared" si="0"/>
        <v>0</v>
      </c>
      <c r="Q18" s="288">
        <f t="shared" si="1"/>
        <v>2</v>
      </c>
      <c r="R18" s="67">
        <f ca="1" t="shared" si="2"/>
        <v>45.6</v>
      </c>
      <c r="S18" s="60"/>
      <c r="T18" s="289">
        <f ca="1" t="shared" si="4"/>
        <v>0</v>
      </c>
    </row>
    <row r="19" spans="1:20">
      <c r="A19" s="153"/>
      <c r="B19" s="91" t="s">
        <v>1304</v>
      </c>
      <c r="C19" s="23"/>
      <c r="D19" s="23" t="s">
        <v>434</v>
      </c>
      <c r="E19" s="24">
        <f>D3</f>
        <v>3</v>
      </c>
      <c r="F19" s="261">
        <v>55</v>
      </c>
      <c r="G19" s="148"/>
      <c r="H19" s="148"/>
      <c r="I19" s="101"/>
      <c r="J19" s="261"/>
      <c r="K19" s="261"/>
      <c r="L19" s="261"/>
      <c r="M19" s="261"/>
      <c r="N19" s="271" t="s">
        <v>1305</v>
      </c>
      <c r="O19" s="272">
        <v>2</v>
      </c>
      <c r="P19" s="60">
        <f ca="1" t="shared" si="0"/>
        <v>110</v>
      </c>
      <c r="Q19" s="288">
        <f t="shared" si="1"/>
        <v>1</v>
      </c>
      <c r="R19" s="67">
        <f ca="1" t="shared" si="2"/>
        <v>55</v>
      </c>
      <c r="S19" s="60"/>
      <c r="T19" s="289">
        <f ca="1" t="shared" si="4"/>
        <v>0</v>
      </c>
    </row>
    <row r="20" spans="1:20">
      <c r="A20" s="153"/>
      <c r="B20" s="91" t="s">
        <v>1310</v>
      </c>
      <c r="C20" s="23"/>
      <c r="D20" s="23" t="s">
        <v>434</v>
      </c>
      <c r="E20" s="24">
        <f>E6</f>
        <v>2</v>
      </c>
      <c r="F20" s="262">
        <v>13.5</v>
      </c>
      <c r="G20" s="256"/>
      <c r="H20" s="256"/>
      <c r="I20" s="248"/>
      <c r="J20" s="262"/>
      <c r="K20" s="262"/>
      <c r="L20" s="262"/>
      <c r="M20" s="262"/>
      <c r="N20" s="271" t="s">
        <v>1311</v>
      </c>
      <c r="O20" s="272">
        <v>2</v>
      </c>
      <c r="P20" s="60">
        <f ca="1" t="shared" si="0"/>
        <v>27</v>
      </c>
      <c r="Q20" s="67">
        <f t="shared" si="1"/>
        <v>0</v>
      </c>
      <c r="R20" s="67">
        <f ca="1" t="shared" si="2"/>
        <v>0</v>
      </c>
      <c r="S20" s="47">
        <f>F3-O20</f>
        <v>0</v>
      </c>
      <c r="T20" s="289">
        <f ca="1" t="shared" si="4"/>
        <v>0</v>
      </c>
    </row>
    <row r="21" spans="1:20">
      <c r="A21" s="153"/>
      <c r="B21" s="91" t="s">
        <v>1280</v>
      </c>
      <c r="C21" s="23"/>
      <c r="D21" s="23" t="s">
        <v>434</v>
      </c>
      <c r="E21" s="28">
        <f>E5</f>
        <v>6</v>
      </c>
      <c r="F21" s="263">
        <v>10.8</v>
      </c>
      <c r="G21" s="256"/>
      <c r="H21" s="256"/>
      <c r="I21" s="248"/>
      <c r="J21" s="263"/>
      <c r="K21" s="263"/>
      <c r="L21" s="263"/>
      <c r="M21" s="263"/>
      <c r="N21" s="271" t="s">
        <v>1281</v>
      </c>
      <c r="O21" s="272">
        <v>4</v>
      </c>
      <c r="P21" s="60">
        <f ca="1" t="shared" si="0"/>
        <v>43.2</v>
      </c>
      <c r="Q21" s="288">
        <f t="shared" si="1"/>
        <v>2</v>
      </c>
      <c r="R21" s="67">
        <f ca="1" t="shared" si="2"/>
        <v>21.6</v>
      </c>
      <c r="S21" s="60"/>
      <c r="T21" s="289">
        <f ca="1" t="shared" si="4"/>
        <v>0</v>
      </c>
    </row>
    <row r="22" spans="1:20">
      <c r="A22" s="153"/>
      <c r="B22" s="91" t="s">
        <v>1282</v>
      </c>
      <c r="C22" s="23"/>
      <c r="D22" s="23" t="s">
        <v>434</v>
      </c>
      <c r="E22" s="24">
        <f>D3*2-F3*2+F3</f>
        <v>4</v>
      </c>
      <c r="F22" s="262">
        <v>2</v>
      </c>
      <c r="G22" s="256"/>
      <c r="H22" s="256"/>
      <c r="I22" s="248"/>
      <c r="J22" s="262"/>
      <c r="K22" s="262"/>
      <c r="L22" s="262"/>
      <c r="M22" s="262"/>
      <c r="N22" s="271" t="s">
        <v>1283</v>
      </c>
      <c r="O22" s="272">
        <v>2</v>
      </c>
      <c r="P22" s="60">
        <f ca="1" t="shared" si="0"/>
        <v>4</v>
      </c>
      <c r="Q22" s="288">
        <f t="shared" si="1"/>
        <v>2</v>
      </c>
      <c r="R22" s="67">
        <f ca="1" t="shared" si="2"/>
        <v>4</v>
      </c>
      <c r="S22" s="60"/>
      <c r="T22" s="289">
        <f ca="1" t="shared" si="4"/>
        <v>0</v>
      </c>
    </row>
    <row r="23" spans="1:20">
      <c r="A23" s="153"/>
      <c r="B23" s="91" t="s">
        <v>1284</v>
      </c>
      <c r="C23" s="23"/>
      <c r="D23" s="23" t="s">
        <v>434</v>
      </c>
      <c r="E23" s="24">
        <f>D3*2</f>
        <v>6</v>
      </c>
      <c r="F23" s="262">
        <v>2.7</v>
      </c>
      <c r="G23" s="256"/>
      <c r="H23" s="256"/>
      <c r="I23" s="248"/>
      <c r="J23" s="262"/>
      <c r="K23" s="262"/>
      <c r="L23" s="262"/>
      <c r="M23" s="262"/>
      <c r="N23" s="271" t="s">
        <v>1285</v>
      </c>
      <c r="O23" s="272">
        <v>4</v>
      </c>
      <c r="P23" s="60">
        <f ca="1" t="shared" si="0"/>
        <v>10.8</v>
      </c>
      <c r="Q23" s="288">
        <f t="shared" si="1"/>
        <v>2</v>
      </c>
      <c r="R23" s="67">
        <f ca="1" t="shared" si="2"/>
        <v>5.4</v>
      </c>
      <c r="S23" s="60"/>
      <c r="T23" s="289">
        <f ca="1" t="shared" si="4"/>
        <v>0</v>
      </c>
    </row>
    <row r="24" spans="1:20">
      <c r="A24" s="153"/>
      <c r="B24" s="91" t="s">
        <v>517</v>
      </c>
      <c r="C24" s="23"/>
      <c r="D24" s="23" t="s">
        <v>434</v>
      </c>
      <c r="E24" s="24">
        <f>F3*2</f>
        <v>4</v>
      </c>
      <c r="F24" s="262">
        <v>2.7</v>
      </c>
      <c r="G24" s="256"/>
      <c r="H24" s="256"/>
      <c r="I24" s="248"/>
      <c r="J24" s="262"/>
      <c r="K24" s="262"/>
      <c r="L24" s="262"/>
      <c r="M24" s="262"/>
      <c r="N24" s="271" t="s">
        <v>1285</v>
      </c>
      <c r="O24" s="272">
        <v>4</v>
      </c>
      <c r="P24" s="60">
        <f ca="1" t="shared" si="0"/>
        <v>10.8</v>
      </c>
      <c r="Q24" s="67">
        <f t="shared" si="1"/>
        <v>0</v>
      </c>
      <c r="R24" s="67">
        <f ca="1" t="shared" si="2"/>
        <v>0</v>
      </c>
      <c r="S24" s="47">
        <f>F3*2-O24</f>
        <v>0</v>
      </c>
      <c r="T24" s="289">
        <f ca="1" t="shared" si="4"/>
        <v>0</v>
      </c>
    </row>
    <row r="25" spans="1:20">
      <c r="A25" s="153"/>
      <c r="B25" s="91" t="s">
        <v>1312</v>
      </c>
      <c r="C25" s="23"/>
      <c r="D25" s="23" t="s">
        <v>434</v>
      </c>
      <c r="E25" s="24">
        <f>F3</f>
        <v>2</v>
      </c>
      <c r="F25" s="261">
        <v>15.5</v>
      </c>
      <c r="G25" s="148"/>
      <c r="H25" s="148"/>
      <c r="I25" s="101"/>
      <c r="J25" s="261"/>
      <c r="K25" s="261"/>
      <c r="L25" s="261"/>
      <c r="M25" s="261"/>
      <c r="N25" s="271" t="s">
        <v>1313</v>
      </c>
      <c r="O25" s="272">
        <v>2</v>
      </c>
      <c r="P25" s="60">
        <f ca="1" t="shared" si="0"/>
        <v>31</v>
      </c>
      <c r="Q25" s="67">
        <f t="shared" si="1"/>
        <v>0</v>
      </c>
      <c r="R25" s="67">
        <f ca="1" t="shared" si="2"/>
        <v>0</v>
      </c>
      <c r="S25" s="47">
        <f>F3-O25</f>
        <v>0</v>
      </c>
      <c r="T25" s="289">
        <f ca="1" t="shared" si="4"/>
        <v>0</v>
      </c>
    </row>
    <row r="26" spans="1:20">
      <c r="A26" s="153" t="s">
        <v>1216</v>
      </c>
      <c r="B26" s="91" t="s">
        <v>1231</v>
      </c>
      <c r="C26" s="23"/>
      <c r="D26" s="23" t="s">
        <v>612</v>
      </c>
      <c r="E26" s="24">
        <f>A3</f>
        <v>2</v>
      </c>
      <c r="F26" s="261">
        <f ca="1">I26+J26+K26+L26+M26</f>
        <v>546.768</v>
      </c>
      <c r="G26" s="148">
        <v>3</v>
      </c>
      <c r="H26" s="148">
        <v>8.2</v>
      </c>
      <c r="I26" s="101">
        <f ca="1">G26*H26*'7米（人字84料）参数'!D15*1.1</f>
        <v>454.608</v>
      </c>
      <c r="J26" s="261">
        <f>8.2*2*4*1.1</f>
        <v>72.16</v>
      </c>
      <c r="K26" s="261">
        <v>20</v>
      </c>
      <c r="L26" s="261"/>
      <c r="M26" s="261"/>
      <c r="N26" s="271" t="s">
        <v>1324</v>
      </c>
      <c r="O26" s="272">
        <v>1</v>
      </c>
      <c r="P26" s="60">
        <f ca="1" t="shared" si="0"/>
        <v>546.768</v>
      </c>
      <c r="Q26" s="288">
        <f t="shared" si="1"/>
        <v>1</v>
      </c>
      <c r="R26" s="67">
        <f ca="1" t="shared" si="2"/>
        <v>546.768</v>
      </c>
      <c r="S26" s="60"/>
      <c r="T26" s="289">
        <f ca="1" t="shared" si="4"/>
        <v>0</v>
      </c>
    </row>
    <row r="27" spans="1:20">
      <c r="A27" s="153"/>
      <c r="B27" s="91" t="s">
        <v>1287</v>
      </c>
      <c r="C27" s="23"/>
      <c r="D27" s="23" t="s">
        <v>664</v>
      </c>
      <c r="E27" s="24">
        <f>F3</f>
        <v>2</v>
      </c>
      <c r="F27" s="261">
        <f ca="1">I27+J27+K27+L27+M27</f>
        <v>146.52749</v>
      </c>
      <c r="G27" s="148">
        <v>3.15</v>
      </c>
      <c r="H27" s="148">
        <v>1.97</v>
      </c>
      <c r="I27" s="101">
        <f ca="1">G27*H27*'7米（人字84料）参数'!D14*1.1</f>
        <v>94.19949</v>
      </c>
      <c r="J27" s="261">
        <f>4.81*2*4*1.1</f>
        <v>42.328</v>
      </c>
      <c r="K27" s="261">
        <v>10</v>
      </c>
      <c r="L27" s="261"/>
      <c r="M27" s="261"/>
      <c r="N27" s="271" t="s">
        <v>1325</v>
      </c>
      <c r="O27" s="272">
        <v>2</v>
      </c>
      <c r="P27" s="60">
        <f ca="1" t="shared" si="0"/>
        <v>293.05498</v>
      </c>
      <c r="Q27" s="67">
        <f t="shared" si="1"/>
        <v>0</v>
      </c>
      <c r="R27" s="67">
        <f ca="1" t="shared" si="2"/>
        <v>0</v>
      </c>
      <c r="S27" s="47">
        <f>F3-O27</f>
        <v>0</v>
      </c>
      <c r="T27" s="289">
        <f ca="1" t="shared" si="4"/>
        <v>0</v>
      </c>
    </row>
    <row r="28" spans="1:20">
      <c r="A28" s="153"/>
      <c r="B28" s="91" t="s">
        <v>1232</v>
      </c>
      <c r="C28" s="23"/>
      <c r="D28" s="23" t="s">
        <v>664</v>
      </c>
      <c r="E28" s="24">
        <f>A3*2</f>
        <v>4</v>
      </c>
      <c r="F28" s="261">
        <f ca="1">I28+J28+K28+L28+M28</f>
        <v>161.66224</v>
      </c>
      <c r="G28" s="256">
        <v>3.06</v>
      </c>
      <c r="H28" s="256">
        <v>2.8</v>
      </c>
      <c r="I28" s="101">
        <f ca="1">G28*H28*'7米（人字84料）参数'!D14*1.1</f>
        <v>130.06224</v>
      </c>
      <c r="J28" s="262">
        <f>0.8*8</f>
        <v>6.4</v>
      </c>
      <c r="K28" s="262">
        <v>9</v>
      </c>
      <c r="L28" s="262">
        <v>5</v>
      </c>
      <c r="M28" s="262">
        <f>5.6*2</f>
        <v>11.2</v>
      </c>
      <c r="N28" s="271" t="s">
        <v>1289</v>
      </c>
      <c r="O28" s="272">
        <v>2</v>
      </c>
      <c r="P28" s="60">
        <f ca="1" t="shared" si="0"/>
        <v>323.32448</v>
      </c>
      <c r="Q28" s="288">
        <f t="shared" si="1"/>
        <v>2</v>
      </c>
      <c r="R28" s="67">
        <f ca="1" t="shared" si="2"/>
        <v>323.32448</v>
      </c>
      <c r="S28" s="60"/>
      <c r="T28" s="289">
        <f ca="1" t="shared" si="4"/>
        <v>0</v>
      </c>
    </row>
    <row r="29" spans="1:20">
      <c r="A29" s="153"/>
      <c r="B29" s="91" t="s">
        <v>1290</v>
      </c>
      <c r="C29" s="23"/>
      <c r="D29" s="23" t="s">
        <v>664</v>
      </c>
      <c r="E29" s="24">
        <f>F3*2</f>
        <v>4</v>
      </c>
      <c r="F29" s="261">
        <f ca="1">I29+J29+K29+L29+M29</f>
        <v>183.564</v>
      </c>
      <c r="G29" s="148">
        <v>3.5</v>
      </c>
      <c r="H29" s="148">
        <v>2.8</v>
      </c>
      <c r="I29" s="101">
        <f ca="1">G29*H29*'7米（人字84料）参数'!D14*1.1</f>
        <v>148.764</v>
      </c>
      <c r="J29" s="261">
        <f>12*0.8</f>
        <v>9.6</v>
      </c>
      <c r="K29" s="261">
        <v>9</v>
      </c>
      <c r="L29" s="261">
        <v>5</v>
      </c>
      <c r="M29" s="261">
        <f>5.6*2</f>
        <v>11.2</v>
      </c>
      <c r="N29" s="271" t="s">
        <v>1326</v>
      </c>
      <c r="O29" s="272">
        <v>4</v>
      </c>
      <c r="P29" s="60">
        <f ca="1" t="shared" si="0"/>
        <v>734.256</v>
      </c>
      <c r="Q29" s="67">
        <f t="shared" si="1"/>
        <v>0</v>
      </c>
      <c r="R29" s="67">
        <f ca="1" t="shared" si="2"/>
        <v>0</v>
      </c>
      <c r="S29" s="47">
        <f>F3*2-O29</f>
        <v>0</v>
      </c>
      <c r="T29" s="289">
        <f ca="1" t="shared" si="4"/>
        <v>0</v>
      </c>
    </row>
    <row r="30" spans="1:20">
      <c r="A30" s="153" t="s">
        <v>1217</v>
      </c>
      <c r="B30" s="91" t="s">
        <v>1292</v>
      </c>
      <c r="C30" s="23"/>
      <c r="D30" s="23" t="s">
        <v>434</v>
      </c>
      <c r="E30" s="24">
        <f>D3*8</f>
        <v>24</v>
      </c>
      <c r="F30" s="261">
        <v>0.48</v>
      </c>
      <c r="G30" s="148"/>
      <c r="H30" s="148"/>
      <c r="I30" s="101"/>
      <c r="J30" s="261"/>
      <c r="K30" s="261"/>
      <c r="L30" s="261"/>
      <c r="M30" s="261"/>
      <c r="N30" s="271" t="s">
        <v>1293</v>
      </c>
      <c r="O30" s="272">
        <v>16</v>
      </c>
      <c r="P30" s="60">
        <f ca="1" t="shared" si="0"/>
        <v>7.68</v>
      </c>
      <c r="Q30" s="288">
        <f t="shared" si="1"/>
        <v>8</v>
      </c>
      <c r="R30" s="67">
        <f ca="1" t="shared" si="2"/>
        <v>3.84</v>
      </c>
      <c r="S30" s="47"/>
      <c r="T30" s="289">
        <f ca="1" t="shared" si="4"/>
        <v>0</v>
      </c>
    </row>
    <row r="31" spans="1:20">
      <c r="A31" s="153"/>
      <c r="B31" s="91" t="s">
        <v>1294</v>
      </c>
      <c r="C31" s="23"/>
      <c r="D31" s="23" t="s">
        <v>434</v>
      </c>
      <c r="E31" s="264">
        <f>E5+E6</f>
        <v>8</v>
      </c>
      <c r="F31" s="261">
        <v>0.95</v>
      </c>
      <c r="G31" s="148"/>
      <c r="H31" s="148"/>
      <c r="I31" s="101"/>
      <c r="J31" s="261"/>
      <c r="K31" s="261"/>
      <c r="L31" s="261"/>
      <c r="M31" s="261"/>
      <c r="N31" s="271" t="s">
        <v>1295</v>
      </c>
      <c r="O31" s="272">
        <v>6</v>
      </c>
      <c r="P31" s="60">
        <f ca="1" t="shared" si="0"/>
        <v>5.7</v>
      </c>
      <c r="Q31" s="288">
        <f t="shared" si="1"/>
        <v>2</v>
      </c>
      <c r="R31" s="67">
        <f ca="1" t="shared" si="2"/>
        <v>1.9</v>
      </c>
      <c r="S31" s="47">
        <v>2</v>
      </c>
      <c r="T31" s="289">
        <f ca="1" t="shared" si="4"/>
        <v>1.9</v>
      </c>
    </row>
    <row r="32" spans="1:20">
      <c r="A32" s="153"/>
      <c r="B32" s="91" t="s">
        <v>567</v>
      </c>
      <c r="C32" s="23"/>
      <c r="D32" s="23" t="s">
        <v>434</v>
      </c>
      <c r="E32" s="24">
        <f>E12*4+E20+E21</f>
        <v>20</v>
      </c>
      <c r="F32" s="261">
        <v>1.5</v>
      </c>
      <c r="G32" s="148"/>
      <c r="H32" s="148"/>
      <c r="I32" s="101"/>
      <c r="J32" s="261"/>
      <c r="K32" s="261"/>
      <c r="L32" s="261"/>
      <c r="M32" s="261"/>
      <c r="N32" s="271" t="s">
        <v>1297</v>
      </c>
      <c r="O32" s="272">
        <v>18</v>
      </c>
      <c r="P32" s="60">
        <f ca="1" t="shared" si="0"/>
        <v>27</v>
      </c>
      <c r="Q32" s="288">
        <f t="shared" si="1"/>
        <v>2</v>
      </c>
      <c r="R32" s="67">
        <f ca="1" t="shared" si="2"/>
        <v>3</v>
      </c>
      <c r="S32" s="60"/>
      <c r="T32" s="289">
        <v>0</v>
      </c>
    </row>
    <row r="33" ht="18.95" customHeight="1" spans="3:20">
      <c r="C33" s="1"/>
      <c r="E33" s="1"/>
      <c r="O33" s="110" t="s">
        <v>1298</v>
      </c>
      <c r="P33" s="126">
        <f ca="1">SUM(P5:P32)</f>
        <v>6049.147267032</v>
      </c>
      <c r="Q33" s="126" t="s">
        <v>1219</v>
      </c>
      <c r="R33" s="126">
        <f ca="1">SUM(R5:R32)</f>
        <v>2375.976664376</v>
      </c>
      <c r="S33" s="84">
        <f>3134+269</f>
        <v>3403</v>
      </c>
      <c r="T33" s="84">
        <f ca="1">SUM(T5:T32)</f>
        <v>1.9</v>
      </c>
    </row>
    <row r="34" spans="2:13">
      <c r="B34" s="54" t="s">
        <v>1316</v>
      </c>
      <c r="C34" s="54"/>
      <c r="D34" s="54"/>
      <c r="E34" s="54"/>
      <c r="F34" s="54"/>
      <c r="G34" s="54"/>
      <c r="H34" s="54"/>
      <c r="I34" s="54"/>
      <c r="J34" s="54"/>
      <c r="K34" s="54"/>
      <c r="L34" s="54"/>
      <c r="M34" s="54"/>
    </row>
    <row r="35" spans="2:16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O35" s="1" t="s">
        <v>1301</v>
      </c>
      <c r="P35" s="3">
        <f ca="1">P33+R33</f>
        <v>8425.123931408</v>
      </c>
    </row>
    <row r="36" spans="2:16">
      <c r="B36" s="1" t="s">
        <v>1300</v>
      </c>
      <c r="C36" s="54"/>
      <c r="D36" s="54"/>
      <c r="E36" s="54"/>
      <c r="F36" s="54"/>
      <c r="G36" s="54"/>
      <c r="H36" s="54"/>
      <c r="I36" s="54"/>
      <c r="J36" s="54"/>
      <c r="K36" s="54"/>
      <c r="L36" s="54"/>
      <c r="M36" s="54"/>
      <c r="O36" s="1" t="s">
        <v>5</v>
      </c>
      <c r="P36" s="3">
        <f ca="1">P35/E2</f>
        <v>200.598188843048</v>
      </c>
    </row>
  </sheetData>
  <mergeCells count="9">
    <mergeCell ref="A1:N1"/>
    <mergeCell ref="A2:C2"/>
    <mergeCell ref="G2:M2"/>
    <mergeCell ref="A3:B3"/>
    <mergeCell ref="H3:M3"/>
    <mergeCell ref="A5:A16"/>
    <mergeCell ref="A17:A25"/>
    <mergeCell ref="A26:A29"/>
    <mergeCell ref="A30:A32"/>
  </mergeCells>
  <dataValidations count="4">
    <dataValidation type="list" allowBlank="1" showInputMessage="1" showErrorMessage="1" sqref="B26">
      <formula1>"顶布[白]{全新},顶布[白]{A类},顶布[白]{B类},顶布[白]{C类},顶布[白]{D类}"</formula1>
    </dataValidation>
    <dataValidation type="list" allowBlank="1" showInputMessage="1" showErrorMessage="1" sqref="B27">
      <formula1>"山尖布[白]{全新},山尖布[白]{A类},山尖布[白]{B类},山尖布[白]{C类},山尖布[白]{D类}"</formula1>
    </dataValidation>
    <dataValidation type="list" allowBlank="1" showInputMessage="1" showErrorMessage="1" sqref="B28">
      <formula1>"围布[白]{全新},围布[白]{A类},围布[白]{B类},围布[白]{C类},围布[白]{D类},透光窗围布[白]{全新},透光窗围布[白]{A类},透光窗围布[白]{B类},透光窗围布[白]{C类},透光窗围布[白]{D类}"</formula1>
    </dataValidation>
    <dataValidation type="list" allowBlank="1" showInputMessage="1" showErrorMessage="1" sqref="B29">
      <formula1>"端围布[白]{全新},端围布[白]{A类},端围布[白]{B类},端围布[白]{C类},端围布[白]{D类},透光窗端围布[白]{全新},透光窗端围布[白]{A类},透光窗端围布[白]{B类},透光窗端围布[白]{C类},透光窗端围布[白]{D类}"</formula1>
    </dataValidation>
  </dataValidations>
  <printOptions horizontalCentered="1"/>
  <pageMargins left="0.388888888888889" right="0.388888888888889" top="0.588888888888889" bottom="0.279166666666667" header="0.159027777777778" footer="0.0791666666666667"/>
  <pageSetup paperSize="9" orientation="portrait"/>
  <headerFooter alignWithMargins="0" scaleWithDoc="0">
    <oddHeader>&amp;C&amp;"方正姚体,加粗"&amp;12高山篷房制造（沈阳）有限公司&amp;R&amp;"方正姚体,加粗"&amp;12 400-024-1800</oddHeader>
    <oddFooter>&amp;L&amp;"SimSun"&amp;9&amp;C&amp;"SimSun"&amp;9第 &amp;P 页，共 &amp;N 页&amp;R&amp;"SimSun"&amp;9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7030A0"/>
  </sheetPr>
  <dimension ref="A1:G21"/>
  <sheetViews>
    <sheetView showGridLines="0" workbookViewId="0">
      <selection activeCell="E31" sqref="E31"/>
    </sheetView>
  </sheetViews>
  <sheetFormatPr defaultColWidth="9" defaultRowHeight="14.25" outlineLevelCol="6"/>
  <cols>
    <col min="1" max="1" width="18.25" style="1" customWidth="1"/>
    <col min="2" max="2" width="21.375" style="1" customWidth="1"/>
    <col min="3" max="3" width="9" style="1"/>
    <col min="4" max="4" width="9.875" style="1" customWidth="1"/>
    <col min="5" max="6" width="9" style="1"/>
    <col min="7" max="7" width="13" style="1" customWidth="1"/>
    <col min="8" max="16384" width="9" style="1"/>
  </cols>
  <sheetData>
    <row r="1" spans="1:4">
      <c r="A1" s="2" t="str">
        <f ca="1">'数据修改（批量）'!A1</f>
        <v>上海有色铝锭价格</v>
      </c>
      <c r="B1" s="2"/>
      <c r="C1" s="2"/>
      <c r="D1" s="3"/>
    </row>
    <row r="2" spans="1:7">
      <c r="A2" s="4">
        <f ca="1">'数据修改（批量）'!A2</f>
        <v>16200</v>
      </c>
      <c r="B2" s="2" t="str">
        <f ca="1">'数据修改（批量）'!B2</f>
        <v>项目</v>
      </c>
      <c r="C2" s="2" t="str">
        <f ca="1">'数据修改（批量）'!C2</f>
        <v>加工费</v>
      </c>
      <c r="D2" s="2" t="str">
        <f ca="1">'数据修改（批量）'!D2</f>
        <v>包装物</v>
      </c>
      <c r="E2" s="2" t="str">
        <f ca="1">'数据修改（批量）'!E2</f>
        <v>运费</v>
      </c>
      <c r="F2" s="2" t="str">
        <f ca="1">'数据修改（批量）'!F2</f>
        <v>单价</v>
      </c>
      <c r="G2" s="2" t="str">
        <f ca="1">'数据修改（批量）'!G2</f>
        <v>每公斤价格</v>
      </c>
    </row>
    <row r="3" spans="1:7">
      <c r="A3" s="2"/>
      <c r="B3" s="2" t="str">
        <f ca="1">'数据修改（批量）'!B3</f>
        <v>203料</v>
      </c>
      <c r="C3" s="2">
        <f ca="1">'数据修改（批量）'!C3</f>
        <v>5500</v>
      </c>
      <c r="D3" s="2">
        <f ca="1">'数据修改（批量）'!D3</f>
        <v>868</v>
      </c>
      <c r="E3" s="2">
        <f ca="1">'数据修改（批量）'!E3</f>
        <v>80</v>
      </c>
      <c r="F3" s="2">
        <f ca="1">'数据修改（批量）'!F3</f>
        <v>22648</v>
      </c>
      <c r="G3" s="2">
        <f ca="1">'数据修改（批量）'!G3</f>
        <v>22.648</v>
      </c>
    </row>
    <row r="4" spans="1:7">
      <c r="A4" s="2"/>
      <c r="B4" s="2" t="str">
        <f ca="1">'数据修改（批量）'!B4</f>
        <v>203料氧化</v>
      </c>
      <c r="C4" s="2">
        <f ca="1">'数据修改（批量）'!C4</f>
        <v>6000</v>
      </c>
      <c r="D4" s="2">
        <f ca="1">'数据修改（批量）'!D4</f>
        <v>888</v>
      </c>
      <c r="E4" s="2">
        <f ca="1">'数据修改（批量）'!E4</f>
        <v>80</v>
      </c>
      <c r="F4" s="2">
        <f ca="1">'数据修改（批量）'!F4</f>
        <v>23168</v>
      </c>
      <c r="G4" s="2">
        <f ca="1">'数据修改（批量）'!G4</f>
        <v>23.168</v>
      </c>
    </row>
    <row r="5" spans="2:7">
      <c r="B5" s="2" t="str">
        <f ca="1">'数据修改（批量）'!B5</f>
        <v>小料加工费</v>
      </c>
      <c r="C5" s="2">
        <f ca="1">'数据修改（批量）'!C5</f>
        <v>4500</v>
      </c>
      <c r="D5" s="2">
        <f ca="1">'数据修改（批量）'!D5</f>
        <v>828</v>
      </c>
      <c r="E5" s="2">
        <f ca="1">'数据修改（批量）'!E5</f>
        <v>80</v>
      </c>
      <c r="F5" s="2">
        <f ca="1">'数据修改（批量）'!F5</f>
        <v>21608</v>
      </c>
      <c r="G5" s="2">
        <f ca="1">'数据修改（批量）'!G5</f>
        <v>21.608</v>
      </c>
    </row>
    <row r="6" spans="1:4">
      <c r="A6" s="2" t="str">
        <f ca="1">'数据修改（批量）'!A6</f>
        <v>南海有色铝锭价格</v>
      </c>
      <c r="D6" s="5"/>
    </row>
    <row r="7" spans="1:1">
      <c r="A7" s="4">
        <f ca="1">'数据修改（批量）'!A7</f>
        <v>16600</v>
      </c>
    </row>
    <row r="8" spans="2:7">
      <c r="B8" s="2" t="str">
        <f ca="1">'数据修改（批量）'!B8</f>
        <v>项目</v>
      </c>
      <c r="C8" s="2" t="str">
        <f ca="1">'数据修改（批量）'!C8</f>
        <v>加工费</v>
      </c>
      <c r="D8" s="2" t="str">
        <f ca="1">'数据修改（批量）'!D8</f>
        <v>包装物</v>
      </c>
      <c r="E8" s="2" t="str">
        <f ca="1">'数据修改（批量）'!E8</f>
        <v>运费</v>
      </c>
      <c r="F8" s="2" t="str">
        <f ca="1">'数据修改（批量）'!F8</f>
        <v>单价</v>
      </c>
      <c r="G8" s="2" t="str">
        <f ca="1">'数据修改（批量）'!G8</f>
        <v>每公斤价格</v>
      </c>
    </row>
    <row r="9" spans="2:7">
      <c r="B9" s="2" t="str">
        <f ca="1">'数据修改（批量）'!B9</f>
        <v>300/350料8米以上</v>
      </c>
      <c r="C9" s="2">
        <f ca="1">'数据修改（批量）'!C9</f>
        <v>7800</v>
      </c>
      <c r="D9" s="2">
        <f ca="1">'数据修改（批量）'!D9</f>
        <v>976</v>
      </c>
      <c r="E9" s="2">
        <f ca="1">'数据修改（批量）'!E9</f>
        <v>1000</v>
      </c>
      <c r="F9" s="2">
        <f ca="1">'数据修改（批量）'!F9</f>
        <v>26376</v>
      </c>
      <c r="G9" s="2">
        <f ca="1">'数据修改（批量）'!G9</f>
        <v>26.376</v>
      </c>
    </row>
    <row r="10" spans="2:7">
      <c r="B10" s="2" t="str">
        <f ca="1">'数据修改（批量）'!B10</f>
        <v>300/350料8米以下</v>
      </c>
      <c r="C10" s="2">
        <f ca="1">'数据修改（批量）'!C10</f>
        <v>7100</v>
      </c>
      <c r="D10" s="2">
        <f ca="1">'数据修改（批量）'!D10</f>
        <v>948</v>
      </c>
      <c r="E10" s="2">
        <f ca="1">'数据修改（批量）'!E10</f>
        <v>1000</v>
      </c>
      <c r="F10" s="2">
        <f ca="1">'数据修改（批量）'!F10</f>
        <v>25648</v>
      </c>
      <c r="G10" s="2">
        <f ca="1">'数据修改（批量）'!G10</f>
        <v>25.648</v>
      </c>
    </row>
    <row r="12" spans="1:4">
      <c r="A12" s="2" t="str">
        <f ca="1">'数据修改（批量）'!A12</f>
        <v>篷布</v>
      </c>
      <c r="B12" s="2"/>
      <c r="C12" s="2"/>
      <c r="D12" s="3"/>
    </row>
    <row r="13" spans="1:7">
      <c r="A13" s="2"/>
      <c r="B13" s="2" t="str">
        <f ca="1">'数据修改（批量）'!B13</f>
        <v>项目</v>
      </c>
      <c r="C13" s="2" t="str">
        <f ca="1">'数据修改（批量）'!C13</f>
        <v>运费</v>
      </c>
      <c r="D13" s="2" t="str">
        <f ca="1">'数据修改（批量）'!D13</f>
        <v>单价</v>
      </c>
      <c r="E13" s="2" t="str">
        <f ca="1">'数据修改（批量）'!E13</f>
        <v>每平价格</v>
      </c>
      <c r="F13" s="2"/>
      <c r="G13" s="2"/>
    </row>
    <row r="14" spans="1:7">
      <c r="A14" s="2"/>
      <c r="B14" s="2">
        <f ca="1">'数据修改（批量）'!B14</f>
        <v>650</v>
      </c>
      <c r="C14" s="2">
        <f ca="1">'数据修改（批量）'!C14</f>
        <v>0.5</v>
      </c>
      <c r="D14" s="4">
        <f ca="1">'数据修改（批量）'!D14</f>
        <v>13.8</v>
      </c>
      <c r="E14" s="2">
        <f ca="1">'数据修改（批量）'!E14</f>
        <v>14.3</v>
      </c>
      <c r="F14" s="2"/>
      <c r="G14" s="2"/>
    </row>
    <row r="15" spans="1:7">
      <c r="A15" s="2"/>
      <c r="B15" s="2">
        <f ca="1">'数据修改（批量）'!B15</f>
        <v>780</v>
      </c>
      <c r="C15" s="2">
        <f ca="1">'数据修改（批量）'!C15</f>
        <v>0.5</v>
      </c>
      <c r="D15" s="4">
        <f ca="1">'数据修改（批量）'!D15</f>
        <v>16.8</v>
      </c>
      <c r="E15" s="2">
        <f ca="1">'数据修改（批量）'!E15</f>
        <v>17.3</v>
      </c>
      <c r="F15" s="2"/>
      <c r="G15" s="2"/>
    </row>
    <row r="16" spans="2:7">
      <c r="B16" s="2">
        <f ca="1">'数据修改（批量）'!B16</f>
        <v>850</v>
      </c>
      <c r="C16" s="2">
        <f ca="1">'数据修改（批量）'!C16</f>
        <v>0.5</v>
      </c>
      <c r="D16" s="4">
        <f ca="1">'数据修改（批量）'!D16</f>
        <v>18</v>
      </c>
      <c r="E16" s="2">
        <f ca="1">'数据修改（批量）'!E16</f>
        <v>18.5</v>
      </c>
      <c r="F16" s="2"/>
      <c r="G16" s="2"/>
    </row>
    <row r="21" spans="1:7">
      <c r="A21" s="6" t="str">
        <f ca="1">'数据修改（批量）'!A21</f>
        <v>说明：黄色部分可以根据价格修改</v>
      </c>
      <c r="B21" s="6"/>
      <c r="C21" s="6"/>
      <c r="D21" s="6"/>
      <c r="E21" s="6"/>
      <c r="F21" s="6"/>
      <c r="G21" s="6"/>
    </row>
  </sheetData>
  <mergeCells count="1">
    <mergeCell ref="A21:G21"/>
  </mergeCells>
  <pageMargins left="0.75" right="0.75" top="1" bottom="1" header="0.509027777777778" footer="0.509027777777778"/>
  <headerFooter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FF0000"/>
  </sheetPr>
  <dimension ref="A1:T75"/>
  <sheetViews>
    <sheetView showGridLines="0" workbookViewId="0">
      <selection activeCell="B10" sqref="B10"/>
    </sheetView>
  </sheetViews>
  <sheetFormatPr defaultColWidth="9" defaultRowHeight="14.25"/>
  <cols>
    <col min="1" max="1" width="3" style="1" customWidth="1"/>
    <col min="2" max="2" width="16.75" style="1" customWidth="1"/>
    <col min="3" max="3" width="7.5" style="3" customWidth="1"/>
    <col min="4" max="4" width="8" style="1" customWidth="1"/>
    <col min="5" max="5" width="10.125" style="3" customWidth="1"/>
    <col min="6" max="6" width="11.625" style="1" customWidth="1"/>
    <col min="7" max="7" width="15" style="1" customWidth="1"/>
    <col min="8" max="8" width="11.625" style="1" customWidth="1"/>
    <col min="9" max="9" width="16" style="1" customWidth="1"/>
    <col min="10" max="10" width="15.25" style="1" customWidth="1"/>
    <col min="11" max="11" width="11.625" style="1" customWidth="1"/>
    <col min="12" max="12" width="15.75" style="1" customWidth="1"/>
    <col min="13" max="13" width="11.625" style="1" customWidth="1"/>
    <col min="14" max="14" width="67.25" style="1" customWidth="1"/>
    <col min="15" max="15" width="9.75" style="1" customWidth="1"/>
    <col min="16" max="18" width="9" style="3"/>
    <col min="19" max="19" width="12.75" style="3" hidden="1" customWidth="1"/>
    <col min="20" max="20" width="9" style="1" hidden="1" customWidth="1"/>
    <col min="21" max="16384" width="9" style="1"/>
  </cols>
  <sheetData>
    <row r="1" ht="15" customHeight="1" spans="1:15">
      <c r="A1" s="72" t="s">
        <v>1327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</row>
    <row r="2" ht="15" customHeight="1" spans="1:18">
      <c r="A2" s="141" t="s">
        <v>1246</v>
      </c>
      <c r="B2" s="141"/>
      <c r="C2" s="141"/>
      <c r="D2" s="9" t="s">
        <v>1198</v>
      </c>
      <c r="E2" s="10">
        <f>A3*3*8</f>
        <v>48</v>
      </c>
      <c r="F2" s="11" t="s">
        <v>1202</v>
      </c>
      <c r="G2" s="11"/>
      <c r="H2" s="11"/>
      <c r="I2" s="11"/>
      <c r="J2" s="11"/>
      <c r="K2" s="11"/>
      <c r="L2" s="11"/>
      <c r="M2" s="11"/>
      <c r="N2" s="11"/>
      <c r="O2" s="162"/>
      <c r="P2" s="55"/>
      <c r="Q2" s="55"/>
      <c r="R2" s="55"/>
    </row>
    <row r="3" ht="15" customHeight="1" spans="1:18">
      <c r="A3" s="177">
        <v>2</v>
      </c>
      <c r="B3" s="177"/>
      <c r="C3" s="178" t="s">
        <v>1247</v>
      </c>
      <c r="D3" s="179">
        <v>3</v>
      </c>
      <c r="E3" s="189" t="s">
        <v>1248</v>
      </c>
      <c r="F3" s="246">
        <v>2</v>
      </c>
      <c r="G3" s="189" t="s">
        <v>1249</v>
      </c>
      <c r="H3" s="247"/>
      <c r="I3" s="110"/>
      <c r="J3" s="110"/>
      <c r="K3" s="110"/>
      <c r="L3" s="110"/>
      <c r="M3" s="265"/>
      <c r="N3" s="266"/>
      <c r="P3" s="55"/>
      <c r="Q3" s="55"/>
      <c r="R3" s="55"/>
    </row>
    <row r="4" ht="15" customHeight="1" spans="1:20">
      <c r="A4" s="165" t="s">
        <v>1200</v>
      </c>
      <c r="B4" s="165" t="s">
        <v>1201</v>
      </c>
      <c r="C4" s="165" t="s">
        <v>1250</v>
      </c>
      <c r="D4" s="165" t="s">
        <v>22</v>
      </c>
      <c r="E4" s="165" t="s">
        <v>1251</v>
      </c>
      <c r="F4" s="139" t="s">
        <v>1204</v>
      </c>
      <c r="G4" s="75" t="s">
        <v>1252</v>
      </c>
      <c r="H4" s="75" t="s">
        <v>1253</v>
      </c>
      <c r="I4" s="75" t="s">
        <v>1254</v>
      </c>
      <c r="J4" s="75" t="s">
        <v>1255</v>
      </c>
      <c r="K4" s="75" t="s">
        <v>1209</v>
      </c>
      <c r="L4" s="75" t="s">
        <v>1256</v>
      </c>
      <c r="M4" s="75" t="s">
        <v>1211</v>
      </c>
      <c r="N4" s="163" t="s">
        <v>1257</v>
      </c>
      <c r="O4" s="267" t="s">
        <v>1212</v>
      </c>
      <c r="P4" s="268" t="s">
        <v>1258</v>
      </c>
      <c r="Q4" s="285" t="s">
        <v>1259</v>
      </c>
      <c r="R4" s="286" t="s">
        <v>1213</v>
      </c>
      <c r="S4" s="287" t="s">
        <v>1260</v>
      </c>
      <c r="T4" s="286" t="s">
        <v>1213</v>
      </c>
    </row>
    <row r="5" spans="1:20">
      <c r="A5" s="153" t="s">
        <v>1215</v>
      </c>
      <c r="B5" s="91" t="s">
        <v>1224</v>
      </c>
      <c r="C5" s="23"/>
      <c r="D5" s="23" t="s">
        <v>28</v>
      </c>
      <c r="E5" s="24">
        <f>D3*2</f>
        <v>6</v>
      </c>
      <c r="F5" s="248">
        <f ca="1">G5+H5+I5+J5+K5+L5+M5</f>
        <v>142.425124928</v>
      </c>
      <c r="G5" s="249">
        <f>5.34/2</f>
        <v>2.67</v>
      </c>
      <c r="H5" s="249">
        <v>2.168</v>
      </c>
      <c r="I5" s="269">
        <f ca="1">G5*H5*'8米（人字84料）参数'!G5*1.1</f>
        <v>137.587124928</v>
      </c>
      <c r="J5" s="270"/>
      <c r="K5" s="270"/>
      <c r="L5" s="270"/>
      <c r="M5" s="270"/>
      <c r="N5" s="271" t="s">
        <v>1261</v>
      </c>
      <c r="O5" s="272">
        <v>4</v>
      </c>
      <c r="P5" s="60">
        <f ca="1" t="shared" ref="P5:P32" si="0">F5*O5</f>
        <v>569.700499712</v>
      </c>
      <c r="Q5" s="288">
        <f t="shared" ref="Q5:Q32" si="1">E5-O5</f>
        <v>2</v>
      </c>
      <c r="R5" s="67">
        <f ca="1" t="shared" ref="R5:R32" si="2">F5*Q5</f>
        <v>284.850249856</v>
      </c>
      <c r="S5" s="60">
        <v>0</v>
      </c>
      <c r="T5" s="289">
        <f ca="1" t="shared" ref="T5:T13" si="3">F5*S5</f>
        <v>0</v>
      </c>
    </row>
    <row r="6" spans="1:20">
      <c r="A6" s="153"/>
      <c r="B6" s="91" t="s">
        <v>1308</v>
      </c>
      <c r="C6" s="23"/>
      <c r="D6" s="23" t="s">
        <v>28</v>
      </c>
      <c r="E6" s="24">
        <f>F3</f>
        <v>2</v>
      </c>
      <c r="F6" s="248">
        <f ca="1">G6+H6+I6+J6+K6+L6+M6</f>
        <v>216.0910336</v>
      </c>
      <c r="G6" s="250">
        <v>4</v>
      </c>
      <c r="H6" s="250">
        <v>2.168</v>
      </c>
      <c r="I6" s="101">
        <f ca="1">G6*H6*'8米（人字84料）参数'!G5*1.1</f>
        <v>206.1230336</v>
      </c>
      <c r="J6" s="261"/>
      <c r="K6" s="261">
        <v>2.5</v>
      </c>
      <c r="L6" s="261"/>
      <c r="M6" s="261">
        <f>0.65*2</f>
        <v>1.3</v>
      </c>
      <c r="N6" s="271" t="s">
        <v>1309</v>
      </c>
      <c r="O6" s="272">
        <v>2</v>
      </c>
      <c r="P6" s="60">
        <f ca="1" t="shared" si="0"/>
        <v>432.1820672</v>
      </c>
      <c r="Q6" s="67">
        <f t="shared" si="1"/>
        <v>0</v>
      </c>
      <c r="R6" s="67">
        <f ca="1" t="shared" si="2"/>
        <v>0</v>
      </c>
      <c r="S6" s="47">
        <f>F3-O6</f>
        <v>0</v>
      </c>
      <c r="T6" s="289">
        <f ca="1" t="shared" si="3"/>
        <v>0</v>
      </c>
    </row>
    <row r="7" spans="1:20">
      <c r="A7" s="153"/>
      <c r="B7" s="91" t="s">
        <v>1225</v>
      </c>
      <c r="C7" s="23"/>
      <c r="D7" s="23" t="s">
        <v>28</v>
      </c>
      <c r="E7" s="24">
        <f>D3*2</f>
        <v>6</v>
      </c>
      <c r="F7" s="248">
        <f ca="1">G7+H7+I7+J7+K7+L7+M7</f>
        <v>235.07679904</v>
      </c>
      <c r="G7" s="251">
        <v>4.35</v>
      </c>
      <c r="H7" s="251">
        <v>2.168</v>
      </c>
      <c r="I7" s="61">
        <f ca="1">G7*H7*'8米（人字84料）参数'!G5*1.1</f>
        <v>224.15879904</v>
      </c>
      <c r="J7" s="273">
        <f>1.2*2</f>
        <v>2.4</v>
      </c>
      <c r="K7" s="273"/>
      <c r="L7" s="273">
        <f>1*2</f>
        <v>2</v>
      </c>
      <c r="M7" s="273"/>
      <c r="N7" s="271" t="s">
        <v>1328</v>
      </c>
      <c r="O7" s="274">
        <v>4</v>
      </c>
      <c r="P7" s="60">
        <f ca="1" t="shared" si="0"/>
        <v>940.30719616</v>
      </c>
      <c r="Q7" s="288">
        <f t="shared" si="1"/>
        <v>2</v>
      </c>
      <c r="R7" s="67">
        <f ca="1" t="shared" si="2"/>
        <v>470.15359808</v>
      </c>
      <c r="S7" s="60">
        <v>0</v>
      </c>
      <c r="T7" s="289">
        <f ca="1" t="shared" si="3"/>
        <v>0</v>
      </c>
    </row>
    <row r="8" spans="1:20">
      <c r="A8" s="153"/>
      <c r="B8" s="91" t="s">
        <v>1226</v>
      </c>
      <c r="C8" s="23"/>
      <c r="D8" s="23" t="s">
        <v>28</v>
      </c>
      <c r="E8" s="24">
        <f>A3*3</f>
        <v>6</v>
      </c>
      <c r="F8" s="248">
        <f ca="1">I8+J8+K8+L8+M8</f>
        <v>61.76684516</v>
      </c>
      <c r="G8" s="252">
        <f>5.9/2</f>
        <v>2.95</v>
      </c>
      <c r="H8" s="252">
        <v>0.821</v>
      </c>
      <c r="I8" s="61">
        <f ca="1">G8*H8*'8米（人字84料）参数'!G5*1.1</f>
        <v>57.56684516</v>
      </c>
      <c r="J8" s="262"/>
      <c r="K8" s="262"/>
      <c r="L8" s="262">
        <f>0.3*2</f>
        <v>0.6</v>
      </c>
      <c r="M8" s="262">
        <f>1.8*2</f>
        <v>3.6</v>
      </c>
      <c r="N8" s="271" t="s">
        <v>1263</v>
      </c>
      <c r="O8" s="272">
        <v>3</v>
      </c>
      <c r="P8" s="60">
        <f ca="1" t="shared" si="0"/>
        <v>185.30053548</v>
      </c>
      <c r="Q8" s="288">
        <f t="shared" si="1"/>
        <v>3</v>
      </c>
      <c r="R8" s="67">
        <f ca="1" t="shared" si="2"/>
        <v>185.30053548</v>
      </c>
      <c r="S8" s="60"/>
      <c r="T8" s="289">
        <f ca="1" t="shared" si="3"/>
        <v>0</v>
      </c>
    </row>
    <row r="9" spans="1:20">
      <c r="A9" s="153"/>
      <c r="B9" s="91" t="s">
        <v>1264</v>
      </c>
      <c r="C9" s="23"/>
      <c r="D9" s="23" t="s">
        <v>28</v>
      </c>
      <c r="E9" s="24">
        <f>A3*2</f>
        <v>4</v>
      </c>
      <c r="F9" s="248">
        <f ca="1">I9+J9+K9+L9+M9</f>
        <v>110.21835552</v>
      </c>
      <c r="G9" s="252">
        <f>5.9/2</f>
        <v>2.95</v>
      </c>
      <c r="H9" s="252">
        <v>1.512</v>
      </c>
      <c r="I9" s="61">
        <f ca="1">G9*H9*'8米（人字84料）参数'!G5*1.1</f>
        <v>106.01835552</v>
      </c>
      <c r="J9" s="262"/>
      <c r="K9" s="262"/>
      <c r="L9" s="262">
        <f>0.3*2</f>
        <v>0.6</v>
      </c>
      <c r="M9" s="262">
        <f>1.8*2</f>
        <v>3.6</v>
      </c>
      <c r="N9" s="271" t="s">
        <v>1265</v>
      </c>
      <c r="O9" s="272">
        <v>2</v>
      </c>
      <c r="P9" s="60">
        <f ca="1" t="shared" si="0"/>
        <v>220.43671104</v>
      </c>
      <c r="Q9" s="288">
        <f t="shared" si="1"/>
        <v>2</v>
      </c>
      <c r="R9" s="67">
        <f ca="1" t="shared" si="2"/>
        <v>220.43671104</v>
      </c>
      <c r="S9" s="60"/>
      <c r="T9" s="289">
        <f ca="1" t="shared" si="3"/>
        <v>0</v>
      </c>
    </row>
    <row r="10" spans="1:20">
      <c r="A10" s="153"/>
      <c r="B10" s="91" t="s">
        <v>1266</v>
      </c>
      <c r="C10" s="23"/>
      <c r="D10" s="23" t="s">
        <v>28</v>
      </c>
      <c r="E10" s="24">
        <f>A3*2</f>
        <v>4</v>
      </c>
      <c r="F10" s="248">
        <f>I10+J10+K10+L10+M10</f>
        <v>45</v>
      </c>
      <c r="G10" s="252">
        <f>5.86/2</f>
        <v>2.93</v>
      </c>
      <c r="H10" s="252">
        <v>0.868</v>
      </c>
      <c r="I10" s="61">
        <v>45</v>
      </c>
      <c r="J10" s="262"/>
      <c r="K10" s="262"/>
      <c r="L10" s="262"/>
      <c r="M10" s="262"/>
      <c r="N10" s="271" t="s">
        <v>1267</v>
      </c>
      <c r="O10" s="272">
        <v>2</v>
      </c>
      <c r="P10" s="60">
        <f ca="1" t="shared" si="0"/>
        <v>90</v>
      </c>
      <c r="Q10" s="288">
        <f t="shared" si="1"/>
        <v>2</v>
      </c>
      <c r="R10" s="67">
        <f ca="1" t="shared" si="2"/>
        <v>90</v>
      </c>
      <c r="S10" s="60"/>
      <c r="T10" s="289">
        <f ca="1" t="shared" si="3"/>
        <v>0</v>
      </c>
    </row>
    <row r="11" spans="1:20">
      <c r="A11" s="153"/>
      <c r="B11" s="91" t="s">
        <v>1268</v>
      </c>
      <c r="C11" s="23"/>
      <c r="D11" s="23" t="s">
        <v>28</v>
      </c>
      <c r="E11" s="24">
        <f>F3*2</f>
        <v>4</v>
      </c>
      <c r="F11" s="248">
        <f>I11+J11+K11+L11+M11</f>
        <v>60</v>
      </c>
      <c r="G11" s="250">
        <v>4</v>
      </c>
      <c r="H11" s="250">
        <v>0.868</v>
      </c>
      <c r="I11" s="61">
        <v>60</v>
      </c>
      <c r="J11" s="261"/>
      <c r="K11" s="261"/>
      <c r="L11" s="261"/>
      <c r="M11" s="261"/>
      <c r="N11" s="271" t="s">
        <v>1329</v>
      </c>
      <c r="O11" s="272">
        <v>4</v>
      </c>
      <c r="P11" s="60">
        <f ca="1" t="shared" si="0"/>
        <v>240</v>
      </c>
      <c r="Q11" s="67">
        <f t="shared" si="1"/>
        <v>0</v>
      </c>
      <c r="R11" s="67">
        <f ca="1" t="shared" si="2"/>
        <v>0</v>
      </c>
      <c r="S11" s="47">
        <f>F3*2-O11</f>
        <v>0</v>
      </c>
      <c r="T11" s="289">
        <f ca="1" t="shared" si="3"/>
        <v>0</v>
      </c>
    </row>
    <row r="12" spans="1:20">
      <c r="A12" s="153"/>
      <c r="B12" s="253" t="s">
        <v>1270</v>
      </c>
      <c r="C12" s="254"/>
      <c r="D12" s="254" t="s">
        <v>28</v>
      </c>
      <c r="E12" s="255">
        <v>3</v>
      </c>
      <c r="F12" s="248">
        <f>I12+J12+K12+L12+M12</f>
        <v>53.84</v>
      </c>
      <c r="G12" s="256">
        <v>12</v>
      </c>
      <c r="H12" s="256">
        <v>3.6</v>
      </c>
      <c r="I12" s="248">
        <f>G12*H12*1.2</f>
        <v>51.84</v>
      </c>
      <c r="J12" s="275"/>
      <c r="K12" s="275"/>
      <c r="L12" s="275">
        <v>2</v>
      </c>
      <c r="M12" s="275"/>
      <c r="N12" s="271" t="s">
        <v>1271</v>
      </c>
      <c r="O12" s="276">
        <v>2</v>
      </c>
      <c r="P12" s="277">
        <f ca="1" t="shared" si="0"/>
        <v>107.68</v>
      </c>
      <c r="Q12" s="290">
        <f t="shared" si="1"/>
        <v>1</v>
      </c>
      <c r="R12" s="290">
        <f ca="1" t="shared" si="2"/>
        <v>53.84</v>
      </c>
      <c r="S12" s="60"/>
      <c r="T12" s="289">
        <f ca="1" t="shared" si="3"/>
        <v>0</v>
      </c>
    </row>
    <row r="13" spans="1:20">
      <c r="A13" s="153"/>
      <c r="B13" s="91" t="s">
        <v>1272</v>
      </c>
      <c r="C13" s="23"/>
      <c r="D13" s="23" t="s">
        <v>28</v>
      </c>
      <c r="E13" s="32">
        <f>E12*2</f>
        <v>6</v>
      </c>
      <c r="F13" s="248">
        <v>51</v>
      </c>
      <c r="G13" s="256"/>
      <c r="H13" s="256"/>
      <c r="I13" s="248"/>
      <c r="J13" s="262"/>
      <c r="K13" s="262"/>
      <c r="L13" s="262"/>
      <c r="M13" s="262"/>
      <c r="N13" s="271" t="s">
        <v>1273</v>
      </c>
      <c r="O13" s="278">
        <v>4</v>
      </c>
      <c r="P13" s="60">
        <f ca="1" t="shared" si="0"/>
        <v>204</v>
      </c>
      <c r="Q13" s="67">
        <f t="shared" si="1"/>
        <v>2</v>
      </c>
      <c r="R13" s="67">
        <f ca="1" t="shared" si="2"/>
        <v>102</v>
      </c>
      <c r="S13" s="60"/>
      <c r="T13" s="289">
        <f ca="1" t="shared" si="3"/>
        <v>0</v>
      </c>
    </row>
    <row r="14" spans="1:20">
      <c r="A14" s="153"/>
      <c r="B14" s="91" t="s">
        <v>1320</v>
      </c>
      <c r="C14" s="23"/>
      <c r="D14" s="23" t="s">
        <v>28</v>
      </c>
      <c r="E14" s="24">
        <f>E29</f>
        <v>4</v>
      </c>
      <c r="F14" s="101">
        <v>16</v>
      </c>
      <c r="G14" s="148"/>
      <c r="H14" s="148"/>
      <c r="I14" s="101"/>
      <c r="J14" s="261"/>
      <c r="K14" s="261"/>
      <c r="L14" s="261"/>
      <c r="M14" s="261"/>
      <c r="N14" s="271" t="s">
        <v>1330</v>
      </c>
      <c r="O14" s="278">
        <v>4</v>
      </c>
      <c r="P14" s="60">
        <f ca="1" t="shared" si="0"/>
        <v>64</v>
      </c>
      <c r="Q14" s="67">
        <f t="shared" si="1"/>
        <v>0</v>
      </c>
      <c r="R14" s="67">
        <f ca="1" t="shared" si="2"/>
        <v>0</v>
      </c>
      <c r="S14" s="60"/>
      <c r="T14" s="289"/>
    </row>
    <row r="15" spans="1:20">
      <c r="A15" s="153"/>
      <c r="B15" s="91" t="s">
        <v>1274</v>
      </c>
      <c r="C15" s="23"/>
      <c r="D15" s="23" t="s">
        <v>28</v>
      </c>
      <c r="E15" s="24">
        <f>E28</f>
        <v>4</v>
      </c>
      <c r="F15" s="101">
        <v>11</v>
      </c>
      <c r="G15" s="148"/>
      <c r="H15" s="148"/>
      <c r="I15" s="101"/>
      <c r="J15" s="261"/>
      <c r="K15" s="261"/>
      <c r="L15" s="261"/>
      <c r="M15" s="261"/>
      <c r="N15" s="271" t="s">
        <v>1275</v>
      </c>
      <c r="O15" s="278">
        <v>2</v>
      </c>
      <c r="P15" s="60">
        <f ca="1" t="shared" si="0"/>
        <v>22</v>
      </c>
      <c r="Q15" s="67">
        <f t="shared" si="1"/>
        <v>2</v>
      </c>
      <c r="R15" s="67">
        <f ca="1" t="shared" si="2"/>
        <v>22</v>
      </c>
      <c r="S15" s="60"/>
      <c r="T15" s="289"/>
    </row>
    <row r="16" spans="1:20">
      <c r="A16" s="153"/>
      <c r="B16" s="91" t="s">
        <v>1276</v>
      </c>
      <c r="C16" s="23"/>
      <c r="D16" s="23" t="s">
        <v>28</v>
      </c>
      <c r="E16" s="28">
        <f>F3*2</f>
        <v>4</v>
      </c>
      <c r="F16" s="61">
        <f ca="1">I16+J16+K16+L16+M16</f>
        <v>214.631188096</v>
      </c>
      <c r="G16" s="95">
        <v>3.94</v>
      </c>
      <c r="H16" s="95">
        <v>2.168</v>
      </c>
      <c r="I16" s="61">
        <f ca="1">G16*H16*'8米（人字84料）参数'!G5*1.1</f>
        <v>203.031188096</v>
      </c>
      <c r="J16" s="61"/>
      <c r="K16" s="61">
        <f>2*5</f>
        <v>10</v>
      </c>
      <c r="L16" s="61">
        <f>2*0.8</f>
        <v>1.6</v>
      </c>
      <c r="M16" s="61"/>
      <c r="N16" s="271" t="s">
        <v>1322</v>
      </c>
      <c r="O16" s="272">
        <v>4</v>
      </c>
      <c r="P16" s="60">
        <f ca="1" t="shared" si="0"/>
        <v>858.524752384</v>
      </c>
      <c r="Q16" s="67">
        <f t="shared" si="1"/>
        <v>0</v>
      </c>
      <c r="R16" s="67">
        <f ca="1" t="shared" si="2"/>
        <v>0</v>
      </c>
      <c r="S16" s="47">
        <f>F3*2-O16</f>
        <v>0</v>
      </c>
      <c r="T16" s="289">
        <f ca="1" t="shared" ref="T16:T31" si="4">F16*S16</f>
        <v>0</v>
      </c>
    </row>
    <row r="17" spans="1:20">
      <c r="A17" s="153" t="s">
        <v>1278</v>
      </c>
      <c r="B17" s="91" t="s">
        <v>514</v>
      </c>
      <c r="C17" s="23"/>
      <c r="D17" s="23" t="s">
        <v>434</v>
      </c>
      <c r="E17" s="23">
        <f>F3*2</f>
        <v>4</v>
      </c>
      <c r="F17" s="257">
        <v>46.8</v>
      </c>
      <c r="G17" s="192"/>
      <c r="H17" s="192"/>
      <c r="I17" s="279"/>
      <c r="J17" s="257"/>
      <c r="K17" s="257"/>
      <c r="L17" s="257"/>
      <c r="M17" s="257"/>
      <c r="N17" s="271" t="s">
        <v>1323</v>
      </c>
      <c r="O17" s="280">
        <v>4</v>
      </c>
      <c r="P17" s="60">
        <f ca="1" t="shared" si="0"/>
        <v>187.2</v>
      </c>
      <c r="Q17" s="67">
        <f t="shared" si="1"/>
        <v>0</v>
      </c>
      <c r="R17" s="67">
        <f ca="1" t="shared" si="2"/>
        <v>0</v>
      </c>
      <c r="S17" s="60"/>
      <c r="T17" s="289">
        <f ca="1" t="shared" si="4"/>
        <v>0</v>
      </c>
    </row>
    <row r="18" spans="1:20">
      <c r="A18" s="153"/>
      <c r="B18" s="91" t="s">
        <v>512</v>
      </c>
      <c r="C18" s="23"/>
      <c r="D18" s="23" t="s">
        <v>434</v>
      </c>
      <c r="E18" s="23">
        <f>D3*2-F3*2</f>
        <v>2</v>
      </c>
      <c r="F18" s="258">
        <v>22.8</v>
      </c>
      <c r="G18" s="259"/>
      <c r="H18" s="259"/>
      <c r="I18" s="281"/>
      <c r="J18" s="258"/>
      <c r="K18" s="258"/>
      <c r="L18" s="258"/>
      <c r="M18" s="258"/>
      <c r="N18" s="271" t="s">
        <v>1279</v>
      </c>
      <c r="O18" s="282">
        <v>0</v>
      </c>
      <c r="P18" s="60">
        <f ca="1" t="shared" si="0"/>
        <v>0</v>
      </c>
      <c r="Q18" s="288">
        <f t="shared" si="1"/>
        <v>2</v>
      </c>
      <c r="R18" s="67">
        <f ca="1" t="shared" si="2"/>
        <v>45.6</v>
      </c>
      <c r="S18" s="60"/>
      <c r="T18" s="289">
        <f ca="1" t="shared" si="4"/>
        <v>0</v>
      </c>
    </row>
    <row r="19" spans="1:20">
      <c r="A19" s="153"/>
      <c r="B19" s="91" t="s">
        <v>1304</v>
      </c>
      <c r="C19" s="23"/>
      <c r="D19" s="23" t="s">
        <v>434</v>
      </c>
      <c r="E19" s="24">
        <f>D3</f>
        <v>3</v>
      </c>
      <c r="F19" s="261">
        <v>55</v>
      </c>
      <c r="G19" s="148"/>
      <c r="H19" s="148"/>
      <c r="I19" s="101"/>
      <c r="J19" s="261"/>
      <c r="K19" s="261"/>
      <c r="L19" s="261"/>
      <c r="M19" s="261"/>
      <c r="N19" s="271" t="s">
        <v>1305</v>
      </c>
      <c r="O19" s="272">
        <v>2</v>
      </c>
      <c r="P19" s="60">
        <f ca="1" t="shared" si="0"/>
        <v>110</v>
      </c>
      <c r="Q19" s="288">
        <f t="shared" si="1"/>
        <v>1</v>
      </c>
      <c r="R19" s="67">
        <f ca="1" t="shared" si="2"/>
        <v>55</v>
      </c>
      <c r="S19" s="60"/>
      <c r="T19" s="289">
        <f ca="1" t="shared" si="4"/>
        <v>0</v>
      </c>
    </row>
    <row r="20" spans="1:20">
      <c r="A20" s="153"/>
      <c r="B20" s="91" t="s">
        <v>1310</v>
      </c>
      <c r="C20" s="23"/>
      <c r="D20" s="23" t="s">
        <v>434</v>
      </c>
      <c r="E20" s="24">
        <f>E6</f>
        <v>2</v>
      </c>
      <c r="F20" s="262">
        <v>13.5</v>
      </c>
      <c r="G20" s="256"/>
      <c r="H20" s="256"/>
      <c r="I20" s="248"/>
      <c r="J20" s="262"/>
      <c r="K20" s="262"/>
      <c r="L20" s="262"/>
      <c r="M20" s="262"/>
      <c r="N20" s="271" t="s">
        <v>1311</v>
      </c>
      <c r="O20" s="272">
        <v>2</v>
      </c>
      <c r="P20" s="60">
        <f ca="1" t="shared" si="0"/>
        <v>27</v>
      </c>
      <c r="Q20" s="67">
        <f t="shared" si="1"/>
        <v>0</v>
      </c>
      <c r="R20" s="67">
        <f ca="1" t="shared" si="2"/>
        <v>0</v>
      </c>
      <c r="S20" s="47">
        <f>F3-O20</f>
        <v>0</v>
      </c>
      <c r="T20" s="289">
        <f ca="1" t="shared" si="4"/>
        <v>0</v>
      </c>
    </row>
    <row r="21" spans="1:20">
      <c r="A21" s="153"/>
      <c r="B21" s="91" t="s">
        <v>1280</v>
      </c>
      <c r="C21" s="23"/>
      <c r="D21" s="23" t="s">
        <v>434</v>
      </c>
      <c r="E21" s="28">
        <f>E5</f>
        <v>6</v>
      </c>
      <c r="F21" s="263">
        <v>10.8</v>
      </c>
      <c r="G21" s="256"/>
      <c r="H21" s="256"/>
      <c r="I21" s="248"/>
      <c r="J21" s="263"/>
      <c r="K21" s="263"/>
      <c r="L21" s="263"/>
      <c r="M21" s="263"/>
      <c r="N21" s="271" t="s">
        <v>1281</v>
      </c>
      <c r="O21" s="272">
        <v>4</v>
      </c>
      <c r="P21" s="60">
        <f ca="1" t="shared" si="0"/>
        <v>43.2</v>
      </c>
      <c r="Q21" s="288">
        <f t="shared" si="1"/>
        <v>2</v>
      </c>
      <c r="R21" s="67">
        <f ca="1" t="shared" si="2"/>
        <v>21.6</v>
      </c>
      <c r="S21" s="60"/>
      <c r="T21" s="289">
        <f ca="1" t="shared" si="4"/>
        <v>0</v>
      </c>
    </row>
    <row r="22" spans="1:20">
      <c r="A22" s="153"/>
      <c r="B22" s="91" t="s">
        <v>1282</v>
      </c>
      <c r="C22" s="23"/>
      <c r="D22" s="23" t="s">
        <v>434</v>
      </c>
      <c r="E22" s="24">
        <f>D3*2-F3*2+F3</f>
        <v>4</v>
      </c>
      <c r="F22" s="262">
        <v>2</v>
      </c>
      <c r="G22" s="256"/>
      <c r="H22" s="256"/>
      <c r="I22" s="248"/>
      <c r="J22" s="262"/>
      <c r="K22" s="262"/>
      <c r="L22" s="262"/>
      <c r="M22" s="262"/>
      <c r="N22" s="271" t="s">
        <v>1283</v>
      </c>
      <c r="O22" s="272">
        <v>2</v>
      </c>
      <c r="P22" s="60">
        <f ca="1" t="shared" si="0"/>
        <v>4</v>
      </c>
      <c r="Q22" s="288">
        <f t="shared" si="1"/>
        <v>2</v>
      </c>
      <c r="R22" s="67">
        <f ca="1" t="shared" si="2"/>
        <v>4</v>
      </c>
      <c r="S22" s="60"/>
      <c r="T22" s="289">
        <f ca="1" t="shared" si="4"/>
        <v>0</v>
      </c>
    </row>
    <row r="23" spans="1:20">
      <c r="A23" s="153"/>
      <c r="B23" s="91" t="s">
        <v>1284</v>
      </c>
      <c r="C23" s="23"/>
      <c r="D23" s="23" t="s">
        <v>434</v>
      </c>
      <c r="E23" s="24">
        <f>D3*2</f>
        <v>6</v>
      </c>
      <c r="F23" s="262">
        <v>2.7</v>
      </c>
      <c r="G23" s="256"/>
      <c r="H23" s="256"/>
      <c r="I23" s="248"/>
      <c r="J23" s="262"/>
      <c r="K23" s="262"/>
      <c r="L23" s="262"/>
      <c r="M23" s="262"/>
      <c r="N23" s="271" t="s">
        <v>1285</v>
      </c>
      <c r="O23" s="272">
        <v>4</v>
      </c>
      <c r="P23" s="60">
        <f ca="1" t="shared" si="0"/>
        <v>10.8</v>
      </c>
      <c r="Q23" s="288">
        <f t="shared" si="1"/>
        <v>2</v>
      </c>
      <c r="R23" s="67">
        <f ca="1" t="shared" si="2"/>
        <v>5.4</v>
      </c>
      <c r="S23" s="60"/>
      <c r="T23" s="289">
        <f ca="1" t="shared" si="4"/>
        <v>0</v>
      </c>
    </row>
    <row r="24" spans="1:20">
      <c r="A24" s="153"/>
      <c r="B24" s="91" t="s">
        <v>517</v>
      </c>
      <c r="C24" s="23"/>
      <c r="D24" s="23" t="s">
        <v>434</v>
      </c>
      <c r="E24" s="24">
        <f>F3*2</f>
        <v>4</v>
      </c>
      <c r="F24" s="262">
        <v>2.7</v>
      </c>
      <c r="G24" s="256"/>
      <c r="H24" s="256"/>
      <c r="I24" s="248"/>
      <c r="J24" s="262"/>
      <c r="K24" s="262"/>
      <c r="L24" s="262"/>
      <c r="M24" s="262"/>
      <c r="N24" s="271" t="s">
        <v>1285</v>
      </c>
      <c r="O24" s="272">
        <v>4</v>
      </c>
      <c r="P24" s="60">
        <f ca="1" t="shared" si="0"/>
        <v>10.8</v>
      </c>
      <c r="Q24" s="67">
        <f t="shared" si="1"/>
        <v>0</v>
      </c>
      <c r="R24" s="67">
        <f ca="1" t="shared" si="2"/>
        <v>0</v>
      </c>
      <c r="S24" s="47">
        <f>F3*2-O24</f>
        <v>0</v>
      </c>
      <c r="T24" s="289">
        <f ca="1" t="shared" si="4"/>
        <v>0</v>
      </c>
    </row>
    <row r="25" spans="1:20">
      <c r="A25" s="153"/>
      <c r="B25" s="91" t="s">
        <v>1312</v>
      </c>
      <c r="C25" s="23"/>
      <c r="D25" s="23" t="s">
        <v>434</v>
      </c>
      <c r="E25" s="24">
        <f>F3</f>
        <v>2</v>
      </c>
      <c r="F25" s="261">
        <v>15.5</v>
      </c>
      <c r="G25" s="148"/>
      <c r="H25" s="148"/>
      <c r="I25" s="101"/>
      <c r="J25" s="261"/>
      <c r="K25" s="261"/>
      <c r="L25" s="261"/>
      <c r="M25" s="261"/>
      <c r="N25" s="271" t="s">
        <v>1313</v>
      </c>
      <c r="O25" s="272">
        <v>2</v>
      </c>
      <c r="P25" s="60">
        <f ca="1" t="shared" si="0"/>
        <v>31</v>
      </c>
      <c r="Q25" s="67">
        <f t="shared" si="1"/>
        <v>0</v>
      </c>
      <c r="R25" s="67">
        <f ca="1" t="shared" si="2"/>
        <v>0</v>
      </c>
      <c r="S25" s="47">
        <f>F3-O25</f>
        <v>0</v>
      </c>
      <c r="T25" s="289">
        <f ca="1" t="shared" si="4"/>
        <v>0</v>
      </c>
    </row>
    <row r="26" spans="1:20">
      <c r="A26" s="153" t="s">
        <v>1216</v>
      </c>
      <c r="B26" s="91" t="s">
        <v>1231</v>
      </c>
      <c r="C26" s="23"/>
      <c r="D26" s="23" t="s">
        <v>612</v>
      </c>
      <c r="E26" s="24">
        <f>A3</f>
        <v>2</v>
      </c>
      <c r="F26" s="261">
        <f ca="1">I26+J26+K26+L26+M26</f>
        <v>625.1408</v>
      </c>
      <c r="G26" s="148">
        <v>3</v>
      </c>
      <c r="H26" s="148">
        <v>9.42</v>
      </c>
      <c r="I26" s="101">
        <f ca="1">G26*H26*'8米（人字84料）参数'!D15*1.1</f>
        <v>522.2448</v>
      </c>
      <c r="J26" s="261">
        <f>9.42*2*4*1.1</f>
        <v>82.896</v>
      </c>
      <c r="K26" s="261">
        <v>20</v>
      </c>
      <c r="L26" s="261"/>
      <c r="M26" s="261"/>
      <c r="N26" s="271" t="s">
        <v>1331</v>
      </c>
      <c r="O26" s="272">
        <v>1</v>
      </c>
      <c r="P26" s="60">
        <f ca="1" t="shared" si="0"/>
        <v>625.1408</v>
      </c>
      <c r="Q26" s="288">
        <f t="shared" si="1"/>
        <v>1</v>
      </c>
      <c r="R26" s="67">
        <f ca="1" t="shared" si="2"/>
        <v>625.1408</v>
      </c>
      <c r="S26" s="60"/>
      <c r="T26" s="289">
        <f ca="1" t="shared" si="4"/>
        <v>0</v>
      </c>
    </row>
    <row r="27" spans="1:20">
      <c r="A27" s="153"/>
      <c r="B27" s="91" t="s">
        <v>1287</v>
      </c>
      <c r="C27" s="23"/>
      <c r="D27" s="23" t="s">
        <v>664</v>
      </c>
      <c r="E27" s="24">
        <f>F3</f>
        <v>2</v>
      </c>
      <c r="F27" s="261">
        <f ca="1">I27+J27+K27+L27+M27</f>
        <v>201.55884</v>
      </c>
      <c r="G27" s="148">
        <v>4.1</v>
      </c>
      <c r="H27" s="148">
        <v>2.18</v>
      </c>
      <c r="I27" s="101">
        <f ca="1">G27*H27*'8米（人字84料）参数'!D14*1.1</f>
        <v>135.67884</v>
      </c>
      <c r="J27" s="261">
        <f>6.35*2*4*1.1</f>
        <v>55.88</v>
      </c>
      <c r="K27" s="261">
        <v>10</v>
      </c>
      <c r="L27" s="261"/>
      <c r="M27" s="261"/>
      <c r="N27" s="271" t="s">
        <v>1332</v>
      </c>
      <c r="O27" s="272">
        <v>2</v>
      </c>
      <c r="P27" s="60">
        <f ca="1" t="shared" si="0"/>
        <v>403.11768</v>
      </c>
      <c r="Q27" s="67">
        <f t="shared" si="1"/>
        <v>0</v>
      </c>
      <c r="R27" s="67">
        <f ca="1" t="shared" si="2"/>
        <v>0</v>
      </c>
      <c r="S27" s="47">
        <f>F3-O27</f>
        <v>0</v>
      </c>
      <c r="T27" s="289">
        <f ca="1" t="shared" si="4"/>
        <v>0</v>
      </c>
    </row>
    <row r="28" spans="1:20">
      <c r="A28" s="153"/>
      <c r="B28" s="91" t="s">
        <v>1232</v>
      </c>
      <c r="C28" s="23"/>
      <c r="D28" s="23" t="s">
        <v>664</v>
      </c>
      <c r="E28" s="24">
        <f>A3*2</f>
        <v>4</v>
      </c>
      <c r="F28" s="261">
        <f ca="1">I28+J28+K28+L28+M28</f>
        <v>161.66224</v>
      </c>
      <c r="G28" s="256">
        <v>3.06</v>
      </c>
      <c r="H28" s="256">
        <v>2.8</v>
      </c>
      <c r="I28" s="101">
        <f ca="1">G28*H28*'8米（人字84料）参数'!D14*1.1</f>
        <v>130.06224</v>
      </c>
      <c r="J28" s="262">
        <f>0.8*8</f>
        <v>6.4</v>
      </c>
      <c r="K28" s="262">
        <v>9</v>
      </c>
      <c r="L28" s="262">
        <v>5</v>
      </c>
      <c r="M28" s="262">
        <f>5.6*2</f>
        <v>11.2</v>
      </c>
      <c r="N28" s="271" t="s">
        <v>1289</v>
      </c>
      <c r="O28" s="272">
        <v>2</v>
      </c>
      <c r="P28" s="60">
        <f ca="1" t="shared" si="0"/>
        <v>323.32448</v>
      </c>
      <c r="Q28" s="288">
        <f t="shared" si="1"/>
        <v>2</v>
      </c>
      <c r="R28" s="67">
        <f ca="1" t="shared" si="2"/>
        <v>323.32448</v>
      </c>
      <c r="S28" s="60"/>
      <c r="T28" s="289">
        <f ca="1" t="shared" si="4"/>
        <v>0</v>
      </c>
    </row>
    <row r="29" spans="1:20">
      <c r="A29" s="153"/>
      <c r="B29" s="91" t="s">
        <v>1290</v>
      </c>
      <c r="C29" s="23"/>
      <c r="D29" s="23" t="s">
        <v>664</v>
      </c>
      <c r="E29" s="24">
        <f>F3*2</f>
        <v>4</v>
      </c>
      <c r="F29" s="261">
        <f ca="1">I29+J29+K29+L29+M29</f>
        <v>210.34152</v>
      </c>
      <c r="G29" s="148">
        <v>4.13</v>
      </c>
      <c r="H29" s="148">
        <v>2.8</v>
      </c>
      <c r="I29" s="101">
        <f ca="1">G29*H29*'8米（人字84料）参数'!D14*1.1</f>
        <v>175.54152</v>
      </c>
      <c r="J29" s="261">
        <f>12*0.8</f>
        <v>9.6</v>
      </c>
      <c r="K29" s="261">
        <v>9</v>
      </c>
      <c r="L29" s="261">
        <v>5</v>
      </c>
      <c r="M29" s="261">
        <f>5.6*2</f>
        <v>11.2</v>
      </c>
      <c r="N29" s="271" t="s">
        <v>1333</v>
      </c>
      <c r="O29" s="272">
        <v>4</v>
      </c>
      <c r="P29" s="60">
        <f ca="1" t="shared" si="0"/>
        <v>841.36608</v>
      </c>
      <c r="Q29" s="67">
        <f t="shared" si="1"/>
        <v>0</v>
      </c>
      <c r="R29" s="67">
        <f ca="1" t="shared" si="2"/>
        <v>0</v>
      </c>
      <c r="S29" s="47">
        <f>F3*2-O29</f>
        <v>0</v>
      </c>
      <c r="T29" s="289">
        <f ca="1" t="shared" si="4"/>
        <v>0</v>
      </c>
    </row>
    <row r="30" spans="1:20">
      <c r="A30" s="153" t="s">
        <v>1217</v>
      </c>
      <c r="B30" s="91" t="s">
        <v>1292</v>
      </c>
      <c r="C30" s="23"/>
      <c r="D30" s="23" t="s">
        <v>434</v>
      </c>
      <c r="E30" s="24">
        <f>D3*8</f>
        <v>24</v>
      </c>
      <c r="F30" s="261">
        <v>0.48</v>
      </c>
      <c r="G30" s="148"/>
      <c r="H30" s="148"/>
      <c r="I30" s="101"/>
      <c r="J30" s="261"/>
      <c r="K30" s="261"/>
      <c r="L30" s="261"/>
      <c r="M30" s="261"/>
      <c r="N30" s="271" t="s">
        <v>1293</v>
      </c>
      <c r="O30" s="272">
        <v>16</v>
      </c>
      <c r="P30" s="60">
        <f ca="1" t="shared" si="0"/>
        <v>7.68</v>
      </c>
      <c r="Q30" s="288">
        <f t="shared" si="1"/>
        <v>8</v>
      </c>
      <c r="R30" s="67">
        <f ca="1" t="shared" si="2"/>
        <v>3.84</v>
      </c>
      <c r="S30" s="47"/>
      <c r="T30" s="289">
        <f ca="1" t="shared" si="4"/>
        <v>0</v>
      </c>
    </row>
    <row r="31" spans="1:20">
      <c r="A31" s="153"/>
      <c r="B31" s="91" t="s">
        <v>565</v>
      </c>
      <c r="C31" s="23"/>
      <c r="D31" s="23" t="s">
        <v>434</v>
      </c>
      <c r="E31" s="264">
        <f>E5+E6</f>
        <v>8</v>
      </c>
      <c r="F31" s="261">
        <v>0.95</v>
      </c>
      <c r="G31" s="148"/>
      <c r="H31" s="148"/>
      <c r="I31" s="101"/>
      <c r="J31" s="261"/>
      <c r="K31" s="261"/>
      <c r="L31" s="261"/>
      <c r="M31" s="261"/>
      <c r="N31" s="271" t="s">
        <v>1295</v>
      </c>
      <c r="O31" s="272">
        <v>6</v>
      </c>
      <c r="P31" s="60">
        <f ca="1" t="shared" si="0"/>
        <v>5.7</v>
      </c>
      <c r="Q31" s="288">
        <f t="shared" si="1"/>
        <v>2</v>
      </c>
      <c r="R31" s="67">
        <f ca="1" t="shared" si="2"/>
        <v>1.9</v>
      </c>
      <c r="S31" s="47">
        <v>2</v>
      </c>
      <c r="T31" s="289">
        <f ca="1" t="shared" si="4"/>
        <v>1.9</v>
      </c>
    </row>
    <row r="32" spans="1:20">
      <c r="A32" s="153"/>
      <c r="B32" s="91" t="s">
        <v>567</v>
      </c>
      <c r="C32" s="23"/>
      <c r="D32" s="23" t="s">
        <v>434</v>
      </c>
      <c r="E32" s="24">
        <f>E12*4+E20+E21</f>
        <v>20</v>
      </c>
      <c r="F32" s="261">
        <v>1.5</v>
      </c>
      <c r="G32" s="148"/>
      <c r="H32" s="148"/>
      <c r="I32" s="101"/>
      <c r="J32" s="261"/>
      <c r="K32" s="261"/>
      <c r="L32" s="261"/>
      <c r="M32" s="261"/>
      <c r="N32" s="271" t="s">
        <v>1297</v>
      </c>
      <c r="O32" s="272">
        <v>18</v>
      </c>
      <c r="P32" s="60">
        <f ca="1" t="shared" si="0"/>
        <v>27</v>
      </c>
      <c r="Q32" s="288">
        <f t="shared" si="1"/>
        <v>2</v>
      </c>
      <c r="R32" s="67">
        <f ca="1" t="shared" si="2"/>
        <v>3</v>
      </c>
      <c r="S32" s="60"/>
      <c r="T32" s="289">
        <v>0</v>
      </c>
    </row>
    <row r="33" ht="18.95" customHeight="1" spans="3:20">
      <c r="C33" s="1"/>
      <c r="E33" s="1"/>
      <c r="O33" s="110" t="s">
        <v>1298</v>
      </c>
      <c r="P33" s="126">
        <f ca="1">SUM(P5:P32)</f>
        <v>6591.460801976</v>
      </c>
      <c r="Q33" s="126" t="s">
        <v>1219</v>
      </c>
      <c r="R33" s="126">
        <f ca="1">SUM(R5:R32)</f>
        <v>2517.386374456</v>
      </c>
      <c r="S33" s="84">
        <f>3134+269</f>
        <v>3403</v>
      </c>
      <c r="T33" s="84">
        <f ca="1">SUM(T5:T32)</f>
        <v>1.9</v>
      </c>
    </row>
    <row r="34" spans="2:13">
      <c r="B34" s="54" t="s">
        <v>1316</v>
      </c>
      <c r="C34" s="54"/>
      <c r="D34" s="54"/>
      <c r="E34" s="54"/>
      <c r="F34" s="54"/>
      <c r="G34" s="54"/>
      <c r="H34" s="54"/>
      <c r="I34" s="54"/>
      <c r="J34" s="54"/>
      <c r="K34" s="54"/>
      <c r="L34" s="54"/>
      <c r="M34" s="54"/>
    </row>
    <row r="35" spans="2:16">
      <c r="B35" s="1" t="s">
        <v>1300</v>
      </c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O35" s="1" t="s">
        <v>1301</v>
      </c>
      <c r="P35" s="3">
        <f ca="1">P33+R33</f>
        <v>9108.847176432</v>
      </c>
    </row>
    <row r="36" spans="2:16">
      <c r="B36" s="54"/>
      <c r="C36" s="54"/>
      <c r="D36" s="54"/>
      <c r="E36" s="54"/>
      <c r="F36" s="54"/>
      <c r="G36" s="54"/>
      <c r="H36" s="54"/>
      <c r="I36" s="54"/>
      <c r="J36" s="54"/>
      <c r="K36" s="54"/>
      <c r="L36" s="54"/>
      <c r="M36" s="54"/>
      <c r="O36" s="1" t="s">
        <v>5</v>
      </c>
      <c r="P36" s="3">
        <f ca="1">P35/E2</f>
        <v>189.767649509</v>
      </c>
    </row>
    <row r="62" spans="3:3">
      <c r="C62" s="3">
        <v>76130.76</v>
      </c>
    </row>
    <row r="63" spans="3:3">
      <c r="C63" s="3">
        <v>8580</v>
      </c>
    </row>
    <row r="64" spans="3:3">
      <c r="C64" s="3">
        <v>5440</v>
      </c>
    </row>
    <row r="65" spans="3:3">
      <c r="C65" s="3">
        <v>1544</v>
      </c>
    </row>
    <row r="66" spans="3:3">
      <c r="C66" s="3">
        <v>646</v>
      </c>
    </row>
    <row r="67" spans="3:3">
      <c r="C67" s="3">
        <v>75271</v>
      </c>
    </row>
    <row r="68" spans="3:3">
      <c r="C68" s="3">
        <v>11400</v>
      </c>
    </row>
    <row r="69" spans="3:3">
      <c r="C69" s="3">
        <v>2350</v>
      </c>
    </row>
    <row r="70" spans="3:3">
      <c r="C70" s="3">
        <v>540</v>
      </c>
    </row>
    <row r="71" spans="3:3">
      <c r="C71" s="3">
        <v>42</v>
      </c>
    </row>
    <row r="72" spans="3:3">
      <c r="C72" s="3">
        <v>600</v>
      </c>
    </row>
    <row r="73" spans="3:3">
      <c r="C73" s="3">
        <v>1725</v>
      </c>
    </row>
    <row r="74" spans="3:3">
      <c r="C74" s="3">
        <v>6000</v>
      </c>
    </row>
    <row r="75" spans="3:3">
      <c r="C75" s="3">
        <f>SUM(C62:C74)</f>
        <v>190268.76</v>
      </c>
    </row>
  </sheetData>
  <mergeCells count="9">
    <mergeCell ref="A1:O1"/>
    <mergeCell ref="A2:C2"/>
    <mergeCell ref="G2:N2"/>
    <mergeCell ref="A3:B3"/>
    <mergeCell ref="H3:M3"/>
    <mergeCell ref="A5:A16"/>
    <mergeCell ref="A17:A25"/>
    <mergeCell ref="A26:A29"/>
    <mergeCell ref="A30:A32"/>
  </mergeCells>
  <dataValidations count="4">
    <dataValidation type="list" allowBlank="1" showInputMessage="1" showErrorMessage="1" sqref="B26">
      <formula1>"顶布[白]{全新},顶布[白]{A类},顶布[白]{B类},顶布[白]{C类},顶布[白]{D类}"</formula1>
    </dataValidation>
    <dataValidation type="list" allowBlank="1" showInputMessage="1" showErrorMessage="1" sqref="B27">
      <formula1>"山尖布[白]{全新},山尖布[白]{A类},山尖布[白]{B类},山尖布[白]{C类},山尖布[白]{D类}"</formula1>
    </dataValidation>
    <dataValidation type="list" allowBlank="1" showInputMessage="1" showErrorMessage="1" sqref="B28">
      <formula1>"围布[白]{全新},围布[白]{A类},围布[白]{B类},围布[白]{C类},围布[白]{D类},透光窗围布[白]{全新},透光窗围布[白]{A类},透光窗围布[白]{B类},透光窗围布[白]{C类},透光窗围布[白]{D类}"</formula1>
    </dataValidation>
    <dataValidation type="list" allowBlank="1" showInputMessage="1" showErrorMessage="1" sqref="B29">
      <formula1>"端围布[白]{全新},端围布[白]{A类},端围布[白]{B类},端围布[白]{C类},端围布[白]{D类},透光窗端围布[白]{全新},透光窗端围布[白]{A类},透光窗端围布[白]{B类},透光窗端围布[白]{C类},透光窗端围布[白]{D类}"</formula1>
    </dataValidation>
  </dataValidations>
  <printOptions horizontalCentered="1"/>
  <pageMargins left="0.388888888888889" right="0.388888888888889" top="0.588888888888889" bottom="0.279166666666667" header="0.159027777777778" footer="0.0791666666666667"/>
  <pageSetup paperSize="9" orientation="portrait"/>
  <headerFooter alignWithMargins="0" scaleWithDoc="0">
    <oddHeader>&amp;C&amp;"方正姚体,加粗"&amp;12高山篷房制造（沈阳）有限公司&amp;R&amp;"方正姚体,加粗"&amp;12 400-024-1800</oddHeader>
    <oddFooter>&amp;L&amp;"SimSun"&amp;9&amp;C&amp;"SimSun"&amp;9第 &amp;P 页，共 &amp;N 页&amp;R&amp;"SimSun"&amp;9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84"/>
  <sheetViews>
    <sheetView showGridLines="0" workbookViewId="0">
      <selection activeCell="B74" sqref="B74:C74"/>
    </sheetView>
  </sheetViews>
  <sheetFormatPr defaultColWidth="9" defaultRowHeight="13.5" outlineLevelCol="5"/>
  <cols>
    <col min="1" max="2" width="10.625" style="323" customWidth="1"/>
    <col min="3" max="3" width="29.875" customWidth="1"/>
    <col min="4" max="4" width="27.25" customWidth="1"/>
  </cols>
  <sheetData>
    <row r="1" ht="18.75" spans="1:6">
      <c r="A1" s="315" t="s">
        <v>17</v>
      </c>
      <c r="B1" s="316"/>
      <c r="C1" s="317"/>
      <c r="D1" s="317"/>
      <c r="E1" s="317"/>
      <c r="F1" s="318"/>
    </row>
    <row r="2" spans="1:6">
      <c r="A2" s="319" t="s">
        <v>18</v>
      </c>
      <c r="B2" s="319" t="s">
        <v>19</v>
      </c>
      <c r="C2" s="319" t="s">
        <v>20</v>
      </c>
      <c r="D2" s="319" t="s">
        <v>21</v>
      </c>
      <c r="E2" s="319" t="s">
        <v>22</v>
      </c>
      <c r="F2" s="320" t="s">
        <v>23</v>
      </c>
    </row>
    <row r="3" spans="1:6">
      <c r="A3" s="333" t="s">
        <v>431</v>
      </c>
      <c r="B3" s="23" t="s">
        <v>432</v>
      </c>
      <c r="C3" s="91" t="s">
        <v>433</v>
      </c>
      <c r="D3" s="91"/>
      <c r="E3" s="23" t="s">
        <v>434</v>
      </c>
      <c r="F3" s="322">
        <v>1</v>
      </c>
    </row>
    <row r="4" spans="1:6">
      <c r="A4" s="334"/>
      <c r="B4" s="23" t="s">
        <v>435</v>
      </c>
      <c r="C4" s="91" t="s">
        <v>436</v>
      </c>
      <c r="D4" s="91"/>
      <c r="E4" s="23" t="s">
        <v>434</v>
      </c>
      <c r="F4" s="322">
        <v>1</v>
      </c>
    </row>
    <row r="5" spans="1:6">
      <c r="A5" s="334"/>
      <c r="B5" s="23" t="s">
        <v>437</v>
      </c>
      <c r="C5" s="91" t="s">
        <v>438</v>
      </c>
      <c r="D5" s="91"/>
      <c r="E5" s="23" t="s">
        <v>434</v>
      </c>
      <c r="F5" s="322">
        <v>1</v>
      </c>
    </row>
    <row r="6" spans="1:6">
      <c r="A6" s="334"/>
      <c r="B6" s="23" t="s">
        <v>439</v>
      </c>
      <c r="C6" s="91" t="s">
        <v>440</v>
      </c>
      <c r="D6" s="91"/>
      <c r="E6" s="23" t="s">
        <v>434</v>
      </c>
      <c r="F6" s="322">
        <v>1</v>
      </c>
    </row>
    <row r="7" spans="1:6">
      <c r="A7" s="334"/>
      <c r="B7" s="23" t="s">
        <v>441</v>
      </c>
      <c r="C7" s="91" t="s">
        <v>442</v>
      </c>
      <c r="D7" s="91"/>
      <c r="E7" s="23" t="s">
        <v>434</v>
      </c>
      <c r="F7" s="322">
        <v>1</v>
      </c>
    </row>
    <row r="8" spans="1:6">
      <c r="A8" s="334"/>
      <c r="B8" s="23" t="s">
        <v>443</v>
      </c>
      <c r="C8" s="91" t="s">
        <v>444</v>
      </c>
      <c r="D8" s="91"/>
      <c r="E8" s="23" t="s">
        <v>434</v>
      </c>
      <c r="F8" s="322">
        <v>1</v>
      </c>
    </row>
    <row r="9" spans="1:6">
      <c r="A9" s="334"/>
      <c r="B9" s="23" t="s">
        <v>445</v>
      </c>
      <c r="C9" s="91" t="s">
        <v>446</v>
      </c>
      <c r="D9" s="91"/>
      <c r="E9" s="23" t="s">
        <v>434</v>
      </c>
      <c r="F9" s="322">
        <v>1</v>
      </c>
    </row>
    <row r="10" spans="1:6">
      <c r="A10" s="334"/>
      <c r="B10" s="23" t="s">
        <v>447</v>
      </c>
      <c r="C10" s="91" t="s">
        <v>448</v>
      </c>
      <c r="D10" s="91"/>
      <c r="E10" s="23" t="s">
        <v>434</v>
      </c>
      <c r="F10" s="322">
        <v>1</v>
      </c>
    </row>
    <row r="11" spans="1:6">
      <c r="A11" s="334"/>
      <c r="B11" s="23" t="s">
        <v>449</v>
      </c>
      <c r="C11" s="91" t="s">
        <v>450</v>
      </c>
      <c r="D11" s="91"/>
      <c r="E11" s="23" t="s">
        <v>434</v>
      </c>
      <c r="F11" s="322">
        <v>1</v>
      </c>
    </row>
    <row r="12" spans="1:6">
      <c r="A12" s="334"/>
      <c r="B12" s="23" t="s">
        <v>451</v>
      </c>
      <c r="C12" s="91" t="s">
        <v>452</v>
      </c>
      <c r="D12" s="91"/>
      <c r="E12" s="23" t="s">
        <v>434</v>
      </c>
      <c r="F12" s="322">
        <v>1</v>
      </c>
    </row>
    <row r="13" spans="1:6">
      <c r="A13" s="321" t="s">
        <v>453</v>
      </c>
      <c r="B13" s="23" t="s">
        <v>454</v>
      </c>
      <c r="C13" s="296" t="s">
        <v>455</v>
      </c>
      <c r="D13" s="296"/>
      <c r="E13" s="23" t="s">
        <v>434</v>
      </c>
      <c r="F13" s="322">
        <v>1</v>
      </c>
    </row>
    <row r="14" spans="1:6">
      <c r="A14" s="321"/>
      <c r="B14" s="23" t="s">
        <v>456</v>
      </c>
      <c r="C14" s="296" t="s">
        <v>457</v>
      </c>
      <c r="D14" s="296"/>
      <c r="E14" s="23" t="s">
        <v>434</v>
      </c>
      <c r="F14" s="322">
        <v>1</v>
      </c>
    </row>
    <row r="15" spans="1:6">
      <c r="A15" s="321"/>
      <c r="B15" s="23" t="s">
        <v>458</v>
      </c>
      <c r="C15" s="296" t="s">
        <v>459</v>
      </c>
      <c r="D15" s="296"/>
      <c r="E15" s="23" t="s">
        <v>434</v>
      </c>
      <c r="F15" s="322">
        <v>1</v>
      </c>
    </row>
    <row r="16" spans="1:6">
      <c r="A16" s="321"/>
      <c r="B16" s="23" t="s">
        <v>460</v>
      </c>
      <c r="C16" s="296" t="s">
        <v>461</v>
      </c>
      <c r="D16" s="296"/>
      <c r="E16" s="23" t="s">
        <v>434</v>
      </c>
      <c r="F16" s="322">
        <v>1</v>
      </c>
    </row>
    <row r="17" spans="1:6">
      <c r="A17" s="321"/>
      <c r="B17" s="23" t="s">
        <v>462</v>
      </c>
      <c r="C17" s="296" t="s">
        <v>463</v>
      </c>
      <c r="D17" s="91"/>
      <c r="E17" s="23" t="s">
        <v>434</v>
      </c>
      <c r="F17" s="335">
        <v>1</v>
      </c>
    </row>
    <row r="18" spans="1:6">
      <c r="A18" s="321"/>
      <c r="B18" s="23" t="s">
        <v>464</v>
      </c>
      <c r="C18" s="296" t="s">
        <v>465</v>
      </c>
      <c r="D18" s="91"/>
      <c r="E18" s="23" t="s">
        <v>434</v>
      </c>
      <c r="F18" s="335">
        <v>1</v>
      </c>
    </row>
    <row r="19" spans="1:6">
      <c r="A19" s="321"/>
      <c r="B19" s="23" t="s">
        <v>466</v>
      </c>
      <c r="C19" s="296" t="s">
        <v>467</v>
      </c>
      <c r="D19" s="91"/>
      <c r="E19" s="23" t="s">
        <v>434</v>
      </c>
      <c r="F19" s="335">
        <v>1</v>
      </c>
    </row>
    <row r="20" spans="1:6">
      <c r="A20" s="321"/>
      <c r="B20" s="23" t="s">
        <v>468</v>
      </c>
      <c r="C20" s="296" t="s">
        <v>469</v>
      </c>
      <c r="D20" s="91"/>
      <c r="E20" s="23" t="s">
        <v>434</v>
      </c>
      <c r="F20" s="335">
        <v>1</v>
      </c>
    </row>
    <row r="21" spans="1:6">
      <c r="A21" s="321"/>
      <c r="B21" s="23" t="s">
        <v>470</v>
      </c>
      <c r="C21" s="296" t="s">
        <v>471</v>
      </c>
      <c r="D21" s="91"/>
      <c r="E21" s="23" t="s">
        <v>434</v>
      </c>
      <c r="F21" s="335">
        <v>1</v>
      </c>
    </row>
    <row r="22" spans="1:6">
      <c r="A22" s="321"/>
      <c r="B22" s="23" t="s">
        <v>472</v>
      </c>
      <c r="C22" s="296" t="s">
        <v>473</v>
      </c>
      <c r="D22" s="91"/>
      <c r="E22" s="23" t="s">
        <v>434</v>
      </c>
      <c r="F22" s="335">
        <v>1</v>
      </c>
    </row>
    <row r="23" spans="1:6">
      <c r="A23" s="333" t="s">
        <v>474</v>
      </c>
      <c r="B23" s="23" t="s">
        <v>475</v>
      </c>
      <c r="C23" s="91" t="s">
        <v>476</v>
      </c>
      <c r="D23" s="91"/>
      <c r="E23" s="23" t="s">
        <v>434</v>
      </c>
      <c r="F23" s="335">
        <v>1</v>
      </c>
    </row>
    <row r="24" spans="1:6">
      <c r="A24" s="334"/>
      <c r="B24" s="23" t="s">
        <v>477</v>
      </c>
      <c r="C24" s="296" t="s">
        <v>478</v>
      </c>
      <c r="D24" s="91"/>
      <c r="E24" s="23" t="s">
        <v>434</v>
      </c>
      <c r="F24" s="335">
        <v>1</v>
      </c>
    </row>
    <row r="25" spans="1:6">
      <c r="A25" s="334"/>
      <c r="B25" s="23" t="s">
        <v>479</v>
      </c>
      <c r="C25" s="296" t="s">
        <v>480</v>
      </c>
      <c r="D25" s="91"/>
      <c r="E25" s="23" t="s">
        <v>434</v>
      </c>
      <c r="F25" s="335">
        <v>1</v>
      </c>
    </row>
    <row r="26" spans="1:6">
      <c r="A26" s="321" t="s">
        <v>481</v>
      </c>
      <c r="B26" s="23" t="s">
        <v>482</v>
      </c>
      <c r="C26" s="91" t="s">
        <v>483</v>
      </c>
      <c r="D26" s="91"/>
      <c r="E26" s="23" t="s">
        <v>28</v>
      </c>
      <c r="F26" s="335">
        <v>1</v>
      </c>
    </row>
    <row r="27" spans="1:6">
      <c r="A27" s="321"/>
      <c r="B27" s="23" t="s">
        <v>484</v>
      </c>
      <c r="C27" s="91" t="s">
        <v>485</v>
      </c>
      <c r="D27" s="91"/>
      <c r="E27" s="23" t="s">
        <v>28</v>
      </c>
      <c r="F27" s="335">
        <v>1</v>
      </c>
    </row>
    <row r="28" spans="1:6">
      <c r="A28" s="321"/>
      <c r="B28" s="23" t="s">
        <v>486</v>
      </c>
      <c r="C28" s="91" t="s">
        <v>487</v>
      </c>
      <c r="D28" s="91"/>
      <c r="E28" s="23" t="s">
        <v>28</v>
      </c>
      <c r="F28" s="335">
        <v>1</v>
      </c>
    </row>
    <row r="29" spans="1:6">
      <c r="A29" s="321"/>
      <c r="B29" s="23" t="s">
        <v>488</v>
      </c>
      <c r="C29" s="91" t="s">
        <v>489</v>
      </c>
      <c r="D29" s="91"/>
      <c r="E29" s="23" t="s">
        <v>28</v>
      </c>
      <c r="F29" s="322">
        <v>1</v>
      </c>
    </row>
    <row r="30" spans="1:6">
      <c r="A30" s="321"/>
      <c r="B30" s="23" t="s">
        <v>490</v>
      </c>
      <c r="C30" s="91" t="s">
        <v>491</v>
      </c>
      <c r="D30" s="91"/>
      <c r="E30" s="23" t="s">
        <v>28</v>
      </c>
      <c r="F30" s="322">
        <v>1</v>
      </c>
    </row>
    <row r="31" spans="1:6">
      <c r="A31" s="321"/>
      <c r="B31" s="23" t="s">
        <v>492</v>
      </c>
      <c r="C31" s="91" t="s">
        <v>493</v>
      </c>
      <c r="D31" s="91"/>
      <c r="E31" s="23" t="s">
        <v>28</v>
      </c>
      <c r="F31" s="322">
        <v>1</v>
      </c>
    </row>
    <row r="32" spans="1:6">
      <c r="A32" s="321"/>
      <c r="B32" s="23" t="s">
        <v>494</v>
      </c>
      <c r="C32" s="91" t="s">
        <v>495</v>
      </c>
      <c r="D32" s="91"/>
      <c r="E32" s="23" t="s">
        <v>28</v>
      </c>
      <c r="F32" s="322">
        <v>1</v>
      </c>
    </row>
    <row r="33" spans="1:6">
      <c r="A33" s="333" t="s">
        <v>496</v>
      </c>
      <c r="B33" s="23" t="s">
        <v>497</v>
      </c>
      <c r="C33" s="91" t="s">
        <v>498</v>
      </c>
      <c r="D33" s="91"/>
      <c r="E33" s="23" t="s">
        <v>28</v>
      </c>
      <c r="F33" s="322">
        <v>1</v>
      </c>
    </row>
    <row r="34" spans="1:6">
      <c r="A34" s="334"/>
      <c r="B34" s="23" t="s">
        <v>499</v>
      </c>
      <c r="C34" s="91" t="s">
        <v>500</v>
      </c>
      <c r="D34" s="91"/>
      <c r="E34" s="23" t="s">
        <v>28</v>
      </c>
      <c r="F34" s="322">
        <v>1</v>
      </c>
    </row>
    <row r="35" spans="1:6">
      <c r="A35" s="336"/>
      <c r="B35" s="23" t="s">
        <v>501</v>
      </c>
      <c r="C35" s="91" t="s">
        <v>502</v>
      </c>
      <c r="D35" s="91"/>
      <c r="E35" s="23" t="s">
        <v>28</v>
      </c>
      <c r="F35" s="322">
        <v>1</v>
      </c>
    </row>
    <row r="36" spans="1:6">
      <c r="A36" s="321" t="s">
        <v>503</v>
      </c>
      <c r="B36" s="23" t="s">
        <v>504</v>
      </c>
      <c r="C36" s="91" t="s">
        <v>505</v>
      </c>
      <c r="D36" s="91"/>
      <c r="E36" s="23" t="s">
        <v>28</v>
      </c>
      <c r="F36" s="322">
        <v>1</v>
      </c>
    </row>
    <row r="37" spans="1:6">
      <c r="A37" s="321"/>
      <c r="B37" s="23" t="s">
        <v>506</v>
      </c>
      <c r="C37" s="91" t="s">
        <v>507</v>
      </c>
      <c r="D37" s="91"/>
      <c r="E37" s="23" t="s">
        <v>28</v>
      </c>
      <c r="F37" s="322">
        <v>1</v>
      </c>
    </row>
    <row r="38" spans="1:6">
      <c r="A38" s="321"/>
      <c r="B38" s="23" t="s">
        <v>508</v>
      </c>
      <c r="C38" s="91" t="s">
        <v>509</v>
      </c>
      <c r="D38" s="91"/>
      <c r="E38" s="23" t="s">
        <v>28</v>
      </c>
      <c r="F38" s="322">
        <v>1</v>
      </c>
    </row>
    <row r="39" spans="1:6">
      <c r="A39" s="333" t="s">
        <v>510</v>
      </c>
      <c r="B39" s="23" t="s">
        <v>511</v>
      </c>
      <c r="C39" s="91" t="s">
        <v>512</v>
      </c>
      <c r="D39" s="91"/>
      <c r="E39" s="23" t="s">
        <v>434</v>
      </c>
      <c r="F39" s="322">
        <v>1</v>
      </c>
    </row>
    <row r="40" spans="1:6">
      <c r="A40" s="334"/>
      <c r="B40" s="23" t="s">
        <v>513</v>
      </c>
      <c r="C40" s="91" t="s">
        <v>514</v>
      </c>
      <c r="D40" s="91"/>
      <c r="E40" s="23" t="s">
        <v>434</v>
      </c>
      <c r="F40" s="322">
        <v>1</v>
      </c>
    </row>
    <row r="41" spans="1:6">
      <c r="A41" s="321" t="s">
        <v>515</v>
      </c>
      <c r="B41" s="23" t="s">
        <v>516</v>
      </c>
      <c r="C41" s="91" t="s">
        <v>517</v>
      </c>
      <c r="D41" s="91"/>
      <c r="E41" s="23" t="s">
        <v>434</v>
      </c>
      <c r="F41" s="322">
        <v>1</v>
      </c>
    </row>
    <row r="42" spans="1:6">
      <c r="A42" s="321"/>
      <c r="B42" s="23" t="s">
        <v>518</v>
      </c>
      <c r="C42" s="91" t="s">
        <v>519</v>
      </c>
      <c r="D42" s="91"/>
      <c r="E42" s="23" t="s">
        <v>434</v>
      </c>
      <c r="F42" s="335">
        <v>1</v>
      </c>
    </row>
    <row r="43" spans="1:6">
      <c r="A43" s="321" t="s">
        <v>520</v>
      </c>
      <c r="B43" s="23" t="s">
        <v>521</v>
      </c>
      <c r="C43" s="91" t="s">
        <v>522</v>
      </c>
      <c r="D43" s="91"/>
      <c r="E43" s="23" t="s">
        <v>434</v>
      </c>
      <c r="F43" s="322">
        <v>1</v>
      </c>
    </row>
    <row r="44" spans="1:6">
      <c r="A44" s="321"/>
      <c r="B44" s="23" t="s">
        <v>523</v>
      </c>
      <c r="C44" s="91" t="s">
        <v>524</v>
      </c>
      <c r="D44" s="91"/>
      <c r="E44" s="23" t="s">
        <v>434</v>
      </c>
      <c r="F44" s="322">
        <v>1</v>
      </c>
    </row>
    <row r="45" spans="1:6">
      <c r="A45" s="321"/>
      <c r="B45" s="23" t="s">
        <v>525</v>
      </c>
      <c r="C45" s="91" t="s">
        <v>526</v>
      </c>
      <c r="D45" s="91"/>
      <c r="E45" s="23" t="s">
        <v>434</v>
      </c>
      <c r="F45" s="322">
        <v>1</v>
      </c>
    </row>
    <row r="46" spans="1:6">
      <c r="A46" s="321" t="s">
        <v>527</v>
      </c>
      <c r="B46" s="23" t="s">
        <v>528</v>
      </c>
      <c r="C46" s="296" t="s">
        <v>529</v>
      </c>
      <c r="D46" s="296"/>
      <c r="E46" s="23" t="s">
        <v>434</v>
      </c>
      <c r="F46" s="322">
        <v>1</v>
      </c>
    </row>
    <row r="47" spans="1:6">
      <c r="A47" s="321"/>
      <c r="B47" s="23" t="s">
        <v>530</v>
      </c>
      <c r="C47" s="296" t="s">
        <v>531</v>
      </c>
      <c r="D47" s="296"/>
      <c r="E47" s="23" t="s">
        <v>434</v>
      </c>
      <c r="F47" s="322">
        <v>1</v>
      </c>
    </row>
    <row r="48" spans="1:6">
      <c r="A48" s="321"/>
      <c r="B48" s="23" t="s">
        <v>532</v>
      </c>
      <c r="C48" s="296" t="s">
        <v>533</v>
      </c>
      <c r="D48" s="296"/>
      <c r="E48" s="23" t="s">
        <v>28</v>
      </c>
      <c r="F48" s="322">
        <v>1</v>
      </c>
    </row>
    <row r="49" spans="1:6">
      <c r="A49" s="321"/>
      <c r="B49" s="23" t="s">
        <v>534</v>
      </c>
      <c r="C49" s="296" t="s">
        <v>535</v>
      </c>
      <c r="D49" s="296"/>
      <c r="E49" s="23" t="s">
        <v>28</v>
      </c>
      <c r="F49" s="322">
        <v>1</v>
      </c>
    </row>
    <row r="50" spans="1:6">
      <c r="A50" s="321"/>
      <c r="B50" s="23" t="s">
        <v>536</v>
      </c>
      <c r="C50" s="296" t="s">
        <v>537</v>
      </c>
      <c r="D50" s="296"/>
      <c r="E50" s="23" t="s">
        <v>28</v>
      </c>
      <c r="F50" s="322">
        <v>1</v>
      </c>
    </row>
    <row r="51" spans="1:6">
      <c r="A51" s="321"/>
      <c r="B51" s="23" t="s">
        <v>538</v>
      </c>
      <c r="C51" s="296" t="s">
        <v>539</v>
      </c>
      <c r="D51" s="296"/>
      <c r="E51" s="23" t="s">
        <v>434</v>
      </c>
      <c r="F51" s="322">
        <v>1</v>
      </c>
    </row>
    <row r="52" spans="1:6">
      <c r="A52" s="321"/>
      <c r="B52" s="23" t="s">
        <v>540</v>
      </c>
      <c r="C52" s="91" t="s">
        <v>541</v>
      </c>
      <c r="D52" s="91"/>
      <c r="E52" s="23" t="s">
        <v>434</v>
      </c>
      <c r="F52" s="322">
        <v>1</v>
      </c>
    </row>
    <row r="53" spans="1:6">
      <c r="A53" s="321"/>
      <c r="B53" s="23" t="s">
        <v>542</v>
      </c>
      <c r="C53" s="91" t="s">
        <v>543</v>
      </c>
      <c r="D53" s="91"/>
      <c r="E53" s="23" t="s">
        <v>434</v>
      </c>
      <c r="F53" s="322">
        <v>1</v>
      </c>
    </row>
    <row r="54" spans="1:6">
      <c r="A54" s="321"/>
      <c r="B54" s="23" t="s">
        <v>544</v>
      </c>
      <c r="C54" s="91" t="s">
        <v>545</v>
      </c>
      <c r="D54" s="91"/>
      <c r="E54" s="23" t="s">
        <v>434</v>
      </c>
      <c r="F54" s="322">
        <v>1</v>
      </c>
    </row>
    <row r="55" spans="1:6">
      <c r="A55" s="321"/>
      <c r="B55" s="23" t="s">
        <v>546</v>
      </c>
      <c r="C55" s="91" t="s">
        <v>547</v>
      </c>
      <c r="D55" s="91"/>
      <c r="E55" s="23" t="s">
        <v>434</v>
      </c>
      <c r="F55" s="322">
        <v>1</v>
      </c>
    </row>
    <row r="56" spans="1:6">
      <c r="A56" s="321"/>
      <c r="B56" s="23" t="s">
        <v>548</v>
      </c>
      <c r="C56" s="91" t="s">
        <v>549</v>
      </c>
      <c r="D56" s="91"/>
      <c r="E56" s="23" t="s">
        <v>434</v>
      </c>
      <c r="F56" s="322">
        <v>1</v>
      </c>
    </row>
    <row r="57" spans="1:6">
      <c r="A57" s="321"/>
      <c r="B57" s="23" t="s">
        <v>550</v>
      </c>
      <c r="C57" s="91" t="s">
        <v>551</v>
      </c>
      <c r="D57" s="91"/>
      <c r="E57" s="23" t="s">
        <v>434</v>
      </c>
      <c r="F57" s="322">
        <v>1</v>
      </c>
    </row>
    <row r="58" spans="1:6">
      <c r="A58" s="333" t="s">
        <v>552</v>
      </c>
      <c r="B58" s="23" t="s">
        <v>553</v>
      </c>
      <c r="C58" s="91" t="s">
        <v>554</v>
      </c>
      <c r="D58" s="91"/>
      <c r="E58" s="23" t="s">
        <v>555</v>
      </c>
      <c r="F58" s="322">
        <v>1</v>
      </c>
    </row>
    <row r="59" spans="1:6">
      <c r="A59" s="334"/>
      <c r="B59" s="23" t="s">
        <v>556</v>
      </c>
      <c r="C59" s="296" t="s">
        <v>557</v>
      </c>
      <c r="D59" s="296"/>
      <c r="E59" s="23" t="s">
        <v>434</v>
      </c>
      <c r="F59" s="322">
        <v>1</v>
      </c>
    </row>
    <row r="60" spans="1:6">
      <c r="A60" s="334"/>
      <c r="B60" s="23" t="s">
        <v>558</v>
      </c>
      <c r="C60" s="296" t="s">
        <v>559</v>
      </c>
      <c r="D60" s="296"/>
      <c r="E60" s="23" t="s">
        <v>434</v>
      </c>
      <c r="F60" s="322">
        <v>1</v>
      </c>
    </row>
    <row r="61" spans="1:6">
      <c r="A61" s="334"/>
      <c r="B61" s="23" t="s">
        <v>560</v>
      </c>
      <c r="C61" s="296" t="s">
        <v>561</v>
      </c>
      <c r="D61" s="296"/>
      <c r="E61" s="23" t="s">
        <v>434</v>
      </c>
      <c r="F61" s="322">
        <v>1</v>
      </c>
    </row>
    <row r="62" spans="1:6">
      <c r="A62" s="334"/>
      <c r="B62" s="23" t="s">
        <v>562</v>
      </c>
      <c r="C62" s="296" t="s">
        <v>563</v>
      </c>
      <c r="D62" s="296"/>
      <c r="E62" s="23" t="s">
        <v>434</v>
      </c>
      <c r="F62" s="322">
        <v>1</v>
      </c>
    </row>
    <row r="63" spans="1:6">
      <c r="A63" s="334"/>
      <c r="B63" s="23" t="s">
        <v>564</v>
      </c>
      <c r="C63" s="296" t="s">
        <v>565</v>
      </c>
      <c r="D63" s="296"/>
      <c r="E63" s="23" t="s">
        <v>434</v>
      </c>
      <c r="F63" s="322">
        <v>1</v>
      </c>
    </row>
    <row r="64" spans="1:6">
      <c r="A64" s="334"/>
      <c r="B64" s="23" t="s">
        <v>566</v>
      </c>
      <c r="C64" s="91" t="s">
        <v>567</v>
      </c>
      <c r="D64" s="91"/>
      <c r="E64" s="23" t="s">
        <v>434</v>
      </c>
      <c r="F64" s="322">
        <v>1</v>
      </c>
    </row>
    <row r="65" spans="1:6">
      <c r="A65" s="334"/>
      <c r="B65" s="23" t="s">
        <v>568</v>
      </c>
      <c r="C65" s="91" t="s">
        <v>569</v>
      </c>
      <c r="D65" s="91"/>
      <c r="E65" s="23" t="s">
        <v>434</v>
      </c>
      <c r="F65" s="322">
        <v>1</v>
      </c>
    </row>
    <row r="66" spans="1:6">
      <c r="A66" s="334"/>
      <c r="B66" s="23" t="s">
        <v>570</v>
      </c>
      <c r="C66" s="337" t="s">
        <v>571</v>
      </c>
      <c r="D66" s="337"/>
      <c r="E66" s="23" t="s">
        <v>434</v>
      </c>
      <c r="F66" s="322">
        <v>1</v>
      </c>
    </row>
    <row r="67" spans="1:6">
      <c r="A67" s="334"/>
      <c r="B67" s="23" t="s">
        <v>572</v>
      </c>
      <c r="C67" s="337" t="s">
        <v>573</v>
      </c>
      <c r="D67" s="337"/>
      <c r="E67" s="23" t="s">
        <v>434</v>
      </c>
      <c r="F67" s="322">
        <v>1</v>
      </c>
    </row>
    <row r="68" spans="1:6">
      <c r="A68" s="334"/>
      <c r="B68" s="23" t="s">
        <v>574</v>
      </c>
      <c r="C68" s="337" t="s">
        <v>575</v>
      </c>
      <c r="D68" s="337"/>
      <c r="E68" s="23" t="s">
        <v>434</v>
      </c>
      <c r="F68" s="322">
        <v>1</v>
      </c>
    </row>
    <row r="69" spans="1:6">
      <c r="A69" s="334"/>
      <c r="B69" s="23" t="s">
        <v>576</v>
      </c>
      <c r="C69" s="337" t="s">
        <v>577</v>
      </c>
      <c r="D69" s="337"/>
      <c r="E69" s="23" t="s">
        <v>434</v>
      </c>
      <c r="F69" s="322">
        <v>1</v>
      </c>
    </row>
    <row r="70" spans="1:6">
      <c r="A70" s="334"/>
      <c r="B70" s="23" t="s">
        <v>578</v>
      </c>
      <c r="C70" s="337" t="s">
        <v>579</v>
      </c>
      <c r="D70" s="337"/>
      <c r="E70" s="23" t="s">
        <v>434</v>
      </c>
      <c r="F70" s="322">
        <v>1</v>
      </c>
    </row>
    <row r="71" spans="1:6">
      <c r="A71" s="334"/>
      <c r="B71" s="23" t="s">
        <v>580</v>
      </c>
      <c r="C71" s="91" t="s">
        <v>581</v>
      </c>
      <c r="D71" s="91"/>
      <c r="E71" s="23" t="s">
        <v>434</v>
      </c>
      <c r="F71" s="322">
        <v>1</v>
      </c>
    </row>
    <row r="72" spans="1:6">
      <c r="A72" s="334"/>
      <c r="B72" s="23" t="s">
        <v>582</v>
      </c>
      <c r="C72" s="91" t="s">
        <v>583</v>
      </c>
      <c r="D72" s="91"/>
      <c r="E72" s="23" t="s">
        <v>434</v>
      </c>
      <c r="F72" s="322">
        <v>1</v>
      </c>
    </row>
    <row r="73" spans="1:6">
      <c r="A73" s="334"/>
      <c r="B73" s="23" t="s">
        <v>584</v>
      </c>
      <c r="C73" s="91" t="s">
        <v>585</v>
      </c>
      <c r="D73" s="91"/>
      <c r="E73" s="23" t="s">
        <v>434</v>
      </c>
      <c r="F73" s="322">
        <v>1</v>
      </c>
    </row>
    <row r="74" spans="1:6">
      <c r="A74" s="334"/>
      <c r="B74" s="23" t="s">
        <v>586</v>
      </c>
      <c r="C74" s="91" t="s">
        <v>587</v>
      </c>
      <c r="D74" s="91"/>
      <c r="E74" s="23" t="s">
        <v>434</v>
      </c>
      <c r="F74" s="322">
        <v>1</v>
      </c>
    </row>
    <row r="75" spans="1:6">
      <c r="A75" s="334"/>
      <c r="B75" s="23" t="s">
        <v>588</v>
      </c>
      <c r="C75" s="91" t="s">
        <v>589</v>
      </c>
      <c r="D75" s="91"/>
      <c r="E75" s="23" t="s">
        <v>434</v>
      </c>
      <c r="F75" s="322">
        <v>1</v>
      </c>
    </row>
    <row r="76" spans="1:6">
      <c r="A76" s="334"/>
      <c r="B76" s="23" t="s">
        <v>590</v>
      </c>
      <c r="C76" s="91" t="s">
        <v>591</v>
      </c>
      <c r="D76" s="91"/>
      <c r="E76" s="23" t="s">
        <v>434</v>
      </c>
      <c r="F76" s="322">
        <v>1</v>
      </c>
    </row>
    <row r="77" spans="1:6">
      <c r="A77" s="334"/>
      <c r="B77" s="23" t="s">
        <v>592</v>
      </c>
      <c r="C77" s="337" t="s">
        <v>593</v>
      </c>
      <c r="D77" s="337"/>
      <c r="E77" s="23" t="s">
        <v>434</v>
      </c>
      <c r="F77" s="322">
        <v>1</v>
      </c>
    </row>
    <row r="78" spans="1:6">
      <c r="A78" s="334"/>
      <c r="B78" s="23" t="s">
        <v>594</v>
      </c>
      <c r="C78" s="337" t="s">
        <v>595</v>
      </c>
      <c r="D78" s="337"/>
      <c r="E78" s="23" t="s">
        <v>434</v>
      </c>
      <c r="F78" s="322">
        <v>1</v>
      </c>
    </row>
    <row r="79" spans="1:6">
      <c r="A79" s="336"/>
      <c r="B79" s="23" t="s">
        <v>596</v>
      </c>
      <c r="C79" s="337" t="s">
        <v>597</v>
      </c>
      <c r="D79" s="337"/>
      <c r="E79" s="23" t="s">
        <v>434</v>
      </c>
      <c r="F79" s="322">
        <v>1</v>
      </c>
    </row>
    <row r="80" spans="1:6">
      <c r="A80" s="333" t="s">
        <v>598</v>
      </c>
      <c r="B80" s="23" t="s">
        <v>599</v>
      </c>
      <c r="C80" s="296" t="s">
        <v>600</v>
      </c>
      <c r="D80" s="296"/>
      <c r="E80" s="23" t="s">
        <v>28</v>
      </c>
      <c r="F80" s="322">
        <v>1</v>
      </c>
    </row>
    <row r="81" spans="1:6">
      <c r="A81" s="334"/>
      <c r="B81" s="23" t="s">
        <v>601</v>
      </c>
      <c r="C81" s="296" t="s">
        <v>602</v>
      </c>
      <c r="D81" s="296"/>
      <c r="E81" s="23" t="s">
        <v>28</v>
      </c>
      <c r="F81" s="322">
        <v>1</v>
      </c>
    </row>
    <row r="82" spans="1:6">
      <c r="A82" s="334"/>
      <c r="B82" s="23" t="s">
        <v>603</v>
      </c>
      <c r="C82" s="296" t="s">
        <v>604</v>
      </c>
      <c r="D82" s="296"/>
      <c r="E82" s="23" t="s">
        <v>28</v>
      </c>
      <c r="F82" s="322">
        <v>1</v>
      </c>
    </row>
    <row r="83" spans="1:6">
      <c r="A83" s="334"/>
      <c r="B83" s="23" t="s">
        <v>605</v>
      </c>
      <c r="C83" s="296" t="s">
        <v>606</v>
      </c>
      <c r="D83" s="296"/>
      <c r="E83" s="23" t="s">
        <v>28</v>
      </c>
      <c r="F83" s="322">
        <v>1</v>
      </c>
    </row>
    <row r="84" spans="1:6">
      <c r="A84" s="336"/>
      <c r="B84" s="23" t="s">
        <v>607</v>
      </c>
      <c r="C84" s="296" t="s">
        <v>608</v>
      </c>
      <c r="D84" s="296"/>
      <c r="E84" s="23" t="s">
        <v>28</v>
      </c>
      <c r="F84" s="322">
        <v>1</v>
      </c>
    </row>
  </sheetData>
  <mergeCells count="12">
    <mergeCell ref="A3:A12"/>
    <mergeCell ref="A13:A22"/>
    <mergeCell ref="A23:A25"/>
    <mergeCell ref="A26:A32"/>
    <mergeCell ref="A33:A35"/>
    <mergeCell ref="A36:A38"/>
    <mergeCell ref="A39:A40"/>
    <mergeCell ref="A41:A42"/>
    <mergeCell ref="A43:A45"/>
    <mergeCell ref="A46:A57"/>
    <mergeCell ref="A58:A79"/>
    <mergeCell ref="A80:A84"/>
  </mergeCells>
  <conditionalFormatting sqref="B58:B84">
    <cfRule type="duplicateValues" dxfId="0" priority="1"/>
  </conditionalFormatting>
  <conditionalFormatting sqref="C58:D61 C63:D79">
    <cfRule type="duplicateValues" dxfId="0" priority="2"/>
  </conditionalFormatting>
  <pageMargins left="0.75" right="0.75" top="1" bottom="1" header="0.511805555555556" footer="0.511805555555556"/>
  <headerFooter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7030A0"/>
  </sheetPr>
  <dimension ref="A1:G21"/>
  <sheetViews>
    <sheetView showGridLines="0" workbookViewId="0">
      <selection activeCell="E31" sqref="E31"/>
    </sheetView>
  </sheetViews>
  <sheetFormatPr defaultColWidth="9" defaultRowHeight="14.25" outlineLevelCol="6"/>
  <cols>
    <col min="1" max="1" width="17.375" style="1" customWidth="1"/>
    <col min="2" max="2" width="19.75" style="1" customWidth="1"/>
    <col min="3" max="3" width="9" style="1"/>
    <col min="4" max="4" width="9.875" style="1" customWidth="1"/>
    <col min="5" max="6" width="9" style="1"/>
    <col min="7" max="7" width="13" style="1" customWidth="1"/>
    <col min="8" max="16384" width="9" style="1"/>
  </cols>
  <sheetData>
    <row r="1" spans="1:4">
      <c r="A1" s="2" t="str">
        <f ca="1">'数据修改（批量）'!A1</f>
        <v>上海有色铝锭价格</v>
      </c>
      <c r="B1" s="2"/>
      <c r="C1" s="2"/>
      <c r="D1" s="3"/>
    </row>
    <row r="2" spans="1:7">
      <c r="A2" s="4">
        <f ca="1">'数据修改（批量）'!A2</f>
        <v>16200</v>
      </c>
      <c r="B2" s="2" t="str">
        <f ca="1">'数据修改（批量）'!B2</f>
        <v>项目</v>
      </c>
      <c r="C2" s="2" t="str">
        <f ca="1">'数据修改（批量）'!C2</f>
        <v>加工费</v>
      </c>
      <c r="D2" s="2" t="str">
        <f ca="1">'数据修改（批量）'!D2</f>
        <v>包装物</v>
      </c>
      <c r="E2" s="2" t="str">
        <f ca="1">'数据修改（批量）'!E2</f>
        <v>运费</v>
      </c>
      <c r="F2" s="2" t="str">
        <f ca="1">'数据修改（批量）'!F2</f>
        <v>单价</v>
      </c>
      <c r="G2" s="2" t="str">
        <f ca="1">'数据修改（批量）'!G2</f>
        <v>每公斤价格</v>
      </c>
    </row>
    <row r="3" spans="1:7">
      <c r="A3" s="2"/>
      <c r="B3" s="2" t="str">
        <f ca="1">'数据修改（批量）'!B3</f>
        <v>203料</v>
      </c>
      <c r="C3" s="2">
        <f ca="1">'数据修改（批量）'!C3</f>
        <v>5500</v>
      </c>
      <c r="D3" s="2">
        <f ca="1">'数据修改（批量）'!D3</f>
        <v>868</v>
      </c>
      <c r="E3" s="2">
        <f ca="1">'数据修改（批量）'!E3</f>
        <v>80</v>
      </c>
      <c r="F3" s="2">
        <f ca="1">'数据修改（批量）'!F3</f>
        <v>22648</v>
      </c>
      <c r="G3" s="2">
        <f ca="1">'数据修改（批量）'!G3</f>
        <v>22.648</v>
      </c>
    </row>
    <row r="4" spans="1:7">
      <c r="A4" s="2"/>
      <c r="B4" s="2" t="str">
        <f ca="1">'数据修改（批量）'!B4</f>
        <v>203料氧化</v>
      </c>
      <c r="C4" s="2">
        <f ca="1">'数据修改（批量）'!C4</f>
        <v>6000</v>
      </c>
      <c r="D4" s="2">
        <f ca="1">'数据修改（批量）'!D4</f>
        <v>888</v>
      </c>
      <c r="E4" s="2">
        <f ca="1">'数据修改（批量）'!E4</f>
        <v>80</v>
      </c>
      <c r="F4" s="2">
        <f ca="1">'数据修改（批量）'!F4</f>
        <v>23168</v>
      </c>
      <c r="G4" s="2">
        <f ca="1">'数据修改（批量）'!G4</f>
        <v>23.168</v>
      </c>
    </row>
    <row r="5" spans="2:7">
      <c r="B5" s="2" t="str">
        <f ca="1">'数据修改（批量）'!B5</f>
        <v>小料加工费</v>
      </c>
      <c r="C5" s="2">
        <f ca="1">'数据修改（批量）'!C5</f>
        <v>4500</v>
      </c>
      <c r="D5" s="2">
        <f ca="1">'数据修改（批量）'!D5</f>
        <v>828</v>
      </c>
      <c r="E5" s="2">
        <f ca="1">'数据修改（批量）'!E5</f>
        <v>80</v>
      </c>
      <c r="F5" s="2">
        <f ca="1">'数据修改（批量）'!F5</f>
        <v>21608</v>
      </c>
      <c r="G5" s="2">
        <f ca="1">'数据修改（批量）'!G5</f>
        <v>21.608</v>
      </c>
    </row>
    <row r="6" spans="1:4">
      <c r="A6" s="2" t="str">
        <f ca="1">'数据修改（批量）'!A6</f>
        <v>南海有色铝锭价格</v>
      </c>
      <c r="D6" s="5"/>
    </row>
    <row r="7" spans="1:1">
      <c r="A7" s="4">
        <f ca="1">'数据修改（批量）'!A7</f>
        <v>16600</v>
      </c>
    </row>
    <row r="8" spans="2:7">
      <c r="B8" s="2" t="str">
        <f ca="1">'数据修改（批量）'!B8</f>
        <v>项目</v>
      </c>
      <c r="C8" s="2" t="str">
        <f ca="1">'数据修改（批量）'!C8</f>
        <v>加工费</v>
      </c>
      <c r="D8" s="2" t="str">
        <f ca="1">'数据修改（批量）'!D8</f>
        <v>包装物</v>
      </c>
      <c r="E8" s="2" t="str">
        <f ca="1">'数据修改（批量）'!E8</f>
        <v>运费</v>
      </c>
      <c r="F8" s="2" t="str">
        <f ca="1">'数据修改（批量）'!F8</f>
        <v>单价</v>
      </c>
      <c r="G8" s="2" t="str">
        <f ca="1">'数据修改（批量）'!G8</f>
        <v>每公斤价格</v>
      </c>
    </row>
    <row r="9" spans="2:7">
      <c r="B9" s="2" t="str">
        <f ca="1">'数据修改（批量）'!B9</f>
        <v>300/350料8米以上</v>
      </c>
      <c r="C9" s="2">
        <f ca="1">'数据修改（批量）'!C9</f>
        <v>7800</v>
      </c>
      <c r="D9" s="2">
        <f ca="1">'数据修改（批量）'!D9</f>
        <v>976</v>
      </c>
      <c r="E9" s="2">
        <f ca="1">'数据修改（批量）'!E9</f>
        <v>1000</v>
      </c>
      <c r="F9" s="2">
        <f ca="1">'数据修改（批量）'!F9</f>
        <v>26376</v>
      </c>
      <c r="G9" s="2">
        <f ca="1">'数据修改（批量）'!G9</f>
        <v>26.376</v>
      </c>
    </row>
    <row r="10" spans="2:7">
      <c r="B10" s="2" t="str">
        <f ca="1">'数据修改（批量）'!B10</f>
        <v>300/350料8米以下</v>
      </c>
      <c r="C10" s="2">
        <f ca="1">'数据修改（批量）'!C10</f>
        <v>7100</v>
      </c>
      <c r="D10" s="2">
        <f ca="1">'数据修改（批量）'!D10</f>
        <v>948</v>
      </c>
      <c r="E10" s="2">
        <f ca="1">'数据修改（批量）'!E10</f>
        <v>1000</v>
      </c>
      <c r="F10" s="2">
        <f ca="1">'数据修改（批量）'!F10</f>
        <v>25648</v>
      </c>
      <c r="G10" s="2">
        <f ca="1">'数据修改（批量）'!G10</f>
        <v>25.648</v>
      </c>
    </row>
    <row r="12" spans="1:4">
      <c r="A12" s="2" t="str">
        <f ca="1">'数据修改（批量）'!A12</f>
        <v>篷布</v>
      </c>
      <c r="B12" s="2"/>
      <c r="C12" s="2"/>
      <c r="D12" s="3"/>
    </row>
    <row r="13" spans="1:7">
      <c r="A13" s="2"/>
      <c r="B13" s="2" t="str">
        <f ca="1">'数据修改（批量）'!B13</f>
        <v>项目</v>
      </c>
      <c r="C13" s="2" t="str">
        <f ca="1">'数据修改（批量）'!C13</f>
        <v>运费</v>
      </c>
      <c r="D13" s="2" t="str">
        <f ca="1">'数据修改（批量）'!D13</f>
        <v>单价</v>
      </c>
      <c r="E13" s="2" t="str">
        <f ca="1">'数据修改（批量）'!E13</f>
        <v>每平价格</v>
      </c>
      <c r="F13" s="2"/>
      <c r="G13" s="2"/>
    </row>
    <row r="14" spans="1:7">
      <c r="A14" s="2"/>
      <c r="B14" s="2">
        <f ca="1">'数据修改（批量）'!B14</f>
        <v>650</v>
      </c>
      <c r="C14" s="2">
        <f ca="1">'数据修改（批量）'!C14</f>
        <v>0.5</v>
      </c>
      <c r="D14" s="4">
        <f ca="1">'数据修改（批量）'!D14</f>
        <v>13.8</v>
      </c>
      <c r="E14" s="2">
        <f ca="1">'数据修改（批量）'!E14</f>
        <v>14.3</v>
      </c>
      <c r="F14" s="2"/>
      <c r="G14" s="2"/>
    </row>
    <row r="15" spans="1:7">
      <c r="A15" s="2"/>
      <c r="B15" s="2">
        <f ca="1">'数据修改（批量）'!B15</f>
        <v>780</v>
      </c>
      <c r="C15" s="2">
        <f ca="1">'数据修改（批量）'!C15</f>
        <v>0.5</v>
      </c>
      <c r="D15" s="4">
        <f ca="1">'数据修改（批量）'!D15</f>
        <v>16.8</v>
      </c>
      <c r="E15" s="2">
        <f ca="1">'数据修改（批量）'!E15</f>
        <v>17.3</v>
      </c>
      <c r="F15" s="2"/>
      <c r="G15" s="2"/>
    </row>
    <row r="16" spans="2:7">
      <c r="B16" s="2">
        <f ca="1">'数据修改（批量）'!B16</f>
        <v>850</v>
      </c>
      <c r="C16" s="2">
        <f ca="1">'数据修改（批量）'!C16</f>
        <v>0.5</v>
      </c>
      <c r="D16" s="4">
        <f ca="1">'数据修改（批量）'!D16</f>
        <v>18</v>
      </c>
      <c r="E16" s="2">
        <f ca="1">'数据修改（批量）'!E16</f>
        <v>18.5</v>
      </c>
      <c r="F16" s="2"/>
      <c r="G16" s="2"/>
    </row>
    <row r="21" spans="1:7">
      <c r="A21" s="6" t="str">
        <f ca="1">'数据修改（批量）'!A21</f>
        <v>说明：黄色部分可以根据价格修改</v>
      </c>
      <c r="B21" s="6"/>
      <c r="C21" s="6"/>
      <c r="D21" s="6"/>
      <c r="E21" s="6"/>
      <c r="F21" s="6"/>
      <c r="G21" s="6"/>
    </row>
  </sheetData>
  <mergeCells count="1">
    <mergeCell ref="A21:G21"/>
  </mergeCells>
  <pageMargins left="0.75" right="0.75" top="1" bottom="1" header="0.509027777777778" footer="0.509027777777778"/>
  <headerFooter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FFFF00"/>
  </sheetPr>
  <dimension ref="A1:T76"/>
  <sheetViews>
    <sheetView showGridLines="0" workbookViewId="0">
      <selection activeCell="B10" sqref="B10"/>
    </sheetView>
  </sheetViews>
  <sheetFormatPr defaultColWidth="9" defaultRowHeight="14.25"/>
  <cols>
    <col min="1" max="1" width="3" style="1" customWidth="1"/>
    <col min="2" max="2" width="16.75" style="1" customWidth="1"/>
    <col min="3" max="3" width="7.5" style="3" customWidth="1"/>
    <col min="4" max="4" width="8" style="1" customWidth="1"/>
    <col min="5" max="5" width="10.125" style="3" customWidth="1"/>
    <col min="6" max="6" width="11.625" style="1" customWidth="1"/>
    <col min="7" max="7" width="15" style="1" customWidth="1"/>
    <col min="8" max="8" width="11.625" style="1" customWidth="1"/>
    <col min="9" max="9" width="16" style="1" customWidth="1"/>
    <col min="10" max="10" width="15.25" style="1" customWidth="1"/>
    <col min="11" max="11" width="11.625" style="1" customWidth="1"/>
    <col min="12" max="12" width="15.75" style="1" customWidth="1"/>
    <col min="13" max="13" width="11.625" style="1" customWidth="1"/>
    <col min="14" max="14" width="67.25" style="1" customWidth="1"/>
    <col min="15" max="15" width="9.75" style="1" customWidth="1"/>
    <col min="16" max="18" width="9" style="3"/>
    <col min="19" max="19" width="12.75" style="3" hidden="1" customWidth="1"/>
    <col min="20" max="20" width="9" style="1" hidden="1" customWidth="1"/>
    <col min="21" max="16384" width="9" style="1"/>
  </cols>
  <sheetData>
    <row r="1" ht="15.95" customHeight="1" spans="1:15">
      <c r="A1" s="7" t="s">
        <v>1334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161"/>
    </row>
    <row r="2" ht="15.95" customHeight="1" spans="1:18">
      <c r="A2" s="141" t="s">
        <v>1246</v>
      </c>
      <c r="B2" s="141"/>
      <c r="C2" s="141"/>
      <c r="D2" s="9" t="s">
        <v>1198</v>
      </c>
      <c r="E2" s="10">
        <f>A3*3*10</f>
        <v>60</v>
      </c>
      <c r="F2" s="11" t="s">
        <v>1202</v>
      </c>
      <c r="G2" s="11"/>
      <c r="H2" s="11"/>
      <c r="I2" s="11"/>
      <c r="J2" s="11"/>
      <c r="K2" s="11"/>
      <c r="L2" s="11"/>
      <c r="M2" s="11"/>
      <c r="N2" s="11"/>
      <c r="O2" s="162"/>
      <c r="P2" s="55"/>
      <c r="Q2" s="55"/>
      <c r="R2" s="55"/>
    </row>
    <row r="3" ht="15.95" customHeight="1" spans="1:18">
      <c r="A3" s="177">
        <v>2</v>
      </c>
      <c r="B3" s="177"/>
      <c r="C3" s="178" t="s">
        <v>1247</v>
      </c>
      <c r="D3" s="179">
        <v>3</v>
      </c>
      <c r="E3" s="189" t="s">
        <v>1248</v>
      </c>
      <c r="F3" s="246">
        <v>2</v>
      </c>
      <c r="G3" s="189" t="s">
        <v>1249</v>
      </c>
      <c r="H3" s="247"/>
      <c r="I3" s="110"/>
      <c r="J3" s="110"/>
      <c r="K3" s="110"/>
      <c r="L3" s="110"/>
      <c r="M3" s="265"/>
      <c r="N3" s="266"/>
      <c r="P3" s="55"/>
      <c r="Q3" s="55"/>
      <c r="R3" s="55"/>
    </row>
    <row r="4" ht="15.95" customHeight="1" spans="1:20">
      <c r="A4" s="165" t="s">
        <v>1200</v>
      </c>
      <c r="B4" s="165" t="s">
        <v>1201</v>
      </c>
      <c r="C4" s="165" t="s">
        <v>1250</v>
      </c>
      <c r="D4" s="165" t="s">
        <v>22</v>
      </c>
      <c r="E4" s="165" t="s">
        <v>1251</v>
      </c>
      <c r="F4" s="139" t="s">
        <v>1204</v>
      </c>
      <c r="G4" s="75" t="s">
        <v>1252</v>
      </c>
      <c r="H4" s="75" t="s">
        <v>1253</v>
      </c>
      <c r="I4" s="75" t="s">
        <v>1254</v>
      </c>
      <c r="J4" s="75" t="s">
        <v>1255</v>
      </c>
      <c r="K4" s="75" t="s">
        <v>1209</v>
      </c>
      <c r="L4" s="75" t="s">
        <v>1256</v>
      </c>
      <c r="M4" s="75" t="s">
        <v>1211</v>
      </c>
      <c r="N4" s="163" t="s">
        <v>1257</v>
      </c>
      <c r="O4" s="267" t="s">
        <v>1212</v>
      </c>
      <c r="P4" s="268" t="s">
        <v>1258</v>
      </c>
      <c r="Q4" s="285" t="s">
        <v>1259</v>
      </c>
      <c r="R4" s="286" t="s">
        <v>1213</v>
      </c>
      <c r="S4" s="287" t="s">
        <v>1260</v>
      </c>
      <c r="T4" s="286" t="s">
        <v>1213</v>
      </c>
    </row>
    <row r="5" spans="1:20">
      <c r="A5" s="153" t="s">
        <v>1215</v>
      </c>
      <c r="B5" s="91" t="s">
        <v>1224</v>
      </c>
      <c r="C5" s="23"/>
      <c r="D5" s="23" t="s">
        <v>28</v>
      </c>
      <c r="E5" s="24">
        <f>D3*2</f>
        <v>6</v>
      </c>
      <c r="F5" s="248">
        <f ca="1">G5+H5+I5+J5+K5+L5+M5</f>
        <v>142.425124928</v>
      </c>
      <c r="G5" s="249">
        <f>5.34/2</f>
        <v>2.67</v>
      </c>
      <c r="H5" s="249">
        <v>2.168</v>
      </c>
      <c r="I5" s="269">
        <f ca="1">G5*H5*'10米（人字84料）参数'!G5*1.1</f>
        <v>137.587124928</v>
      </c>
      <c r="J5" s="270"/>
      <c r="K5" s="270"/>
      <c r="L5" s="270"/>
      <c r="M5" s="270"/>
      <c r="N5" s="271" t="s">
        <v>1261</v>
      </c>
      <c r="O5" s="272">
        <v>4</v>
      </c>
      <c r="P5" s="60">
        <f ca="1" t="shared" ref="P5:P33" si="0">F5*O5</f>
        <v>569.700499712</v>
      </c>
      <c r="Q5" s="288">
        <f t="shared" ref="Q5:Q33" si="1">E5-O5</f>
        <v>2</v>
      </c>
      <c r="R5" s="67">
        <f ca="1" t="shared" ref="R5:R33" si="2">F5*Q5</f>
        <v>284.850249856</v>
      </c>
      <c r="S5" s="60">
        <v>0</v>
      </c>
      <c r="T5" s="289">
        <f ca="1" t="shared" ref="T5:T13" si="3">F5*S5</f>
        <v>0</v>
      </c>
    </row>
    <row r="6" spans="1:20">
      <c r="A6" s="153"/>
      <c r="B6" s="91" t="s">
        <v>1308</v>
      </c>
      <c r="C6" s="23"/>
      <c r="D6" s="23" t="s">
        <v>28</v>
      </c>
      <c r="E6" s="24">
        <f>F3</f>
        <v>2</v>
      </c>
      <c r="F6" s="248">
        <f ca="1">G6+H6+I6+J6+K6+L6+M6</f>
        <v>237.10333696</v>
      </c>
      <c r="G6" s="250">
        <v>4.4</v>
      </c>
      <c r="H6" s="250">
        <v>2.168</v>
      </c>
      <c r="I6" s="101">
        <f ca="1">G6*H6*'10米（人字84料）参数'!G5*1.1</f>
        <v>226.73533696</v>
      </c>
      <c r="J6" s="261"/>
      <c r="K6" s="261">
        <v>2.5</v>
      </c>
      <c r="L6" s="261"/>
      <c r="M6" s="261">
        <f>0.65*2</f>
        <v>1.3</v>
      </c>
      <c r="N6" s="271" t="s">
        <v>1335</v>
      </c>
      <c r="O6" s="272">
        <v>2</v>
      </c>
      <c r="P6" s="60">
        <f ca="1" t="shared" si="0"/>
        <v>474.20667392</v>
      </c>
      <c r="Q6" s="67">
        <f t="shared" si="1"/>
        <v>0</v>
      </c>
      <c r="R6" s="67">
        <f ca="1" t="shared" si="2"/>
        <v>0</v>
      </c>
      <c r="S6" s="47">
        <f>F3-O6</f>
        <v>0</v>
      </c>
      <c r="T6" s="289">
        <f ca="1" t="shared" si="3"/>
        <v>0</v>
      </c>
    </row>
    <row r="7" spans="1:20">
      <c r="A7" s="153"/>
      <c r="B7" s="91" t="s">
        <v>1225</v>
      </c>
      <c r="C7" s="23"/>
      <c r="D7" s="23" t="s">
        <v>28</v>
      </c>
      <c r="E7" s="24">
        <f>D3*2</f>
        <v>6</v>
      </c>
      <c r="F7" s="248">
        <f ca="1">G7+H7+I7+J7+K7+L7+M7</f>
        <v>287.082249856</v>
      </c>
      <c r="G7" s="251">
        <v>5.34</v>
      </c>
      <c r="H7" s="251">
        <v>2.168</v>
      </c>
      <c r="I7" s="61">
        <f ca="1">G7*H7*'10米（人字84料）参数'!G5*1.1</f>
        <v>275.174249856</v>
      </c>
      <c r="J7" s="273">
        <f>1.2*2</f>
        <v>2.4</v>
      </c>
      <c r="K7" s="273"/>
      <c r="L7" s="273">
        <f>1*2</f>
        <v>2</v>
      </c>
      <c r="M7" s="273"/>
      <c r="N7" s="271" t="s">
        <v>1336</v>
      </c>
      <c r="O7" s="274">
        <v>4</v>
      </c>
      <c r="P7" s="60">
        <f ca="1" t="shared" si="0"/>
        <v>1148.328999424</v>
      </c>
      <c r="Q7" s="288">
        <f t="shared" si="1"/>
        <v>2</v>
      </c>
      <c r="R7" s="67">
        <f ca="1" t="shared" si="2"/>
        <v>574.164499712</v>
      </c>
      <c r="S7" s="60">
        <v>0</v>
      </c>
      <c r="T7" s="289">
        <f ca="1" t="shared" si="3"/>
        <v>0</v>
      </c>
    </row>
    <row r="8" spans="1:20">
      <c r="A8" s="153"/>
      <c r="B8" s="91" t="s">
        <v>1226</v>
      </c>
      <c r="C8" s="23"/>
      <c r="D8" s="23" t="s">
        <v>28</v>
      </c>
      <c r="E8" s="24">
        <f>A3*3</f>
        <v>6</v>
      </c>
      <c r="F8" s="248">
        <f ca="1">I8+J8+K8+L8+M8</f>
        <v>61.76684516</v>
      </c>
      <c r="G8" s="252">
        <f>5.9/2</f>
        <v>2.95</v>
      </c>
      <c r="H8" s="252">
        <v>0.821</v>
      </c>
      <c r="I8" s="61">
        <f ca="1">G8*H8*'10米（人字84料）参数'!G5*1.1</f>
        <v>57.56684516</v>
      </c>
      <c r="J8" s="262"/>
      <c r="K8" s="262"/>
      <c r="L8" s="262">
        <f>0.3*2</f>
        <v>0.6</v>
      </c>
      <c r="M8" s="262">
        <f>1.8*2</f>
        <v>3.6</v>
      </c>
      <c r="N8" s="271" t="s">
        <v>1263</v>
      </c>
      <c r="O8" s="272">
        <v>3</v>
      </c>
      <c r="P8" s="60">
        <f ca="1" t="shared" si="0"/>
        <v>185.30053548</v>
      </c>
      <c r="Q8" s="288">
        <f t="shared" si="1"/>
        <v>3</v>
      </c>
      <c r="R8" s="67">
        <f ca="1" t="shared" si="2"/>
        <v>185.30053548</v>
      </c>
      <c r="S8" s="60"/>
      <c r="T8" s="289">
        <f ca="1" t="shared" si="3"/>
        <v>0</v>
      </c>
    </row>
    <row r="9" spans="1:20">
      <c r="A9" s="153"/>
      <c r="B9" s="91" t="s">
        <v>1264</v>
      </c>
      <c r="C9" s="23"/>
      <c r="D9" s="23" t="s">
        <v>28</v>
      </c>
      <c r="E9" s="24">
        <f>A3*2</f>
        <v>4</v>
      </c>
      <c r="F9" s="248">
        <f ca="1">I9+J9+K9+L9+M9</f>
        <v>110.21835552</v>
      </c>
      <c r="G9" s="252">
        <f>5.9/2</f>
        <v>2.95</v>
      </c>
      <c r="H9" s="252">
        <v>1.512</v>
      </c>
      <c r="I9" s="61">
        <f ca="1">G9*H9*'10米（人字84料）参数'!G5*1.1</f>
        <v>106.01835552</v>
      </c>
      <c r="J9" s="262"/>
      <c r="K9" s="262"/>
      <c r="L9" s="262">
        <f>0.3*2</f>
        <v>0.6</v>
      </c>
      <c r="M9" s="262">
        <f>1.8*2</f>
        <v>3.6</v>
      </c>
      <c r="N9" s="271" t="s">
        <v>1265</v>
      </c>
      <c r="O9" s="272">
        <v>2</v>
      </c>
      <c r="P9" s="60">
        <f ca="1" t="shared" si="0"/>
        <v>220.43671104</v>
      </c>
      <c r="Q9" s="288">
        <f t="shared" si="1"/>
        <v>2</v>
      </c>
      <c r="R9" s="67">
        <f ca="1" t="shared" si="2"/>
        <v>220.43671104</v>
      </c>
      <c r="S9" s="60"/>
      <c r="T9" s="289">
        <f ca="1" t="shared" si="3"/>
        <v>0</v>
      </c>
    </row>
    <row r="10" spans="1:20">
      <c r="A10" s="153"/>
      <c r="B10" s="91" t="s">
        <v>1266</v>
      </c>
      <c r="C10" s="23"/>
      <c r="D10" s="23" t="s">
        <v>28</v>
      </c>
      <c r="E10" s="24">
        <f>A3*2</f>
        <v>4</v>
      </c>
      <c r="F10" s="248">
        <f>I10+J10+K10+L10+M10</f>
        <v>45</v>
      </c>
      <c r="G10" s="252">
        <f>5.86/2</f>
        <v>2.93</v>
      </c>
      <c r="H10" s="252">
        <v>0.868</v>
      </c>
      <c r="I10" s="61">
        <v>45</v>
      </c>
      <c r="J10" s="262"/>
      <c r="K10" s="262"/>
      <c r="L10" s="262"/>
      <c r="M10" s="262"/>
      <c r="N10" s="271" t="s">
        <v>1267</v>
      </c>
      <c r="O10" s="272">
        <v>2</v>
      </c>
      <c r="P10" s="60">
        <f ca="1" t="shared" si="0"/>
        <v>90</v>
      </c>
      <c r="Q10" s="288">
        <f t="shared" si="1"/>
        <v>2</v>
      </c>
      <c r="R10" s="67">
        <f ca="1" t="shared" si="2"/>
        <v>90</v>
      </c>
      <c r="S10" s="60"/>
      <c r="T10" s="289">
        <f ca="1" t="shared" si="3"/>
        <v>0</v>
      </c>
    </row>
    <row r="11" spans="1:20">
      <c r="A11" s="153"/>
      <c r="B11" s="91" t="s">
        <v>1268</v>
      </c>
      <c r="C11" s="23"/>
      <c r="D11" s="23" t="s">
        <v>28</v>
      </c>
      <c r="E11" s="24">
        <f>F3*2</f>
        <v>4</v>
      </c>
      <c r="F11" s="248">
        <f>I11+J11+K11+L11+M11</f>
        <v>75</v>
      </c>
      <c r="G11" s="250">
        <v>4.99</v>
      </c>
      <c r="H11" s="250">
        <v>0.868</v>
      </c>
      <c r="I11" s="61">
        <v>75</v>
      </c>
      <c r="J11" s="261"/>
      <c r="K11" s="261"/>
      <c r="L11" s="261"/>
      <c r="M11" s="261"/>
      <c r="N11" s="271" t="s">
        <v>1337</v>
      </c>
      <c r="O11" s="272">
        <v>4</v>
      </c>
      <c r="P11" s="60">
        <f ca="1" t="shared" si="0"/>
        <v>300</v>
      </c>
      <c r="Q11" s="67">
        <f t="shared" si="1"/>
        <v>0</v>
      </c>
      <c r="R11" s="67">
        <f ca="1" t="shared" si="2"/>
        <v>0</v>
      </c>
      <c r="S11" s="47">
        <f>F3*2-O11</f>
        <v>0</v>
      </c>
      <c r="T11" s="289">
        <f ca="1" t="shared" si="3"/>
        <v>0</v>
      </c>
    </row>
    <row r="12" spans="1:20">
      <c r="A12" s="153"/>
      <c r="B12" s="253" t="s">
        <v>1270</v>
      </c>
      <c r="C12" s="254"/>
      <c r="D12" s="254" t="s">
        <v>28</v>
      </c>
      <c r="E12" s="255">
        <v>3</v>
      </c>
      <c r="F12" s="248">
        <f>I12+J12+K12+L12+M12</f>
        <v>53.84</v>
      </c>
      <c r="G12" s="256">
        <v>12</v>
      </c>
      <c r="H12" s="256">
        <v>3.6</v>
      </c>
      <c r="I12" s="248">
        <f>G12*H12*1.2</f>
        <v>51.84</v>
      </c>
      <c r="J12" s="275"/>
      <c r="K12" s="275"/>
      <c r="L12" s="275">
        <v>2</v>
      </c>
      <c r="M12" s="275"/>
      <c r="N12" s="271" t="s">
        <v>1271</v>
      </c>
      <c r="O12" s="276">
        <v>2</v>
      </c>
      <c r="P12" s="277">
        <f ca="1" t="shared" si="0"/>
        <v>107.68</v>
      </c>
      <c r="Q12" s="290">
        <f t="shared" si="1"/>
        <v>1</v>
      </c>
      <c r="R12" s="290">
        <f ca="1" t="shared" si="2"/>
        <v>53.84</v>
      </c>
      <c r="S12" s="60"/>
      <c r="T12" s="289">
        <f ca="1" t="shared" si="3"/>
        <v>0</v>
      </c>
    </row>
    <row r="13" spans="1:20">
      <c r="A13" s="153"/>
      <c r="B13" s="91" t="s">
        <v>1272</v>
      </c>
      <c r="C13" s="23"/>
      <c r="D13" s="23" t="s">
        <v>28</v>
      </c>
      <c r="E13" s="32">
        <f>E12*2</f>
        <v>6</v>
      </c>
      <c r="F13" s="248">
        <v>51</v>
      </c>
      <c r="G13" s="256"/>
      <c r="H13" s="256"/>
      <c r="I13" s="248"/>
      <c r="J13" s="262"/>
      <c r="K13" s="262"/>
      <c r="L13" s="262"/>
      <c r="M13" s="262"/>
      <c r="N13" s="271" t="s">
        <v>1273</v>
      </c>
      <c r="O13" s="278">
        <v>4</v>
      </c>
      <c r="P13" s="60">
        <f ca="1" t="shared" si="0"/>
        <v>204</v>
      </c>
      <c r="Q13" s="67">
        <f t="shared" si="1"/>
        <v>2</v>
      </c>
      <c r="R13" s="67">
        <f ca="1" t="shared" si="2"/>
        <v>102</v>
      </c>
      <c r="S13" s="60"/>
      <c r="T13" s="289">
        <f ca="1" t="shared" si="3"/>
        <v>0</v>
      </c>
    </row>
    <row r="14" spans="1:20">
      <c r="A14" s="153"/>
      <c r="B14" s="91" t="s">
        <v>1320</v>
      </c>
      <c r="C14" s="23"/>
      <c r="D14" s="23" t="s">
        <v>28</v>
      </c>
      <c r="E14" s="24">
        <f>E30</f>
        <v>4</v>
      </c>
      <c r="F14" s="101">
        <v>21</v>
      </c>
      <c r="G14" s="148"/>
      <c r="H14" s="148"/>
      <c r="I14" s="101"/>
      <c r="J14" s="261"/>
      <c r="K14" s="261"/>
      <c r="L14" s="261"/>
      <c r="M14" s="261"/>
      <c r="N14" s="271" t="s">
        <v>1330</v>
      </c>
      <c r="O14" s="278">
        <v>4</v>
      </c>
      <c r="P14" s="60">
        <f ca="1" t="shared" si="0"/>
        <v>84</v>
      </c>
      <c r="Q14" s="67">
        <f t="shared" si="1"/>
        <v>0</v>
      </c>
      <c r="R14" s="67">
        <f ca="1" t="shared" si="2"/>
        <v>0</v>
      </c>
      <c r="S14" s="60"/>
      <c r="T14" s="289"/>
    </row>
    <row r="15" spans="1:20">
      <c r="A15" s="153"/>
      <c r="B15" s="91" t="s">
        <v>1274</v>
      </c>
      <c r="C15" s="23"/>
      <c r="D15" s="23" t="s">
        <v>28</v>
      </c>
      <c r="E15" s="24">
        <f>E29</f>
        <v>4</v>
      </c>
      <c r="F15" s="101">
        <v>11</v>
      </c>
      <c r="G15" s="148"/>
      <c r="H15" s="148"/>
      <c r="I15" s="101"/>
      <c r="J15" s="261"/>
      <c r="K15" s="261"/>
      <c r="L15" s="261"/>
      <c r="M15" s="261"/>
      <c r="N15" s="271" t="s">
        <v>1275</v>
      </c>
      <c r="O15" s="278">
        <v>2</v>
      </c>
      <c r="P15" s="60">
        <f ca="1" t="shared" si="0"/>
        <v>22</v>
      </c>
      <c r="Q15" s="67">
        <f t="shared" si="1"/>
        <v>2</v>
      </c>
      <c r="R15" s="67">
        <f ca="1" t="shared" si="2"/>
        <v>22</v>
      </c>
      <c r="S15" s="60"/>
      <c r="T15" s="289"/>
    </row>
    <row r="16" spans="1:20">
      <c r="A16" s="153"/>
      <c r="B16" s="91" t="s">
        <v>1276</v>
      </c>
      <c r="C16" s="23"/>
      <c r="D16" s="23" t="s">
        <v>28</v>
      </c>
      <c r="E16" s="28">
        <f>F3*2</f>
        <v>4</v>
      </c>
      <c r="F16" s="61">
        <f ca="1">I16+J16+K16+L16+M16</f>
        <v>266.67725408</v>
      </c>
      <c r="G16" s="95">
        <v>4.95</v>
      </c>
      <c r="H16" s="95">
        <v>2.168</v>
      </c>
      <c r="I16" s="61">
        <f ca="1">G16*H16*'10米（人字84料）参数'!G5*1.1</f>
        <v>255.07725408</v>
      </c>
      <c r="J16" s="61"/>
      <c r="K16" s="61">
        <f>2*5</f>
        <v>10</v>
      </c>
      <c r="L16" s="61">
        <f>2*0.8</f>
        <v>1.6</v>
      </c>
      <c r="M16" s="61"/>
      <c r="N16" s="271" t="s">
        <v>1338</v>
      </c>
      <c r="O16" s="272">
        <v>4</v>
      </c>
      <c r="P16" s="60">
        <f ca="1" t="shared" si="0"/>
        <v>1066.70901632</v>
      </c>
      <c r="Q16" s="67">
        <f t="shared" si="1"/>
        <v>0</v>
      </c>
      <c r="R16" s="67">
        <f ca="1" t="shared" si="2"/>
        <v>0</v>
      </c>
      <c r="S16" s="47">
        <f>F3*2-O16</f>
        <v>0</v>
      </c>
      <c r="T16" s="289">
        <f ca="1" t="shared" ref="T16:T32" si="4">F16*S16</f>
        <v>0</v>
      </c>
    </row>
    <row r="17" spans="1:20">
      <c r="A17" s="153" t="s">
        <v>1278</v>
      </c>
      <c r="B17" s="91" t="s">
        <v>514</v>
      </c>
      <c r="C17" s="23"/>
      <c r="D17" s="23" t="s">
        <v>434</v>
      </c>
      <c r="E17" s="23">
        <f>F3*2</f>
        <v>4</v>
      </c>
      <c r="F17" s="257">
        <v>46.8</v>
      </c>
      <c r="G17" s="192"/>
      <c r="H17" s="192"/>
      <c r="I17" s="279"/>
      <c r="J17" s="257"/>
      <c r="K17" s="257"/>
      <c r="L17" s="257"/>
      <c r="M17" s="257"/>
      <c r="N17" s="271" t="s">
        <v>1323</v>
      </c>
      <c r="O17" s="280">
        <v>4</v>
      </c>
      <c r="P17" s="60">
        <f ca="1" t="shared" si="0"/>
        <v>187.2</v>
      </c>
      <c r="Q17" s="67">
        <f t="shared" si="1"/>
        <v>0</v>
      </c>
      <c r="R17" s="67">
        <f ca="1" t="shared" si="2"/>
        <v>0</v>
      </c>
      <c r="S17" s="60"/>
      <c r="T17" s="289">
        <f ca="1" t="shared" si="4"/>
        <v>0</v>
      </c>
    </row>
    <row r="18" spans="1:20">
      <c r="A18" s="153"/>
      <c r="B18" s="91" t="s">
        <v>512</v>
      </c>
      <c r="C18" s="23"/>
      <c r="D18" s="23" t="s">
        <v>434</v>
      </c>
      <c r="E18" s="23">
        <f>D3*2-F3*2</f>
        <v>2</v>
      </c>
      <c r="F18" s="258">
        <v>22.8</v>
      </c>
      <c r="G18" s="259"/>
      <c r="H18" s="259"/>
      <c r="I18" s="281"/>
      <c r="J18" s="258"/>
      <c r="K18" s="258"/>
      <c r="L18" s="258"/>
      <c r="M18" s="258"/>
      <c r="N18" s="271" t="s">
        <v>1279</v>
      </c>
      <c r="O18" s="282">
        <v>0</v>
      </c>
      <c r="P18" s="60">
        <f ca="1" t="shared" si="0"/>
        <v>0</v>
      </c>
      <c r="Q18" s="288">
        <f t="shared" si="1"/>
        <v>2</v>
      </c>
      <c r="R18" s="67">
        <f ca="1" t="shared" si="2"/>
        <v>45.6</v>
      </c>
      <c r="S18" s="60"/>
      <c r="T18" s="289">
        <f ca="1" t="shared" si="4"/>
        <v>0</v>
      </c>
    </row>
    <row r="19" spans="1:20">
      <c r="A19" s="153"/>
      <c r="B19" s="91" t="s">
        <v>1339</v>
      </c>
      <c r="C19" s="23"/>
      <c r="D19" s="23" t="s">
        <v>28</v>
      </c>
      <c r="E19" s="23">
        <f>E13</f>
        <v>6</v>
      </c>
      <c r="F19" s="257">
        <v>15</v>
      </c>
      <c r="G19" s="260"/>
      <c r="H19" s="260"/>
      <c r="I19" s="283"/>
      <c r="J19" s="284"/>
      <c r="K19" s="284"/>
      <c r="L19" s="284"/>
      <c r="M19" s="284"/>
      <c r="N19" s="280" t="s">
        <v>1340</v>
      </c>
      <c r="O19" s="280">
        <v>4</v>
      </c>
      <c r="P19" s="60">
        <f ca="1" t="shared" si="0"/>
        <v>60</v>
      </c>
      <c r="Q19" s="67">
        <f t="shared" si="1"/>
        <v>2</v>
      </c>
      <c r="R19" s="67">
        <f ca="1" t="shared" si="2"/>
        <v>30</v>
      </c>
      <c r="S19" s="60"/>
      <c r="T19" s="289">
        <f ca="1" t="shared" si="4"/>
        <v>0</v>
      </c>
    </row>
    <row r="20" spans="1:20">
      <c r="A20" s="153"/>
      <c r="B20" s="91" t="s">
        <v>1304</v>
      </c>
      <c r="C20" s="23"/>
      <c r="D20" s="23" t="s">
        <v>434</v>
      </c>
      <c r="E20" s="24">
        <f>D3</f>
        <v>3</v>
      </c>
      <c r="F20" s="261">
        <v>55</v>
      </c>
      <c r="G20" s="148"/>
      <c r="H20" s="148"/>
      <c r="I20" s="101"/>
      <c r="J20" s="261"/>
      <c r="K20" s="261"/>
      <c r="L20" s="261"/>
      <c r="M20" s="261"/>
      <c r="N20" s="271" t="s">
        <v>1305</v>
      </c>
      <c r="O20" s="272">
        <v>2</v>
      </c>
      <c r="P20" s="60">
        <f ca="1" t="shared" si="0"/>
        <v>110</v>
      </c>
      <c r="Q20" s="288">
        <f t="shared" si="1"/>
        <v>1</v>
      </c>
      <c r="R20" s="67">
        <f ca="1" t="shared" si="2"/>
        <v>55</v>
      </c>
      <c r="S20" s="60"/>
      <c r="T20" s="289">
        <f ca="1" t="shared" si="4"/>
        <v>0</v>
      </c>
    </row>
    <row r="21" spans="1:20">
      <c r="A21" s="153"/>
      <c r="B21" s="91" t="s">
        <v>1310</v>
      </c>
      <c r="C21" s="23"/>
      <c r="D21" s="23" t="s">
        <v>434</v>
      </c>
      <c r="E21" s="24">
        <f>E6</f>
        <v>2</v>
      </c>
      <c r="F21" s="262">
        <v>13.5</v>
      </c>
      <c r="G21" s="256"/>
      <c r="H21" s="256"/>
      <c r="I21" s="248"/>
      <c r="J21" s="262"/>
      <c r="K21" s="262"/>
      <c r="L21" s="262"/>
      <c r="M21" s="262"/>
      <c r="N21" s="271" t="s">
        <v>1311</v>
      </c>
      <c r="O21" s="272">
        <v>2</v>
      </c>
      <c r="P21" s="60">
        <f ca="1" t="shared" si="0"/>
        <v>27</v>
      </c>
      <c r="Q21" s="67">
        <f t="shared" si="1"/>
        <v>0</v>
      </c>
      <c r="R21" s="67">
        <f ca="1" t="shared" si="2"/>
        <v>0</v>
      </c>
      <c r="S21" s="47">
        <f>F3-O21</f>
        <v>0</v>
      </c>
      <c r="T21" s="289">
        <f ca="1" t="shared" si="4"/>
        <v>0</v>
      </c>
    </row>
    <row r="22" spans="1:20">
      <c r="A22" s="153"/>
      <c r="B22" s="91" t="s">
        <v>1280</v>
      </c>
      <c r="C22" s="23"/>
      <c r="D22" s="23" t="s">
        <v>434</v>
      </c>
      <c r="E22" s="28">
        <f>E5</f>
        <v>6</v>
      </c>
      <c r="F22" s="263">
        <v>10.8</v>
      </c>
      <c r="G22" s="256"/>
      <c r="H22" s="256"/>
      <c r="I22" s="248"/>
      <c r="J22" s="263"/>
      <c r="K22" s="263"/>
      <c r="L22" s="263"/>
      <c r="M22" s="263"/>
      <c r="N22" s="271" t="s">
        <v>1281</v>
      </c>
      <c r="O22" s="272">
        <v>4</v>
      </c>
      <c r="P22" s="60">
        <f ca="1" t="shared" si="0"/>
        <v>43.2</v>
      </c>
      <c r="Q22" s="288">
        <f t="shared" si="1"/>
        <v>2</v>
      </c>
      <c r="R22" s="67">
        <f ca="1" t="shared" si="2"/>
        <v>21.6</v>
      </c>
      <c r="S22" s="60"/>
      <c r="T22" s="289">
        <f ca="1" t="shared" si="4"/>
        <v>0</v>
      </c>
    </row>
    <row r="23" spans="1:20">
      <c r="A23" s="153"/>
      <c r="B23" s="91" t="s">
        <v>1282</v>
      </c>
      <c r="C23" s="23"/>
      <c r="D23" s="23" t="s">
        <v>434</v>
      </c>
      <c r="E23" s="24">
        <f>D3*2-F3*2+F3</f>
        <v>4</v>
      </c>
      <c r="F23" s="262">
        <v>2</v>
      </c>
      <c r="G23" s="256"/>
      <c r="H23" s="256"/>
      <c r="I23" s="248"/>
      <c r="J23" s="262"/>
      <c r="K23" s="262"/>
      <c r="L23" s="262"/>
      <c r="M23" s="262"/>
      <c r="N23" s="271" t="s">
        <v>1283</v>
      </c>
      <c r="O23" s="272">
        <v>2</v>
      </c>
      <c r="P23" s="60">
        <f ca="1" t="shared" si="0"/>
        <v>4</v>
      </c>
      <c r="Q23" s="288">
        <f t="shared" si="1"/>
        <v>2</v>
      </c>
      <c r="R23" s="67">
        <f ca="1" t="shared" si="2"/>
        <v>4</v>
      </c>
      <c r="S23" s="60"/>
      <c r="T23" s="289">
        <f ca="1" t="shared" si="4"/>
        <v>0</v>
      </c>
    </row>
    <row r="24" spans="1:20">
      <c r="A24" s="153"/>
      <c r="B24" s="91" t="s">
        <v>1284</v>
      </c>
      <c r="C24" s="23"/>
      <c r="D24" s="23" t="s">
        <v>434</v>
      </c>
      <c r="E24" s="24">
        <f>D3*2</f>
        <v>6</v>
      </c>
      <c r="F24" s="262">
        <v>2.7</v>
      </c>
      <c r="G24" s="256"/>
      <c r="H24" s="256"/>
      <c r="I24" s="248"/>
      <c r="J24" s="262"/>
      <c r="K24" s="262"/>
      <c r="L24" s="262"/>
      <c r="M24" s="262"/>
      <c r="N24" s="271" t="s">
        <v>1285</v>
      </c>
      <c r="O24" s="272">
        <v>4</v>
      </c>
      <c r="P24" s="60">
        <f ca="1" t="shared" si="0"/>
        <v>10.8</v>
      </c>
      <c r="Q24" s="288">
        <f t="shared" si="1"/>
        <v>2</v>
      </c>
      <c r="R24" s="67">
        <f ca="1" t="shared" si="2"/>
        <v>5.4</v>
      </c>
      <c r="S24" s="60"/>
      <c r="T24" s="289">
        <f ca="1" t="shared" si="4"/>
        <v>0</v>
      </c>
    </row>
    <row r="25" spans="1:20">
      <c r="A25" s="153"/>
      <c r="B25" s="91" t="s">
        <v>517</v>
      </c>
      <c r="C25" s="23"/>
      <c r="D25" s="23" t="s">
        <v>434</v>
      </c>
      <c r="E25" s="24">
        <f>F3*2</f>
        <v>4</v>
      </c>
      <c r="F25" s="262">
        <v>2.7</v>
      </c>
      <c r="G25" s="256"/>
      <c r="H25" s="256"/>
      <c r="I25" s="248"/>
      <c r="J25" s="262"/>
      <c r="K25" s="262"/>
      <c r="L25" s="262"/>
      <c r="M25" s="262"/>
      <c r="N25" s="271" t="s">
        <v>1285</v>
      </c>
      <c r="O25" s="272">
        <v>4</v>
      </c>
      <c r="P25" s="60">
        <f ca="1" t="shared" si="0"/>
        <v>10.8</v>
      </c>
      <c r="Q25" s="67">
        <f t="shared" si="1"/>
        <v>0</v>
      </c>
      <c r="R25" s="67">
        <f ca="1" t="shared" si="2"/>
        <v>0</v>
      </c>
      <c r="S25" s="47">
        <f>F3*2-O25</f>
        <v>0</v>
      </c>
      <c r="T25" s="289">
        <f ca="1" t="shared" si="4"/>
        <v>0</v>
      </c>
    </row>
    <row r="26" spans="1:20">
      <c r="A26" s="153"/>
      <c r="B26" s="91" t="s">
        <v>1312</v>
      </c>
      <c r="C26" s="23"/>
      <c r="D26" s="23" t="s">
        <v>434</v>
      </c>
      <c r="E26" s="24">
        <f>F3</f>
        <v>2</v>
      </c>
      <c r="F26" s="261">
        <v>15.5</v>
      </c>
      <c r="G26" s="148"/>
      <c r="H26" s="148"/>
      <c r="I26" s="101"/>
      <c r="J26" s="261"/>
      <c r="K26" s="261"/>
      <c r="L26" s="261"/>
      <c r="M26" s="261"/>
      <c r="N26" s="271" t="s">
        <v>1313</v>
      </c>
      <c r="O26" s="272">
        <v>2</v>
      </c>
      <c r="P26" s="60">
        <f ca="1" t="shared" si="0"/>
        <v>31</v>
      </c>
      <c r="Q26" s="67">
        <f t="shared" si="1"/>
        <v>0</v>
      </c>
      <c r="R26" s="67">
        <f ca="1" t="shared" si="2"/>
        <v>0</v>
      </c>
      <c r="S26" s="47">
        <f>F3-O26</f>
        <v>0</v>
      </c>
      <c r="T26" s="289">
        <f ca="1" t="shared" si="4"/>
        <v>0</v>
      </c>
    </row>
    <row r="27" spans="1:20">
      <c r="A27" s="153" t="s">
        <v>1216</v>
      </c>
      <c r="B27" s="91" t="s">
        <v>1231</v>
      </c>
      <c r="C27" s="23"/>
      <c r="D27" s="23" t="s">
        <v>612</v>
      </c>
      <c r="E27" s="24">
        <f>A3</f>
        <v>2</v>
      </c>
      <c r="F27" s="261">
        <f ca="1">I27+J27+K27+L27+M27</f>
        <v>756.8328</v>
      </c>
      <c r="G27" s="148">
        <v>3</v>
      </c>
      <c r="H27" s="148">
        <v>11.47</v>
      </c>
      <c r="I27" s="101">
        <f ca="1">G27*H27*'10米（人字84料）参数'!D15*1.1</f>
        <v>635.8968</v>
      </c>
      <c r="J27" s="261">
        <f>11.47*2*4*1.1</f>
        <v>100.936</v>
      </c>
      <c r="K27" s="261">
        <v>20</v>
      </c>
      <c r="L27" s="261"/>
      <c r="M27" s="261"/>
      <c r="N27" s="271" t="s">
        <v>1341</v>
      </c>
      <c r="O27" s="272">
        <v>1</v>
      </c>
      <c r="P27" s="60">
        <f ca="1" t="shared" si="0"/>
        <v>756.8328</v>
      </c>
      <c r="Q27" s="288">
        <f t="shared" si="1"/>
        <v>1</v>
      </c>
      <c r="R27" s="67">
        <f ca="1" t="shared" si="2"/>
        <v>756.8328</v>
      </c>
      <c r="S27" s="60"/>
      <c r="T27" s="289">
        <f ca="1" t="shared" si="4"/>
        <v>0</v>
      </c>
    </row>
    <row r="28" spans="1:20">
      <c r="A28" s="153"/>
      <c r="B28" s="91" t="s">
        <v>1287</v>
      </c>
      <c r="C28" s="23"/>
      <c r="D28" s="23" t="s">
        <v>664</v>
      </c>
      <c r="E28" s="24">
        <f>F3</f>
        <v>2</v>
      </c>
      <c r="F28" s="261">
        <f ca="1">I28+J28+K28+L28+M28</f>
        <v>267.4715</v>
      </c>
      <c r="G28" s="148">
        <v>2.5</v>
      </c>
      <c r="H28" s="148">
        <v>5.05</v>
      </c>
      <c r="I28" s="101">
        <f ca="1">G28*H28*'10米（人字84料）参数'!D14*1.1</f>
        <v>191.6475</v>
      </c>
      <c r="J28" s="261">
        <f>7.48*2*4*1.1</f>
        <v>65.824</v>
      </c>
      <c r="K28" s="261">
        <v>10</v>
      </c>
      <c r="L28" s="261"/>
      <c r="M28" s="261"/>
      <c r="N28" s="271" t="s">
        <v>1342</v>
      </c>
      <c r="O28" s="272">
        <v>2</v>
      </c>
      <c r="P28" s="60">
        <f ca="1" t="shared" si="0"/>
        <v>534.943</v>
      </c>
      <c r="Q28" s="67">
        <f t="shared" si="1"/>
        <v>0</v>
      </c>
      <c r="R28" s="67">
        <f ca="1" t="shared" si="2"/>
        <v>0</v>
      </c>
      <c r="S28" s="47">
        <f>F3-O28</f>
        <v>0</v>
      </c>
      <c r="T28" s="289">
        <f ca="1" t="shared" si="4"/>
        <v>0</v>
      </c>
    </row>
    <row r="29" spans="1:20">
      <c r="A29" s="153"/>
      <c r="B29" s="91" t="s">
        <v>1232</v>
      </c>
      <c r="C29" s="23"/>
      <c r="D29" s="23" t="s">
        <v>664</v>
      </c>
      <c r="E29" s="24">
        <f>A3*2</f>
        <v>4</v>
      </c>
      <c r="F29" s="261">
        <f ca="1">I29+J29+K29+L29+M29</f>
        <v>161.66224</v>
      </c>
      <c r="G29" s="256">
        <v>3.06</v>
      </c>
      <c r="H29" s="256">
        <v>2.8</v>
      </c>
      <c r="I29" s="101">
        <f ca="1">G29*H29*'10米（人字84料）参数'!D14*1.1</f>
        <v>130.06224</v>
      </c>
      <c r="J29" s="262">
        <f>0.8*8</f>
        <v>6.4</v>
      </c>
      <c r="K29" s="262">
        <v>9</v>
      </c>
      <c r="L29" s="262">
        <v>5</v>
      </c>
      <c r="M29" s="262">
        <f>5.6*2</f>
        <v>11.2</v>
      </c>
      <c r="N29" s="271" t="s">
        <v>1289</v>
      </c>
      <c r="O29" s="272">
        <v>2</v>
      </c>
      <c r="P29" s="60">
        <f ca="1" t="shared" si="0"/>
        <v>323.32448</v>
      </c>
      <c r="Q29" s="288">
        <f t="shared" si="1"/>
        <v>2</v>
      </c>
      <c r="R29" s="67">
        <f ca="1" t="shared" si="2"/>
        <v>323.32448</v>
      </c>
      <c r="S29" s="60"/>
      <c r="T29" s="289">
        <f ca="1" t="shared" si="4"/>
        <v>0</v>
      </c>
    </row>
    <row r="30" spans="1:20">
      <c r="A30" s="153"/>
      <c r="B30" s="91" t="s">
        <v>1290</v>
      </c>
      <c r="C30" s="23"/>
      <c r="D30" s="23" t="s">
        <v>664</v>
      </c>
      <c r="E30" s="24">
        <f>F3*2</f>
        <v>4</v>
      </c>
      <c r="F30" s="261">
        <f ca="1">I30+J30+K30+L30+M30</f>
        <v>253.27056</v>
      </c>
      <c r="G30" s="148">
        <v>5.14</v>
      </c>
      <c r="H30" s="148">
        <v>2.8</v>
      </c>
      <c r="I30" s="101">
        <f ca="1">G30*H30*'10米（人字84料）参数'!D14*1.1</f>
        <v>218.47056</v>
      </c>
      <c r="J30" s="261">
        <f>12*0.8</f>
        <v>9.6</v>
      </c>
      <c r="K30" s="261">
        <v>9</v>
      </c>
      <c r="L30" s="261">
        <v>5</v>
      </c>
      <c r="M30" s="261">
        <f>5.6*2</f>
        <v>11.2</v>
      </c>
      <c r="N30" s="271" t="s">
        <v>1343</v>
      </c>
      <c r="O30" s="272">
        <v>4</v>
      </c>
      <c r="P30" s="60">
        <f ca="1" t="shared" si="0"/>
        <v>1013.08224</v>
      </c>
      <c r="Q30" s="67">
        <f t="shared" si="1"/>
        <v>0</v>
      </c>
      <c r="R30" s="67">
        <f ca="1" t="shared" si="2"/>
        <v>0</v>
      </c>
      <c r="S30" s="47">
        <f>F3*2-O30</f>
        <v>0</v>
      </c>
      <c r="T30" s="289">
        <f ca="1" t="shared" si="4"/>
        <v>0</v>
      </c>
    </row>
    <row r="31" spans="1:20">
      <c r="A31" s="153" t="s">
        <v>1217</v>
      </c>
      <c r="B31" s="91" t="s">
        <v>1292</v>
      </c>
      <c r="C31" s="23"/>
      <c r="D31" s="23" t="s">
        <v>434</v>
      </c>
      <c r="E31" s="24">
        <f>D3*8</f>
        <v>24</v>
      </c>
      <c r="F31" s="261">
        <v>0.48</v>
      </c>
      <c r="G31" s="148"/>
      <c r="H31" s="148"/>
      <c r="I31" s="101"/>
      <c r="J31" s="261"/>
      <c r="K31" s="261"/>
      <c r="L31" s="261"/>
      <c r="M31" s="261"/>
      <c r="N31" s="271" t="s">
        <v>1293</v>
      </c>
      <c r="O31" s="272">
        <v>16</v>
      </c>
      <c r="P31" s="60">
        <f ca="1" t="shared" si="0"/>
        <v>7.68</v>
      </c>
      <c r="Q31" s="288">
        <f t="shared" si="1"/>
        <v>8</v>
      </c>
      <c r="R31" s="67">
        <f ca="1" t="shared" si="2"/>
        <v>3.84</v>
      </c>
      <c r="S31" s="47"/>
      <c r="T31" s="289">
        <f ca="1" t="shared" si="4"/>
        <v>0</v>
      </c>
    </row>
    <row r="32" spans="1:20">
      <c r="A32" s="153"/>
      <c r="B32" s="91" t="s">
        <v>565</v>
      </c>
      <c r="C32" s="23"/>
      <c r="D32" s="23" t="s">
        <v>434</v>
      </c>
      <c r="E32" s="264">
        <f>E5+E6</f>
        <v>8</v>
      </c>
      <c r="F32" s="261">
        <v>0.95</v>
      </c>
      <c r="G32" s="148"/>
      <c r="H32" s="148"/>
      <c r="I32" s="101"/>
      <c r="J32" s="261"/>
      <c r="K32" s="261"/>
      <c r="L32" s="261"/>
      <c r="M32" s="261"/>
      <c r="N32" s="271" t="s">
        <v>1295</v>
      </c>
      <c r="O32" s="272">
        <v>6</v>
      </c>
      <c r="P32" s="60">
        <f ca="1" t="shared" si="0"/>
        <v>5.7</v>
      </c>
      <c r="Q32" s="288">
        <f t="shared" si="1"/>
        <v>2</v>
      </c>
      <c r="R32" s="67">
        <f ca="1" t="shared" si="2"/>
        <v>1.9</v>
      </c>
      <c r="S32" s="47">
        <v>2</v>
      </c>
      <c r="T32" s="289">
        <f ca="1" t="shared" si="4"/>
        <v>1.9</v>
      </c>
    </row>
    <row r="33" spans="1:20">
      <c r="A33" s="153"/>
      <c r="B33" s="91" t="s">
        <v>567</v>
      </c>
      <c r="C33" s="23"/>
      <c r="D33" s="23" t="s">
        <v>434</v>
      </c>
      <c r="E33" s="24">
        <f>E12*4+E21+E22</f>
        <v>20</v>
      </c>
      <c r="F33" s="261">
        <v>1.5</v>
      </c>
      <c r="G33" s="148"/>
      <c r="H33" s="148"/>
      <c r="I33" s="101"/>
      <c r="J33" s="261"/>
      <c r="K33" s="261"/>
      <c r="L33" s="261"/>
      <c r="M33" s="261"/>
      <c r="N33" s="271" t="s">
        <v>1297</v>
      </c>
      <c r="O33" s="272">
        <v>8</v>
      </c>
      <c r="P33" s="60">
        <f ca="1" t="shared" si="0"/>
        <v>12</v>
      </c>
      <c r="Q33" s="288">
        <f t="shared" si="1"/>
        <v>12</v>
      </c>
      <c r="R33" s="67">
        <f ca="1" t="shared" si="2"/>
        <v>18</v>
      </c>
      <c r="S33" s="60"/>
      <c r="T33" s="289">
        <v>0</v>
      </c>
    </row>
    <row r="34" ht="18.95" customHeight="1" spans="3:20">
      <c r="C34" s="1"/>
      <c r="E34" s="1"/>
      <c r="O34" s="110" t="s">
        <v>1298</v>
      </c>
      <c r="P34" s="126">
        <f ca="1">SUM(P5:P33)</f>
        <v>7609.924955896</v>
      </c>
      <c r="Q34" s="126" t="s">
        <v>1219</v>
      </c>
      <c r="R34" s="126">
        <f ca="1">SUM(R5:R33)</f>
        <v>2798.089276088</v>
      </c>
      <c r="S34" s="84">
        <f>3134+269</f>
        <v>3403</v>
      </c>
      <c r="T34" s="84">
        <f ca="1">SUM(T5:T33)</f>
        <v>1.9</v>
      </c>
    </row>
    <row r="35" spans="2:13">
      <c r="B35" s="54" t="s">
        <v>1316</v>
      </c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</row>
    <row r="36" spans="2:16">
      <c r="B36" s="1" t="s">
        <v>1300</v>
      </c>
      <c r="C36" s="54"/>
      <c r="D36" s="54"/>
      <c r="E36" s="54"/>
      <c r="F36" s="54"/>
      <c r="G36" s="54"/>
      <c r="H36" s="54"/>
      <c r="I36" s="54"/>
      <c r="J36" s="54"/>
      <c r="K36" s="54"/>
      <c r="L36" s="54"/>
      <c r="M36" s="54"/>
      <c r="O36" s="1" t="s">
        <v>1301</v>
      </c>
      <c r="P36" s="3">
        <f ca="1">P34+R34</f>
        <v>10408.014231984</v>
      </c>
    </row>
    <row r="37" spans="2:16"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O37" s="1" t="s">
        <v>5</v>
      </c>
      <c r="P37" s="3">
        <f ca="1">P36/E2</f>
        <v>173.4669038664</v>
      </c>
    </row>
    <row r="63" spans="3:3">
      <c r="C63" s="3">
        <v>76130.76</v>
      </c>
    </row>
    <row r="64" spans="3:3">
      <c r="C64" s="3">
        <v>8580</v>
      </c>
    </row>
    <row r="65" spans="3:3">
      <c r="C65" s="3">
        <v>5440</v>
      </c>
    </row>
    <row r="66" spans="3:3">
      <c r="C66" s="3">
        <v>1544</v>
      </c>
    </row>
    <row r="67" spans="3:3">
      <c r="C67" s="3">
        <v>646</v>
      </c>
    </row>
    <row r="68" spans="3:3">
      <c r="C68" s="3">
        <v>75271</v>
      </c>
    </row>
    <row r="69" spans="3:3">
      <c r="C69" s="3">
        <v>11400</v>
      </c>
    </row>
    <row r="70" spans="3:3">
      <c r="C70" s="3">
        <v>2350</v>
      </c>
    </row>
    <row r="71" spans="3:3">
      <c r="C71" s="3">
        <v>540</v>
      </c>
    </row>
    <row r="72" spans="3:3">
      <c r="C72" s="3">
        <v>42</v>
      </c>
    </row>
    <row r="73" spans="3:3">
      <c r="C73" s="3">
        <v>600</v>
      </c>
    </row>
    <row r="74" spans="3:3">
      <c r="C74" s="3">
        <v>1725</v>
      </c>
    </row>
    <row r="75" spans="3:3">
      <c r="C75" s="3">
        <v>6000</v>
      </c>
    </row>
    <row r="76" spans="3:3">
      <c r="C76" s="3">
        <f>SUM(C63:C75)</f>
        <v>190268.76</v>
      </c>
    </row>
  </sheetData>
  <mergeCells count="9">
    <mergeCell ref="A1:N1"/>
    <mergeCell ref="A2:C2"/>
    <mergeCell ref="G2:N2"/>
    <mergeCell ref="A3:B3"/>
    <mergeCell ref="H3:M3"/>
    <mergeCell ref="A5:A16"/>
    <mergeCell ref="A17:A26"/>
    <mergeCell ref="A27:A30"/>
    <mergeCell ref="A31:A33"/>
  </mergeCells>
  <dataValidations count="4">
    <dataValidation type="list" allowBlank="1" showInputMessage="1" showErrorMessage="1" sqref="B27">
      <formula1>"顶布[白]{全新},顶布[白]{A类},顶布[白]{B类},顶布[白]{C类},顶布[白]{D类}"</formula1>
    </dataValidation>
    <dataValidation type="list" allowBlank="1" showInputMessage="1" showErrorMessage="1" sqref="B28">
      <formula1>"山尖布[白]{全新},山尖布[白]{A类},山尖布[白]{B类},山尖布[白]{C类},山尖布[白]{D类}"</formula1>
    </dataValidation>
    <dataValidation type="list" allowBlank="1" showInputMessage="1" showErrorMessage="1" sqref="B29">
      <formula1>"围布[白]{全新},围布[白]{A类},围布[白]{B类},围布[白]{C类},围布[白]{D类},透光窗围布[白]{全新},透光窗围布[白]{A类},透光窗围布[白]{B类},透光窗围布[白]{C类},透光窗围布[白]{D类}"</formula1>
    </dataValidation>
    <dataValidation type="list" allowBlank="1" showInputMessage="1" showErrorMessage="1" sqref="B30">
      <formula1>"端围布[白]{全新},端围布[白]{A类},端围布[白]{B类},端围布[白]{C类},端围布[白]{D类},透光窗端围布[白]{全新},透光窗端围布[白]{A类},透光窗端围布[白]{B类},透光窗端围布[白]{C类},透光窗端围布[白]{D类}"</formula1>
    </dataValidation>
  </dataValidations>
  <printOptions horizontalCentered="1"/>
  <pageMargins left="0.388888888888889" right="0.388888888888889" top="0.588888888888889" bottom="0.279166666666667" header="0.159027777777778" footer="0.0791666666666667"/>
  <pageSetup paperSize="9" orientation="portrait"/>
  <headerFooter alignWithMargins="0" scaleWithDoc="0">
    <oddHeader>&amp;C&amp;"方正姚体,加粗"&amp;12高山篷房制造（沈阳）有限公司&amp;R&amp;"方正姚体,加粗"&amp;12 400-024-1800</oddHeader>
    <oddFooter>&amp;L&amp;"SimSun"&amp;9&amp;C&amp;"SimSun"&amp;9第 &amp;P 页，共 &amp;N 页&amp;R&amp;"SimSun"&amp;9</oddFooter>
  </headerFooter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7030A0"/>
  </sheetPr>
  <dimension ref="A1:G21"/>
  <sheetViews>
    <sheetView showGridLines="0" workbookViewId="0">
      <selection activeCell="E31" sqref="E31"/>
    </sheetView>
  </sheetViews>
  <sheetFormatPr defaultColWidth="9" defaultRowHeight="14.25" outlineLevelCol="6"/>
  <cols>
    <col min="1" max="1" width="18.375" style="1" customWidth="1"/>
    <col min="2" max="2" width="20.5" style="1" customWidth="1"/>
    <col min="3" max="3" width="9" style="1"/>
    <col min="4" max="4" width="9.875" style="1" customWidth="1"/>
    <col min="5" max="6" width="9" style="1"/>
    <col min="7" max="7" width="13" style="1" customWidth="1"/>
    <col min="8" max="16384" width="9" style="1"/>
  </cols>
  <sheetData>
    <row r="1" spans="1:4">
      <c r="A1" s="2" t="str">
        <f ca="1">'数据修改（批量）'!A1</f>
        <v>上海有色铝锭价格</v>
      </c>
      <c r="B1" s="2"/>
      <c r="C1" s="2"/>
      <c r="D1" s="3"/>
    </row>
    <row r="2" spans="1:7">
      <c r="A2" s="4">
        <f ca="1">'数据修改（批量）'!A2</f>
        <v>16200</v>
      </c>
      <c r="B2" s="2" t="str">
        <f ca="1">'数据修改（批量）'!B2</f>
        <v>项目</v>
      </c>
      <c r="C2" s="2" t="str">
        <f ca="1">'数据修改（批量）'!C2</f>
        <v>加工费</v>
      </c>
      <c r="D2" s="2" t="str">
        <f ca="1">'数据修改（批量）'!D2</f>
        <v>包装物</v>
      </c>
      <c r="E2" s="2" t="str">
        <f ca="1">'数据修改（批量）'!E2</f>
        <v>运费</v>
      </c>
      <c r="F2" s="2" t="str">
        <f ca="1">'数据修改（批量）'!F2</f>
        <v>单价</v>
      </c>
      <c r="G2" s="2" t="str">
        <f ca="1">'数据修改（批量）'!G2</f>
        <v>每公斤价格</v>
      </c>
    </row>
    <row r="3" spans="1:7">
      <c r="A3" s="2"/>
      <c r="B3" s="2" t="str">
        <f ca="1">'数据修改（批量）'!B3</f>
        <v>203料</v>
      </c>
      <c r="C3" s="2">
        <f ca="1">'数据修改（批量）'!C3</f>
        <v>5500</v>
      </c>
      <c r="D3" s="2">
        <f ca="1">'数据修改（批量）'!D3</f>
        <v>868</v>
      </c>
      <c r="E3" s="2">
        <f ca="1">'数据修改（批量）'!E3</f>
        <v>80</v>
      </c>
      <c r="F3" s="2">
        <f ca="1">'数据修改（批量）'!F3</f>
        <v>22648</v>
      </c>
      <c r="G3" s="2">
        <f ca="1">'数据修改（批量）'!G3</f>
        <v>22.648</v>
      </c>
    </row>
    <row r="4" spans="1:7">
      <c r="A4" s="2"/>
      <c r="B4" s="2" t="str">
        <f ca="1">'数据修改（批量）'!B4</f>
        <v>203料氧化</v>
      </c>
      <c r="C4" s="2">
        <f ca="1">'数据修改（批量）'!C4</f>
        <v>6000</v>
      </c>
      <c r="D4" s="2">
        <f ca="1">'数据修改（批量）'!D4</f>
        <v>888</v>
      </c>
      <c r="E4" s="2">
        <f ca="1">'数据修改（批量）'!E4</f>
        <v>80</v>
      </c>
      <c r="F4" s="2">
        <f ca="1">'数据修改（批量）'!F4</f>
        <v>23168</v>
      </c>
      <c r="G4" s="2">
        <f ca="1">'数据修改（批量）'!G4</f>
        <v>23.168</v>
      </c>
    </row>
    <row r="5" spans="2:7">
      <c r="B5" s="2" t="str">
        <f ca="1">'数据修改（批量）'!B5</f>
        <v>小料加工费</v>
      </c>
      <c r="C5" s="2">
        <f ca="1">'数据修改（批量）'!C5</f>
        <v>4500</v>
      </c>
      <c r="D5" s="2">
        <f ca="1">'数据修改（批量）'!D5</f>
        <v>828</v>
      </c>
      <c r="E5" s="2">
        <f ca="1">'数据修改（批量）'!E5</f>
        <v>80</v>
      </c>
      <c r="F5" s="2">
        <f ca="1">'数据修改（批量）'!F5</f>
        <v>21608</v>
      </c>
      <c r="G5" s="2">
        <f ca="1">'数据修改（批量）'!G5</f>
        <v>21.608</v>
      </c>
    </row>
    <row r="6" spans="1:4">
      <c r="A6" s="2" t="str">
        <f ca="1">'数据修改（批量）'!A6</f>
        <v>南海有色铝锭价格</v>
      </c>
      <c r="D6" s="5"/>
    </row>
    <row r="7" spans="1:1">
      <c r="A7" s="4">
        <f ca="1">'数据修改（批量）'!A7</f>
        <v>16600</v>
      </c>
    </row>
    <row r="8" spans="2:7">
      <c r="B8" s="2" t="str">
        <f ca="1">'数据修改（批量）'!B8</f>
        <v>项目</v>
      </c>
      <c r="C8" s="2" t="str">
        <f ca="1">'数据修改（批量）'!C8</f>
        <v>加工费</v>
      </c>
      <c r="D8" s="2" t="str">
        <f ca="1">'数据修改（批量）'!D8</f>
        <v>包装物</v>
      </c>
      <c r="E8" s="2" t="str">
        <f ca="1">'数据修改（批量）'!E8</f>
        <v>运费</v>
      </c>
      <c r="F8" s="2" t="str">
        <f ca="1">'数据修改（批量）'!F8</f>
        <v>单价</v>
      </c>
      <c r="G8" s="2" t="str">
        <f ca="1">'数据修改（批量）'!G8</f>
        <v>每公斤价格</v>
      </c>
    </row>
    <row r="9" spans="2:7">
      <c r="B9" s="2" t="str">
        <f ca="1">'数据修改（批量）'!B9</f>
        <v>300/350料8米以上</v>
      </c>
      <c r="C9" s="2">
        <f ca="1">'数据修改（批量）'!C9</f>
        <v>7800</v>
      </c>
      <c r="D9" s="2">
        <f ca="1">'数据修改（批量）'!D9</f>
        <v>976</v>
      </c>
      <c r="E9" s="2">
        <f ca="1">'数据修改（批量）'!E9</f>
        <v>1000</v>
      </c>
      <c r="F9" s="2">
        <f ca="1">'数据修改（批量）'!F9</f>
        <v>26376</v>
      </c>
      <c r="G9" s="2">
        <f ca="1">'数据修改（批量）'!G9</f>
        <v>26.376</v>
      </c>
    </row>
    <row r="10" spans="2:7">
      <c r="B10" s="2" t="str">
        <f ca="1">'数据修改（批量）'!B10</f>
        <v>300/350料8米以下</v>
      </c>
      <c r="C10" s="2">
        <f ca="1">'数据修改（批量）'!C10</f>
        <v>7100</v>
      </c>
      <c r="D10" s="2">
        <f ca="1">'数据修改（批量）'!D10</f>
        <v>948</v>
      </c>
      <c r="E10" s="2">
        <f ca="1">'数据修改（批量）'!E10</f>
        <v>1000</v>
      </c>
      <c r="F10" s="2">
        <f ca="1">'数据修改（批量）'!F10</f>
        <v>25648</v>
      </c>
      <c r="G10" s="2">
        <f ca="1">'数据修改（批量）'!G10</f>
        <v>25.648</v>
      </c>
    </row>
    <row r="12" spans="1:4">
      <c r="A12" s="2" t="str">
        <f ca="1">'数据修改（批量）'!A12</f>
        <v>篷布</v>
      </c>
      <c r="B12" s="2"/>
      <c r="C12" s="2"/>
      <c r="D12" s="3"/>
    </row>
    <row r="13" spans="1:7">
      <c r="A13" s="2"/>
      <c r="B13" s="2" t="str">
        <f ca="1">'数据修改（批量）'!B13</f>
        <v>项目</v>
      </c>
      <c r="C13" s="2" t="str">
        <f ca="1">'数据修改（批量）'!C13</f>
        <v>运费</v>
      </c>
      <c r="D13" s="2" t="str">
        <f ca="1">'数据修改（批量）'!D13</f>
        <v>单价</v>
      </c>
      <c r="E13" s="2" t="str">
        <f ca="1">'数据修改（批量）'!E13</f>
        <v>每平价格</v>
      </c>
      <c r="F13" s="2"/>
      <c r="G13" s="2"/>
    </row>
    <row r="14" spans="1:7">
      <c r="A14" s="2"/>
      <c r="B14" s="2">
        <f ca="1">'数据修改（批量）'!B14</f>
        <v>650</v>
      </c>
      <c r="C14" s="2">
        <f ca="1">'数据修改（批量）'!C14</f>
        <v>0.5</v>
      </c>
      <c r="D14" s="4">
        <f ca="1">'数据修改（批量）'!D14</f>
        <v>13.8</v>
      </c>
      <c r="E14" s="2">
        <f ca="1">'数据修改（批量）'!E14</f>
        <v>14.3</v>
      </c>
      <c r="F14" s="2"/>
      <c r="G14" s="2"/>
    </row>
    <row r="15" spans="1:7">
      <c r="A15" s="2"/>
      <c r="B15" s="2">
        <f ca="1">'数据修改（批量）'!B15</f>
        <v>780</v>
      </c>
      <c r="C15" s="2">
        <f ca="1">'数据修改（批量）'!C15</f>
        <v>0.5</v>
      </c>
      <c r="D15" s="4">
        <f ca="1">'数据修改（批量）'!D15</f>
        <v>16.8</v>
      </c>
      <c r="E15" s="2">
        <f ca="1">'数据修改（批量）'!E15</f>
        <v>17.3</v>
      </c>
      <c r="F15" s="2"/>
      <c r="G15" s="2"/>
    </row>
    <row r="16" spans="2:7">
      <c r="B16" s="2">
        <f ca="1">'数据修改（批量）'!B16</f>
        <v>850</v>
      </c>
      <c r="C16" s="2">
        <f ca="1">'数据修改（批量）'!C16</f>
        <v>0.5</v>
      </c>
      <c r="D16" s="4">
        <f ca="1">'数据修改（批量）'!D16</f>
        <v>18</v>
      </c>
      <c r="E16" s="2">
        <f ca="1">'数据修改（批量）'!E16</f>
        <v>18.5</v>
      </c>
      <c r="F16" s="2"/>
      <c r="G16" s="2"/>
    </row>
    <row r="21" spans="1:7">
      <c r="A21" s="6" t="str">
        <f ca="1">'数据修改（批量）'!A21</f>
        <v>说明：黄色部分可以根据价格修改</v>
      </c>
      <c r="B21" s="6"/>
      <c r="C21" s="6"/>
      <c r="D21" s="6"/>
      <c r="E21" s="6"/>
      <c r="F21" s="6"/>
      <c r="G21" s="6"/>
    </row>
  </sheetData>
  <mergeCells count="1">
    <mergeCell ref="A21:G21"/>
  </mergeCells>
  <pageMargins left="0.75" right="0.75" top="1" bottom="1" header="0.509027777777778" footer="0.509027777777778"/>
  <headerFooter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FF0000"/>
  </sheetPr>
  <dimension ref="A1:U46"/>
  <sheetViews>
    <sheetView showGridLines="0" workbookViewId="0">
      <selection activeCell="F11" sqref="F11"/>
    </sheetView>
  </sheetViews>
  <sheetFormatPr defaultColWidth="9" defaultRowHeight="14.25"/>
  <cols>
    <col min="1" max="1" width="2.875" style="50" customWidth="1"/>
    <col min="2" max="2" width="16.875" style="50" customWidth="1"/>
    <col min="3" max="5" width="9.5" style="51" customWidth="1"/>
    <col min="6" max="6" width="12.125" style="50" customWidth="1"/>
    <col min="7" max="13" width="12.5" style="50" customWidth="1"/>
    <col min="14" max="14" width="72.75" style="50" customWidth="1"/>
    <col min="15" max="15" width="11.125" style="50" customWidth="1"/>
    <col min="16" max="16" width="19.5" style="3" customWidth="1"/>
    <col min="17" max="17" width="9" style="3"/>
    <col min="18" max="18" width="17.125" style="3" customWidth="1"/>
    <col min="19" max="21" width="9" style="3"/>
    <col min="22" max="16384" width="9" style="1"/>
  </cols>
  <sheetData>
    <row r="1" ht="15.95" customHeight="1" spans="1:15">
      <c r="A1" s="86" t="s">
        <v>1344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161"/>
    </row>
    <row r="2" ht="15.95" customHeight="1" spans="1:21">
      <c r="A2" s="141" t="s">
        <v>1246</v>
      </c>
      <c r="B2" s="142"/>
      <c r="C2" s="142"/>
      <c r="D2" s="9" t="s">
        <v>1198</v>
      </c>
      <c r="E2" s="10">
        <f>A3*5*10</f>
        <v>100</v>
      </c>
      <c r="F2" s="11"/>
      <c r="G2" s="11"/>
      <c r="H2" s="11"/>
      <c r="I2" s="11"/>
      <c r="J2" s="11"/>
      <c r="K2" s="11"/>
      <c r="L2" s="11"/>
      <c r="M2" s="11"/>
      <c r="N2" s="11"/>
      <c r="O2" s="162"/>
      <c r="Q2" s="55"/>
      <c r="R2" s="55"/>
      <c r="T2" s="1"/>
      <c r="U2" s="1"/>
    </row>
    <row r="3" ht="15.95" customHeight="1" spans="1:21">
      <c r="A3" s="12">
        <v>2</v>
      </c>
      <c r="B3" s="12"/>
      <c r="C3" s="9" t="s">
        <v>1247</v>
      </c>
      <c r="D3" s="13">
        <v>3</v>
      </c>
      <c r="E3" s="11" t="s">
        <v>1248</v>
      </c>
      <c r="F3" s="12">
        <v>2</v>
      </c>
      <c r="G3" s="11" t="s">
        <v>1249</v>
      </c>
      <c r="H3" s="12"/>
      <c r="I3" s="12"/>
      <c r="J3" s="12"/>
      <c r="K3" s="12"/>
      <c r="L3" s="12"/>
      <c r="M3" s="12"/>
      <c r="N3" s="12"/>
      <c r="O3" s="162"/>
      <c r="Q3" s="55"/>
      <c r="R3" s="55"/>
      <c r="T3" s="1"/>
      <c r="U3" s="1"/>
    </row>
    <row r="4" ht="15.95" customHeight="1" spans="1:21">
      <c r="A4" s="143"/>
      <c r="B4" s="144"/>
      <c r="C4" s="144"/>
      <c r="D4" s="144"/>
      <c r="E4" s="144"/>
      <c r="F4" s="145"/>
      <c r="G4" s="11" t="s">
        <v>1345</v>
      </c>
      <c r="H4" s="11"/>
      <c r="I4" s="9" t="s">
        <v>1346</v>
      </c>
      <c r="J4" s="9"/>
      <c r="K4" s="9"/>
      <c r="L4" s="9"/>
      <c r="M4" s="9"/>
      <c r="N4" s="12"/>
      <c r="O4" s="162"/>
      <c r="Q4" s="55"/>
      <c r="R4" s="55"/>
      <c r="T4" s="1"/>
      <c r="U4" s="1"/>
    </row>
    <row r="5" ht="15.95" customHeight="1" spans="1:18">
      <c r="A5" s="165" t="s">
        <v>1200</v>
      </c>
      <c r="B5" s="165" t="s">
        <v>1201</v>
      </c>
      <c r="C5" s="165" t="s">
        <v>1250</v>
      </c>
      <c r="D5" s="165" t="s">
        <v>22</v>
      </c>
      <c r="E5" s="165" t="s">
        <v>1251</v>
      </c>
      <c r="F5" s="75" t="s">
        <v>1204</v>
      </c>
      <c r="G5" s="75" t="s">
        <v>1205</v>
      </c>
      <c r="H5" s="75" t="s">
        <v>1253</v>
      </c>
      <c r="I5" s="75" t="s">
        <v>1254</v>
      </c>
      <c r="J5" s="75" t="s">
        <v>1255</v>
      </c>
      <c r="K5" s="75" t="s">
        <v>1209</v>
      </c>
      <c r="L5" s="75" t="s">
        <v>1347</v>
      </c>
      <c r="M5" s="75" t="s">
        <v>1211</v>
      </c>
      <c r="N5" s="75" t="s">
        <v>1257</v>
      </c>
      <c r="O5" s="164" t="s">
        <v>1212</v>
      </c>
      <c r="P5" s="165" t="s">
        <v>1213</v>
      </c>
      <c r="Q5" s="165" t="s">
        <v>1214</v>
      </c>
      <c r="R5" s="75" t="s">
        <v>1213</v>
      </c>
    </row>
    <row r="6" ht="15.95" customHeight="1" spans="1:18">
      <c r="A6" s="20" t="s">
        <v>1215</v>
      </c>
      <c r="B6" s="91" t="s">
        <v>1224</v>
      </c>
      <c r="C6" s="23"/>
      <c r="D6" s="23" t="s">
        <v>28</v>
      </c>
      <c r="E6" s="24">
        <f>D3*2</f>
        <v>6</v>
      </c>
      <c r="F6" s="93">
        <f ca="1">I6+J6+K6+L6+M6</f>
        <v>515.646884216</v>
      </c>
      <c r="G6" s="94">
        <f>7.17/2</f>
        <v>3.585</v>
      </c>
      <c r="H6" s="94">
        <v>4.382</v>
      </c>
      <c r="I6" s="93">
        <f ca="1">G6*H6*'10米（人字88料）参数'!G3*1.1</f>
        <v>391.366884216</v>
      </c>
      <c r="J6" s="93">
        <f>34.37*2</f>
        <v>68.74</v>
      </c>
      <c r="K6" s="93">
        <v>33.64</v>
      </c>
      <c r="L6" s="93">
        <f>2.55*4</f>
        <v>10.2</v>
      </c>
      <c r="M6" s="93">
        <f>18*0.65</f>
        <v>11.7</v>
      </c>
      <c r="N6" s="166" t="s">
        <v>1348</v>
      </c>
      <c r="O6" s="167">
        <v>4</v>
      </c>
      <c r="P6" s="67">
        <f ca="1" t="shared" ref="P6:P30" si="0">F6*O6</f>
        <v>2062.587536864</v>
      </c>
      <c r="Q6" s="67">
        <f t="shared" ref="Q6:Q30" si="1">E6-O6</f>
        <v>2</v>
      </c>
      <c r="R6" s="67">
        <f ca="1" t="shared" ref="R6:R30" si="2">F6*Q6</f>
        <v>1031.293768432</v>
      </c>
    </row>
    <row r="7" ht="15.95" customHeight="1" spans="1:18">
      <c r="A7" s="20"/>
      <c r="B7" s="91" t="s">
        <v>1308</v>
      </c>
      <c r="C7" s="23"/>
      <c r="D7" s="23" t="s">
        <v>28</v>
      </c>
      <c r="E7" s="24">
        <f>F3</f>
        <v>2</v>
      </c>
      <c r="F7" s="101">
        <f ca="1">I7+J7+K7+L7+M7</f>
        <v>621.649448</v>
      </c>
      <c r="G7" s="148">
        <v>5</v>
      </c>
      <c r="H7" s="148">
        <v>4.382</v>
      </c>
      <c r="I7" s="101">
        <f ca="1">G7*H7*'10米（人字88料）参数'!G3*1.1</f>
        <v>545.839448</v>
      </c>
      <c r="J7" s="101"/>
      <c r="K7" s="101">
        <f>36.81+28.8</f>
        <v>65.61</v>
      </c>
      <c r="L7" s="101">
        <f>2.55*4</f>
        <v>10.2</v>
      </c>
      <c r="M7" s="101"/>
      <c r="N7" s="166" t="s">
        <v>1349</v>
      </c>
      <c r="O7" s="167">
        <v>2</v>
      </c>
      <c r="P7" s="67">
        <f ca="1" t="shared" si="0"/>
        <v>1243.298896</v>
      </c>
      <c r="Q7" s="67">
        <f t="shared" si="1"/>
        <v>0</v>
      </c>
      <c r="R7" s="67">
        <f ca="1" t="shared" si="2"/>
        <v>0</v>
      </c>
    </row>
    <row r="8" ht="15.95" customHeight="1" spans="1:18">
      <c r="A8" s="20"/>
      <c r="B8" s="91" t="s">
        <v>1350</v>
      </c>
      <c r="C8" s="23"/>
      <c r="D8" s="23" t="s">
        <v>28</v>
      </c>
      <c r="E8" s="24">
        <f>D3*2</f>
        <v>6</v>
      </c>
      <c r="F8" s="61">
        <f ca="1">I8+J8+K8+L8+M8</f>
        <v>623.948356112</v>
      </c>
      <c r="G8" s="95">
        <v>5.47</v>
      </c>
      <c r="H8" s="95">
        <v>4.382</v>
      </c>
      <c r="I8" s="61">
        <f ca="1">G8*H8*'10米（人字88料）参数'!G3*1.1</f>
        <v>597.148356112</v>
      </c>
      <c r="J8" s="61">
        <f>2.5*4</f>
        <v>10</v>
      </c>
      <c r="K8" s="61">
        <v>10.8</v>
      </c>
      <c r="L8" s="61">
        <f>1*6</f>
        <v>6</v>
      </c>
      <c r="M8" s="61"/>
      <c r="N8" s="116" t="s">
        <v>1351</v>
      </c>
      <c r="O8" s="167">
        <v>4</v>
      </c>
      <c r="P8" s="67">
        <f ca="1" t="shared" si="0"/>
        <v>2495.793424448</v>
      </c>
      <c r="Q8" s="67">
        <f t="shared" si="1"/>
        <v>2</v>
      </c>
      <c r="R8" s="67">
        <f ca="1" t="shared" si="2"/>
        <v>1247.896712224</v>
      </c>
    </row>
    <row r="9" ht="15.95" customHeight="1" spans="1:18">
      <c r="A9" s="20"/>
      <c r="B9" s="91" t="s">
        <v>1226</v>
      </c>
      <c r="C9" s="23"/>
      <c r="D9" s="23" t="s">
        <v>28</v>
      </c>
      <c r="E9" s="24">
        <f>A3*3</f>
        <v>6</v>
      </c>
      <c r="F9" s="101">
        <f ca="1">I9+J9+K9+L9+M9</f>
        <v>195.0929650432</v>
      </c>
      <c r="G9" s="148">
        <v>4.882</v>
      </c>
      <c r="H9" s="148">
        <v>1.552</v>
      </c>
      <c r="I9" s="101">
        <f ca="1">G9*H9*'10米（人字88料）参数'!G5*1.1</f>
        <v>180.0929650432</v>
      </c>
      <c r="J9" s="101"/>
      <c r="K9" s="101"/>
      <c r="L9" s="101">
        <f>0.5*4</f>
        <v>2</v>
      </c>
      <c r="M9" s="101">
        <f>6.5*2</f>
        <v>13</v>
      </c>
      <c r="N9" s="120" t="s">
        <v>1352</v>
      </c>
      <c r="O9" s="167">
        <v>3</v>
      </c>
      <c r="P9" s="67">
        <f ca="1" t="shared" si="0"/>
        <v>585.2788951296</v>
      </c>
      <c r="Q9" s="67">
        <f t="shared" si="1"/>
        <v>3</v>
      </c>
      <c r="R9" s="67">
        <f ca="1" t="shared" si="2"/>
        <v>585.2788951296</v>
      </c>
    </row>
    <row r="10" ht="15.95" customHeight="1" spans="1:18">
      <c r="A10" s="20"/>
      <c r="B10" s="91" t="s">
        <v>1264</v>
      </c>
      <c r="C10" s="23"/>
      <c r="D10" s="23" t="s">
        <v>28</v>
      </c>
      <c r="E10" s="24">
        <f>A3*2</f>
        <v>4</v>
      </c>
      <c r="F10" s="101">
        <f ca="1">I10+J10+K10+L10+M10</f>
        <v>336.5448493136</v>
      </c>
      <c r="G10" s="148">
        <v>4.882</v>
      </c>
      <c r="H10" s="148">
        <v>2.771</v>
      </c>
      <c r="I10" s="101">
        <f ca="1">G10*H10*'10米（人字88料）参数'!G5*1.1</f>
        <v>321.5448493136</v>
      </c>
      <c r="J10" s="101"/>
      <c r="K10" s="101"/>
      <c r="L10" s="101">
        <f>0.5*4</f>
        <v>2</v>
      </c>
      <c r="M10" s="101">
        <f>6.5*2</f>
        <v>13</v>
      </c>
      <c r="N10" s="120" t="s">
        <v>1353</v>
      </c>
      <c r="O10" s="167">
        <v>2</v>
      </c>
      <c r="P10" s="67">
        <f ca="1" t="shared" si="0"/>
        <v>673.0896986272</v>
      </c>
      <c r="Q10" s="67">
        <f t="shared" si="1"/>
        <v>2</v>
      </c>
      <c r="R10" s="67">
        <f ca="1" t="shared" si="2"/>
        <v>673.0896986272</v>
      </c>
    </row>
    <row r="11" ht="15.95" customHeight="1" spans="1:18">
      <c r="A11" s="20"/>
      <c r="B11" s="91" t="s">
        <v>1266</v>
      </c>
      <c r="C11" s="23"/>
      <c r="D11" s="23" t="s">
        <v>28</v>
      </c>
      <c r="E11" s="24">
        <f>A3*2+F3*2</f>
        <v>8</v>
      </c>
      <c r="F11" s="101">
        <f ca="1">'数据修改（批量）'!A28</f>
        <v>95</v>
      </c>
      <c r="G11" s="148">
        <v>4.86</v>
      </c>
      <c r="H11" s="148">
        <v>1.345</v>
      </c>
      <c r="I11" s="101">
        <f ca="1">G11*H11*'10米（人字88料）参数'!G5*1.1</f>
        <v>155.36951496</v>
      </c>
      <c r="J11" s="101"/>
      <c r="K11" s="101"/>
      <c r="L11" s="101"/>
      <c r="M11" s="101"/>
      <c r="N11" s="120" t="s">
        <v>1354</v>
      </c>
      <c r="O11" s="167">
        <v>6</v>
      </c>
      <c r="P11" s="67">
        <f ca="1" t="shared" si="0"/>
        <v>570</v>
      </c>
      <c r="Q11" s="67">
        <f t="shared" si="1"/>
        <v>2</v>
      </c>
      <c r="R11" s="67">
        <f ca="1" t="shared" si="2"/>
        <v>190</v>
      </c>
    </row>
    <row r="12" ht="15.95" customHeight="1" spans="1:18">
      <c r="A12" s="20"/>
      <c r="B12" s="91" t="s">
        <v>1272</v>
      </c>
      <c r="C12" s="23"/>
      <c r="D12" s="23" t="s">
        <v>28</v>
      </c>
      <c r="E12" s="30">
        <v>5</v>
      </c>
      <c r="F12" s="101">
        <f>(I12+J12+K12+L12+M12)*1.2</f>
        <v>131.4</v>
      </c>
      <c r="G12" s="148"/>
      <c r="H12" s="148"/>
      <c r="I12" s="101">
        <v>95</v>
      </c>
      <c r="J12" s="101">
        <v>6.5</v>
      </c>
      <c r="K12" s="101">
        <v>4</v>
      </c>
      <c r="L12" s="101">
        <v>3</v>
      </c>
      <c r="M12" s="101">
        <v>1</v>
      </c>
      <c r="N12" s="120" t="s">
        <v>1355</v>
      </c>
      <c r="O12" s="167">
        <v>4</v>
      </c>
      <c r="P12" s="67">
        <f ca="1" t="shared" si="0"/>
        <v>525.6</v>
      </c>
      <c r="Q12" s="67">
        <f t="shared" si="1"/>
        <v>1</v>
      </c>
      <c r="R12" s="67">
        <f ca="1" t="shared" si="2"/>
        <v>131.4</v>
      </c>
    </row>
    <row r="13" ht="15.95" customHeight="1" spans="1:18">
      <c r="A13" s="20"/>
      <c r="B13" s="91" t="s">
        <v>1356</v>
      </c>
      <c r="C13" s="23"/>
      <c r="D13" s="23" t="s">
        <v>28</v>
      </c>
      <c r="E13" s="24">
        <f>F3</f>
        <v>2</v>
      </c>
      <c r="F13" s="101">
        <f ca="1">(I13+J13+K13+L13+M13)</f>
        <v>60.422</v>
      </c>
      <c r="G13" s="148">
        <v>2.5</v>
      </c>
      <c r="H13" s="148">
        <v>1</v>
      </c>
      <c r="I13" s="101">
        <f ca="1">G13*H13*'10米（人字88料）参数'!G5*1.1</f>
        <v>59.422</v>
      </c>
      <c r="J13" s="101"/>
      <c r="K13" s="101"/>
      <c r="L13" s="101">
        <f>0.5*2</f>
        <v>1</v>
      </c>
      <c r="M13" s="101"/>
      <c r="N13" s="170" t="s">
        <v>1357</v>
      </c>
      <c r="O13" s="167">
        <v>2</v>
      </c>
      <c r="P13" s="67">
        <f ca="1" t="shared" si="0"/>
        <v>120.844</v>
      </c>
      <c r="Q13" s="67">
        <f t="shared" si="1"/>
        <v>0</v>
      </c>
      <c r="R13" s="67">
        <f ca="1" t="shared" si="2"/>
        <v>0</v>
      </c>
    </row>
    <row r="14" ht="15.95" customHeight="1" spans="1:18">
      <c r="A14" s="20"/>
      <c r="B14" s="91" t="s">
        <v>1276</v>
      </c>
      <c r="C14" s="23"/>
      <c r="D14" s="23" t="s">
        <v>28</v>
      </c>
      <c r="E14" s="28">
        <f>F3*2</f>
        <v>4</v>
      </c>
      <c r="F14" s="101">
        <f ca="1">(I14+J14+K14+L14+M14)</f>
        <v>348.2448493136</v>
      </c>
      <c r="G14" s="95">
        <v>4.882</v>
      </c>
      <c r="H14" s="95">
        <v>2.771</v>
      </c>
      <c r="I14" s="61">
        <f ca="1">G14*H14*'10米（人字88料）参数'!G5*1.1</f>
        <v>321.5448493136</v>
      </c>
      <c r="J14" s="61"/>
      <c r="K14" s="61">
        <v>15</v>
      </c>
      <c r="L14" s="61">
        <f>8*0.65</f>
        <v>5.2</v>
      </c>
      <c r="M14" s="61">
        <v>6.5</v>
      </c>
      <c r="N14" s="120" t="s">
        <v>1358</v>
      </c>
      <c r="O14" s="167">
        <v>4</v>
      </c>
      <c r="P14" s="67">
        <f ca="1" t="shared" si="0"/>
        <v>1392.9793972544</v>
      </c>
      <c r="Q14" s="67">
        <f t="shared" si="1"/>
        <v>0</v>
      </c>
      <c r="R14" s="67">
        <f ca="1" t="shared" si="2"/>
        <v>0</v>
      </c>
    </row>
    <row r="15" ht="15.95" customHeight="1" spans="1:18">
      <c r="A15" s="31"/>
      <c r="B15" s="152" t="s">
        <v>1274</v>
      </c>
      <c r="C15" s="43"/>
      <c r="D15" s="43" t="s">
        <v>28</v>
      </c>
      <c r="E15" s="150">
        <f>A3*2+F3*2</f>
        <v>8</v>
      </c>
      <c r="F15" s="101">
        <f>(I15+J15+K15+L15+M15)</f>
        <v>20.4</v>
      </c>
      <c r="G15" s="151"/>
      <c r="H15" s="151"/>
      <c r="I15" s="39">
        <f>17*1.2</f>
        <v>20.4</v>
      </c>
      <c r="J15" s="39"/>
      <c r="K15" s="39"/>
      <c r="L15" s="39"/>
      <c r="M15" s="39"/>
      <c r="N15" s="171" t="s">
        <v>1359</v>
      </c>
      <c r="O15" s="167">
        <v>6</v>
      </c>
      <c r="P15" s="67">
        <f ca="1" t="shared" si="0"/>
        <v>122.4</v>
      </c>
      <c r="Q15" s="67">
        <f t="shared" si="1"/>
        <v>2</v>
      </c>
      <c r="R15" s="67">
        <f ca="1" t="shared" si="2"/>
        <v>40.8</v>
      </c>
    </row>
    <row r="16" ht="15.95" customHeight="1" spans="1:18">
      <c r="A16" s="20" t="s">
        <v>1278</v>
      </c>
      <c r="B16" s="91" t="s">
        <v>1304</v>
      </c>
      <c r="C16" s="23"/>
      <c r="D16" s="23" t="s">
        <v>434</v>
      </c>
      <c r="E16" s="24">
        <f>D3</f>
        <v>3</v>
      </c>
      <c r="F16" s="101">
        <v>160.62</v>
      </c>
      <c r="G16" s="151"/>
      <c r="H16" s="151"/>
      <c r="I16" s="39"/>
      <c r="J16" s="39"/>
      <c r="K16" s="39"/>
      <c r="L16" s="39"/>
      <c r="M16" s="39"/>
      <c r="N16" s="171" t="s">
        <v>1360</v>
      </c>
      <c r="O16" s="172">
        <v>2</v>
      </c>
      <c r="P16" s="67">
        <f ca="1" t="shared" si="0"/>
        <v>321.24</v>
      </c>
      <c r="Q16" s="67">
        <f t="shared" si="1"/>
        <v>1</v>
      </c>
      <c r="R16" s="67">
        <f ca="1" t="shared" si="2"/>
        <v>160.62</v>
      </c>
    </row>
    <row r="17" ht="15.95" customHeight="1" spans="1:18">
      <c r="A17" s="20"/>
      <c r="B17" s="91" t="s">
        <v>1310</v>
      </c>
      <c r="C17" s="23"/>
      <c r="D17" s="23" t="s">
        <v>434</v>
      </c>
      <c r="E17" s="24">
        <f>E7</f>
        <v>2</v>
      </c>
      <c r="F17" s="101">
        <v>71.4</v>
      </c>
      <c r="G17" s="148"/>
      <c r="H17" s="148"/>
      <c r="I17" s="101"/>
      <c r="J17" s="101"/>
      <c r="K17" s="101"/>
      <c r="L17" s="101"/>
      <c r="M17" s="101"/>
      <c r="N17" s="120" t="s">
        <v>1361</v>
      </c>
      <c r="O17" s="167">
        <v>2</v>
      </c>
      <c r="P17" s="67">
        <f ca="1" t="shared" si="0"/>
        <v>142.8</v>
      </c>
      <c r="Q17" s="67">
        <f t="shared" si="1"/>
        <v>0</v>
      </c>
      <c r="R17" s="67">
        <f ca="1" t="shared" si="2"/>
        <v>0</v>
      </c>
    </row>
    <row r="18" ht="15.95" customHeight="1" spans="1:18">
      <c r="A18" s="20"/>
      <c r="B18" s="91" t="s">
        <v>1280</v>
      </c>
      <c r="C18" s="23"/>
      <c r="D18" s="23" t="s">
        <v>434</v>
      </c>
      <c r="E18" s="28">
        <f>E6</f>
        <v>6</v>
      </c>
      <c r="F18" s="61">
        <v>69.28</v>
      </c>
      <c r="G18" s="95"/>
      <c r="H18" s="95"/>
      <c r="I18" s="61"/>
      <c r="J18" s="61"/>
      <c r="K18" s="61"/>
      <c r="L18" s="61"/>
      <c r="M18" s="61"/>
      <c r="N18" s="173" t="s">
        <v>1361</v>
      </c>
      <c r="O18" s="167">
        <v>4</v>
      </c>
      <c r="P18" s="67">
        <f ca="1" t="shared" si="0"/>
        <v>277.12</v>
      </c>
      <c r="Q18" s="67">
        <f t="shared" si="1"/>
        <v>2</v>
      </c>
      <c r="R18" s="67">
        <f ca="1" t="shared" si="2"/>
        <v>138.56</v>
      </c>
    </row>
    <row r="19" ht="15.95" customHeight="1" spans="1:18">
      <c r="A19" s="20"/>
      <c r="B19" s="91" t="s">
        <v>1339</v>
      </c>
      <c r="C19" s="23"/>
      <c r="D19" s="23" t="s">
        <v>28</v>
      </c>
      <c r="E19" s="32">
        <f>E12</f>
        <v>5</v>
      </c>
      <c r="F19" s="101">
        <v>80.5</v>
      </c>
      <c r="G19" s="148"/>
      <c r="H19" s="148"/>
      <c r="I19" s="101"/>
      <c r="J19" s="101"/>
      <c r="K19" s="101"/>
      <c r="L19" s="101"/>
      <c r="M19" s="101"/>
      <c r="N19" s="120" t="s">
        <v>1362</v>
      </c>
      <c r="O19" s="167">
        <v>4</v>
      </c>
      <c r="P19" s="67">
        <f ca="1" t="shared" si="0"/>
        <v>322</v>
      </c>
      <c r="Q19" s="67">
        <f t="shared" si="1"/>
        <v>1</v>
      </c>
      <c r="R19" s="67">
        <f ca="1" t="shared" si="2"/>
        <v>80.5</v>
      </c>
    </row>
    <row r="20" ht="15.95" customHeight="1" spans="1:18">
      <c r="A20" s="20"/>
      <c r="B20" s="91" t="s">
        <v>1282</v>
      </c>
      <c r="C20" s="23"/>
      <c r="D20" s="23" t="s">
        <v>434</v>
      </c>
      <c r="E20" s="24">
        <f>D3*2+F3*2</f>
        <v>10</v>
      </c>
      <c r="F20" s="101">
        <v>4.45</v>
      </c>
      <c r="G20" s="148"/>
      <c r="H20" s="148"/>
      <c r="I20" s="101"/>
      <c r="J20" s="101"/>
      <c r="K20" s="101"/>
      <c r="L20" s="101"/>
      <c r="M20" s="101"/>
      <c r="N20" s="120" t="s">
        <v>1363</v>
      </c>
      <c r="O20" s="167">
        <v>8</v>
      </c>
      <c r="P20" s="67">
        <f ca="1" t="shared" si="0"/>
        <v>35.6</v>
      </c>
      <c r="Q20" s="67">
        <f t="shared" si="1"/>
        <v>2</v>
      </c>
      <c r="R20" s="67">
        <f ca="1" t="shared" si="2"/>
        <v>8.9</v>
      </c>
    </row>
    <row r="21" ht="15.95" customHeight="1" spans="1:18">
      <c r="A21" s="20"/>
      <c r="B21" s="91" t="s">
        <v>1284</v>
      </c>
      <c r="C21" s="23"/>
      <c r="D21" s="23" t="s">
        <v>434</v>
      </c>
      <c r="E21" s="24">
        <f>D3*2</f>
        <v>6</v>
      </c>
      <c r="F21" s="101">
        <v>6.51</v>
      </c>
      <c r="G21" s="148"/>
      <c r="H21" s="148"/>
      <c r="I21" s="101"/>
      <c r="J21" s="101"/>
      <c r="K21" s="101"/>
      <c r="L21" s="101"/>
      <c r="M21" s="101"/>
      <c r="N21" s="120" t="s">
        <v>1364</v>
      </c>
      <c r="O21" s="167">
        <v>4</v>
      </c>
      <c r="P21" s="67">
        <f ca="1" t="shared" si="0"/>
        <v>26.04</v>
      </c>
      <c r="Q21" s="67">
        <f t="shared" si="1"/>
        <v>2</v>
      </c>
      <c r="R21" s="67">
        <f ca="1" t="shared" si="2"/>
        <v>13.02</v>
      </c>
    </row>
    <row r="22" ht="15.95" customHeight="1" spans="1:18">
      <c r="A22" s="20"/>
      <c r="B22" s="91" t="s">
        <v>519</v>
      </c>
      <c r="C22" s="23"/>
      <c r="D22" s="23" t="s">
        <v>434</v>
      </c>
      <c r="E22" s="24">
        <f>F3*2</f>
        <v>4</v>
      </c>
      <c r="F22" s="101">
        <v>5.95</v>
      </c>
      <c r="G22" s="151"/>
      <c r="H22" s="151"/>
      <c r="I22" s="39"/>
      <c r="J22" s="39"/>
      <c r="K22" s="39"/>
      <c r="L22" s="39"/>
      <c r="M22" s="39"/>
      <c r="N22" s="120" t="s">
        <v>1365</v>
      </c>
      <c r="O22" s="167">
        <v>4</v>
      </c>
      <c r="P22" s="67">
        <f ca="1" t="shared" si="0"/>
        <v>23.8</v>
      </c>
      <c r="Q22" s="67">
        <f t="shared" si="1"/>
        <v>0</v>
      </c>
      <c r="R22" s="67">
        <f ca="1" t="shared" si="2"/>
        <v>0</v>
      </c>
    </row>
    <row r="23" ht="15.95" customHeight="1" spans="1:18">
      <c r="A23" s="31"/>
      <c r="B23" s="152" t="s">
        <v>551</v>
      </c>
      <c r="C23" s="43"/>
      <c r="D23" s="43" t="s">
        <v>434</v>
      </c>
      <c r="E23" s="150">
        <f>F3*2</f>
        <v>4</v>
      </c>
      <c r="F23" s="41">
        <v>15.5</v>
      </c>
      <c r="G23" s="99"/>
      <c r="H23" s="99"/>
      <c r="I23" s="41"/>
      <c r="J23" s="41"/>
      <c r="K23" s="41"/>
      <c r="L23" s="41"/>
      <c r="M23" s="41"/>
      <c r="N23" s="173" t="s">
        <v>1361</v>
      </c>
      <c r="O23" s="174">
        <v>4</v>
      </c>
      <c r="P23" s="67">
        <f ca="1" t="shared" si="0"/>
        <v>62</v>
      </c>
      <c r="Q23" s="67">
        <f t="shared" si="1"/>
        <v>0</v>
      </c>
      <c r="R23" s="67">
        <f ca="1" t="shared" si="2"/>
        <v>0</v>
      </c>
    </row>
    <row r="24" ht="15.95" customHeight="1" spans="1:18">
      <c r="A24" s="153" t="s">
        <v>1216</v>
      </c>
      <c r="B24" s="91" t="s">
        <v>1366</v>
      </c>
      <c r="C24" s="23"/>
      <c r="D24" s="23" t="s">
        <v>612</v>
      </c>
      <c r="E24" s="24">
        <f>A3</f>
        <v>2</v>
      </c>
      <c r="F24" s="122">
        <f ca="1">(I24+J24)*1.1+30</f>
        <v>1471.0055</v>
      </c>
      <c r="G24" s="99">
        <v>12.7</v>
      </c>
      <c r="H24" s="99">
        <v>5</v>
      </c>
      <c r="I24" s="41">
        <f ca="1">G24*H24*'10米（人字88料）参数'!E15*1.1</f>
        <v>1208.405</v>
      </c>
      <c r="J24" s="41">
        <f>12.7*2*4</f>
        <v>101.6</v>
      </c>
      <c r="K24" s="41">
        <v>30</v>
      </c>
      <c r="L24" s="41"/>
      <c r="M24" s="41"/>
      <c r="N24" s="167" t="s">
        <v>1367</v>
      </c>
      <c r="O24" s="175">
        <v>1</v>
      </c>
      <c r="P24" s="67">
        <f ca="1" t="shared" si="0"/>
        <v>1471.0055</v>
      </c>
      <c r="Q24" s="67">
        <f t="shared" si="1"/>
        <v>1</v>
      </c>
      <c r="R24" s="67">
        <f ca="1" t="shared" si="2"/>
        <v>1471.0055</v>
      </c>
    </row>
    <row r="25" ht="15.95" customHeight="1" spans="1:18">
      <c r="A25" s="153"/>
      <c r="B25" s="91" t="s">
        <v>1368</v>
      </c>
      <c r="C25" s="23"/>
      <c r="D25" s="23" t="s">
        <v>664</v>
      </c>
      <c r="E25" s="24">
        <f>F3</f>
        <v>2</v>
      </c>
      <c r="F25" s="122">
        <f ca="1">(I25+J25)*1.1+15</f>
        <v>508.740764</v>
      </c>
      <c r="G25" s="148">
        <v>6.33</v>
      </c>
      <c r="H25" s="154">
        <v>3.6</v>
      </c>
      <c r="I25" s="101">
        <f ca="1">G25*H25*'10米（人字88料）参数'!E14*1.1</f>
        <v>358.45524</v>
      </c>
      <c r="J25" s="101">
        <f>11.3*2*4</f>
        <v>90.4</v>
      </c>
      <c r="K25" s="101">
        <v>15</v>
      </c>
      <c r="L25" s="101"/>
      <c r="M25" s="101"/>
      <c r="N25" s="51" t="s">
        <v>1369</v>
      </c>
      <c r="O25" s="167">
        <v>2</v>
      </c>
      <c r="P25" s="67">
        <f ca="1" t="shared" si="0"/>
        <v>1017.481528</v>
      </c>
      <c r="Q25" s="67">
        <f t="shared" si="1"/>
        <v>0</v>
      </c>
      <c r="R25" s="67">
        <f ca="1" t="shared" si="2"/>
        <v>0</v>
      </c>
    </row>
    <row r="26" ht="15.95" customHeight="1" spans="1:18">
      <c r="A26" s="155"/>
      <c r="B26" s="91" t="s">
        <v>1370</v>
      </c>
      <c r="C26" s="23"/>
      <c r="D26" s="23" t="s">
        <v>664</v>
      </c>
      <c r="E26" s="24">
        <f>A3*2+F3*3</f>
        <v>10</v>
      </c>
      <c r="F26" s="101">
        <f ca="1">I26+J26+K26+L26+M26</f>
        <v>376.49012</v>
      </c>
      <c r="G26" s="156">
        <v>5.2</v>
      </c>
      <c r="H26" s="157">
        <v>3.97</v>
      </c>
      <c r="I26" s="101">
        <f ca="1">G26*H26*'10米（人字88料）参数'!E14*1.1+15</f>
        <v>339.73012</v>
      </c>
      <c r="J26" s="71">
        <f>4*2</f>
        <v>8</v>
      </c>
      <c r="K26" s="71">
        <f>0.5*10</f>
        <v>5</v>
      </c>
      <c r="L26" s="71">
        <f>0.32*18</f>
        <v>5.76</v>
      </c>
      <c r="M26" s="71">
        <f>18*1</f>
        <v>18</v>
      </c>
      <c r="N26" s="120" t="s">
        <v>1371</v>
      </c>
      <c r="O26" s="167">
        <v>8</v>
      </c>
      <c r="P26" s="67">
        <f ca="1" t="shared" si="0"/>
        <v>3011.92096</v>
      </c>
      <c r="Q26" s="67">
        <f t="shared" si="1"/>
        <v>2</v>
      </c>
      <c r="R26" s="67">
        <f ca="1" t="shared" si="2"/>
        <v>752.98024</v>
      </c>
    </row>
    <row r="27" ht="15.95" customHeight="1" spans="1:18">
      <c r="A27" s="20" t="s">
        <v>1235</v>
      </c>
      <c r="B27" s="138" t="s">
        <v>583</v>
      </c>
      <c r="C27" s="23"/>
      <c r="D27" s="23" t="s">
        <v>434</v>
      </c>
      <c r="E27" s="24">
        <f>D3*10+F3*2+E19*2</f>
        <v>44</v>
      </c>
      <c r="F27" s="101">
        <v>2.15</v>
      </c>
      <c r="G27" s="154"/>
      <c r="H27" s="154"/>
      <c r="I27" s="101"/>
      <c r="J27" s="101"/>
      <c r="K27" s="101"/>
      <c r="L27" s="101"/>
      <c r="M27" s="101"/>
      <c r="N27" s="120" t="s">
        <v>1372</v>
      </c>
      <c r="O27" s="167">
        <v>34</v>
      </c>
      <c r="P27" s="67">
        <f ca="1" t="shared" si="0"/>
        <v>73.1</v>
      </c>
      <c r="Q27" s="67">
        <f t="shared" si="1"/>
        <v>10</v>
      </c>
      <c r="R27" s="67">
        <f ca="1" t="shared" si="2"/>
        <v>21.5</v>
      </c>
    </row>
    <row r="28" ht="15.95" customHeight="1" spans="1:18">
      <c r="A28" s="20"/>
      <c r="B28" s="109" t="s">
        <v>585</v>
      </c>
      <c r="C28" s="23"/>
      <c r="D28" s="23" t="s">
        <v>434</v>
      </c>
      <c r="E28" s="24">
        <f>D3*2+E19+E12</f>
        <v>16</v>
      </c>
      <c r="F28" s="101">
        <v>2.55</v>
      </c>
      <c r="G28" s="154"/>
      <c r="H28" s="154"/>
      <c r="I28" s="101"/>
      <c r="J28" s="101"/>
      <c r="K28" s="101"/>
      <c r="L28" s="101"/>
      <c r="M28" s="101"/>
      <c r="N28" s="120" t="s">
        <v>1373</v>
      </c>
      <c r="O28" s="172">
        <v>14</v>
      </c>
      <c r="P28" s="67">
        <f ca="1" t="shared" si="0"/>
        <v>35.7</v>
      </c>
      <c r="Q28" s="67">
        <f t="shared" si="1"/>
        <v>2</v>
      </c>
      <c r="R28" s="67">
        <f ca="1" t="shared" si="2"/>
        <v>5.1</v>
      </c>
    </row>
    <row r="29" ht="15.95" customHeight="1" spans="1:18">
      <c r="A29" s="20"/>
      <c r="B29" s="159" t="s">
        <v>1374</v>
      </c>
      <c r="C29" s="43"/>
      <c r="D29" s="43" t="s">
        <v>434</v>
      </c>
      <c r="E29" s="44">
        <f>D3*2+4</f>
        <v>10</v>
      </c>
      <c r="F29" s="39">
        <v>1.95</v>
      </c>
      <c r="G29" s="160"/>
      <c r="H29" s="160"/>
      <c r="I29" s="39"/>
      <c r="J29" s="39"/>
      <c r="K29" s="39"/>
      <c r="L29" s="39"/>
      <c r="M29" s="39"/>
      <c r="N29" s="120" t="s">
        <v>1375</v>
      </c>
      <c r="O29" s="167">
        <v>8</v>
      </c>
      <c r="P29" s="67">
        <f ca="1" t="shared" si="0"/>
        <v>15.6</v>
      </c>
      <c r="Q29" s="67">
        <f t="shared" si="1"/>
        <v>2</v>
      </c>
      <c r="R29" s="67">
        <f ca="1" t="shared" si="2"/>
        <v>3.9</v>
      </c>
    </row>
    <row r="30" ht="15.95" customHeight="1" spans="1:18">
      <c r="A30" s="20"/>
      <c r="B30" s="109" t="s">
        <v>554</v>
      </c>
      <c r="C30" s="23"/>
      <c r="D30" s="23" t="s">
        <v>555</v>
      </c>
      <c r="E30" s="28">
        <f>E17+E18+E12</f>
        <v>13</v>
      </c>
      <c r="F30" s="101">
        <v>1.46</v>
      </c>
      <c r="G30" s="154"/>
      <c r="H30" s="154"/>
      <c r="I30" s="101"/>
      <c r="J30" s="101"/>
      <c r="K30" s="101"/>
      <c r="L30" s="101"/>
      <c r="M30" s="101"/>
      <c r="N30" s="120" t="s">
        <v>1376</v>
      </c>
      <c r="O30" s="167">
        <v>11</v>
      </c>
      <c r="P30" s="67">
        <f ca="1" t="shared" si="0"/>
        <v>16.06</v>
      </c>
      <c r="Q30" s="67">
        <f t="shared" si="1"/>
        <v>2</v>
      </c>
      <c r="R30" s="67">
        <f ca="1" t="shared" si="2"/>
        <v>2.92</v>
      </c>
    </row>
    <row r="31" spans="15:18">
      <c r="O31" s="50" t="s">
        <v>1218</v>
      </c>
      <c r="P31" s="3">
        <f ca="1">SUM(P6:P30)</f>
        <v>16643.3398363232</v>
      </c>
      <c r="Q31" s="3" t="s">
        <v>1219</v>
      </c>
      <c r="R31" s="3">
        <f ca="1">SUM(R6:R30)</f>
        <v>6558.7648144128</v>
      </c>
    </row>
    <row r="32" spans="2:2">
      <c r="B32" s="50" t="s">
        <v>1221</v>
      </c>
    </row>
    <row r="33" spans="15:16">
      <c r="O33" s="50" t="s">
        <v>1377</v>
      </c>
      <c r="P33" s="3">
        <f ca="1">P31+R31</f>
        <v>23202.104650736</v>
      </c>
    </row>
    <row r="34" ht="31.5" spans="2:16">
      <c r="B34" s="230" t="s">
        <v>1378</v>
      </c>
      <c r="C34" s="230"/>
      <c r="D34" s="229"/>
      <c r="E34" s="229"/>
      <c r="F34" s="229"/>
      <c r="G34" s="52"/>
      <c r="H34" s="52"/>
      <c r="I34" s="52"/>
      <c r="J34" s="52"/>
      <c r="K34" s="52"/>
      <c r="L34" s="52"/>
      <c r="M34" s="52"/>
      <c r="O34" s="50" t="s">
        <v>14</v>
      </c>
      <c r="P34" s="3">
        <f ca="1">P33/E2</f>
        <v>232.02104650736</v>
      </c>
    </row>
    <row r="35" ht="18.75" spans="2:13">
      <c r="B35" s="231" t="s">
        <v>1379</v>
      </c>
      <c r="C35" s="231"/>
      <c r="D35" s="54"/>
      <c r="E35" s="54"/>
      <c r="F35" s="54"/>
      <c r="G35" s="53"/>
      <c r="H35" s="53"/>
      <c r="I35" s="53"/>
      <c r="J35" s="53"/>
      <c r="K35" s="53"/>
      <c r="L35" s="53"/>
      <c r="M35" s="53"/>
    </row>
    <row r="36" ht="18.75" spans="2:13">
      <c r="B36" s="231" t="s">
        <v>1380</v>
      </c>
      <c r="C36" s="231" t="s">
        <v>1381</v>
      </c>
      <c r="D36" s="54"/>
      <c r="E36" s="54"/>
      <c r="F36" s="54"/>
      <c r="G36" s="53"/>
      <c r="H36" s="53"/>
      <c r="I36" s="53"/>
      <c r="J36" s="53"/>
      <c r="K36" s="53"/>
      <c r="L36" s="53"/>
      <c r="M36" s="53"/>
    </row>
    <row r="37" ht="18.75" spans="2:13">
      <c r="B37" s="231">
        <v>3.58</v>
      </c>
      <c r="C37" s="231">
        <v>4.58</v>
      </c>
      <c r="D37" s="54"/>
      <c r="E37" s="54"/>
      <c r="F37" s="54"/>
      <c r="G37" s="53"/>
      <c r="H37" s="53"/>
      <c r="I37" s="53"/>
      <c r="J37" s="53"/>
      <c r="K37" s="53"/>
      <c r="L37" s="53"/>
      <c r="M37" s="53"/>
    </row>
    <row r="38" ht="18.75" spans="2:13">
      <c r="B38" s="231" t="s">
        <v>1382</v>
      </c>
      <c r="C38" s="231"/>
      <c r="D38" s="54"/>
      <c r="E38" s="54"/>
      <c r="F38" s="54"/>
      <c r="G38" s="53"/>
      <c r="H38" s="53"/>
      <c r="I38" s="53"/>
      <c r="J38" s="53"/>
      <c r="K38" s="53"/>
      <c r="L38" s="53"/>
      <c r="M38" s="53"/>
    </row>
    <row r="39" ht="18.75" spans="2:13">
      <c r="B39" s="231" t="s">
        <v>1380</v>
      </c>
      <c r="C39" s="231" t="s">
        <v>1381</v>
      </c>
      <c r="D39" s="54"/>
      <c r="E39" s="54"/>
      <c r="F39" s="54"/>
      <c r="G39" s="53"/>
      <c r="H39" s="53"/>
      <c r="I39" s="53"/>
      <c r="J39" s="53"/>
      <c r="K39" s="53"/>
      <c r="L39" s="53"/>
      <c r="M39" s="53"/>
    </row>
    <row r="40" ht="18.75" spans="2:13">
      <c r="B40" s="232">
        <v>5</v>
      </c>
      <c r="C40" s="232">
        <v>6</v>
      </c>
      <c r="D40" s="54"/>
      <c r="E40" s="54"/>
      <c r="F40" s="54"/>
      <c r="G40" s="53"/>
      <c r="H40" s="53"/>
      <c r="I40" s="53"/>
      <c r="J40" s="53"/>
      <c r="K40" s="53"/>
      <c r="L40" s="53"/>
      <c r="M40" s="53"/>
    </row>
    <row r="41" ht="18.75" spans="2:13">
      <c r="B41" s="231" t="s">
        <v>1383</v>
      </c>
      <c r="C41" s="231"/>
      <c r="D41" s="54"/>
      <c r="E41" s="54"/>
      <c r="F41" s="54"/>
      <c r="G41" s="53"/>
      <c r="H41" s="53"/>
      <c r="I41" s="53"/>
      <c r="J41" s="53"/>
      <c r="K41" s="53"/>
      <c r="L41" s="53"/>
      <c r="M41" s="53"/>
    </row>
    <row r="42" ht="18.75" spans="2:3">
      <c r="B42" s="231" t="s">
        <v>1380</v>
      </c>
      <c r="C42" s="231" t="s">
        <v>1381</v>
      </c>
    </row>
    <row r="43" ht="18.75" spans="2:3">
      <c r="B43" s="233">
        <v>3.97</v>
      </c>
      <c r="C43" s="233">
        <v>4.97</v>
      </c>
    </row>
    <row r="44" ht="20.1" customHeight="1" spans="2:3">
      <c r="B44" s="234" t="s">
        <v>1384</v>
      </c>
      <c r="C44" s="234"/>
    </row>
    <row r="45" ht="37.5" spans="2:3">
      <c r="B45" s="235" t="s">
        <v>1385</v>
      </c>
      <c r="C45" s="235" t="s">
        <v>1386</v>
      </c>
    </row>
    <row r="46" ht="18.75" spans="2:3">
      <c r="B46" s="236">
        <v>95</v>
      </c>
      <c r="C46" s="236">
        <v>110.8</v>
      </c>
    </row>
  </sheetData>
  <mergeCells count="17">
    <mergeCell ref="A1:N1"/>
    <mergeCell ref="A2:C2"/>
    <mergeCell ref="F2:N2"/>
    <mergeCell ref="A3:B3"/>
    <mergeCell ref="H3:M3"/>
    <mergeCell ref="A4:F4"/>
    <mergeCell ref="G4:H4"/>
    <mergeCell ref="I4:M4"/>
    <mergeCell ref="B34:C34"/>
    <mergeCell ref="B35:C35"/>
    <mergeCell ref="B38:C38"/>
    <mergeCell ref="B41:C41"/>
    <mergeCell ref="B44:C44"/>
    <mergeCell ref="A6:A15"/>
    <mergeCell ref="A16:A23"/>
    <mergeCell ref="A24:A26"/>
    <mergeCell ref="A27:A30"/>
  </mergeCells>
  <dataValidations count="3">
    <dataValidation type="list" allowBlank="1" showInputMessage="1" showErrorMessage="1" sqref="B24">
      <formula1>"顶布[白]{全新},顶布[白]{A类},顶布[白]{B类},顶布[白]{C类},顶布[白]{D类}"</formula1>
    </dataValidation>
    <dataValidation type="list" allowBlank="1" showInputMessage="1" showErrorMessage="1" sqref="B25">
      <formula1>"山尖布[白]{全新},山尖布[白]{A类},山尖布[白]{B类},山尖布[白]{C类},山尖布[白]{D类}"</formula1>
    </dataValidation>
    <dataValidation type="list" allowBlank="1" showInputMessage="1" showErrorMessage="1" sqref="B26">
      <formula1>"围布[白]{全新},围布[白]{A类},围布[白]{B类},围布[白]{C类},围布[白]{D类},透光窗围布[白]{全新},透光窗围布[白]{A类},透光窗围布[白]{B类},透光窗围布[白]{C类},透光窗围布[白]{D类}"</formula1>
    </dataValidation>
  </dataValidations>
  <printOptions horizontalCentered="1"/>
  <pageMargins left="0.238888888888889" right="0.11875" top="0.159027777777778" bottom="0.259027777777778" header="0.159027777777778" footer="0.2"/>
  <pageSetup paperSize="9" orientation="portrait"/>
  <headerFooter alignWithMargins="0" scaleWithDoc="0">
    <oddFooter>&amp;L&amp;"SimSun"&amp;9&amp;C&amp;"SimSun"&amp;9第 &amp;P 页，共 &amp;N 页&amp;R&amp;"SimSun"&amp;9</oddFooter>
  </headerFooter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7030A0"/>
  </sheetPr>
  <dimension ref="A1:L27"/>
  <sheetViews>
    <sheetView showGridLines="0" workbookViewId="0">
      <selection activeCell="E31" sqref="E31"/>
    </sheetView>
  </sheetViews>
  <sheetFormatPr defaultColWidth="9" defaultRowHeight="14.25"/>
  <cols>
    <col min="1" max="1" width="21.125" style="1" customWidth="1"/>
    <col min="2" max="2" width="19.125" style="1" customWidth="1"/>
    <col min="3" max="3" width="15.5" style="1" customWidth="1"/>
    <col min="4" max="4" width="11.375" style="1" customWidth="1"/>
    <col min="5" max="5" width="10.5" style="1" customWidth="1"/>
    <col min="6" max="6" width="9" style="1"/>
    <col min="7" max="7" width="12.625" style="1" customWidth="1"/>
    <col min="8" max="16384" width="9" style="1"/>
  </cols>
  <sheetData>
    <row r="1" spans="1:4">
      <c r="A1" s="2" t="str">
        <f ca="1">'数据修改（批量）'!A1</f>
        <v>上海有色铝锭价格</v>
      </c>
      <c r="B1" s="2"/>
      <c r="C1" s="2"/>
      <c r="D1" s="3"/>
    </row>
    <row r="2" spans="1:7">
      <c r="A2" s="4">
        <f ca="1">'数据修改（批量）'!A2</f>
        <v>16200</v>
      </c>
      <c r="B2" s="2" t="str">
        <f ca="1">'数据修改（批量）'!B2</f>
        <v>项目</v>
      </c>
      <c r="C2" s="2" t="str">
        <f ca="1">'数据修改（批量）'!C2</f>
        <v>加工费</v>
      </c>
      <c r="D2" s="2" t="str">
        <f ca="1">'数据修改（批量）'!D2</f>
        <v>包装物</v>
      </c>
      <c r="E2" s="2" t="str">
        <f ca="1">'数据修改（批量）'!E2</f>
        <v>运费</v>
      </c>
      <c r="F2" s="2" t="str">
        <f ca="1">'数据修改（批量）'!F2</f>
        <v>单价</v>
      </c>
      <c r="G2" s="2" t="str">
        <f ca="1">'数据修改（批量）'!G2</f>
        <v>每公斤价格</v>
      </c>
    </row>
    <row r="3" spans="1:7">
      <c r="A3" s="2"/>
      <c r="B3" s="2" t="str">
        <f ca="1">'数据修改（批量）'!B3</f>
        <v>203料</v>
      </c>
      <c r="C3" s="2">
        <f ca="1">'数据修改（批量）'!C3</f>
        <v>5500</v>
      </c>
      <c r="D3" s="2">
        <f ca="1">'数据修改（批量）'!D3</f>
        <v>868</v>
      </c>
      <c r="E3" s="2">
        <f ca="1">'数据修改（批量）'!E3</f>
        <v>80</v>
      </c>
      <c r="F3" s="2">
        <f ca="1">'数据修改（批量）'!F3</f>
        <v>22648</v>
      </c>
      <c r="G3" s="2">
        <f ca="1">'数据修改（批量）'!G3</f>
        <v>22.648</v>
      </c>
    </row>
    <row r="4" spans="1:7">
      <c r="A4" s="2"/>
      <c r="B4" s="2" t="str">
        <f ca="1">'数据修改（批量）'!B4</f>
        <v>203料氧化</v>
      </c>
      <c r="C4" s="2">
        <f ca="1">'数据修改（批量）'!C4</f>
        <v>6000</v>
      </c>
      <c r="D4" s="2">
        <f ca="1">'数据修改（批量）'!D4</f>
        <v>888</v>
      </c>
      <c r="E4" s="2">
        <f ca="1">'数据修改（批量）'!E4</f>
        <v>80</v>
      </c>
      <c r="F4" s="2">
        <f ca="1">'数据修改（批量）'!F4</f>
        <v>23168</v>
      </c>
      <c r="G4" s="2">
        <f ca="1">'数据修改（批量）'!G4</f>
        <v>23.168</v>
      </c>
    </row>
    <row r="5" spans="2:7">
      <c r="B5" s="2" t="str">
        <f ca="1">'数据修改（批量）'!B5</f>
        <v>小料加工费</v>
      </c>
      <c r="C5" s="2">
        <f ca="1">'数据修改（批量）'!C5</f>
        <v>4500</v>
      </c>
      <c r="D5" s="2">
        <f ca="1">'数据修改（批量）'!D5</f>
        <v>828</v>
      </c>
      <c r="E5" s="2">
        <f ca="1">'数据修改（批量）'!E5</f>
        <v>80</v>
      </c>
      <c r="F5" s="2">
        <f ca="1">'数据修改（批量）'!F5</f>
        <v>21608</v>
      </c>
      <c r="G5" s="2">
        <f ca="1">'数据修改（批量）'!G5</f>
        <v>21.608</v>
      </c>
    </row>
    <row r="6" spans="1:4">
      <c r="A6" s="2" t="str">
        <f ca="1">'数据修改（批量）'!A6</f>
        <v>南海有色铝锭价格</v>
      </c>
      <c r="D6" s="5"/>
    </row>
    <row r="7" spans="1:1">
      <c r="A7" s="4">
        <f ca="1">'数据修改（批量）'!A7</f>
        <v>16600</v>
      </c>
    </row>
    <row r="8" spans="2:7">
      <c r="B8" s="2" t="str">
        <f ca="1">'数据修改（批量）'!B8</f>
        <v>项目</v>
      </c>
      <c r="C8" s="2" t="str">
        <f ca="1">'数据修改（批量）'!C8</f>
        <v>加工费</v>
      </c>
      <c r="D8" s="2" t="str">
        <f ca="1">'数据修改（批量）'!D8</f>
        <v>包装物</v>
      </c>
      <c r="E8" s="2" t="str">
        <f ca="1">'数据修改（批量）'!E8</f>
        <v>运费</v>
      </c>
      <c r="F8" s="2" t="str">
        <f ca="1">'数据修改（批量）'!F8</f>
        <v>单价</v>
      </c>
      <c r="G8" s="2" t="str">
        <f ca="1">'数据修改（批量）'!G8</f>
        <v>每公斤价格</v>
      </c>
    </row>
    <row r="9" spans="2:7">
      <c r="B9" s="2" t="str">
        <f ca="1">'数据修改（批量）'!B9</f>
        <v>300/350料8米以上</v>
      </c>
      <c r="C9" s="2">
        <f ca="1">'数据修改（批量）'!C9</f>
        <v>7800</v>
      </c>
      <c r="D9" s="2">
        <f ca="1">'数据修改（批量）'!D9</f>
        <v>976</v>
      </c>
      <c r="E9" s="2">
        <f ca="1">'数据修改（批量）'!E9</f>
        <v>1000</v>
      </c>
      <c r="F9" s="2">
        <f ca="1">'数据修改（批量）'!F9</f>
        <v>26376</v>
      </c>
      <c r="G9" s="2">
        <f ca="1">'数据修改（批量）'!G9</f>
        <v>26.376</v>
      </c>
    </row>
    <row r="10" spans="2:7">
      <c r="B10" s="2" t="str">
        <f ca="1">'数据修改（批量）'!B10</f>
        <v>300/350料8米以下</v>
      </c>
      <c r="C10" s="2">
        <f ca="1">'数据修改（批量）'!C10</f>
        <v>7100</v>
      </c>
      <c r="D10" s="2">
        <f ca="1">'数据修改（批量）'!D10</f>
        <v>948</v>
      </c>
      <c r="E10" s="2">
        <f ca="1">'数据修改（批量）'!E10</f>
        <v>1000</v>
      </c>
      <c r="F10" s="2">
        <f ca="1">'数据修改（批量）'!F10</f>
        <v>25648</v>
      </c>
      <c r="G10" s="2">
        <f ca="1">'数据修改（批量）'!G10</f>
        <v>25.648</v>
      </c>
    </row>
    <row r="12" spans="1:4">
      <c r="A12" s="2" t="str">
        <f ca="1">'数据修改（批量）'!A12</f>
        <v>篷布</v>
      </c>
      <c r="B12" s="2"/>
      <c r="C12" s="2"/>
      <c r="D12" s="3"/>
    </row>
    <row r="13" spans="1:7">
      <c r="A13" s="2"/>
      <c r="B13" s="2" t="str">
        <f ca="1">'数据修改（批量）'!B13</f>
        <v>项目</v>
      </c>
      <c r="C13" s="2" t="str">
        <f ca="1">'数据修改（批量）'!C13</f>
        <v>运费</v>
      </c>
      <c r="D13" s="2" t="str">
        <f ca="1">'数据修改（批量）'!D13</f>
        <v>单价</v>
      </c>
      <c r="E13" s="2" t="str">
        <f ca="1">'数据修改（批量）'!E13</f>
        <v>每平价格</v>
      </c>
      <c r="F13" s="2"/>
      <c r="G13" s="2"/>
    </row>
    <row r="14" spans="1:7">
      <c r="A14" s="2"/>
      <c r="B14" s="2">
        <f ca="1">'数据修改（批量）'!B14</f>
        <v>650</v>
      </c>
      <c r="C14" s="2">
        <f ca="1">'数据修改（批量）'!C14</f>
        <v>0.5</v>
      </c>
      <c r="D14" s="4">
        <f ca="1">'数据修改（批量）'!D14</f>
        <v>13.8</v>
      </c>
      <c r="E14" s="2">
        <f ca="1">'数据修改（批量）'!E14</f>
        <v>14.3</v>
      </c>
      <c r="F14" s="2"/>
      <c r="G14" s="2"/>
    </row>
    <row r="15" spans="1:7">
      <c r="A15" s="2"/>
      <c r="B15" s="2">
        <f ca="1">'数据修改（批量）'!B15</f>
        <v>780</v>
      </c>
      <c r="C15" s="2">
        <f ca="1">'数据修改（批量）'!C15</f>
        <v>0.5</v>
      </c>
      <c r="D15" s="4">
        <f ca="1">'数据修改（批量）'!D15</f>
        <v>16.8</v>
      </c>
      <c r="E15" s="2">
        <f ca="1">'数据修改（批量）'!E15</f>
        <v>17.3</v>
      </c>
      <c r="F15" s="2"/>
      <c r="G15" s="2"/>
    </row>
    <row r="16" spans="2:7">
      <c r="B16" s="2">
        <f ca="1">'数据修改（批量）'!B16</f>
        <v>850</v>
      </c>
      <c r="C16" s="2">
        <f ca="1">'数据修改（批量）'!C16</f>
        <v>0.5</v>
      </c>
      <c r="D16" s="4">
        <f ca="1">'数据修改（批量）'!D16</f>
        <v>18</v>
      </c>
      <c r="E16" s="2">
        <f ca="1">'数据修改（批量）'!E16</f>
        <v>18.5</v>
      </c>
      <c r="F16" s="2"/>
      <c r="G16" s="2"/>
    </row>
    <row r="21" spans="1:7">
      <c r="A21" s="6" t="str">
        <f ca="1">'数据修改（批量）'!A21</f>
        <v>说明：黄色部分可以根据价格修改</v>
      </c>
      <c r="B21" s="6"/>
      <c r="C21" s="6"/>
      <c r="D21" s="6"/>
      <c r="E21" s="6"/>
      <c r="F21" s="6"/>
      <c r="G21" s="6"/>
    </row>
    <row r="27" spans="12:12">
      <c r="L27" s="1">
        <f>20*0.08</f>
        <v>1.6</v>
      </c>
    </row>
  </sheetData>
  <mergeCells count="1">
    <mergeCell ref="A21:G21"/>
  </mergeCells>
  <pageMargins left="0.75" right="0.75" top="1" bottom="1" header="0.509027777777778" footer="0.509027777777778"/>
  <headerFooter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FFFF00"/>
  </sheetPr>
  <dimension ref="A1:U45"/>
  <sheetViews>
    <sheetView showGridLines="0" workbookViewId="0">
      <selection activeCell="F10" sqref="F10"/>
    </sheetView>
  </sheetViews>
  <sheetFormatPr defaultColWidth="9" defaultRowHeight="14.25"/>
  <cols>
    <col min="1" max="1" width="2.875" style="50" customWidth="1"/>
    <col min="2" max="2" width="16.875" style="50" customWidth="1"/>
    <col min="3" max="5" width="11.375" style="51" customWidth="1"/>
    <col min="6" max="13" width="15.75" style="50" customWidth="1"/>
    <col min="14" max="14" width="72.75" style="50" customWidth="1"/>
    <col min="15" max="15" width="11.125" style="50" customWidth="1"/>
    <col min="16" max="17" width="14.5" style="3" customWidth="1"/>
    <col min="18" max="18" width="14.75" style="3" customWidth="1"/>
    <col min="19" max="21" width="9" style="3"/>
    <col min="22" max="16384" width="9" style="1"/>
  </cols>
  <sheetData>
    <row r="1" ht="15.95" customHeight="1" spans="1:15">
      <c r="A1" s="86" t="s">
        <v>1387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161"/>
    </row>
    <row r="2" ht="15.95" customHeight="1" spans="1:21">
      <c r="A2" s="141" t="s">
        <v>1246</v>
      </c>
      <c r="B2" s="142"/>
      <c r="C2" s="142"/>
      <c r="D2" s="9" t="s">
        <v>1198</v>
      </c>
      <c r="E2" s="10">
        <f>A3*5*10</f>
        <v>100</v>
      </c>
      <c r="F2" s="11"/>
      <c r="G2" s="11"/>
      <c r="H2" s="11"/>
      <c r="I2" s="11"/>
      <c r="J2" s="11"/>
      <c r="K2" s="11"/>
      <c r="L2" s="11"/>
      <c r="M2" s="11"/>
      <c r="N2" s="11"/>
      <c r="O2" s="162"/>
      <c r="Q2" s="55"/>
      <c r="R2" s="55"/>
      <c r="T2" s="1"/>
      <c r="U2" s="1"/>
    </row>
    <row r="3" ht="15.95" customHeight="1" spans="1:21">
      <c r="A3" s="12">
        <v>2</v>
      </c>
      <c r="B3" s="12"/>
      <c r="C3" s="9" t="s">
        <v>1247</v>
      </c>
      <c r="D3" s="13">
        <v>3</v>
      </c>
      <c r="E3" s="11" t="s">
        <v>1248</v>
      </c>
      <c r="F3" s="12">
        <v>2</v>
      </c>
      <c r="G3" s="11" t="s">
        <v>1249</v>
      </c>
      <c r="H3" s="12"/>
      <c r="I3" s="12"/>
      <c r="J3" s="12"/>
      <c r="K3" s="12"/>
      <c r="L3" s="12"/>
      <c r="M3" s="12"/>
      <c r="N3" s="12"/>
      <c r="O3" s="162"/>
      <c r="Q3" s="55"/>
      <c r="R3" s="55"/>
      <c r="T3" s="1"/>
      <c r="U3" s="1"/>
    </row>
    <row r="4" ht="15.95" customHeight="1" spans="1:18">
      <c r="A4" s="244" t="s">
        <v>1200</v>
      </c>
      <c r="B4" s="244" t="s">
        <v>1201</v>
      </c>
      <c r="C4" s="244" t="s">
        <v>1250</v>
      </c>
      <c r="D4" s="244" t="s">
        <v>22</v>
      </c>
      <c r="E4" s="245" t="s">
        <v>1251</v>
      </c>
      <c r="F4" s="17" t="s">
        <v>1204</v>
      </c>
      <c r="G4" s="19" t="s">
        <v>1205</v>
      </c>
      <c r="H4" s="17" t="s">
        <v>1253</v>
      </c>
      <c r="I4" s="17" t="s">
        <v>1254</v>
      </c>
      <c r="J4" s="17" t="s">
        <v>1255</v>
      </c>
      <c r="K4" s="17" t="s">
        <v>1209</v>
      </c>
      <c r="L4" s="17" t="s">
        <v>1347</v>
      </c>
      <c r="M4" s="17" t="s">
        <v>1211</v>
      </c>
      <c r="N4" s="19" t="s">
        <v>1257</v>
      </c>
      <c r="O4" s="164" t="s">
        <v>1212</v>
      </c>
      <c r="P4" s="165" t="s">
        <v>1213</v>
      </c>
      <c r="Q4" s="165" t="s">
        <v>1214</v>
      </c>
      <c r="R4" s="75" t="s">
        <v>1213</v>
      </c>
    </row>
    <row r="5" ht="18" customHeight="1" spans="1:18">
      <c r="A5" s="20" t="s">
        <v>1215</v>
      </c>
      <c r="B5" s="91" t="s">
        <v>1224</v>
      </c>
      <c r="C5" s="23"/>
      <c r="D5" s="23" t="s">
        <v>28</v>
      </c>
      <c r="E5" s="24">
        <f>D3*2</f>
        <v>6</v>
      </c>
      <c r="F5" s="93">
        <f ca="1">I5+J5+K5+L5+M5</f>
        <v>609.9256564</v>
      </c>
      <c r="G5" s="94">
        <f>7.17/2</f>
        <v>3.585</v>
      </c>
      <c r="H5" s="94">
        <v>5.3</v>
      </c>
      <c r="I5" s="93">
        <f ca="1">G5*H5*'10米（人字150料）参数'!G3*1.1</f>
        <v>473.3556564</v>
      </c>
      <c r="J5" s="93">
        <f>37.94*2</f>
        <v>75.88</v>
      </c>
      <c r="K5" s="93">
        <v>38.79</v>
      </c>
      <c r="L5" s="93">
        <f>2.55*4</f>
        <v>10.2</v>
      </c>
      <c r="M5" s="93">
        <f>18*0.65</f>
        <v>11.7</v>
      </c>
      <c r="N5" s="166" t="s">
        <v>1388</v>
      </c>
      <c r="O5" s="167">
        <v>4</v>
      </c>
      <c r="P5" s="67">
        <f ca="1" t="shared" ref="P5:P29" si="0">F5*O5</f>
        <v>2439.7026256</v>
      </c>
      <c r="Q5" s="67">
        <f t="shared" ref="Q5:Q29" si="1">E5-O5</f>
        <v>2</v>
      </c>
      <c r="R5" s="67">
        <f ca="1" t="shared" ref="R5:R29" si="2">F5*Q5</f>
        <v>1219.8513128</v>
      </c>
    </row>
    <row r="6" ht="18" customHeight="1" spans="1:18">
      <c r="A6" s="20"/>
      <c r="B6" s="91" t="s">
        <v>1308</v>
      </c>
      <c r="C6" s="23"/>
      <c r="D6" s="23" t="s">
        <v>28</v>
      </c>
      <c r="E6" s="24">
        <f>F3</f>
        <v>2</v>
      </c>
      <c r="F6" s="101">
        <f ca="1">G6+H6+I6+J6+K6+L6+M6</f>
        <v>771.4092</v>
      </c>
      <c r="G6" s="148">
        <v>5</v>
      </c>
      <c r="H6" s="148">
        <v>5.3</v>
      </c>
      <c r="I6" s="101">
        <f ca="1">G6*H6*'10米（人字150料）参数'!G3*1.1</f>
        <v>660.1892</v>
      </c>
      <c r="J6" s="101"/>
      <c r="K6" s="101">
        <f>49.51+41.21</f>
        <v>90.72</v>
      </c>
      <c r="L6" s="101">
        <f>2.55*4</f>
        <v>10.2</v>
      </c>
      <c r="M6" s="101"/>
      <c r="N6" s="166" t="s">
        <v>1389</v>
      </c>
      <c r="O6" s="167">
        <v>2</v>
      </c>
      <c r="P6" s="67">
        <f ca="1" t="shared" si="0"/>
        <v>1542.8184</v>
      </c>
      <c r="Q6" s="67">
        <f t="shared" si="1"/>
        <v>0</v>
      </c>
      <c r="R6" s="67">
        <f ca="1" t="shared" si="2"/>
        <v>0</v>
      </c>
    </row>
    <row r="7" ht="18" customHeight="1" spans="1:18">
      <c r="A7" s="20"/>
      <c r="B7" s="91" t="s">
        <v>1350</v>
      </c>
      <c r="C7" s="23"/>
      <c r="D7" s="23" t="s">
        <v>28</v>
      </c>
      <c r="E7" s="24">
        <f>D3*2</f>
        <v>6</v>
      </c>
      <c r="F7" s="61">
        <f ca="1">I7+J7+K7+L7+M7</f>
        <v>749.0469848</v>
      </c>
      <c r="G7" s="95">
        <v>5.47</v>
      </c>
      <c r="H7" s="95">
        <v>5.3</v>
      </c>
      <c r="I7" s="61">
        <f ca="1">G7*H7*'10米（人字150料）参数'!G3*1.1</f>
        <v>722.2469848</v>
      </c>
      <c r="J7" s="61">
        <f>2.5*4</f>
        <v>10</v>
      </c>
      <c r="K7" s="61">
        <v>10.8</v>
      </c>
      <c r="L7" s="61">
        <f>1*6</f>
        <v>6</v>
      </c>
      <c r="M7" s="61"/>
      <c r="N7" s="116" t="s">
        <v>1390</v>
      </c>
      <c r="O7" s="167">
        <v>4</v>
      </c>
      <c r="P7" s="67">
        <f ca="1" t="shared" si="0"/>
        <v>2996.1879392</v>
      </c>
      <c r="Q7" s="67">
        <f t="shared" si="1"/>
        <v>2</v>
      </c>
      <c r="R7" s="67">
        <f ca="1" t="shared" si="2"/>
        <v>1498.0939696</v>
      </c>
    </row>
    <row r="8" ht="18" customHeight="1" spans="1:18">
      <c r="A8" s="20"/>
      <c r="B8" s="91" t="s">
        <v>1226</v>
      </c>
      <c r="C8" s="23"/>
      <c r="D8" s="23" t="s">
        <v>28</v>
      </c>
      <c r="E8" s="24">
        <f>A3*2</f>
        <v>4</v>
      </c>
      <c r="F8" s="101">
        <f ca="1">I8+J8+K8+L8+M8</f>
        <v>195.0929650432</v>
      </c>
      <c r="G8" s="148">
        <v>4.882</v>
      </c>
      <c r="H8" s="148">
        <v>1.552</v>
      </c>
      <c r="I8" s="101">
        <f ca="1">G8*H8*'10米（人字150料）参数'!G5*1.1</f>
        <v>180.0929650432</v>
      </c>
      <c r="J8" s="101"/>
      <c r="K8" s="101"/>
      <c r="L8" s="101">
        <f>0.5*4</f>
        <v>2</v>
      </c>
      <c r="M8" s="101">
        <f>6.5*2</f>
        <v>13</v>
      </c>
      <c r="N8" s="120" t="s">
        <v>1352</v>
      </c>
      <c r="O8" s="167">
        <v>2</v>
      </c>
      <c r="P8" s="67">
        <f ca="1" t="shared" si="0"/>
        <v>390.1859300864</v>
      </c>
      <c r="Q8" s="67">
        <f t="shared" si="1"/>
        <v>2</v>
      </c>
      <c r="R8" s="67">
        <f ca="1" t="shared" si="2"/>
        <v>390.1859300864</v>
      </c>
    </row>
    <row r="9" ht="18" customHeight="1" spans="1:18">
      <c r="A9" s="20"/>
      <c r="B9" s="91" t="s">
        <v>1264</v>
      </c>
      <c r="C9" s="23"/>
      <c r="D9" s="23" t="s">
        <v>28</v>
      </c>
      <c r="E9" s="24">
        <f>A3*3</f>
        <v>6</v>
      </c>
      <c r="F9" s="101">
        <f ca="1">I9+J9+K9+L9+M9</f>
        <v>336.5448493136</v>
      </c>
      <c r="G9" s="148">
        <v>4.882</v>
      </c>
      <c r="H9" s="148">
        <v>2.771</v>
      </c>
      <c r="I9" s="101">
        <f ca="1">G9*H9*'10米（人字150料）参数'!G5*1.1</f>
        <v>321.5448493136</v>
      </c>
      <c r="J9" s="101"/>
      <c r="K9" s="101"/>
      <c r="L9" s="101">
        <f>0.5*4</f>
        <v>2</v>
      </c>
      <c r="M9" s="101">
        <f>6.5*2</f>
        <v>13</v>
      </c>
      <c r="N9" s="120" t="s">
        <v>1353</v>
      </c>
      <c r="O9" s="167">
        <v>3</v>
      </c>
      <c r="P9" s="67">
        <f ca="1" t="shared" si="0"/>
        <v>1009.6345479408</v>
      </c>
      <c r="Q9" s="67">
        <f t="shared" si="1"/>
        <v>3</v>
      </c>
      <c r="R9" s="67">
        <f ca="1" t="shared" si="2"/>
        <v>1009.6345479408</v>
      </c>
    </row>
    <row r="10" ht="18" customHeight="1" spans="1:18">
      <c r="A10" s="20"/>
      <c r="B10" s="91" t="s">
        <v>1266</v>
      </c>
      <c r="C10" s="23"/>
      <c r="D10" s="23" t="s">
        <v>28</v>
      </c>
      <c r="E10" s="24">
        <f>A3*2+F3*2</f>
        <v>8</v>
      </c>
      <c r="F10" s="101">
        <f ca="1">'数据修改（批量）'!A28</f>
        <v>95</v>
      </c>
      <c r="G10" s="148">
        <v>4.86</v>
      </c>
      <c r="H10" s="148">
        <v>1.345</v>
      </c>
      <c r="I10" s="101">
        <f ca="1">G10*H10*'10米（人字150料）参数'!G5*1.1</f>
        <v>155.36951496</v>
      </c>
      <c r="J10" s="101"/>
      <c r="K10" s="101"/>
      <c r="L10" s="101"/>
      <c r="M10" s="101"/>
      <c r="N10" s="120" t="s">
        <v>1354</v>
      </c>
      <c r="O10" s="167">
        <v>6</v>
      </c>
      <c r="P10" s="67">
        <f ca="1" t="shared" si="0"/>
        <v>570</v>
      </c>
      <c r="Q10" s="67">
        <f t="shared" si="1"/>
        <v>2</v>
      </c>
      <c r="R10" s="67">
        <f ca="1" t="shared" si="2"/>
        <v>190</v>
      </c>
    </row>
    <row r="11" ht="18" customHeight="1" spans="1:18">
      <c r="A11" s="20"/>
      <c r="B11" s="91" t="s">
        <v>1272</v>
      </c>
      <c r="C11" s="23"/>
      <c r="D11" s="23" t="s">
        <v>28</v>
      </c>
      <c r="E11" s="30">
        <v>5</v>
      </c>
      <c r="F11" s="101">
        <f>(I11+J11+K11+L11+M11)*1.2</f>
        <v>131.4</v>
      </c>
      <c r="G11" s="148"/>
      <c r="H11" s="148"/>
      <c r="I11" s="101">
        <v>95</v>
      </c>
      <c r="J11" s="101">
        <v>6.5</v>
      </c>
      <c r="K11" s="101">
        <v>4</v>
      </c>
      <c r="L11" s="101">
        <v>3</v>
      </c>
      <c r="M11" s="101">
        <v>1</v>
      </c>
      <c r="N11" s="120" t="s">
        <v>1355</v>
      </c>
      <c r="O11" s="167">
        <v>4</v>
      </c>
      <c r="P11" s="67">
        <f ca="1" t="shared" si="0"/>
        <v>525.6</v>
      </c>
      <c r="Q11" s="67">
        <f t="shared" si="1"/>
        <v>1</v>
      </c>
      <c r="R11" s="67">
        <f ca="1" t="shared" si="2"/>
        <v>131.4</v>
      </c>
    </row>
    <row r="12" ht="18" customHeight="1" spans="1:18">
      <c r="A12" s="20"/>
      <c r="B12" s="91" t="s">
        <v>1356</v>
      </c>
      <c r="C12" s="23"/>
      <c r="D12" s="23" t="s">
        <v>28</v>
      </c>
      <c r="E12" s="24">
        <f>F3</f>
        <v>2</v>
      </c>
      <c r="F12" s="101">
        <f ca="1">(I12+J12+K12+L12+M12)</f>
        <v>60.422</v>
      </c>
      <c r="G12" s="148">
        <v>2.5</v>
      </c>
      <c r="H12" s="148">
        <v>1</v>
      </c>
      <c r="I12" s="101">
        <f ca="1">G12*H12*'10米（人字150料）参数'!G5*1.1</f>
        <v>59.422</v>
      </c>
      <c r="J12" s="101"/>
      <c r="K12" s="101"/>
      <c r="L12" s="101">
        <f>0.5*2</f>
        <v>1</v>
      </c>
      <c r="M12" s="101"/>
      <c r="N12" s="170" t="s">
        <v>1357</v>
      </c>
      <c r="O12" s="167">
        <v>2</v>
      </c>
      <c r="P12" s="67">
        <f ca="1" t="shared" si="0"/>
        <v>120.844</v>
      </c>
      <c r="Q12" s="67">
        <f t="shared" si="1"/>
        <v>0</v>
      </c>
      <c r="R12" s="67">
        <f ca="1" t="shared" si="2"/>
        <v>0</v>
      </c>
    </row>
    <row r="13" ht="18" customHeight="1" spans="1:18">
      <c r="A13" s="20"/>
      <c r="B13" s="91" t="s">
        <v>1276</v>
      </c>
      <c r="C13" s="23"/>
      <c r="D13" s="23" t="s">
        <v>28</v>
      </c>
      <c r="E13" s="28">
        <f>F3*2</f>
        <v>4</v>
      </c>
      <c r="F13" s="101">
        <f ca="1">(I13+J13+K13+L13+M13)</f>
        <v>348.2448493136</v>
      </c>
      <c r="G13" s="95">
        <v>4.882</v>
      </c>
      <c r="H13" s="95">
        <v>2.771</v>
      </c>
      <c r="I13" s="61">
        <f ca="1">G13*H13*'10米（人字150料）参数'!G5*1.1</f>
        <v>321.5448493136</v>
      </c>
      <c r="J13" s="61"/>
      <c r="K13" s="61">
        <v>15</v>
      </c>
      <c r="L13" s="61">
        <f>8*0.65</f>
        <v>5.2</v>
      </c>
      <c r="M13" s="61">
        <v>6.5</v>
      </c>
      <c r="N13" s="120" t="s">
        <v>1358</v>
      </c>
      <c r="O13" s="167">
        <v>4</v>
      </c>
      <c r="P13" s="67">
        <f ca="1" t="shared" si="0"/>
        <v>1392.9793972544</v>
      </c>
      <c r="Q13" s="67">
        <f t="shared" si="1"/>
        <v>0</v>
      </c>
      <c r="R13" s="67">
        <f ca="1" t="shared" si="2"/>
        <v>0</v>
      </c>
    </row>
    <row r="14" ht="18" customHeight="1" spans="1:18">
      <c r="A14" s="31"/>
      <c r="B14" s="152" t="s">
        <v>1274</v>
      </c>
      <c r="C14" s="43"/>
      <c r="D14" s="43" t="s">
        <v>28</v>
      </c>
      <c r="E14" s="150">
        <f>A3*2+F3*2</f>
        <v>8</v>
      </c>
      <c r="F14" s="101">
        <f>(I14+J14+K14+L14+M14)</f>
        <v>20.4</v>
      </c>
      <c r="G14" s="151"/>
      <c r="H14" s="151"/>
      <c r="I14" s="39">
        <f>17*1.2</f>
        <v>20.4</v>
      </c>
      <c r="J14" s="39"/>
      <c r="K14" s="39"/>
      <c r="L14" s="39"/>
      <c r="M14" s="39"/>
      <c r="N14" s="171" t="s">
        <v>1359</v>
      </c>
      <c r="O14" s="167">
        <v>6</v>
      </c>
      <c r="P14" s="67">
        <f ca="1" t="shared" si="0"/>
        <v>122.4</v>
      </c>
      <c r="Q14" s="67">
        <f t="shared" si="1"/>
        <v>2</v>
      </c>
      <c r="R14" s="67">
        <f ca="1" t="shared" si="2"/>
        <v>40.8</v>
      </c>
    </row>
    <row r="15" ht="18" customHeight="1" spans="1:18">
      <c r="A15" s="20" t="s">
        <v>1278</v>
      </c>
      <c r="B15" s="91" t="s">
        <v>1304</v>
      </c>
      <c r="C15" s="23"/>
      <c r="D15" s="23" t="s">
        <v>434</v>
      </c>
      <c r="E15" s="24">
        <f>D3</f>
        <v>3</v>
      </c>
      <c r="F15" s="101">
        <v>180.62</v>
      </c>
      <c r="G15" s="151"/>
      <c r="H15" s="151"/>
      <c r="I15" s="39"/>
      <c r="J15" s="39"/>
      <c r="K15" s="39"/>
      <c r="L15" s="39"/>
      <c r="M15" s="39"/>
      <c r="N15" s="171" t="s">
        <v>1391</v>
      </c>
      <c r="O15" s="172">
        <v>2</v>
      </c>
      <c r="P15" s="67">
        <f ca="1" t="shared" si="0"/>
        <v>361.24</v>
      </c>
      <c r="Q15" s="67">
        <f t="shared" si="1"/>
        <v>1</v>
      </c>
      <c r="R15" s="67">
        <f ca="1" t="shared" si="2"/>
        <v>180.62</v>
      </c>
    </row>
    <row r="16" ht="18" customHeight="1" spans="1:18">
      <c r="A16" s="20"/>
      <c r="B16" s="91" t="s">
        <v>1310</v>
      </c>
      <c r="C16" s="23"/>
      <c r="D16" s="23" t="s">
        <v>434</v>
      </c>
      <c r="E16" s="24">
        <f>E6</f>
        <v>2</v>
      </c>
      <c r="F16" s="101">
        <v>76.4</v>
      </c>
      <c r="G16" s="148"/>
      <c r="H16" s="148"/>
      <c r="I16" s="101"/>
      <c r="J16" s="101"/>
      <c r="K16" s="101"/>
      <c r="L16" s="101"/>
      <c r="M16" s="101"/>
      <c r="N16" s="120" t="s">
        <v>1361</v>
      </c>
      <c r="O16" s="167">
        <v>2</v>
      </c>
      <c r="P16" s="67">
        <f ca="1" t="shared" si="0"/>
        <v>152.8</v>
      </c>
      <c r="Q16" s="67">
        <f t="shared" si="1"/>
        <v>0</v>
      </c>
      <c r="R16" s="67">
        <f ca="1" t="shared" si="2"/>
        <v>0</v>
      </c>
    </row>
    <row r="17" ht="18" customHeight="1" spans="1:18">
      <c r="A17" s="20"/>
      <c r="B17" s="91" t="s">
        <v>1280</v>
      </c>
      <c r="C17" s="23"/>
      <c r="D17" s="23" t="s">
        <v>434</v>
      </c>
      <c r="E17" s="28">
        <f>E5</f>
        <v>6</v>
      </c>
      <c r="F17" s="61">
        <v>71.28</v>
      </c>
      <c r="G17" s="95"/>
      <c r="H17" s="95"/>
      <c r="I17" s="61"/>
      <c r="J17" s="61"/>
      <c r="K17" s="61"/>
      <c r="L17" s="61"/>
      <c r="M17" s="61"/>
      <c r="N17" s="173" t="s">
        <v>1361</v>
      </c>
      <c r="O17" s="167">
        <v>4</v>
      </c>
      <c r="P17" s="67">
        <f ca="1" t="shared" si="0"/>
        <v>285.12</v>
      </c>
      <c r="Q17" s="67">
        <f t="shared" si="1"/>
        <v>2</v>
      </c>
      <c r="R17" s="67">
        <f ca="1" t="shared" si="2"/>
        <v>142.56</v>
      </c>
    </row>
    <row r="18" ht="18" customHeight="1" spans="1:18">
      <c r="A18" s="20"/>
      <c r="B18" s="91" t="s">
        <v>1339</v>
      </c>
      <c r="C18" s="23"/>
      <c r="D18" s="23" t="s">
        <v>28</v>
      </c>
      <c r="E18" s="32">
        <f>E11</f>
        <v>5</v>
      </c>
      <c r="F18" s="101">
        <v>80.5</v>
      </c>
      <c r="G18" s="148"/>
      <c r="H18" s="148"/>
      <c r="I18" s="101"/>
      <c r="J18" s="101"/>
      <c r="K18" s="101"/>
      <c r="L18" s="101"/>
      <c r="M18" s="101"/>
      <c r="N18" s="120" t="s">
        <v>1362</v>
      </c>
      <c r="O18" s="167">
        <v>4</v>
      </c>
      <c r="P18" s="67">
        <f ca="1" t="shared" si="0"/>
        <v>322</v>
      </c>
      <c r="Q18" s="67">
        <f t="shared" si="1"/>
        <v>1</v>
      </c>
      <c r="R18" s="67">
        <f ca="1" t="shared" si="2"/>
        <v>80.5</v>
      </c>
    </row>
    <row r="19" ht="18" customHeight="1" spans="1:18">
      <c r="A19" s="20"/>
      <c r="B19" s="91" t="s">
        <v>1282</v>
      </c>
      <c r="C19" s="23"/>
      <c r="D19" s="23" t="s">
        <v>434</v>
      </c>
      <c r="E19" s="24">
        <f>D3*2+F3*2</f>
        <v>10</v>
      </c>
      <c r="F19" s="101">
        <v>4.45</v>
      </c>
      <c r="G19" s="148"/>
      <c r="H19" s="148"/>
      <c r="I19" s="101"/>
      <c r="J19" s="101"/>
      <c r="K19" s="101"/>
      <c r="L19" s="101"/>
      <c r="M19" s="101"/>
      <c r="N19" s="120" t="s">
        <v>1363</v>
      </c>
      <c r="O19" s="167">
        <v>8</v>
      </c>
      <c r="P19" s="67">
        <f ca="1" t="shared" si="0"/>
        <v>35.6</v>
      </c>
      <c r="Q19" s="67">
        <f t="shared" si="1"/>
        <v>2</v>
      </c>
      <c r="R19" s="67">
        <f ca="1" t="shared" si="2"/>
        <v>8.9</v>
      </c>
    </row>
    <row r="20" ht="18" customHeight="1" spans="1:18">
      <c r="A20" s="20"/>
      <c r="B20" s="91" t="s">
        <v>1284</v>
      </c>
      <c r="C20" s="23"/>
      <c r="D20" s="23" t="s">
        <v>434</v>
      </c>
      <c r="E20" s="24">
        <f>D3*2</f>
        <v>6</v>
      </c>
      <c r="F20" s="101">
        <v>6.51</v>
      </c>
      <c r="G20" s="148"/>
      <c r="H20" s="148"/>
      <c r="I20" s="101"/>
      <c r="J20" s="101"/>
      <c r="K20" s="101"/>
      <c r="L20" s="101"/>
      <c r="M20" s="101"/>
      <c r="N20" s="120" t="s">
        <v>1364</v>
      </c>
      <c r="O20" s="167">
        <v>4</v>
      </c>
      <c r="P20" s="67">
        <f ca="1" t="shared" si="0"/>
        <v>26.04</v>
      </c>
      <c r="Q20" s="67">
        <f t="shared" si="1"/>
        <v>2</v>
      </c>
      <c r="R20" s="67">
        <f ca="1" t="shared" si="2"/>
        <v>13.02</v>
      </c>
    </row>
    <row r="21" ht="18" customHeight="1" spans="1:18">
      <c r="A21" s="20"/>
      <c r="B21" s="91" t="s">
        <v>519</v>
      </c>
      <c r="C21" s="23"/>
      <c r="D21" s="23" t="s">
        <v>434</v>
      </c>
      <c r="E21" s="24">
        <f>F3*2</f>
        <v>4</v>
      </c>
      <c r="F21" s="101">
        <v>5.95</v>
      </c>
      <c r="G21" s="151"/>
      <c r="H21" s="151"/>
      <c r="I21" s="39"/>
      <c r="J21" s="39"/>
      <c r="K21" s="39"/>
      <c r="L21" s="39"/>
      <c r="M21" s="39"/>
      <c r="N21" s="120" t="s">
        <v>1365</v>
      </c>
      <c r="O21" s="167">
        <v>4</v>
      </c>
      <c r="P21" s="67">
        <f ca="1" t="shared" si="0"/>
        <v>23.8</v>
      </c>
      <c r="Q21" s="67">
        <f t="shared" si="1"/>
        <v>0</v>
      </c>
      <c r="R21" s="67">
        <f ca="1" t="shared" si="2"/>
        <v>0</v>
      </c>
    </row>
    <row r="22" ht="18" customHeight="1" spans="1:18">
      <c r="A22" s="31"/>
      <c r="B22" s="152" t="s">
        <v>551</v>
      </c>
      <c r="C22" s="43"/>
      <c r="D22" s="43" t="s">
        <v>434</v>
      </c>
      <c r="E22" s="150">
        <f>E6</f>
        <v>2</v>
      </c>
      <c r="F22" s="41">
        <v>15.5</v>
      </c>
      <c r="G22" s="99"/>
      <c r="H22" s="99"/>
      <c r="I22" s="41"/>
      <c r="J22" s="41"/>
      <c r="K22" s="41"/>
      <c r="L22" s="41"/>
      <c r="M22" s="41"/>
      <c r="N22" s="173" t="s">
        <v>1361</v>
      </c>
      <c r="O22" s="174">
        <v>2</v>
      </c>
      <c r="P22" s="67">
        <f ca="1" t="shared" si="0"/>
        <v>31</v>
      </c>
      <c r="Q22" s="67">
        <f t="shared" si="1"/>
        <v>0</v>
      </c>
      <c r="R22" s="67">
        <f ca="1" t="shared" si="2"/>
        <v>0</v>
      </c>
    </row>
    <row r="23" ht="18" customHeight="1" spans="1:18">
      <c r="A23" s="153" t="s">
        <v>1216</v>
      </c>
      <c r="B23" s="91" t="s">
        <v>1366</v>
      </c>
      <c r="C23" s="23"/>
      <c r="D23" s="23" t="s">
        <v>612</v>
      </c>
      <c r="E23" s="24">
        <f>A3</f>
        <v>2</v>
      </c>
      <c r="F23" s="122">
        <f ca="1">(I23+J23)*1.1+30</f>
        <v>1471.0055</v>
      </c>
      <c r="G23" s="99">
        <v>12.7</v>
      </c>
      <c r="H23" s="99">
        <v>5</v>
      </c>
      <c r="I23" s="41">
        <f ca="1">G23*H23*'10米（人字150料）参数'!E15*1.1</f>
        <v>1208.405</v>
      </c>
      <c r="J23" s="41">
        <f>12.7*2*4</f>
        <v>101.6</v>
      </c>
      <c r="K23" s="41">
        <v>30</v>
      </c>
      <c r="L23" s="41"/>
      <c r="M23" s="41"/>
      <c r="N23" s="167" t="s">
        <v>1367</v>
      </c>
      <c r="O23" s="175">
        <v>1</v>
      </c>
      <c r="P23" s="67">
        <f ca="1" t="shared" si="0"/>
        <v>1471.0055</v>
      </c>
      <c r="Q23" s="67">
        <f t="shared" si="1"/>
        <v>1</v>
      </c>
      <c r="R23" s="67">
        <f ca="1" t="shared" si="2"/>
        <v>1471.0055</v>
      </c>
    </row>
    <row r="24" ht="18" customHeight="1" spans="1:18">
      <c r="A24" s="153"/>
      <c r="B24" s="91" t="s">
        <v>1368</v>
      </c>
      <c r="C24" s="23"/>
      <c r="D24" s="23" t="s">
        <v>664</v>
      </c>
      <c r="E24" s="24">
        <f>F3</f>
        <v>2</v>
      </c>
      <c r="F24" s="122">
        <f ca="1">(I24+J24)*1.1+15</f>
        <v>508.740764</v>
      </c>
      <c r="G24" s="148">
        <v>6.33</v>
      </c>
      <c r="H24" s="154">
        <v>3.6</v>
      </c>
      <c r="I24" s="101">
        <f ca="1">G24*H24*'10米（人字150料）参数'!E14*1.1</f>
        <v>358.45524</v>
      </c>
      <c r="J24" s="101">
        <f>11.3*2*4</f>
        <v>90.4</v>
      </c>
      <c r="K24" s="101">
        <v>15</v>
      </c>
      <c r="L24" s="101"/>
      <c r="M24" s="101"/>
      <c r="N24" s="51" t="s">
        <v>1369</v>
      </c>
      <c r="O24" s="167">
        <v>2</v>
      </c>
      <c r="P24" s="67">
        <f ca="1" t="shared" si="0"/>
        <v>1017.481528</v>
      </c>
      <c r="Q24" s="67">
        <f t="shared" si="1"/>
        <v>0</v>
      </c>
      <c r="R24" s="67">
        <f ca="1" t="shared" si="2"/>
        <v>0</v>
      </c>
    </row>
    <row r="25" ht="18" customHeight="1" spans="1:18">
      <c r="A25" s="155"/>
      <c r="B25" s="91" t="s">
        <v>1370</v>
      </c>
      <c r="C25" s="23"/>
      <c r="D25" s="23" t="s">
        <v>664</v>
      </c>
      <c r="E25" s="24">
        <f>A3*2+F3*2</f>
        <v>8</v>
      </c>
      <c r="F25" s="101">
        <f ca="1">I25+J25+K25+L25+M25</f>
        <v>376.49012</v>
      </c>
      <c r="G25" s="156">
        <v>5.2</v>
      </c>
      <c r="H25" s="157">
        <v>3.97</v>
      </c>
      <c r="I25" s="101">
        <f ca="1">G25*H25*'10米（人字150料）参数'!E14*1.1+15</f>
        <v>339.73012</v>
      </c>
      <c r="J25" s="71">
        <f>4*2</f>
        <v>8</v>
      </c>
      <c r="K25" s="71">
        <f>0.5*10</f>
        <v>5</v>
      </c>
      <c r="L25" s="71">
        <f>0.32*18</f>
        <v>5.76</v>
      </c>
      <c r="M25" s="71">
        <f>18*1</f>
        <v>18</v>
      </c>
      <c r="N25" s="120" t="s">
        <v>1371</v>
      </c>
      <c r="O25" s="167">
        <v>6</v>
      </c>
      <c r="P25" s="67">
        <f ca="1" t="shared" si="0"/>
        <v>2258.94072</v>
      </c>
      <c r="Q25" s="67">
        <f t="shared" si="1"/>
        <v>2</v>
      </c>
      <c r="R25" s="67">
        <f ca="1" t="shared" si="2"/>
        <v>752.98024</v>
      </c>
    </row>
    <row r="26" ht="18" customHeight="1" spans="1:18">
      <c r="A26" s="20" t="s">
        <v>1235</v>
      </c>
      <c r="B26" s="138" t="s">
        <v>583</v>
      </c>
      <c r="C26" s="23"/>
      <c r="D26" s="23" t="s">
        <v>434</v>
      </c>
      <c r="E26" s="24">
        <f>D3*10+F3*2+E18*2</f>
        <v>44</v>
      </c>
      <c r="F26" s="101">
        <v>2.15</v>
      </c>
      <c r="G26" s="154"/>
      <c r="H26" s="154"/>
      <c r="I26" s="101"/>
      <c r="J26" s="101"/>
      <c r="K26" s="101"/>
      <c r="L26" s="101"/>
      <c r="M26" s="101"/>
      <c r="N26" s="120" t="s">
        <v>1372</v>
      </c>
      <c r="O26" s="167">
        <v>34</v>
      </c>
      <c r="P26" s="67">
        <f ca="1" t="shared" si="0"/>
        <v>73.1</v>
      </c>
      <c r="Q26" s="67">
        <f t="shared" si="1"/>
        <v>10</v>
      </c>
      <c r="R26" s="67">
        <f ca="1" t="shared" si="2"/>
        <v>21.5</v>
      </c>
    </row>
    <row r="27" ht="18" customHeight="1" spans="1:18">
      <c r="A27" s="20"/>
      <c r="B27" s="109" t="s">
        <v>585</v>
      </c>
      <c r="C27" s="23"/>
      <c r="D27" s="23" t="s">
        <v>434</v>
      </c>
      <c r="E27" s="24">
        <f>D3*2+E18+E11</f>
        <v>16</v>
      </c>
      <c r="F27" s="101">
        <v>2.55</v>
      </c>
      <c r="G27" s="154"/>
      <c r="H27" s="154"/>
      <c r="I27" s="101"/>
      <c r="J27" s="101"/>
      <c r="K27" s="101"/>
      <c r="L27" s="101"/>
      <c r="M27" s="101"/>
      <c r="N27" s="120" t="s">
        <v>1373</v>
      </c>
      <c r="O27" s="172">
        <v>14</v>
      </c>
      <c r="P27" s="67">
        <f ca="1" t="shared" si="0"/>
        <v>35.7</v>
      </c>
      <c r="Q27" s="67">
        <f t="shared" si="1"/>
        <v>2</v>
      </c>
      <c r="R27" s="67">
        <f ca="1" t="shared" si="2"/>
        <v>5.1</v>
      </c>
    </row>
    <row r="28" ht="18" customHeight="1" spans="1:18">
      <c r="A28" s="20"/>
      <c r="B28" s="159" t="s">
        <v>1374</v>
      </c>
      <c r="C28" s="43"/>
      <c r="D28" s="43" t="s">
        <v>434</v>
      </c>
      <c r="E28" s="44">
        <f>D3*2+4</f>
        <v>10</v>
      </c>
      <c r="F28" s="39">
        <v>1.95</v>
      </c>
      <c r="G28" s="160"/>
      <c r="H28" s="160"/>
      <c r="I28" s="39"/>
      <c r="J28" s="39"/>
      <c r="K28" s="39"/>
      <c r="L28" s="39"/>
      <c r="M28" s="39"/>
      <c r="N28" s="120" t="s">
        <v>1375</v>
      </c>
      <c r="O28" s="167">
        <v>8</v>
      </c>
      <c r="P28" s="67">
        <f ca="1" t="shared" si="0"/>
        <v>15.6</v>
      </c>
      <c r="Q28" s="67">
        <f t="shared" si="1"/>
        <v>2</v>
      </c>
      <c r="R28" s="67">
        <f ca="1" t="shared" si="2"/>
        <v>3.9</v>
      </c>
    </row>
    <row r="29" ht="18" customHeight="1" spans="1:18">
      <c r="A29" s="20"/>
      <c r="B29" s="109" t="s">
        <v>554</v>
      </c>
      <c r="C29" s="23"/>
      <c r="D29" s="23" t="s">
        <v>555</v>
      </c>
      <c r="E29" s="28">
        <f>E16+E17+E11</f>
        <v>13</v>
      </c>
      <c r="F29" s="101">
        <v>1.46</v>
      </c>
      <c r="G29" s="154"/>
      <c r="H29" s="154"/>
      <c r="I29" s="101"/>
      <c r="J29" s="101"/>
      <c r="K29" s="101"/>
      <c r="L29" s="101"/>
      <c r="M29" s="101"/>
      <c r="N29" s="120" t="s">
        <v>1376</v>
      </c>
      <c r="O29" s="167">
        <v>11</v>
      </c>
      <c r="P29" s="67">
        <f ca="1" t="shared" si="0"/>
        <v>16.06</v>
      </c>
      <c r="Q29" s="67">
        <f t="shared" si="1"/>
        <v>2</v>
      </c>
      <c r="R29" s="67">
        <f ca="1" t="shared" si="2"/>
        <v>2.92</v>
      </c>
    </row>
    <row r="30" spans="15:18">
      <c r="O30" s="84" t="s">
        <v>1218</v>
      </c>
      <c r="P30" s="3">
        <f ca="1">SUM(P5:P29)</f>
        <v>17235.8405880816</v>
      </c>
      <c r="Q30" s="3" t="s">
        <v>1219</v>
      </c>
      <c r="R30" s="3">
        <f ca="1">SUM(R5:R29)</f>
        <v>7162.9715004272</v>
      </c>
    </row>
    <row r="31" spans="2:2">
      <c r="B31" s="50" t="s">
        <v>1221</v>
      </c>
    </row>
    <row r="32" spans="15:16">
      <c r="O32" s="50" t="s">
        <v>1377</v>
      </c>
      <c r="P32" s="3">
        <f ca="1">P30+R30</f>
        <v>24398.8120885088</v>
      </c>
    </row>
    <row r="33" ht="31.5" spans="2:16">
      <c r="B33" s="230" t="s">
        <v>1378</v>
      </c>
      <c r="C33" s="230"/>
      <c r="D33" s="229"/>
      <c r="E33" s="229"/>
      <c r="F33" s="229"/>
      <c r="G33" s="52"/>
      <c r="H33" s="52"/>
      <c r="I33" s="52"/>
      <c r="J33" s="52"/>
      <c r="K33" s="52"/>
      <c r="L33" s="52"/>
      <c r="M33" s="52"/>
      <c r="O33" s="50" t="s">
        <v>14</v>
      </c>
      <c r="P33" s="3">
        <f ca="1">P32/E2</f>
        <v>243.988120885088</v>
      </c>
    </row>
    <row r="34" ht="18.75" spans="2:13">
      <c r="B34" s="231" t="s">
        <v>1379</v>
      </c>
      <c r="C34" s="231"/>
      <c r="D34" s="54"/>
      <c r="E34" s="54"/>
      <c r="F34" s="54"/>
      <c r="G34" s="53"/>
      <c r="H34" s="53"/>
      <c r="I34" s="53"/>
      <c r="J34" s="53"/>
      <c r="K34" s="53"/>
      <c r="L34" s="53"/>
      <c r="M34" s="53"/>
    </row>
    <row r="35" ht="18.75" spans="2:13">
      <c r="B35" s="231" t="s">
        <v>1380</v>
      </c>
      <c r="C35" s="231" t="s">
        <v>1381</v>
      </c>
      <c r="D35" s="54"/>
      <c r="E35" s="54"/>
      <c r="F35" s="54"/>
      <c r="G35" s="53"/>
      <c r="H35" s="53"/>
      <c r="I35" s="53"/>
      <c r="J35" s="53"/>
      <c r="K35" s="53"/>
      <c r="L35" s="53"/>
      <c r="M35" s="53"/>
    </row>
    <row r="36" ht="18.75" spans="2:13">
      <c r="B36" s="231">
        <v>3.58</v>
      </c>
      <c r="C36" s="231">
        <v>4.58</v>
      </c>
      <c r="D36" s="54"/>
      <c r="E36" s="54"/>
      <c r="F36" s="54"/>
      <c r="G36" s="53"/>
      <c r="H36" s="53"/>
      <c r="I36" s="53"/>
      <c r="J36" s="53"/>
      <c r="K36" s="53"/>
      <c r="L36" s="53"/>
      <c r="M36" s="53"/>
    </row>
    <row r="37" ht="18.75" spans="2:13">
      <c r="B37" s="231" t="s">
        <v>1382</v>
      </c>
      <c r="C37" s="231"/>
      <c r="D37" s="54"/>
      <c r="E37" s="54"/>
      <c r="F37" s="54"/>
      <c r="G37" s="53"/>
      <c r="H37" s="53"/>
      <c r="I37" s="53"/>
      <c r="J37" s="53"/>
      <c r="K37" s="53"/>
      <c r="L37" s="53"/>
      <c r="M37" s="53"/>
    </row>
    <row r="38" ht="18.75" spans="2:13">
      <c r="B38" s="231" t="s">
        <v>1380</v>
      </c>
      <c r="C38" s="231" t="s">
        <v>1381</v>
      </c>
      <c r="D38" s="54"/>
      <c r="E38" s="54"/>
      <c r="F38" s="54"/>
      <c r="G38" s="53"/>
      <c r="H38" s="53"/>
      <c r="I38" s="53"/>
      <c r="J38" s="53"/>
      <c r="K38" s="53"/>
      <c r="L38" s="53"/>
      <c r="M38" s="53"/>
    </row>
    <row r="39" ht="18.75" spans="2:13">
      <c r="B39" s="232">
        <v>5</v>
      </c>
      <c r="C39" s="232">
        <v>6</v>
      </c>
      <c r="D39" s="54"/>
      <c r="E39" s="54"/>
      <c r="F39" s="54"/>
      <c r="G39" s="53"/>
      <c r="H39" s="53"/>
      <c r="I39" s="53"/>
      <c r="J39" s="53"/>
      <c r="K39" s="53"/>
      <c r="L39" s="53"/>
      <c r="M39" s="53"/>
    </row>
    <row r="40" ht="18.75" spans="2:13">
      <c r="B40" s="231" t="s">
        <v>1383</v>
      </c>
      <c r="C40" s="231"/>
      <c r="D40" s="54"/>
      <c r="E40" s="54"/>
      <c r="F40" s="54"/>
      <c r="G40" s="53"/>
      <c r="H40" s="53"/>
      <c r="I40" s="53"/>
      <c r="J40" s="53"/>
      <c r="K40" s="53"/>
      <c r="L40" s="53"/>
      <c r="M40" s="53"/>
    </row>
    <row r="41" ht="18.75" spans="2:3">
      <c r="B41" s="231" t="s">
        <v>1380</v>
      </c>
      <c r="C41" s="231" t="s">
        <v>1381</v>
      </c>
    </row>
    <row r="42" ht="18.75" spans="2:3">
      <c r="B42" s="233">
        <v>3.97</v>
      </c>
      <c r="C42" s="233">
        <v>4.97</v>
      </c>
    </row>
    <row r="43" ht="20.1" customHeight="1" spans="2:3">
      <c r="B43" s="234" t="s">
        <v>1384</v>
      </c>
      <c r="C43" s="234"/>
    </row>
    <row r="44" ht="37.5" spans="2:3">
      <c r="B44" s="235" t="s">
        <v>1385</v>
      </c>
      <c r="C44" s="235" t="s">
        <v>1386</v>
      </c>
    </row>
    <row r="45" ht="18.75" spans="2:3">
      <c r="B45" s="236">
        <v>95</v>
      </c>
      <c r="C45" s="236">
        <v>110.8</v>
      </c>
    </row>
  </sheetData>
  <mergeCells count="14">
    <mergeCell ref="A1:N1"/>
    <mergeCell ref="A2:C2"/>
    <mergeCell ref="F2:N2"/>
    <mergeCell ref="A3:B3"/>
    <mergeCell ref="H3:M3"/>
    <mergeCell ref="B33:C33"/>
    <mergeCell ref="B34:C34"/>
    <mergeCell ref="B37:C37"/>
    <mergeCell ref="B40:C40"/>
    <mergeCell ref="B43:C43"/>
    <mergeCell ref="A5:A14"/>
    <mergeCell ref="A15:A22"/>
    <mergeCell ref="A23:A25"/>
    <mergeCell ref="A26:A29"/>
  </mergeCells>
  <dataValidations count="3">
    <dataValidation type="list" allowBlank="1" showInputMessage="1" showErrorMessage="1" sqref="B23">
      <formula1>"顶布[白]{全新},顶布[白]{A类},顶布[白]{B类},顶布[白]{C类},顶布[白]{D类}"</formula1>
    </dataValidation>
    <dataValidation type="list" allowBlank="1" showInputMessage="1" showErrorMessage="1" sqref="B24">
      <formula1>"山尖布[白]{全新},山尖布[白]{A类},山尖布[白]{B类},山尖布[白]{C类},山尖布[白]{D类}"</formula1>
    </dataValidation>
    <dataValidation type="list" allowBlank="1" showInputMessage="1" showErrorMessage="1" sqref="B25">
      <formula1>"围布[白]{全新},围布[白]{A类},围布[白]{B类},围布[白]{C类},围布[白]{D类},透光窗围布[白]{全新},透光窗围布[白]{A类},透光窗围布[白]{B类},透光窗围布[白]{C类},透光窗围布[白]{D类}"</formula1>
    </dataValidation>
  </dataValidations>
  <printOptions horizontalCentered="1"/>
  <pageMargins left="0.238888888888889" right="0.11875" top="0.159027777777778" bottom="0.259027777777778" header="0.159027777777778" footer="0.2"/>
  <pageSetup paperSize="9" orientation="portrait"/>
  <headerFooter alignWithMargins="0" scaleWithDoc="0">
    <oddFooter>&amp;L&amp;"SimSun"&amp;9&amp;C&amp;"SimSun"&amp;9第 &amp;P 页，共 &amp;N 页&amp;R&amp;"SimSun"&amp;9</oddFooter>
  </headerFooter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FFFF00"/>
  </sheetPr>
  <dimension ref="A1:R33"/>
  <sheetViews>
    <sheetView showGridLines="0" topLeftCell="A2" workbookViewId="0">
      <selection activeCell="F10" sqref="F10"/>
    </sheetView>
  </sheetViews>
  <sheetFormatPr defaultColWidth="9" defaultRowHeight="14.25"/>
  <cols>
    <col min="1" max="1" width="3.625" style="1" customWidth="1"/>
    <col min="2" max="2" width="13.375" style="1" customWidth="1"/>
    <col min="3" max="5" width="11.25" style="1" customWidth="1"/>
    <col min="6" max="6" width="9" style="1" customWidth="1"/>
    <col min="7" max="7" width="11" style="1" customWidth="1"/>
    <col min="8" max="13" width="14.5" style="1" customWidth="1"/>
    <col min="14" max="14" width="54.75" style="1" customWidth="1"/>
    <col min="15" max="15" width="9" style="1"/>
    <col min="16" max="16" width="14.375" style="1" customWidth="1"/>
    <col min="17" max="17" width="9" style="1"/>
    <col min="18" max="18" width="14.75" style="1" customWidth="1"/>
    <col min="19" max="16384" width="9" style="1"/>
  </cols>
  <sheetData>
    <row r="1" ht="18.75" spans="1:18">
      <c r="A1" s="7" t="s">
        <v>1392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237"/>
      <c r="P1" s="3"/>
      <c r="Q1" s="3"/>
      <c r="R1" s="3"/>
    </row>
    <row r="2" spans="1:18">
      <c r="A2" s="141" t="s">
        <v>1246</v>
      </c>
      <c r="B2" s="142"/>
      <c r="C2" s="142"/>
      <c r="D2" s="9" t="s">
        <v>1198</v>
      </c>
      <c r="E2" s="176">
        <f>A3*5*10</f>
        <v>100</v>
      </c>
      <c r="F2" s="11"/>
      <c r="G2" s="11"/>
      <c r="H2" s="11"/>
      <c r="I2" s="11"/>
      <c r="J2" s="11"/>
      <c r="K2" s="11"/>
      <c r="L2" s="11"/>
      <c r="M2" s="11"/>
      <c r="N2" s="11"/>
      <c r="O2" s="162"/>
      <c r="P2" s="3"/>
      <c r="Q2" s="55"/>
      <c r="R2" s="55"/>
    </row>
    <row r="3" spans="1:18">
      <c r="A3" s="177">
        <v>2</v>
      </c>
      <c r="B3" s="177"/>
      <c r="C3" s="178" t="s">
        <v>1247</v>
      </c>
      <c r="D3" s="179">
        <v>3</v>
      </c>
      <c r="E3" s="180" t="s">
        <v>1248</v>
      </c>
      <c r="F3" s="12">
        <v>2</v>
      </c>
      <c r="G3" s="11" t="s">
        <v>1249</v>
      </c>
      <c r="H3" s="143"/>
      <c r="I3" s="144"/>
      <c r="J3" s="144"/>
      <c r="K3" s="144"/>
      <c r="L3" s="144"/>
      <c r="M3" s="145"/>
      <c r="N3" s="12"/>
      <c r="O3" s="162"/>
      <c r="P3" s="3"/>
      <c r="Q3" s="55"/>
      <c r="R3" s="55"/>
    </row>
    <row r="4" ht="24" spans="1:18">
      <c r="A4" s="146" t="s">
        <v>1200</v>
      </c>
      <c r="B4" s="146" t="s">
        <v>1201</v>
      </c>
      <c r="C4" s="146" t="s">
        <v>1250</v>
      </c>
      <c r="D4" s="146" t="s">
        <v>22</v>
      </c>
      <c r="E4" s="147" t="s">
        <v>1251</v>
      </c>
      <c r="F4" s="17" t="s">
        <v>1204</v>
      </c>
      <c r="G4" s="19" t="s">
        <v>1205</v>
      </c>
      <c r="H4" s="17" t="s">
        <v>1253</v>
      </c>
      <c r="I4" s="17" t="s">
        <v>1254</v>
      </c>
      <c r="J4" s="17" t="s">
        <v>1255</v>
      </c>
      <c r="K4" s="17" t="s">
        <v>1209</v>
      </c>
      <c r="L4" s="17" t="s">
        <v>1347</v>
      </c>
      <c r="M4" s="17" t="s">
        <v>1211</v>
      </c>
      <c r="N4" s="19" t="s">
        <v>1257</v>
      </c>
      <c r="O4" s="164" t="s">
        <v>1212</v>
      </c>
      <c r="P4" s="165" t="s">
        <v>1213</v>
      </c>
      <c r="Q4" s="165" t="s">
        <v>1214</v>
      </c>
      <c r="R4" s="75" t="s">
        <v>1213</v>
      </c>
    </row>
    <row r="5" ht="18" customHeight="1" spans="1:18">
      <c r="A5" s="20" t="s">
        <v>1215</v>
      </c>
      <c r="B5" s="91" t="s">
        <v>1224</v>
      </c>
      <c r="C5" s="23"/>
      <c r="D5" s="23" t="s">
        <v>28</v>
      </c>
      <c r="E5" s="24">
        <f>D3*2</f>
        <v>6</v>
      </c>
      <c r="F5" s="93">
        <f ca="1">I5+J5+K5+L5+M5</f>
        <v>737.342172</v>
      </c>
      <c r="G5" s="94">
        <v>4.55</v>
      </c>
      <c r="H5" s="94">
        <v>5.3</v>
      </c>
      <c r="I5" s="93">
        <f ca="1">G5*H5*'10米（人字150料）参数'!G3*1.1</f>
        <v>600.772172</v>
      </c>
      <c r="J5" s="93">
        <f>37.94*2</f>
        <v>75.88</v>
      </c>
      <c r="K5" s="93">
        <v>38.79</v>
      </c>
      <c r="L5" s="93">
        <f>2.55*4</f>
        <v>10.2</v>
      </c>
      <c r="M5" s="93">
        <f>18*0.65</f>
        <v>11.7</v>
      </c>
      <c r="N5" s="166" t="s">
        <v>1393</v>
      </c>
      <c r="O5" s="167">
        <v>4</v>
      </c>
      <c r="P5" s="67">
        <f ca="1" t="shared" ref="P5:P29" si="0">F5*O5</f>
        <v>2949.368688</v>
      </c>
      <c r="Q5" s="67">
        <f t="shared" ref="Q5:Q29" si="1">E5-O5</f>
        <v>2</v>
      </c>
      <c r="R5" s="67">
        <f ca="1" t="shared" ref="R5:R29" si="2">F5*Q5</f>
        <v>1474.684344</v>
      </c>
    </row>
    <row r="6" ht="18" customHeight="1" spans="1:18">
      <c r="A6" s="20"/>
      <c r="B6" s="91" t="s">
        <v>1308</v>
      </c>
      <c r="C6" s="23"/>
      <c r="D6" s="23" t="s">
        <v>28</v>
      </c>
      <c r="E6" s="24">
        <f>F3</f>
        <v>2</v>
      </c>
      <c r="F6" s="101">
        <f ca="1">I6+J6+K6+L6+M6</f>
        <v>893.14704</v>
      </c>
      <c r="G6" s="148">
        <v>6</v>
      </c>
      <c r="H6" s="148">
        <v>5.3</v>
      </c>
      <c r="I6" s="101">
        <f ca="1">G6*H6*'10米（人字150料）参数'!G3*1.1</f>
        <v>792.22704</v>
      </c>
      <c r="J6" s="101"/>
      <c r="K6" s="101">
        <f>49.51+41.21</f>
        <v>90.72</v>
      </c>
      <c r="L6" s="101">
        <f>2.55*4</f>
        <v>10.2</v>
      </c>
      <c r="M6" s="101"/>
      <c r="N6" s="166" t="s">
        <v>1389</v>
      </c>
      <c r="O6" s="167">
        <v>2</v>
      </c>
      <c r="P6" s="67">
        <f ca="1" t="shared" si="0"/>
        <v>1786.29408</v>
      </c>
      <c r="Q6" s="67">
        <f t="shared" si="1"/>
        <v>0</v>
      </c>
      <c r="R6" s="67">
        <f ca="1" t="shared" si="2"/>
        <v>0</v>
      </c>
    </row>
    <row r="7" ht="18" customHeight="1" spans="1:18">
      <c r="A7" s="20"/>
      <c r="B7" s="91" t="s">
        <v>1350</v>
      </c>
      <c r="C7" s="23"/>
      <c r="D7" s="23" t="s">
        <v>28</v>
      </c>
      <c r="E7" s="24">
        <f>D3*2</f>
        <v>6</v>
      </c>
      <c r="F7" s="61">
        <f ca="1">I7+J7+K7+L7+M7</f>
        <v>749.0469848</v>
      </c>
      <c r="G7" s="95">
        <v>5.47</v>
      </c>
      <c r="H7" s="95">
        <v>5.3</v>
      </c>
      <c r="I7" s="61">
        <f ca="1">G7*H7*'10米（人字150料）参数'!G3*1.1</f>
        <v>722.2469848</v>
      </c>
      <c r="J7" s="61">
        <f>2.5*4</f>
        <v>10</v>
      </c>
      <c r="K7" s="61">
        <v>10.8</v>
      </c>
      <c r="L7" s="61">
        <f>1*6</f>
        <v>6</v>
      </c>
      <c r="M7" s="61"/>
      <c r="N7" s="116" t="s">
        <v>1390</v>
      </c>
      <c r="O7" s="167">
        <v>4</v>
      </c>
      <c r="P7" s="67">
        <f ca="1" t="shared" si="0"/>
        <v>2996.1879392</v>
      </c>
      <c r="Q7" s="67">
        <f t="shared" si="1"/>
        <v>2</v>
      </c>
      <c r="R7" s="67">
        <f ca="1" t="shared" si="2"/>
        <v>1498.0939696</v>
      </c>
    </row>
    <row r="8" ht="18" customHeight="1" spans="1:18">
      <c r="A8" s="20"/>
      <c r="B8" s="91" t="s">
        <v>1226</v>
      </c>
      <c r="C8" s="23"/>
      <c r="D8" s="23" t="s">
        <v>28</v>
      </c>
      <c r="E8" s="24">
        <f>A3*2</f>
        <v>4</v>
      </c>
      <c r="F8" s="101">
        <f ca="1">I8+J8+K8+L8+M8</f>
        <v>195.0929650432</v>
      </c>
      <c r="G8" s="148">
        <v>4.882</v>
      </c>
      <c r="H8" s="148">
        <v>1.552</v>
      </c>
      <c r="I8" s="101">
        <f ca="1">G8*H8*'10米（人字150料）参数'!G5*1.1</f>
        <v>180.0929650432</v>
      </c>
      <c r="J8" s="101"/>
      <c r="K8" s="101"/>
      <c r="L8" s="101">
        <f>0.5*4</f>
        <v>2</v>
      </c>
      <c r="M8" s="101">
        <f>6.5*2</f>
        <v>13</v>
      </c>
      <c r="N8" s="120" t="s">
        <v>1352</v>
      </c>
      <c r="O8" s="167">
        <v>2</v>
      </c>
      <c r="P8" s="67">
        <f ca="1" t="shared" si="0"/>
        <v>390.1859300864</v>
      </c>
      <c r="Q8" s="67">
        <f t="shared" si="1"/>
        <v>2</v>
      </c>
      <c r="R8" s="67">
        <f ca="1" t="shared" si="2"/>
        <v>390.1859300864</v>
      </c>
    </row>
    <row r="9" ht="18" customHeight="1" spans="1:18">
      <c r="A9" s="20"/>
      <c r="B9" s="91" t="s">
        <v>1264</v>
      </c>
      <c r="C9" s="23"/>
      <c r="D9" s="23" t="s">
        <v>28</v>
      </c>
      <c r="E9" s="24">
        <f>A3*3</f>
        <v>6</v>
      </c>
      <c r="F9" s="101">
        <f ca="1">I9+J9+K9+L9+M9</f>
        <v>336.5448493136</v>
      </c>
      <c r="G9" s="148">
        <v>4.882</v>
      </c>
      <c r="H9" s="148">
        <v>2.771</v>
      </c>
      <c r="I9" s="101">
        <f ca="1">G9*H9*'10米（人字150料）参数'!G5*1.1</f>
        <v>321.5448493136</v>
      </c>
      <c r="J9" s="101"/>
      <c r="K9" s="101"/>
      <c r="L9" s="101">
        <f>0.5*4</f>
        <v>2</v>
      </c>
      <c r="M9" s="101">
        <f>6.5*2</f>
        <v>13</v>
      </c>
      <c r="N9" s="120" t="s">
        <v>1353</v>
      </c>
      <c r="O9" s="167">
        <v>3</v>
      </c>
      <c r="P9" s="67">
        <f ca="1" t="shared" si="0"/>
        <v>1009.6345479408</v>
      </c>
      <c r="Q9" s="67">
        <f t="shared" si="1"/>
        <v>3</v>
      </c>
      <c r="R9" s="67">
        <f ca="1" t="shared" si="2"/>
        <v>1009.6345479408</v>
      </c>
    </row>
    <row r="10" ht="18" customHeight="1" spans="1:18">
      <c r="A10" s="20"/>
      <c r="B10" s="91" t="s">
        <v>1266</v>
      </c>
      <c r="C10" s="23"/>
      <c r="D10" s="23" t="s">
        <v>28</v>
      </c>
      <c r="E10" s="24">
        <f>A3*2+F3*2</f>
        <v>8</v>
      </c>
      <c r="F10" s="101">
        <f ca="1">'数据修改（批量）'!A28</f>
        <v>95</v>
      </c>
      <c r="G10" s="148">
        <v>4.86</v>
      </c>
      <c r="H10" s="148">
        <v>1.345</v>
      </c>
      <c r="I10" s="101">
        <f ca="1">G10*H10*'10米（人字150料）参数'!G5*1.1</f>
        <v>155.36951496</v>
      </c>
      <c r="J10" s="101"/>
      <c r="K10" s="101"/>
      <c r="L10" s="101"/>
      <c r="M10" s="101"/>
      <c r="N10" s="120" t="s">
        <v>1354</v>
      </c>
      <c r="O10" s="167">
        <v>6</v>
      </c>
      <c r="P10" s="67">
        <f ca="1" t="shared" si="0"/>
        <v>570</v>
      </c>
      <c r="Q10" s="67">
        <f t="shared" si="1"/>
        <v>2</v>
      </c>
      <c r="R10" s="67">
        <f ca="1" t="shared" si="2"/>
        <v>190</v>
      </c>
    </row>
    <row r="11" ht="18" customHeight="1" spans="1:18">
      <c r="A11" s="20"/>
      <c r="B11" s="91" t="s">
        <v>1272</v>
      </c>
      <c r="C11" s="23"/>
      <c r="D11" s="23" t="s">
        <v>28</v>
      </c>
      <c r="E11" s="30">
        <v>5</v>
      </c>
      <c r="F11" s="101">
        <f>(I11+J11+K11+L11+M11)*1.2</f>
        <v>149.4</v>
      </c>
      <c r="G11" s="148"/>
      <c r="H11" s="148"/>
      <c r="I11" s="101">
        <v>110</v>
      </c>
      <c r="J11" s="101">
        <v>6.5</v>
      </c>
      <c r="K11" s="101">
        <v>4</v>
      </c>
      <c r="L11" s="101">
        <v>3</v>
      </c>
      <c r="M11" s="101">
        <v>1</v>
      </c>
      <c r="N11" s="120" t="s">
        <v>1355</v>
      </c>
      <c r="O11" s="167">
        <v>4</v>
      </c>
      <c r="P11" s="67">
        <f ca="1" t="shared" si="0"/>
        <v>597.6</v>
      </c>
      <c r="Q11" s="67">
        <f t="shared" si="1"/>
        <v>1</v>
      </c>
      <c r="R11" s="67">
        <f ca="1" t="shared" si="2"/>
        <v>149.4</v>
      </c>
    </row>
    <row r="12" ht="18" customHeight="1" spans="1:18">
      <c r="A12" s="20"/>
      <c r="B12" s="91" t="s">
        <v>1356</v>
      </c>
      <c r="C12" s="23"/>
      <c r="D12" s="23" t="s">
        <v>28</v>
      </c>
      <c r="E12" s="24">
        <f>F3</f>
        <v>2</v>
      </c>
      <c r="F12" s="101">
        <f ca="1">(I12+J12+K12+L12+M12)</f>
        <v>60.422</v>
      </c>
      <c r="G12" s="148">
        <v>2.5</v>
      </c>
      <c r="H12" s="148">
        <v>1</v>
      </c>
      <c r="I12" s="101">
        <f ca="1">G12*H12*'10米（人字150料）参数'!G5*1.1</f>
        <v>59.422</v>
      </c>
      <c r="J12" s="101"/>
      <c r="K12" s="101"/>
      <c r="L12" s="101">
        <f>0.5*2</f>
        <v>1</v>
      </c>
      <c r="M12" s="101"/>
      <c r="N12" s="170" t="s">
        <v>1357</v>
      </c>
      <c r="O12" s="167">
        <v>2</v>
      </c>
      <c r="P12" s="67">
        <f ca="1" t="shared" si="0"/>
        <v>120.844</v>
      </c>
      <c r="Q12" s="67">
        <f t="shared" si="1"/>
        <v>0</v>
      </c>
      <c r="R12" s="67">
        <f ca="1" t="shared" si="2"/>
        <v>0</v>
      </c>
    </row>
    <row r="13" ht="18" customHeight="1" spans="1:18">
      <c r="A13" s="20"/>
      <c r="B13" s="91" t="s">
        <v>1276</v>
      </c>
      <c r="C13" s="23"/>
      <c r="D13" s="23" t="s">
        <v>28</v>
      </c>
      <c r="E13" s="28">
        <f>F3*2</f>
        <v>4</v>
      </c>
      <c r="F13" s="101">
        <f ca="1">(I13+J13+K13+L13+M13)</f>
        <v>348.2448493136</v>
      </c>
      <c r="G13" s="95">
        <v>4.882</v>
      </c>
      <c r="H13" s="95">
        <v>2.771</v>
      </c>
      <c r="I13" s="61">
        <f ca="1">G13*H13*'10米（人字150料）参数'!G5*1.1</f>
        <v>321.5448493136</v>
      </c>
      <c r="J13" s="61"/>
      <c r="K13" s="61">
        <v>15</v>
      </c>
      <c r="L13" s="61">
        <f>8*0.65</f>
        <v>5.2</v>
      </c>
      <c r="M13" s="61">
        <v>6.5</v>
      </c>
      <c r="N13" s="120" t="s">
        <v>1358</v>
      </c>
      <c r="O13" s="167">
        <v>4</v>
      </c>
      <c r="P13" s="67">
        <f ca="1" t="shared" si="0"/>
        <v>1392.9793972544</v>
      </c>
      <c r="Q13" s="67">
        <f t="shared" si="1"/>
        <v>0</v>
      </c>
      <c r="R13" s="67">
        <f ca="1" t="shared" si="2"/>
        <v>0</v>
      </c>
    </row>
    <row r="14" ht="18" customHeight="1" spans="1:18">
      <c r="A14" s="31"/>
      <c r="B14" s="152" t="s">
        <v>1274</v>
      </c>
      <c r="C14" s="43"/>
      <c r="D14" s="43" t="s">
        <v>28</v>
      </c>
      <c r="E14" s="150">
        <f>A3*2+F3*2</f>
        <v>8</v>
      </c>
      <c r="F14" s="101">
        <f>(I14+J14+K14+L14+M14)</f>
        <v>20.4</v>
      </c>
      <c r="G14" s="151"/>
      <c r="H14" s="151"/>
      <c r="I14" s="39">
        <f>17*1.2</f>
        <v>20.4</v>
      </c>
      <c r="J14" s="39"/>
      <c r="K14" s="39"/>
      <c r="L14" s="39"/>
      <c r="M14" s="39"/>
      <c r="N14" s="171" t="s">
        <v>1359</v>
      </c>
      <c r="O14" s="167">
        <v>6</v>
      </c>
      <c r="P14" s="67">
        <f ca="1" t="shared" si="0"/>
        <v>122.4</v>
      </c>
      <c r="Q14" s="67">
        <f t="shared" si="1"/>
        <v>2</v>
      </c>
      <c r="R14" s="67">
        <f ca="1" t="shared" si="2"/>
        <v>40.8</v>
      </c>
    </row>
    <row r="15" ht="18" customHeight="1" spans="1:18">
      <c r="A15" s="20" t="s">
        <v>1278</v>
      </c>
      <c r="B15" s="91" t="s">
        <v>1304</v>
      </c>
      <c r="C15" s="23"/>
      <c r="D15" s="23" t="s">
        <v>434</v>
      </c>
      <c r="E15" s="24">
        <f>D3</f>
        <v>3</v>
      </c>
      <c r="F15" s="101">
        <v>180.62</v>
      </c>
      <c r="G15" s="151"/>
      <c r="H15" s="151"/>
      <c r="I15" s="39"/>
      <c r="J15" s="39"/>
      <c r="K15" s="39"/>
      <c r="L15" s="39"/>
      <c r="M15" s="39"/>
      <c r="N15" s="171" t="s">
        <v>1391</v>
      </c>
      <c r="O15" s="172">
        <v>2</v>
      </c>
      <c r="P15" s="67">
        <f ca="1" t="shared" si="0"/>
        <v>361.24</v>
      </c>
      <c r="Q15" s="67">
        <f t="shared" si="1"/>
        <v>1</v>
      </c>
      <c r="R15" s="67">
        <f ca="1" t="shared" si="2"/>
        <v>180.62</v>
      </c>
    </row>
    <row r="16" ht="18" customHeight="1" spans="1:18">
      <c r="A16" s="20"/>
      <c r="B16" s="91" t="s">
        <v>1310</v>
      </c>
      <c r="C16" s="23"/>
      <c r="D16" s="23" t="s">
        <v>434</v>
      </c>
      <c r="E16" s="24">
        <f>E6</f>
        <v>2</v>
      </c>
      <c r="F16" s="101">
        <v>76.4</v>
      </c>
      <c r="G16" s="148"/>
      <c r="H16" s="148"/>
      <c r="I16" s="101"/>
      <c r="J16" s="101"/>
      <c r="K16" s="101"/>
      <c r="L16" s="101"/>
      <c r="M16" s="101"/>
      <c r="N16" s="120" t="s">
        <v>1361</v>
      </c>
      <c r="O16" s="167">
        <v>2</v>
      </c>
      <c r="P16" s="67">
        <f ca="1" t="shared" si="0"/>
        <v>152.8</v>
      </c>
      <c r="Q16" s="67">
        <f t="shared" si="1"/>
        <v>0</v>
      </c>
      <c r="R16" s="67">
        <f ca="1" t="shared" si="2"/>
        <v>0</v>
      </c>
    </row>
    <row r="17" ht="18" customHeight="1" spans="1:18">
      <c r="A17" s="20"/>
      <c r="B17" s="91" t="s">
        <v>1280</v>
      </c>
      <c r="C17" s="23"/>
      <c r="D17" s="23" t="s">
        <v>434</v>
      </c>
      <c r="E17" s="28">
        <f>E5</f>
        <v>6</v>
      </c>
      <c r="F17" s="61">
        <v>71.28</v>
      </c>
      <c r="G17" s="95"/>
      <c r="H17" s="95"/>
      <c r="I17" s="61"/>
      <c r="J17" s="61"/>
      <c r="K17" s="61"/>
      <c r="L17" s="61"/>
      <c r="M17" s="61"/>
      <c r="N17" s="173" t="s">
        <v>1361</v>
      </c>
      <c r="O17" s="167">
        <v>4</v>
      </c>
      <c r="P17" s="67">
        <f ca="1" t="shared" si="0"/>
        <v>285.12</v>
      </c>
      <c r="Q17" s="67">
        <f t="shared" si="1"/>
        <v>2</v>
      </c>
      <c r="R17" s="67">
        <f ca="1" t="shared" si="2"/>
        <v>142.56</v>
      </c>
    </row>
    <row r="18" ht="18" customHeight="1" spans="1:18">
      <c r="A18" s="20"/>
      <c r="B18" s="91" t="s">
        <v>1339</v>
      </c>
      <c r="C18" s="23"/>
      <c r="D18" s="23" t="s">
        <v>28</v>
      </c>
      <c r="E18" s="32">
        <f>E11</f>
        <v>5</v>
      </c>
      <c r="F18" s="101">
        <v>80.5</v>
      </c>
      <c r="G18" s="148"/>
      <c r="H18" s="148"/>
      <c r="I18" s="101"/>
      <c r="J18" s="101"/>
      <c r="K18" s="101"/>
      <c r="L18" s="101"/>
      <c r="M18" s="101"/>
      <c r="N18" s="120" t="s">
        <v>1362</v>
      </c>
      <c r="O18" s="167">
        <v>4</v>
      </c>
      <c r="P18" s="67">
        <f ca="1" t="shared" si="0"/>
        <v>322</v>
      </c>
      <c r="Q18" s="67">
        <f t="shared" si="1"/>
        <v>1</v>
      </c>
      <c r="R18" s="67">
        <f ca="1" t="shared" si="2"/>
        <v>80.5</v>
      </c>
    </row>
    <row r="19" ht="18" customHeight="1" spans="1:18">
      <c r="A19" s="20"/>
      <c r="B19" s="91" t="s">
        <v>1282</v>
      </c>
      <c r="C19" s="23"/>
      <c r="D19" s="23" t="s">
        <v>434</v>
      </c>
      <c r="E19" s="24">
        <f>D3*2+F3*2</f>
        <v>10</v>
      </c>
      <c r="F19" s="101">
        <v>4.45</v>
      </c>
      <c r="G19" s="148"/>
      <c r="H19" s="148"/>
      <c r="I19" s="101"/>
      <c r="J19" s="101"/>
      <c r="K19" s="101"/>
      <c r="L19" s="101"/>
      <c r="M19" s="101"/>
      <c r="N19" s="120" t="s">
        <v>1363</v>
      </c>
      <c r="O19" s="167">
        <v>8</v>
      </c>
      <c r="P19" s="67">
        <f ca="1" t="shared" si="0"/>
        <v>35.6</v>
      </c>
      <c r="Q19" s="67">
        <f t="shared" si="1"/>
        <v>2</v>
      </c>
      <c r="R19" s="67">
        <f ca="1" t="shared" si="2"/>
        <v>8.9</v>
      </c>
    </row>
    <row r="20" ht="18" customHeight="1" spans="1:18">
      <c r="A20" s="20"/>
      <c r="B20" s="91" t="s">
        <v>1284</v>
      </c>
      <c r="C20" s="23"/>
      <c r="D20" s="23" t="s">
        <v>434</v>
      </c>
      <c r="E20" s="24">
        <f>D3*2</f>
        <v>6</v>
      </c>
      <c r="F20" s="101">
        <v>6.51</v>
      </c>
      <c r="G20" s="148"/>
      <c r="H20" s="148"/>
      <c r="I20" s="101"/>
      <c r="J20" s="101"/>
      <c r="K20" s="101"/>
      <c r="L20" s="101"/>
      <c r="M20" s="101"/>
      <c r="N20" s="120" t="s">
        <v>1364</v>
      </c>
      <c r="O20" s="167">
        <v>4</v>
      </c>
      <c r="P20" s="67">
        <f ca="1" t="shared" si="0"/>
        <v>26.04</v>
      </c>
      <c r="Q20" s="67">
        <f t="shared" si="1"/>
        <v>2</v>
      </c>
      <c r="R20" s="67">
        <f ca="1" t="shared" si="2"/>
        <v>13.02</v>
      </c>
    </row>
    <row r="21" ht="18" customHeight="1" spans="1:18">
      <c r="A21" s="20"/>
      <c r="B21" s="91" t="s">
        <v>519</v>
      </c>
      <c r="C21" s="23"/>
      <c r="D21" s="23" t="s">
        <v>434</v>
      </c>
      <c r="E21" s="24">
        <f>F3*2</f>
        <v>4</v>
      </c>
      <c r="F21" s="101">
        <v>5.95</v>
      </c>
      <c r="G21" s="151"/>
      <c r="H21" s="151"/>
      <c r="I21" s="39"/>
      <c r="J21" s="39"/>
      <c r="K21" s="39"/>
      <c r="L21" s="39"/>
      <c r="M21" s="39"/>
      <c r="N21" s="120" t="s">
        <v>1365</v>
      </c>
      <c r="O21" s="167">
        <v>4</v>
      </c>
      <c r="P21" s="67">
        <f ca="1" t="shared" si="0"/>
        <v>23.8</v>
      </c>
      <c r="Q21" s="67">
        <f t="shared" si="1"/>
        <v>0</v>
      </c>
      <c r="R21" s="67">
        <f ca="1" t="shared" si="2"/>
        <v>0</v>
      </c>
    </row>
    <row r="22" ht="18" customHeight="1" spans="1:18">
      <c r="A22" s="31"/>
      <c r="B22" s="152" t="s">
        <v>551</v>
      </c>
      <c r="C22" s="43"/>
      <c r="D22" s="43" t="s">
        <v>434</v>
      </c>
      <c r="E22" s="150">
        <v>2</v>
      </c>
      <c r="F22" s="41">
        <v>15.5</v>
      </c>
      <c r="G22" s="99"/>
      <c r="H22" s="99"/>
      <c r="I22" s="41"/>
      <c r="J22" s="41"/>
      <c r="K22" s="41"/>
      <c r="L22" s="41"/>
      <c r="M22" s="41"/>
      <c r="N22" s="173" t="s">
        <v>1361</v>
      </c>
      <c r="O22" s="174">
        <v>2</v>
      </c>
      <c r="P22" s="67">
        <f ca="1" t="shared" si="0"/>
        <v>31</v>
      </c>
      <c r="Q22" s="67">
        <f t="shared" si="1"/>
        <v>0</v>
      </c>
      <c r="R22" s="67">
        <f ca="1" t="shared" si="2"/>
        <v>0</v>
      </c>
    </row>
    <row r="23" ht="18" customHeight="1" spans="1:18">
      <c r="A23" s="153" t="s">
        <v>1216</v>
      </c>
      <c r="B23" s="91" t="s">
        <v>1366</v>
      </c>
      <c r="C23" s="23"/>
      <c r="D23" s="23" t="s">
        <v>612</v>
      </c>
      <c r="E23" s="24">
        <f>A3</f>
        <v>2</v>
      </c>
      <c r="F23" s="122">
        <f ca="1">(I23+J23)*1.1+30</f>
        <v>1471.0055</v>
      </c>
      <c r="G23" s="99">
        <v>12.7</v>
      </c>
      <c r="H23" s="99">
        <v>5</v>
      </c>
      <c r="I23" s="41">
        <f ca="1">G23*H23*'10米（人字150料）参数'!E15*1.1</f>
        <v>1208.405</v>
      </c>
      <c r="J23" s="41">
        <f>12.7*2*4</f>
        <v>101.6</v>
      </c>
      <c r="K23" s="41">
        <v>30</v>
      </c>
      <c r="L23" s="41"/>
      <c r="M23" s="41"/>
      <c r="N23" s="167" t="s">
        <v>1367</v>
      </c>
      <c r="O23" s="175">
        <v>1</v>
      </c>
      <c r="P23" s="67">
        <f ca="1" t="shared" si="0"/>
        <v>1471.0055</v>
      </c>
      <c r="Q23" s="67">
        <f t="shared" si="1"/>
        <v>1</v>
      </c>
      <c r="R23" s="67">
        <f ca="1" t="shared" si="2"/>
        <v>1471.0055</v>
      </c>
    </row>
    <row r="24" ht="18" customHeight="1" spans="1:18">
      <c r="A24" s="153"/>
      <c r="B24" s="91" t="s">
        <v>1368</v>
      </c>
      <c r="C24" s="23"/>
      <c r="D24" s="23" t="s">
        <v>664</v>
      </c>
      <c r="E24" s="24">
        <f>F3</f>
        <v>2</v>
      </c>
      <c r="F24" s="122">
        <f ca="1">(I24+J24)*1.1+15</f>
        <v>508.740764</v>
      </c>
      <c r="G24" s="148">
        <v>6.33</v>
      </c>
      <c r="H24" s="154">
        <v>3.6</v>
      </c>
      <c r="I24" s="101">
        <f ca="1">G24*H24*'10米（人字150料）参数'!E14*1.1</f>
        <v>358.45524</v>
      </c>
      <c r="J24" s="101">
        <f>11.3*2*4</f>
        <v>90.4</v>
      </c>
      <c r="K24" s="101">
        <v>15</v>
      </c>
      <c r="L24" s="101"/>
      <c r="M24" s="101"/>
      <c r="N24" s="51" t="s">
        <v>1369</v>
      </c>
      <c r="O24" s="167">
        <v>2</v>
      </c>
      <c r="P24" s="67">
        <f ca="1" t="shared" si="0"/>
        <v>1017.481528</v>
      </c>
      <c r="Q24" s="67">
        <f t="shared" si="1"/>
        <v>0</v>
      </c>
      <c r="R24" s="67">
        <f ca="1" t="shared" si="2"/>
        <v>0</v>
      </c>
    </row>
    <row r="25" ht="18" customHeight="1" spans="1:18">
      <c r="A25" s="155"/>
      <c r="B25" s="91" t="s">
        <v>1370</v>
      </c>
      <c r="C25" s="23"/>
      <c r="D25" s="23" t="s">
        <v>664</v>
      </c>
      <c r="E25" s="24">
        <f>A3*2+F3*2</f>
        <v>8</v>
      </c>
      <c r="F25" s="101">
        <f ca="1">I25+J25+K25+L25+M25</f>
        <v>458.28612</v>
      </c>
      <c r="G25" s="156">
        <v>5.2</v>
      </c>
      <c r="H25" s="157">
        <v>4.97</v>
      </c>
      <c r="I25" s="101">
        <f ca="1">G25*H25*'10米（人字150料）参数'!E14*1.1+15</f>
        <v>421.52612</v>
      </c>
      <c r="J25" s="71">
        <f>4*2</f>
        <v>8</v>
      </c>
      <c r="K25" s="71">
        <f>0.5*10</f>
        <v>5</v>
      </c>
      <c r="L25" s="71">
        <f>0.32*18</f>
        <v>5.76</v>
      </c>
      <c r="M25" s="71">
        <f>18*1</f>
        <v>18</v>
      </c>
      <c r="N25" s="120" t="s">
        <v>1394</v>
      </c>
      <c r="O25" s="167">
        <v>6</v>
      </c>
      <c r="P25" s="67">
        <f ca="1" t="shared" si="0"/>
        <v>2749.71672</v>
      </c>
      <c r="Q25" s="67">
        <f t="shared" si="1"/>
        <v>2</v>
      </c>
      <c r="R25" s="67">
        <f ca="1" t="shared" si="2"/>
        <v>916.57224</v>
      </c>
    </row>
    <row r="26" ht="18" customHeight="1" spans="1:18">
      <c r="A26" s="20" t="s">
        <v>1235</v>
      </c>
      <c r="B26" s="138" t="s">
        <v>583</v>
      </c>
      <c r="C26" s="23"/>
      <c r="D26" s="23" t="s">
        <v>434</v>
      </c>
      <c r="E26" s="24">
        <f>D3*10+F3*2+E18*2</f>
        <v>44</v>
      </c>
      <c r="F26" s="101">
        <v>2.15</v>
      </c>
      <c r="G26" s="154"/>
      <c r="H26" s="154"/>
      <c r="I26" s="101"/>
      <c r="J26" s="101"/>
      <c r="K26" s="101"/>
      <c r="L26" s="101"/>
      <c r="M26" s="101"/>
      <c r="N26" s="120" t="s">
        <v>1372</v>
      </c>
      <c r="O26" s="167">
        <v>34</v>
      </c>
      <c r="P26" s="67">
        <f ca="1" t="shared" si="0"/>
        <v>73.1</v>
      </c>
      <c r="Q26" s="67">
        <f t="shared" si="1"/>
        <v>10</v>
      </c>
      <c r="R26" s="67">
        <f ca="1" t="shared" si="2"/>
        <v>21.5</v>
      </c>
    </row>
    <row r="27" ht="18" customHeight="1" spans="1:18">
      <c r="A27" s="20"/>
      <c r="B27" s="109" t="s">
        <v>585</v>
      </c>
      <c r="C27" s="23"/>
      <c r="D27" s="23" t="s">
        <v>434</v>
      </c>
      <c r="E27" s="24">
        <f>D3*2+E18+E11</f>
        <v>16</v>
      </c>
      <c r="F27" s="101">
        <v>2.55</v>
      </c>
      <c r="G27" s="154"/>
      <c r="H27" s="154"/>
      <c r="I27" s="101"/>
      <c r="J27" s="101"/>
      <c r="K27" s="101"/>
      <c r="L27" s="101"/>
      <c r="M27" s="101"/>
      <c r="N27" s="120" t="s">
        <v>1373</v>
      </c>
      <c r="O27" s="172">
        <v>14</v>
      </c>
      <c r="P27" s="67">
        <f ca="1" t="shared" si="0"/>
        <v>35.7</v>
      </c>
      <c r="Q27" s="67">
        <f t="shared" si="1"/>
        <v>2</v>
      </c>
      <c r="R27" s="67">
        <f ca="1" t="shared" si="2"/>
        <v>5.1</v>
      </c>
    </row>
    <row r="28" ht="18" customHeight="1" spans="1:18">
      <c r="A28" s="20"/>
      <c r="B28" s="159" t="s">
        <v>1374</v>
      </c>
      <c r="C28" s="43"/>
      <c r="D28" s="43" t="s">
        <v>434</v>
      </c>
      <c r="E28" s="44">
        <f>D3*2+4</f>
        <v>10</v>
      </c>
      <c r="F28" s="39">
        <v>1.95</v>
      </c>
      <c r="G28" s="160"/>
      <c r="H28" s="160"/>
      <c r="I28" s="39"/>
      <c r="J28" s="39"/>
      <c r="K28" s="39"/>
      <c r="L28" s="39"/>
      <c r="M28" s="39"/>
      <c r="N28" s="120" t="s">
        <v>1375</v>
      </c>
      <c r="O28" s="167">
        <v>8</v>
      </c>
      <c r="P28" s="67">
        <f ca="1" t="shared" si="0"/>
        <v>15.6</v>
      </c>
      <c r="Q28" s="67">
        <f t="shared" si="1"/>
        <v>2</v>
      </c>
      <c r="R28" s="67">
        <f ca="1" t="shared" si="2"/>
        <v>3.9</v>
      </c>
    </row>
    <row r="29" ht="18" customHeight="1" spans="1:18">
      <c r="A29" s="20"/>
      <c r="B29" s="109" t="s">
        <v>554</v>
      </c>
      <c r="C29" s="23"/>
      <c r="D29" s="23" t="s">
        <v>555</v>
      </c>
      <c r="E29" s="28">
        <f>E16+E17+E11</f>
        <v>13</v>
      </c>
      <c r="F29" s="101">
        <v>1.46</v>
      </c>
      <c r="G29" s="154"/>
      <c r="H29" s="154"/>
      <c r="I29" s="101"/>
      <c r="J29" s="101"/>
      <c r="K29" s="101"/>
      <c r="L29" s="101"/>
      <c r="M29" s="101"/>
      <c r="N29" s="120" t="s">
        <v>1376</v>
      </c>
      <c r="O29" s="167">
        <v>11</v>
      </c>
      <c r="P29" s="67">
        <f ca="1" t="shared" si="0"/>
        <v>16.06</v>
      </c>
      <c r="Q29" s="67">
        <f t="shared" si="1"/>
        <v>2</v>
      </c>
      <c r="R29" s="67">
        <f ca="1" t="shared" si="2"/>
        <v>2.92</v>
      </c>
    </row>
    <row r="30" spans="1:18">
      <c r="A30" s="50"/>
      <c r="B30" s="50"/>
      <c r="C30" s="51"/>
      <c r="D30" s="51"/>
      <c r="E30" s="51"/>
      <c r="F30" s="50"/>
      <c r="G30" s="50"/>
      <c r="H30" s="50"/>
      <c r="I30" s="50"/>
      <c r="J30" s="50"/>
      <c r="K30" s="50"/>
      <c r="L30" s="50"/>
      <c r="M30" s="50"/>
      <c r="N30" s="50"/>
      <c r="O30" s="84" t="s">
        <v>1218</v>
      </c>
      <c r="P30" s="3">
        <f ca="1">SUM(P5:P29)</f>
        <v>18551.7583304816</v>
      </c>
      <c r="Q30" s="3" t="s">
        <v>1219</v>
      </c>
      <c r="R30" s="3">
        <f ca="1">SUM(R5:R29)</f>
        <v>7599.3965316272</v>
      </c>
    </row>
    <row r="31" spans="1:18">
      <c r="A31" s="50"/>
      <c r="B31" s="50" t="s">
        <v>1221</v>
      </c>
      <c r="C31" s="51"/>
      <c r="D31" s="51"/>
      <c r="E31" s="51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3"/>
      <c r="Q31" s="3"/>
      <c r="R31" s="3"/>
    </row>
    <row r="32" spans="1:18">
      <c r="A32" s="50"/>
      <c r="B32" s="50"/>
      <c r="C32" s="51"/>
      <c r="D32" s="51"/>
      <c r="E32" s="51"/>
      <c r="F32" s="50"/>
      <c r="G32" s="50"/>
      <c r="H32" s="50"/>
      <c r="I32" s="50"/>
      <c r="J32" s="50"/>
      <c r="K32" s="50"/>
      <c r="L32" s="50"/>
      <c r="M32" s="50"/>
      <c r="N32" s="50"/>
      <c r="O32" s="50" t="s">
        <v>1377</v>
      </c>
      <c r="P32" s="3">
        <f ca="1">P30+R30</f>
        <v>26151.1548621088</v>
      </c>
      <c r="Q32" s="3"/>
      <c r="R32" s="3"/>
    </row>
    <row r="33" ht="31.5" spans="1:18">
      <c r="A33" s="50"/>
      <c r="B33" s="228" t="s">
        <v>1378</v>
      </c>
      <c r="C33" s="228"/>
      <c r="D33" s="229"/>
      <c r="E33" s="229"/>
      <c r="F33" s="229"/>
      <c r="G33" s="52"/>
      <c r="H33" s="52"/>
      <c r="I33" s="52"/>
      <c r="J33" s="52"/>
      <c r="K33" s="52"/>
      <c r="L33" s="52"/>
      <c r="M33" s="52"/>
      <c r="N33" s="50"/>
      <c r="O33" s="50" t="s">
        <v>14</v>
      </c>
      <c r="P33" s="3">
        <f ca="1">P32/E2</f>
        <v>261.511548621088</v>
      </c>
      <c r="Q33" s="3"/>
      <c r="R33" s="3"/>
    </row>
  </sheetData>
  <mergeCells count="10">
    <mergeCell ref="A1:N1"/>
    <mergeCell ref="A2:C2"/>
    <mergeCell ref="F2:N2"/>
    <mergeCell ref="A3:B3"/>
    <mergeCell ref="H3:M3"/>
    <mergeCell ref="B33:C33"/>
    <mergeCell ref="A5:A14"/>
    <mergeCell ref="A15:A22"/>
    <mergeCell ref="A23:A25"/>
    <mergeCell ref="A26:A29"/>
  </mergeCells>
  <dataValidations count="3">
    <dataValidation type="list" allowBlank="1" showInputMessage="1" showErrorMessage="1" sqref="B23">
      <formula1>"顶布[白]{全新},顶布[白]{A类},顶布[白]{B类},顶布[白]{C类},顶布[白]{D类}"</formula1>
    </dataValidation>
    <dataValidation type="list" allowBlank="1" showInputMessage="1" showErrorMessage="1" sqref="B24">
      <formula1>"山尖布[白]{全新},山尖布[白]{A类},山尖布[白]{B类},山尖布[白]{C类},山尖布[白]{D类}"</formula1>
    </dataValidation>
    <dataValidation type="list" allowBlank="1" showInputMessage="1" showErrorMessage="1" sqref="B25">
      <formula1>"围布[白]{全新},围布[白]{A类},围布[白]{B类},围布[白]{C类},围布[白]{D类},透光窗围布[白]{全新},透光窗围布[白]{A类},透光窗围布[白]{B类},透光窗围布[白]{C类},透光窗围布[白]{D类}"</formula1>
    </dataValidation>
  </dataValidations>
  <pageMargins left="0.75" right="0.75" top="1" bottom="1" header="0.509027777777778" footer="0.509027777777778"/>
  <headerFooter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7030A0"/>
  </sheetPr>
  <dimension ref="A1:L27"/>
  <sheetViews>
    <sheetView showGridLines="0" workbookViewId="0">
      <selection activeCell="E31" sqref="E31"/>
    </sheetView>
  </sheetViews>
  <sheetFormatPr defaultColWidth="9" defaultRowHeight="14.25"/>
  <cols>
    <col min="1" max="1" width="21.125" style="1" customWidth="1"/>
    <col min="2" max="2" width="19.125" style="1" customWidth="1"/>
    <col min="3" max="3" width="15.5" style="1" customWidth="1"/>
    <col min="4" max="4" width="11.375" style="1" customWidth="1"/>
    <col min="5" max="5" width="10.5" style="1" customWidth="1"/>
    <col min="6" max="6" width="9" style="1"/>
    <col min="7" max="7" width="12.625" style="1" customWidth="1"/>
    <col min="8" max="16384" width="9" style="1"/>
  </cols>
  <sheetData>
    <row r="1" spans="1:4">
      <c r="A1" s="2" t="str">
        <f ca="1">'数据修改（批量）'!A1</f>
        <v>上海有色铝锭价格</v>
      </c>
      <c r="B1" s="2"/>
      <c r="C1" s="2"/>
      <c r="D1" s="3"/>
    </row>
    <row r="2" spans="1:7">
      <c r="A2" s="4">
        <f ca="1">'数据修改（批量）'!A2</f>
        <v>16200</v>
      </c>
      <c r="B2" s="2" t="str">
        <f ca="1">'数据修改（批量）'!B2</f>
        <v>项目</v>
      </c>
      <c r="C2" s="2" t="str">
        <f ca="1">'数据修改（批量）'!C2</f>
        <v>加工费</v>
      </c>
      <c r="D2" s="2" t="str">
        <f ca="1">'数据修改（批量）'!D2</f>
        <v>包装物</v>
      </c>
      <c r="E2" s="2" t="str">
        <f ca="1">'数据修改（批量）'!E2</f>
        <v>运费</v>
      </c>
      <c r="F2" s="2" t="str">
        <f ca="1">'数据修改（批量）'!F2</f>
        <v>单价</v>
      </c>
      <c r="G2" s="2" t="str">
        <f ca="1">'数据修改（批量）'!G2</f>
        <v>每公斤价格</v>
      </c>
    </row>
    <row r="3" spans="1:7">
      <c r="A3" s="2"/>
      <c r="B3" s="2" t="str">
        <f ca="1">'数据修改（批量）'!B3</f>
        <v>203料</v>
      </c>
      <c r="C3" s="2">
        <f ca="1">'数据修改（批量）'!C3</f>
        <v>5500</v>
      </c>
      <c r="D3" s="2">
        <f ca="1">'数据修改（批量）'!D3</f>
        <v>868</v>
      </c>
      <c r="E3" s="2">
        <f ca="1">'数据修改（批量）'!E3</f>
        <v>80</v>
      </c>
      <c r="F3" s="2">
        <f ca="1">'数据修改（批量）'!F3</f>
        <v>22648</v>
      </c>
      <c r="G3" s="2">
        <f ca="1">'数据修改（批量）'!G3</f>
        <v>22.648</v>
      </c>
    </row>
    <row r="4" spans="1:7">
      <c r="A4" s="2"/>
      <c r="B4" s="2" t="str">
        <f ca="1">'数据修改（批量）'!B4</f>
        <v>203料氧化</v>
      </c>
      <c r="C4" s="2">
        <f ca="1">'数据修改（批量）'!C4</f>
        <v>6000</v>
      </c>
      <c r="D4" s="2">
        <f ca="1">'数据修改（批量）'!D4</f>
        <v>888</v>
      </c>
      <c r="E4" s="2">
        <f ca="1">'数据修改（批量）'!E4</f>
        <v>80</v>
      </c>
      <c r="F4" s="2">
        <f ca="1">'数据修改（批量）'!F4</f>
        <v>23168</v>
      </c>
      <c r="G4" s="2">
        <f ca="1">'数据修改（批量）'!G4</f>
        <v>23.168</v>
      </c>
    </row>
    <row r="5" spans="2:7">
      <c r="B5" s="2" t="str">
        <f ca="1">'数据修改（批量）'!B5</f>
        <v>小料加工费</v>
      </c>
      <c r="C5" s="2">
        <f ca="1">'数据修改（批量）'!C5</f>
        <v>4500</v>
      </c>
      <c r="D5" s="2">
        <f ca="1">'数据修改（批量）'!D5</f>
        <v>828</v>
      </c>
      <c r="E5" s="2">
        <f ca="1">'数据修改（批量）'!E5</f>
        <v>80</v>
      </c>
      <c r="F5" s="2">
        <f ca="1">'数据修改（批量）'!F5</f>
        <v>21608</v>
      </c>
      <c r="G5" s="2">
        <f ca="1">'数据修改（批量）'!G5</f>
        <v>21.608</v>
      </c>
    </row>
    <row r="6" spans="1:4">
      <c r="A6" s="2" t="str">
        <f ca="1">'数据修改（批量）'!A6</f>
        <v>南海有色铝锭价格</v>
      </c>
      <c r="D6" s="5"/>
    </row>
    <row r="7" spans="1:1">
      <c r="A7" s="4">
        <f ca="1">'数据修改（批量）'!A7</f>
        <v>16600</v>
      </c>
    </row>
    <row r="8" spans="2:7">
      <c r="B8" s="2" t="str">
        <f ca="1">'数据修改（批量）'!B8</f>
        <v>项目</v>
      </c>
      <c r="C8" s="2" t="str">
        <f ca="1">'数据修改（批量）'!C8</f>
        <v>加工费</v>
      </c>
      <c r="D8" s="2" t="str">
        <f ca="1">'数据修改（批量）'!D8</f>
        <v>包装物</v>
      </c>
      <c r="E8" s="2" t="str">
        <f ca="1">'数据修改（批量）'!E8</f>
        <v>运费</v>
      </c>
      <c r="F8" s="2" t="str">
        <f ca="1">'数据修改（批量）'!F8</f>
        <v>单价</v>
      </c>
      <c r="G8" s="2" t="str">
        <f ca="1">'数据修改（批量）'!G8</f>
        <v>每公斤价格</v>
      </c>
    </row>
    <row r="9" spans="2:7">
      <c r="B9" s="2" t="str">
        <f ca="1">'数据修改（批量）'!B9</f>
        <v>300/350料8米以上</v>
      </c>
      <c r="C9" s="2">
        <f ca="1">'数据修改（批量）'!C9</f>
        <v>7800</v>
      </c>
      <c r="D9" s="2">
        <f ca="1">'数据修改（批量）'!D9</f>
        <v>976</v>
      </c>
      <c r="E9" s="2">
        <f ca="1">'数据修改（批量）'!E9</f>
        <v>1000</v>
      </c>
      <c r="F9" s="2">
        <f ca="1">'数据修改（批量）'!F9</f>
        <v>26376</v>
      </c>
      <c r="G9" s="2">
        <f ca="1">'数据修改（批量）'!G9</f>
        <v>26.376</v>
      </c>
    </row>
    <row r="10" spans="2:7">
      <c r="B10" s="2" t="str">
        <f ca="1">'数据修改（批量）'!B10</f>
        <v>300/350料8米以下</v>
      </c>
      <c r="C10" s="2">
        <f ca="1">'数据修改（批量）'!C10</f>
        <v>7100</v>
      </c>
      <c r="D10" s="2">
        <f ca="1">'数据修改（批量）'!D10</f>
        <v>948</v>
      </c>
      <c r="E10" s="2">
        <f ca="1">'数据修改（批量）'!E10</f>
        <v>1000</v>
      </c>
      <c r="F10" s="2">
        <f ca="1">'数据修改（批量）'!F10</f>
        <v>25648</v>
      </c>
      <c r="G10" s="2">
        <f ca="1">'数据修改（批量）'!G10</f>
        <v>25.648</v>
      </c>
    </row>
    <row r="12" spans="1:4">
      <c r="A12" s="2" t="str">
        <f ca="1">'数据修改（批量）'!A12</f>
        <v>篷布</v>
      </c>
      <c r="B12" s="2"/>
      <c r="C12" s="2"/>
      <c r="D12" s="3"/>
    </row>
    <row r="13" spans="1:7">
      <c r="A13" s="2"/>
      <c r="B13" s="2" t="str">
        <f ca="1">'数据修改（批量）'!B13</f>
        <v>项目</v>
      </c>
      <c r="C13" s="2" t="str">
        <f ca="1">'数据修改（批量）'!C13</f>
        <v>运费</v>
      </c>
      <c r="D13" s="2" t="str">
        <f ca="1">'数据修改（批量）'!D13</f>
        <v>单价</v>
      </c>
      <c r="E13" s="2" t="str">
        <f ca="1">'数据修改（批量）'!E13</f>
        <v>每平价格</v>
      </c>
      <c r="F13" s="2"/>
      <c r="G13" s="2"/>
    </row>
    <row r="14" spans="1:7">
      <c r="A14" s="2"/>
      <c r="B14" s="2">
        <f ca="1">'数据修改（批量）'!B14</f>
        <v>650</v>
      </c>
      <c r="C14" s="2">
        <f ca="1">'数据修改（批量）'!C14</f>
        <v>0.5</v>
      </c>
      <c r="D14" s="4">
        <f ca="1">'数据修改（批量）'!D14</f>
        <v>13.8</v>
      </c>
      <c r="E14" s="2">
        <f ca="1">'数据修改（批量）'!E14</f>
        <v>14.3</v>
      </c>
      <c r="F14" s="2"/>
      <c r="G14" s="2"/>
    </row>
    <row r="15" spans="1:7">
      <c r="A15" s="2"/>
      <c r="B15" s="2">
        <f ca="1">'数据修改（批量）'!B15</f>
        <v>780</v>
      </c>
      <c r="C15" s="2">
        <f ca="1">'数据修改（批量）'!C15</f>
        <v>0.5</v>
      </c>
      <c r="D15" s="4">
        <f ca="1">'数据修改（批量）'!D15</f>
        <v>16.8</v>
      </c>
      <c r="E15" s="2">
        <f ca="1">'数据修改（批量）'!E15</f>
        <v>17.3</v>
      </c>
      <c r="F15" s="2"/>
      <c r="G15" s="2"/>
    </row>
    <row r="16" spans="2:7">
      <c r="B16" s="2">
        <f ca="1">'数据修改（批量）'!B16</f>
        <v>850</v>
      </c>
      <c r="C16" s="2">
        <f ca="1">'数据修改（批量）'!C16</f>
        <v>0.5</v>
      </c>
      <c r="D16" s="4">
        <f ca="1">'数据修改（批量）'!D16</f>
        <v>18</v>
      </c>
      <c r="E16" s="2">
        <f ca="1">'数据修改（批量）'!E16</f>
        <v>18.5</v>
      </c>
      <c r="F16" s="2"/>
      <c r="G16" s="2"/>
    </row>
    <row r="21" spans="1:7">
      <c r="A21" s="6" t="str">
        <f ca="1">'数据修改（批量）'!A21</f>
        <v>说明：黄色部分可以根据价格修改</v>
      </c>
      <c r="B21" s="6"/>
      <c r="C21" s="6"/>
      <c r="D21" s="6"/>
      <c r="E21" s="6"/>
      <c r="F21" s="6"/>
      <c r="G21" s="6"/>
    </row>
    <row r="27" spans="12:12">
      <c r="L27" s="1">
        <f>20*0.08</f>
        <v>1.6</v>
      </c>
    </row>
  </sheetData>
  <mergeCells count="1">
    <mergeCell ref="A21:G21"/>
  </mergeCells>
  <pageMargins left="0.75" right="0.75" top="1" bottom="1" header="0.509027777777778" footer="0.509027777777778"/>
  <headerFooter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FF0000"/>
  </sheetPr>
  <dimension ref="A1:V48"/>
  <sheetViews>
    <sheetView showGridLines="0" workbookViewId="0">
      <selection activeCell="F12" sqref="F12"/>
    </sheetView>
  </sheetViews>
  <sheetFormatPr defaultColWidth="9" defaultRowHeight="14.25"/>
  <cols>
    <col min="1" max="1" width="2.875" style="50" customWidth="1"/>
    <col min="2" max="2" width="16.875" style="50" customWidth="1"/>
    <col min="3" max="5" width="12.625" style="51" customWidth="1"/>
    <col min="6" max="13" width="15.75" style="50" customWidth="1"/>
    <col min="14" max="14" width="72.75" style="50" customWidth="1"/>
    <col min="15" max="15" width="11.125" style="50" customWidth="1"/>
    <col min="16" max="16" width="19.375" style="3" customWidth="1"/>
    <col min="17" max="17" width="9" style="3" hidden="1" customWidth="1"/>
    <col min="18" max="18" width="9" style="3"/>
    <col min="19" max="19" width="15.75" style="3" customWidth="1"/>
    <col min="20" max="22" width="9" style="3"/>
    <col min="23" max="16384" width="9" style="1"/>
  </cols>
  <sheetData>
    <row r="1" ht="17.1" customHeight="1" spans="1:15">
      <c r="A1" s="7" t="s">
        <v>1395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161"/>
    </row>
    <row r="2" ht="17.1" customHeight="1" spans="1:22">
      <c r="A2" s="141" t="s">
        <v>1246</v>
      </c>
      <c r="B2" s="142"/>
      <c r="C2" s="142"/>
      <c r="D2" s="9" t="s">
        <v>1198</v>
      </c>
      <c r="E2" s="10">
        <f>A3*5*12</f>
        <v>120</v>
      </c>
      <c r="F2" s="11"/>
      <c r="G2" s="11"/>
      <c r="H2" s="11"/>
      <c r="I2" s="11"/>
      <c r="J2" s="11"/>
      <c r="K2" s="11"/>
      <c r="L2" s="11"/>
      <c r="M2" s="11"/>
      <c r="N2" s="11"/>
      <c r="O2" s="162"/>
      <c r="Q2" s="55"/>
      <c r="R2" s="55"/>
      <c r="S2" s="55"/>
      <c r="U2" s="1"/>
      <c r="V2" s="1"/>
    </row>
    <row r="3" ht="17.1" customHeight="1" spans="1:22">
      <c r="A3" s="12">
        <v>2</v>
      </c>
      <c r="B3" s="12"/>
      <c r="C3" s="9" t="s">
        <v>1247</v>
      </c>
      <c r="D3" s="13">
        <v>3</v>
      </c>
      <c r="E3" s="11" t="s">
        <v>1248</v>
      </c>
      <c r="F3" s="12">
        <v>2</v>
      </c>
      <c r="G3" s="11" t="s">
        <v>1249</v>
      </c>
      <c r="H3" s="12"/>
      <c r="I3" s="12"/>
      <c r="J3" s="12"/>
      <c r="K3" s="12"/>
      <c r="L3" s="12"/>
      <c r="M3" s="12"/>
      <c r="N3" s="12"/>
      <c r="O3" s="162"/>
      <c r="Q3" s="55"/>
      <c r="R3" s="55"/>
      <c r="S3" s="55"/>
      <c r="U3" s="1"/>
      <c r="V3" s="1"/>
    </row>
    <row r="4" ht="17.1" customHeight="1" spans="1:22">
      <c r="A4" s="12"/>
      <c r="B4" s="12"/>
      <c r="C4" s="12"/>
      <c r="D4" s="12"/>
      <c r="E4" s="12"/>
      <c r="F4" s="12"/>
      <c r="G4" s="11" t="s">
        <v>1345</v>
      </c>
      <c r="H4" s="11"/>
      <c r="I4" s="9" t="s">
        <v>1346</v>
      </c>
      <c r="J4" s="9"/>
      <c r="K4" s="9"/>
      <c r="L4" s="9"/>
      <c r="M4" s="9"/>
      <c r="N4" s="12"/>
      <c r="O4" s="162"/>
      <c r="Q4" s="55"/>
      <c r="R4" s="55"/>
      <c r="S4" s="55"/>
      <c r="U4" s="1"/>
      <c r="V4" s="1"/>
    </row>
    <row r="5" ht="17.1" customHeight="1" spans="1:19">
      <c r="A5" s="146" t="s">
        <v>1200</v>
      </c>
      <c r="B5" s="146" t="s">
        <v>1201</v>
      </c>
      <c r="C5" s="146" t="s">
        <v>1250</v>
      </c>
      <c r="D5" s="146" t="s">
        <v>22</v>
      </c>
      <c r="E5" s="147" t="s">
        <v>1251</v>
      </c>
      <c r="F5" s="75" t="s">
        <v>1204</v>
      </c>
      <c r="G5" s="19" t="s">
        <v>1205</v>
      </c>
      <c r="H5" s="17" t="s">
        <v>1253</v>
      </c>
      <c r="I5" s="17" t="s">
        <v>1254</v>
      </c>
      <c r="J5" s="17" t="s">
        <v>1255</v>
      </c>
      <c r="K5" s="17" t="s">
        <v>1209</v>
      </c>
      <c r="L5" s="17" t="s">
        <v>1347</v>
      </c>
      <c r="M5" s="17" t="s">
        <v>1211</v>
      </c>
      <c r="N5" s="163" t="s">
        <v>1257</v>
      </c>
      <c r="O5" s="164" t="s">
        <v>1212</v>
      </c>
      <c r="P5" s="165" t="s">
        <v>1213</v>
      </c>
      <c r="Q5" s="75" t="s">
        <v>1396</v>
      </c>
      <c r="R5" s="165" t="s">
        <v>1214</v>
      </c>
      <c r="S5" s="75" t="s">
        <v>1213</v>
      </c>
    </row>
    <row r="6" ht="15.95" customHeight="1" spans="1:19">
      <c r="A6" s="20" t="s">
        <v>1215</v>
      </c>
      <c r="B6" s="91" t="s">
        <v>1224</v>
      </c>
      <c r="C6" s="23"/>
      <c r="D6" s="23" t="s">
        <v>28</v>
      </c>
      <c r="E6" s="24">
        <f>D3*2</f>
        <v>6</v>
      </c>
      <c r="F6" s="93">
        <f ca="1" t="shared" ref="F6:F11" si="0">I6+J6+K6+L6+M6</f>
        <v>515.646884216</v>
      </c>
      <c r="G6" s="94">
        <f>7.17/2</f>
        <v>3.585</v>
      </c>
      <c r="H6" s="94">
        <v>4.382</v>
      </c>
      <c r="I6" s="93">
        <f ca="1">G6*H6*'10变12米（人字88料）参数'!G3*1.1</f>
        <v>391.366884216</v>
      </c>
      <c r="J6" s="93">
        <f>34.37*2</f>
        <v>68.74</v>
      </c>
      <c r="K6" s="93">
        <v>33.64</v>
      </c>
      <c r="L6" s="93">
        <f>2.55*4</f>
        <v>10.2</v>
      </c>
      <c r="M6" s="93">
        <f>18*0.65</f>
        <v>11.7</v>
      </c>
      <c r="N6" s="166" t="s">
        <v>1348</v>
      </c>
      <c r="O6" s="167">
        <v>4</v>
      </c>
      <c r="P6" s="67">
        <f ca="1" t="shared" ref="P6:P32" si="1">F6*O6</f>
        <v>2062.587536864</v>
      </c>
      <c r="Q6" s="27">
        <v>36.2</v>
      </c>
      <c r="R6" s="67">
        <f t="shared" ref="R6:R32" si="2">E6-O6</f>
        <v>2</v>
      </c>
      <c r="S6" s="67">
        <f ca="1" t="shared" ref="S6:S32" si="3">F6*R6</f>
        <v>1031.293768432</v>
      </c>
    </row>
    <row r="7" ht="15.95" customHeight="1" spans="1:19">
      <c r="A7" s="20"/>
      <c r="B7" s="91" t="s">
        <v>1308</v>
      </c>
      <c r="C7" s="23"/>
      <c r="D7" s="23" t="s">
        <v>28</v>
      </c>
      <c r="E7" s="24">
        <f>F3</f>
        <v>2</v>
      </c>
      <c r="F7" s="101">
        <f ca="1" t="shared" si="0"/>
        <v>621.649448</v>
      </c>
      <c r="G7" s="148">
        <v>5</v>
      </c>
      <c r="H7" s="148">
        <v>4.382</v>
      </c>
      <c r="I7" s="101">
        <f ca="1">G7*H7*'10变12米（人字88料）参数'!G3*1.1</f>
        <v>545.839448</v>
      </c>
      <c r="J7" s="101"/>
      <c r="K7" s="101">
        <f>36.81+28.8</f>
        <v>65.61</v>
      </c>
      <c r="L7" s="101">
        <f>2.55*4</f>
        <v>10.2</v>
      </c>
      <c r="M7" s="101"/>
      <c r="N7" s="166" t="s">
        <v>1349</v>
      </c>
      <c r="O7" s="167">
        <v>2</v>
      </c>
      <c r="P7" s="67">
        <f ca="1" t="shared" si="1"/>
        <v>1243.298896</v>
      </c>
      <c r="Q7" s="27">
        <v>39.3</v>
      </c>
      <c r="R7" s="67">
        <f t="shared" si="2"/>
        <v>0</v>
      </c>
      <c r="S7" s="67">
        <f ca="1" t="shared" si="3"/>
        <v>0</v>
      </c>
    </row>
    <row r="8" ht="15.95" customHeight="1" spans="1:19">
      <c r="A8" s="20"/>
      <c r="B8" s="91" t="s">
        <v>1350</v>
      </c>
      <c r="C8" s="23"/>
      <c r="D8" s="23" t="s">
        <v>28</v>
      </c>
      <c r="E8" s="24">
        <f>D3*2</f>
        <v>6</v>
      </c>
      <c r="F8" s="61">
        <f ca="1" t="shared" si="0"/>
        <v>623.948356112</v>
      </c>
      <c r="G8" s="95">
        <v>5.47</v>
      </c>
      <c r="H8" s="95">
        <v>4.382</v>
      </c>
      <c r="I8" s="61">
        <f ca="1">G8*H8*'10变12米（人字88料）参数'!G3*1.1</f>
        <v>597.148356112</v>
      </c>
      <c r="J8" s="61">
        <f>2.5*4</f>
        <v>10</v>
      </c>
      <c r="K8" s="61">
        <v>10.8</v>
      </c>
      <c r="L8" s="61">
        <f>1*6</f>
        <v>6</v>
      </c>
      <c r="M8" s="61"/>
      <c r="N8" s="116" t="s">
        <v>1397</v>
      </c>
      <c r="O8" s="167">
        <v>4</v>
      </c>
      <c r="P8" s="67">
        <f ca="1" t="shared" si="1"/>
        <v>2495.793424448</v>
      </c>
      <c r="Q8" s="27">
        <v>29.9</v>
      </c>
      <c r="R8" s="67">
        <f t="shared" si="2"/>
        <v>2</v>
      </c>
      <c r="S8" s="67">
        <f ca="1" t="shared" si="3"/>
        <v>1247.896712224</v>
      </c>
    </row>
    <row r="9" ht="15.95" customHeight="1" spans="1:19">
      <c r="A9" s="20"/>
      <c r="B9" s="91" t="s">
        <v>1398</v>
      </c>
      <c r="C9" s="23"/>
      <c r="D9" s="23" t="s">
        <v>28</v>
      </c>
      <c r="E9" s="24">
        <f>D3*2</f>
        <v>6</v>
      </c>
      <c r="F9" s="61">
        <f ca="1" t="shared" si="0"/>
        <v>147.542926288</v>
      </c>
      <c r="G9" s="95">
        <v>1.03</v>
      </c>
      <c r="H9" s="95">
        <v>4.382</v>
      </c>
      <c r="I9" s="61">
        <f ca="1">G9*H9*'10变12米（人字88料）参数'!G3*1.1</f>
        <v>112.442926288</v>
      </c>
      <c r="J9" s="61"/>
      <c r="K9" s="61">
        <v>30</v>
      </c>
      <c r="L9" s="61">
        <f>2.55*2</f>
        <v>5.1</v>
      </c>
      <c r="M9" s="61"/>
      <c r="N9" s="116" t="s">
        <v>1399</v>
      </c>
      <c r="O9" s="167">
        <v>4</v>
      </c>
      <c r="P9" s="67">
        <f ca="1" t="shared" si="1"/>
        <v>590.171705152</v>
      </c>
      <c r="Q9" s="27"/>
      <c r="R9" s="67">
        <f t="shared" si="2"/>
        <v>2</v>
      </c>
      <c r="S9" s="67">
        <f ca="1" t="shared" si="3"/>
        <v>295.085852576</v>
      </c>
    </row>
    <row r="10" ht="15.95" customHeight="1" spans="1:19">
      <c r="A10" s="20"/>
      <c r="B10" s="91" t="s">
        <v>1226</v>
      </c>
      <c r="C10" s="23"/>
      <c r="D10" s="23" t="s">
        <v>28</v>
      </c>
      <c r="E10" s="24">
        <f>A3*3</f>
        <v>6</v>
      </c>
      <c r="F10" s="101">
        <f ca="1" t="shared" si="0"/>
        <v>195.0929650432</v>
      </c>
      <c r="G10" s="148">
        <v>4.882</v>
      </c>
      <c r="H10" s="148">
        <v>1.552</v>
      </c>
      <c r="I10" s="101">
        <f ca="1">G10*H10*'10变12米（人字88料）参数'!G5*1.1</f>
        <v>180.0929650432</v>
      </c>
      <c r="J10" s="101"/>
      <c r="K10" s="101"/>
      <c r="L10" s="101">
        <f>0.5*4</f>
        <v>2</v>
      </c>
      <c r="M10" s="101">
        <f>6.5*2</f>
        <v>13</v>
      </c>
      <c r="N10" s="120" t="s">
        <v>1352</v>
      </c>
      <c r="O10" s="167">
        <v>3</v>
      </c>
      <c r="P10" s="67">
        <f ca="1" t="shared" si="1"/>
        <v>585.2788951296</v>
      </c>
      <c r="Q10" s="27">
        <v>7.95</v>
      </c>
      <c r="R10" s="67">
        <f t="shared" si="2"/>
        <v>3</v>
      </c>
      <c r="S10" s="67">
        <f ca="1" t="shared" si="3"/>
        <v>585.2788951296</v>
      </c>
    </row>
    <row r="11" ht="15.95" customHeight="1" spans="1:19">
      <c r="A11" s="20"/>
      <c r="B11" s="91" t="s">
        <v>1264</v>
      </c>
      <c r="C11" s="23"/>
      <c r="D11" s="23" t="s">
        <v>28</v>
      </c>
      <c r="E11" s="24">
        <f>A3*2</f>
        <v>4</v>
      </c>
      <c r="F11" s="101">
        <f ca="1" t="shared" si="0"/>
        <v>336.5448493136</v>
      </c>
      <c r="G11" s="148">
        <v>4.882</v>
      </c>
      <c r="H11" s="148">
        <v>2.771</v>
      </c>
      <c r="I11" s="101">
        <f ca="1">G11*H11*'10变12米（人字88料）参数'!G5*1.1</f>
        <v>321.5448493136</v>
      </c>
      <c r="J11" s="101"/>
      <c r="K11" s="101"/>
      <c r="L11" s="101">
        <f>0.5*4</f>
        <v>2</v>
      </c>
      <c r="M11" s="101">
        <f>6.5*2</f>
        <v>13</v>
      </c>
      <c r="N11" s="120" t="s">
        <v>1353</v>
      </c>
      <c r="O11" s="167">
        <v>2</v>
      </c>
      <c r="P11" s="67">
        <f ca="1" t="shared" si="1"/>
        <v>673.0896986272</v>
      </c>
      <c r="Q11" s="27">
        <v>13.1</v>
      </c>
      <c r="R11" s="67">
        <f t="shared" si="2"/>
        <v>2</v>
      </c>
      <c r="S11" s="67">
        <f ca="1" t="shared" si="3"/>
        <v>673.0896986272</v>
      </c>
    </row>
    <row r="12" ht="15.95" customHeight="1" spans="1:19">
      <c r="A12" s="20"/>
      <c r="B12" s="91" t="s">
        <v>1266</v>
      </c>
      <c r="C12" s="23"/>
      <c r="D12" s="23" t="s">
        <v>28</v>
      </c>
      <c r="E12" s="24">
        <f>A3*2+F3*2</f>
        <v>8</v>
      </c>
      <c r="F12" s="101">
        <f ca="1">'数据修改（批量）'!A28</f>
        <v>95</v>
      </c>
      <c r="G12" s="148">
        <v>4.86</v>
      </c>
      <c r="H12" s="148">
        <v>1.345</v>
      </c>
      <c r="I12" s="101">
        <f ca="1">G12*H12*'10变12米（人字88料）参数'!G5*1.1</f>
        <v>155.36951496</v>
      </c>
      <c r="J12" s="101"/>
      <c r="K12" s="101"/>
      <c r="L12" s="101"/>
      <c r="M12" s="101"/>
      <c r="N12" s="120" t="s">
        <v>1354</v>
      </c>
      <c r="O12" s="167">
        <v>6</v>
      </c>
      <c r="P12" s="67">
        <f ca="1" t="shared" si="1"/>
        <v>570</v>
      </c>
      <c r="Q12" s="27">
        <v>5.65</v>
      </c>
      <c r="R12" s="67">
        <f t="shared" si="2"/>
        <v>2</v>
      </c>
      <c r="S12" s="67">
        <f ca="1" t="shared" si="3"/>
        <v>190</v>
      </c>
    </row>
    <row r="13" ht="15.95" customHeight="1" spans="1:19">
      <c r="A13" s="20"/>
      <c r="B13" s="91" t="s">
        <v>1272</v>
      </c>
      <c r="C13" s="23"/>
      <c r="D13" s="23" t="s">
        <v>28</v>
      </c>
      <c r="E13" s="30">
        <v>5</v>
      </c>
      <c r="F13" s="101">
        <f>(I13+J13+K13+L13+M13)*1.2</f>
        <v>131.4</v>
      </c>
      <c r="G13" s="148"/>
      <c r="H13" s="148"/>
      <c r="I13" s="101">
        <v>95</v>
      </c>
      <c r="J13" s="101">
        <v>6.5</v>
      </c>
      <c r="K13" s="101">
        <v>4</v>
      </c>
      <c r="L13" s="101">
        <v>3</v>
      </c>
      <c r="M13" s="101">
        <v>1</v>
      </c>
      <c r="N13" s="120" t="s">
        <v>1355</v>
      </c>
      <c r="O13" s="167">
        <v>4</v>
      </c>
      <c r="P13" s="67">
        <f ca="1" t="shared" si="1"/>
        <v>525.6</v>
      </c>
      <c r="Q13" s="27">
        <v>36.35</v>
      </c>
      <c r="R13" s="67">
        <f t="shared" si="2"/>
        <v>1</v>
      </c>
      <c r="S13" s="67">
        <f ca="1" t="shared" si="3"/>
        <v>131.4</v>
      </c>
    </row>
    <row r="14" ht="15.95" customHeight="1" spans="1:19">
      <c r="A14" s="20"/>
      <c r="B14" s="91" t="s">
        <v>1356</v>
      </c>
      <c r="C14" s="23"/>
      <c r="D14" s="23" t="s">
        <v>28</v>
      </c>
      <c r="E14" s="24">
        <f>F3</f>
        <v>2</v>
      </c>
      <c r="F14" s="101">
        <f ca="1">(I14+J14+K14+L14+M14)</f>
        <v>60.422</v>
      </c>
      <c r="G14" s="148">
        <v>2.5</v>
      </c>
      <c r="H14" s="148">
        <v>1</v>
      </c>
      <c r="I14" s="101">
        <f ca="1">G14*H14*'10变12米（人字88料）参数'!G5*1.1</f>
        <v>59.422</v>
      </c>
      <c r="J14" s="101"/>
      <c r="K14" s="101"/>
      <c r="L14" s="101">
        <f>0.5*2</f>
        <v>1</v>
      </c>
      <c r="M14" s="101"/>
      <c r="N14" s="170" t="s">
        <v>1357</v>
      </c>
      <c r="O14" s="167">
        <v>2</v>
      </c>
      <c r="P14" s="67">
        <f ca="1" t="shared" si="1"/>
        <v>120.844</v>
      </c>
      <c r="Q14" s="27"/>
      <c r="R14" s="67">
        <f t="shared" si="2"/>
        <v>0</v>
      </c>
      <c r="S14" s="67">
        <f ca="1" t="shared" si="3"/>
        <v>0</v>
      </c>
    </row>
    <row r="15" ht="15.95" customHeight="1" spans="1:19">
      <c r="A15" s="20"/>
      <c r="B15" s="91" t="s">
        <v>1276</v>
      </c>
      <c r="C15" s="23"/>
      <c r="D15" s="23" t="s">
        <v>28</v>
      </c>
      <c r="E15" s="28">
        <f>F3*2</f>
        <v>4</v>
      </c>
      <c r="F15" s="101">
        <f ca="1">(I15+J15+K15+L15+M15)</f>
        <v>414.1081941136</v>
      </c>
      <c r="G15" s="95">
        <v>5.882</v>
      </c>
      <c r="H15" s="95">
        <v>2.771</v>
      </c>
      <c r="I15" s="61">
        <f ca="1">G15*H15*'10变12米（人字88料）参数'!G5*1.1</f>
        <v>387.4081941136</v>
      </c>
      <c r="J15" s="61"/>
      <c r="K15" s="61">
        <v>15</v>
      </c>
      <c r="L15" s="61">
        <f>8*0.65</f>
        <v>5.2</v>
      </c>
      <c r="M15" s="61">
        <v>6.5</v>
      </c>
      <c r="N15" s="120" t="s">
        <v>1358</v>
      </c>
      <c r="O15" s="167">
        <v>4</v>
      </c>
      <c r="P15" s="67">
        <f ca="1" t="shared" si="1"/>
        <v>1656.4327764544</v>
      </c>
      <c r="Q15" s="27">
        <v>13.75</v>
      </c>
      <c r="R15" s="67">
        <f t="shared" si="2"/>
        <v>0</v>
      </c>
      <c r="S15" s="67">
        <f ca="1" t="shared" si="3"/>
        <v>0</v>
      </c>
    </row>
    <row r="16" ht="15.95" customHeight="1" spans="1:19">
      <c r="A16" s="31"/>
      <c r="B16" s="152" t="s">
        <v>1274</v>
      </c>
      <c r="C16" s="43"/>
      <c r="D16" s="43" t="s">
        <v>28</v>
      </c>
      <c r="E16" s="150">
        <f>A3*2+F3*2</f>
        <v>8</v>
      </c>
      <c r="F16" s="101">
        <f>(I16+J16+K16+L16+M16)</f>
        <v>20.4</v>
      </c>
      <c r="G16" s="151"/>
      <c r="H16" s="151"/>
      <c r="I16" s="39">
        <f>17*1.2</f>
        <v>20.4</v>
      </c>
      <c r="J16" s="39"/>
      <c r="K16" s="39"/>
      <c r="L16" s="39"/>
      <c r="M16" s="39"/>
      <c r="N16" s="171" t="s">
        <v>1359</v>
      </c>
      <c r="O16" s="167">
        <v>6</v>
      </c>
      <c r="P16" s="67">
        <f ca="1" t="shared" si="1"/>
        <v>122.4</v>
      </c>
      <c r="Q16" s="27">
        <v>3</v>
      </c>
      <c r="R16" s="67">
        <f t="shared" si="2"/>
        <v>2</v>
      </c>
      <c r="S16" s="67">
        <f ca="1" t="shared" si="3"/>
        <v>40.8</v>
      </c>
    </row>
    <row r="17" ht="15.95" customHeight="1" spans="1:19">
      <c r="A17" s="20" t="s">
        <v>1278</v>
      </c>
      <c r="B17" s="91" t="s">
        <v>1304</v>
      </c>
      <c r="C17" s="23"/>
      <c r="D17" s="23" t="s">
        <v>434</v>
      </c>
      <c r="E17" s="24">
        <f>D3</f>
        <v>3</v>
      </c>
      <c r="F17" s="101">
        <v>130</v>
      </c>
      <c r="G17" s="151"/>
      <c r="H17" s="151"/>
      <c r="I17" s="39"/>
      <c r="J17" s="39"/>
      <c r="K17" s="39"/>
      <c r="L17" s="39"/>
      <c r="M17" s="39"/>
      <c r="N17" s="171" t="s">
        <v>1360</v>
      </c>
      <c r="O17" s="172">
        <v>2</v>
      </c>
      <c r="P17" s="67">
        <f ca="1" t="shared" si="1"/>
        <v>260</v>
      </c>
      <c r="Q17" s="27">
        <v>16.3</v>
      </c>
      <c r="R17" s="67">
        <f t="shared" si="2"/>
        <v>1</v>
      </c>
      <c r="S17" s="67">
        <f ca="1" t="shared" si="3"/>
        <v>130</v>
      </c>
    </row>
    <row r="18" ht="15.95" customHeight="1" spans="1:19">
      <c r="A18" s="20"/>
      <c r="B18" s="91" t="s">
        <v>1310</v>
      </c>
      <c r="C18" s="23"/>
      <c r="D18" s="23" t="s">
        <v>434</v>
      </c>
      <c r="E18" s="24">
        <f>E7</f>
        <v>2</v>
      </c>
      <c r="F18" s="101">
        <v>71.4</v>
      </c>
      <c r="G18" s="148"/>
      <c r="H18" s="148"/>
      <c r="I18" s="101"/>
      <c r="J18" s="101"/>
      <c r="K18" s="101"/>
      <c r="L18" s="101"/>
      <c r="M18" s="101"/>
      <c r="N18" s="120" t="s">
        <v>1361</v>
      </c>
      <c r="O18" s="167">
        <v>2</v>
      </c>
      <c r="P18" s="67">
        <f ca="1" t="shared" si="1"/>
        <v>142.8</v>
      </c>
      <c r="Q18" s="27">
        <v>10.3</v>
      </c>
      <c r="R18" s="67">
        <f t="shared" si="2"/>
        <v>0</v>
      </c>
      <c r="S18" s="67">
        <f ca="1" t="shared" si="3"/>
        <v>0</v>
      </c>
    </row>
    <row r="19" ht="15.95" customHeight="1" spans="1:19">
      <c r="A19" s="20"/>
      <c r="B19" s="91" t="s">
        <v>1280</v>
      </c>
      <c r="C19" s="23"/>
      <c r="D19" s="23" t="s">
        <v>434</v>
      </c>
      <c r="E19" s="28">
        <f>E6</f>
        <v>6</v>
      </c>
      <c r="F19" s="61">
        <v>69.28</v>
      </c>
      <c r="G19" s="95"/>
      <c r="H19" s="95"/>
      <c r="I19" s="61"/>
      <c r="J19" s="61"/>
      <c r="K19" s="61"/>
      <c r="L19" s="61"/>
      <c r="M19" s="61"/>
      <c r="N19" s="173" t="s">
        <v>1361</v>
      </c>
      <c r="O19" s="167">
        <v>4</v>
      </c>
      <c r="P19" s="67">
        <f ca="1" t="shared" si="1"/>
        <v>277.12</v>
      </c>
      <c r="Q19" s="27">
        <v>11.1</v>
      </c>
      <c r="R19" s="67">
        <f t="shared" si="2"/>
        <v>2</v>
      </c>
      <c r="S19" s="67">
        <f ca="1" t="shared" si="3"/>
        <v>138.56</v>
      </c>
    </row>
    <row r="20" ht="15.95" customHeight="1" spans="1:19">
      <c r="A20" s="20"/>
      <c r="B20" s="91" t="s">
        <v>1339</v>
      </c>
      <c r="C20" s="23"/>
      <c r="D20" s="23" t="s">
        <v>28</v>
      </c>
      <c r="E20" s="32">
        <f>E13</f>
        <v>5</v>
      </c>
      <c r="F20" s="101">
        <v>80.5</v>
      </c>
      <c r="G20" s="148"/>
      <c r="H20" s="148"/>
      <c r="I20" s="101"/>
      <c r="J20" s="101"/>
      <c r="K20" s="101"/>
      <c r="L20" s="101"/>
      <c r="M20" s="101"/>
      <c r="N20" s="120" t="s">
        <v>1362</v>
      </c>
      <c r="O20" s="167">
        <v>4</v>
      </c>
      <c r="P20" s="67">
        <f ca="1" t="shared" si="1"/>
        <v>322</v>
      </c>
      <c r="Q20" s="27">
        <v>7.25</v>
      </c>
      <c r="R20" s="67">
        <f t="shared" si="2"/>
        <v>1</v>
      </c>
      <c r="S20" s="67">
        <f ca="1" t="shared" si="3"/>
        <v>80.5</v>
      </c>
    </row>
    <row r="21" ht="15.95" customHeight="1" spans="1:19">
      <c r="A21" s="20"/>
      <c r="B21" s="91" t="s">
        <v>1282</v>
      </c>
      <c r="C21" s="23"/>
      <c r="D21" s="23" t="s">
        <v>434</v>
      </c>
      <c r="E21" s="24">
        <f>D3*2+F3*2</f>
        <v>10</v>
      </c>
      <c r="F21" s="101">
        <v>4.45</v>
      </c>
      <c r="G21" s="148"/>
      <c r="H21" s="148"/>
      <c r="I21" s="101"/>
      <c r="J21" s="101"/>
      <c r="K21" s="101"/>
      <c r="L21" s="101"/>
      <c r="M21" s="101"/>
      <c r="N21" s="120" t="s">
        <v>1363</v>
      </c>
      <c r="O21" s="167">
        <v>8</v>
      </c>
      <c r="P21" s="67">
        <f ca="1" t="shared" si="1"/>
        <v>35.6</v>
      </c>
      <c r="Q21" s="27">
        <v>0.75</v>
      </c>
      <c r="R21" s="67">
        <f t="shared" si="2"/>
        <v>2</v>
      </c>
      <c r="S21" s="67">
        <f ca="1" t="shared" si="3"/>
        <v>8.9</v>
      </c>
    </row>
    <row r="22" ht="15.95" customHeight="1" spans="1:19">
      <c r="A22" s="20"/>
      <c r="B22" s="91" t="s">
        <v>1284</v>
      </c>
      <c r="C22" s="23"/>
      <c r="D22" s="23" t="s">
        <v>434</v>
      </c>
      <c r="E22" s="24">
        <f>D3*2</f>
        <v>6</v>
      </c>
      <c r="F22" s="101">
        <v>6.51</v>
      </c>
      <c r="G22" s="148"/>
      <c r="H22" s="148"/>
      <c r="I22" s="101"/>
      <c r="J22" s="101"/>
      <c r="K22" s="101"/>
      <c r="L22" s="101"/>
      <c r="M22" s="101"/>
      <c r="N22" s="120" t="s">
        <v>1364</v>
      </c>
      <c r="O22" s="167">
        <v>4</v>
      </c>
      <c r="P22" s="67">
        <f ca="1" t="shared" si="1"/>
        <v>26.04</v>
      </c>
      <c r="Q22" s="27">
        <v>1.65</v>
      </c>
      <c r="R22" s="67">
        <f t="shared" si="2"/>
        <v>2</v>
      </c>
      <c r="S22" s="67">
        <f ca="1" t="shared" si="3"/>
        <v>13.02</v>
      </c>
    </row>
    <row r="23" ht="15.95" customHeight="1" spans="1:19">
      <c r="A23" s="20"/>
      <c r="B23" s="91" t="s">
        <v>519</v>
      </c>
      <c r="C23" s="23"/>
      <c r="D23" s="23" t="s">
        <v>434</v>
      </c>
      <c r="E23" s="24">
        <f>F3*2</f>
        <v>4</v>
      </c>
      <c r="F23" s="101">
        <v>5.95</v>
      </c>
      <c r="G23" s="151"/>
      <c r="H23" s="151"/>
      <c r="I23" s="39"/>
      <c r="J23" s="39"/>
      <c r="K23" s="39"/>
      <c r="L23" s="39"/>
      <c r="M23" s="39"/>
      <c r="N23" s="120" t="s">
        <v>1365</v>
      </c>
      <c r="O23" s="167">
        <v>4</v>
      </c>
      <c r="P23" s="67">
        <f ca="1" t="shared" si="1"/>
        <v>23.8</v>
      </c>
      <c r="Q23" s="27">
        <v>1.4</v>
      </c>
      <c r="R23" s="67">
        <f t="shared" si="2"/>
        <v>0</v>
      </c>
      <c r="S23" s="67">
        <f ca="1" t="shared" si="3"/>
        <v>0</v>
      </c>
    </row>
    <row r="24" ht="15.95" customHeight="1" spans="1:19">
      <c r="A24" s="31"/>
      <c r="B24" s="152" t="s">
        <v>551</v>
      </c>
      <c r="C24" s="43"/>
      <c r="D24" s="43" t="s">
        <v>434</v>
      </c>
      <c r="E24" s="150">
        <f>F3*2</f>
        <v>4</v>
      </c>
      <c r="F24" s="41">
        <v>15.5</v>
      </c>
      <c r="G24" s="99"/>
      <c r="H24" s="99"/>
      <c r="I24" s="41"/>
      <c r="J24" s="41"/>
      <c r="K24" s="41"/>
      <c r="L24" s="41"/>
      <c r="M24" s="41"/>
      <c r="N24" s="173" t="s">
        <v>1361</v>
      </c>
      <c r="O24" s="174">
        <v>4</v>
      </c>
      <c r="P24" s="67">
        <f ca="1" t="shared" si="1"/>
        <v>62</v>
      </c>
      <c r="Q24" s="27"/>
      <c r="R24" s="67">
        <f t="shared" si="2"/>
        <v>0</v>
      </c>
      <c r="S24" s="67">
        <f ca="1" t="shared" si="3"/>
        <v>0</v>
      </c>
    </row>
    <row r="25" ht="15.95" customHeight="1" spans="1:19">
      <c r="A25" s="153" t="s">
        <v>1216</v>
      </c>
      <c r="B25" s="91" t="s">
        <v>1366</v>
      </c>
      <c r="C25" s="23"/>
      <c r="D25" s="23" t="s">
        <v>612</v>
      </c>
      <c r="E25" s="24">
        <f>A3</f>
        <v>2</v>
      </c>
      <c r="F25" s="122">
        <f ca="1">(I25+J25)*1.1+30</f>
        <v>1711.735</v>
      </c>
      <c r="G25" s="99">
        <v>15</v>
      </c>
      <c r="H25" s="99">
        <v>5</v>
      </c>
      <c r="I25" s="41">
        <f ca="1">G25*H25*'10变12米（人字88料）参数'!E15*1.1</f>
        <v>1427.25</v>
      </c>
      <c r="J25" s="41">
        <f>12.7*2*4</f>
        <v>101.6</v>
      </c>
      <c r="K25" s="41">
        <v>30</v>
      </c>
      <c r="L25" s="41"/>
      <c r="M25" s="41"/>
      <c r="N25" s="167" t="s">
        <v>1400</v>
      </c>
      <c r="O25" s="175">
        <v>1</v>
      </c>
      <c r="P25" s="67">
        <f ca="1" t="shared" si="1"/>
        <v>1711.735</v>
      </c>
      <c r="Q25" s="27">
        <v>71.65</v>
      </c>
      <c r="R25" s="67">
        <f t="shared" si="2"/>
        <v>1</v>
      </c>
      <c r="S25" s="67">
        <f ca="1" t="shared" si="3"/>
        <v>1711.735</v>
      </c>
    </row>
    <row r="26" ht="15.95" customHeight="1" spans="1:19">
      <c r="A26" s="153"/>
      <c r="B26" s="91" t="s">
        <v>1368</v>
      </c>
      <c r="C26" s="23"/>
      <c r="D26" s="23" t="s">
        <v>664</v>
      </c>
      <c r="E26" s="24">
        <f>F3</f>
        <v>2</v>
      </c>
      <c r="F26" s="122">
        <f ca="1">(I26+J26)*1.1+15</f>
        <v>391.216005</v>
      </c>
      <c r="G26" s="148">
        <v>6.5</v>
      </c>
      <c r="H26" s="154">
        <v>2.59</v>
      </c>
      <c r="I26" s="101">
        <f ca="1">G26*H26*'10变12米（人字88料）参数'!E14*1.1</f>
        <v>264.81455</v>
      </c>
      <c r="J26" s="101">
        <f>9.65*2*4</f>
        <v>77.2</v>
      </c>
      <c r="K26" s="101">
        <v>15</v>
      </c>
      <c r="L26" s="101"/>
      <c r="M26" s="101"/>
      <c r="N26" s="243" t="s">
        <v>1401</v>
      </c>
      <c r="O26" s="167">
        <v>2</v>
      </c>
      <c r="P26" s="67">
        <f ca="1" t="shared" si="1"/>
        <v>782.43201</v>
      </c>
      <c r="Q26" s="27">
        <v>21.35</v>
      </c>
      <c r="R26" s="67">
        <f t="shared" si="2"/>
        <v>0</v>
      </c>
      <c r="S26" s="67">
        <f ca="1" t="shared" si="3"/>
        <v>0</v>
      </c>
    </row>
    <row r="27" ht="15.95" customHeight="1" spans="1:19">
      <c r="A27" s="155"/>
      <c r="B27" s="91" t="s">
        <v>1402</v>
      </c>
      <c r="C27" s="23"/>
      <c r="D27" s="23" t="s">
        <v>664</v>
      </c>
      <c r="E27" s="24">
        <f>F3*2</f>
        <v>4</v>
      </c>
      <c r="F27" s="122">
        <f ca="1">(I27+J27)*1.1+15</f>
        <v>449.696042</v>
      </c>
      <c r="G27" s="156">
        <v>6.2</v>
      </c>
      <c r="H27" s="157">
        <v>3.97</v>
      </c>
      <c r="I27" s="101">
        <f ca="1">G27*H27*'10变12米（人字88料）参数'!E14*1.1</f>
        <v>387.17822</v>
      </c>
      <c r="J27" s="71">
        <f>J28</f>
        <v>8</v>
      </c>
      <c r="K27" s="71">
        <f>K28</f>
        <v>5</v>
      </c>
      <c r="L27" s="71">
        <f>L28</f>
        <v>5.76</v>
      </c>
      <c r="M27" s="71">
        <f>M28</f>
        <v>18</v>
      </c>
      <c r="N27" s="120" t="s">
        <v>1403</v>
      </c>
      <c r="O27" s="167">
        <v>4</v>
      </c>
      <c r="P27" s="67">
        <f ca="1" t="shared" si="1"/>
        <v>1798.784168</v>
      </c>
      <c r="Q27" s="27"/>
      <c r="R27" s="67">
        <f t="shared" si="2"/>
        <v>0</v>
      </c>
      <c r="S27" s="67">
        <f ca="1" t="shared" si="3"/>
        <v>0</v>
      </c>
    </row>
    <row r="28" ht="15.95" customHeight="1" spans="1:19">
      <c r="A28" s="155"/>
      <c r="B28" s="91" t="s">
        <v>1370</v>
      </c>
      <c r="C28" s="23"/>
      <c r="D28" s="23" t="s">
        <v>664</v>
      </c>
      <c r="E28" s="24">
        <f>A3*2</f>
        <v>4</v>
      </c>
      <c r="F28" s="101">
        <f ca="1">I28+J28+K28+L28+M28</f>
        <v>376.49012</v>
      </c>
      <c r="G28" s="156">
        <v>5.2</v>
      </c>
      <c r="H28" s="157">
        <v>3.97</v>
      </c>
      <c r="I28" s="101">
        <f ca="1">G28*H28*'10变12米（人字88料）参数'!E14*1.1+15</f>
        <v>339.73012</v>
      </c>
      <c r="J28" s="71">
        <f>4*2</f>
        <v>8</v>
      </c>
      <c r="K28" s="71">
        <f>0.5*10</f>
        <v>5</v>
      </c>
      <c r="L28" s="71">
        <f>0.32*18</f>
        <v>5.76</v>
      </c>
      <c r="M28" s="71">
        <f>18*1</f>
        <v>18</v>
      </c>
      <c r="N28" s="120" t="s">
        <v>1371</v>
      </c>
      <c r="O28" s="167">
        <v>2</v>
      </c>
      <c r="P28" s="67">
        <f ca="1" t="shared" si="1"/>
        <v>752.98024</v>
      </c>
      <c r="Q28" s="27"/>
      <c r="R28" s="67">
        <f t="shared" si="2"/>
        <v>2</v>
      </c>
      <c r="S28" s="67">
        <f ca="1" t="shared" si="3"/>
        <v>752.98024</v>
      </c>
    </row>
    <row r="29" ht="15.95" customHeight="1" spans="1:19">
      <c r="A29" s="20" t="s">
        <v>1235</v>
      </c>
      <c r="B29" s="138" t="s">
        <v>583</v>
      </c>
      <c r="C29" s="23"/>
      <c r="D29" s="23" t="s">
        <v>434</v>
      </c>
      <c r="E29" s="24">
        <f>D3*10+F3*2+E20*2</f>
        <v>44</v>
      </c>
      <c r="F29" s="101">
        <v>2.15</v>
      </c>
      <c r="G29" s="154"/>
      <c r="H29" s="154"/>
      <c r="I29" s="101"/>
      <c r="J29" s="101"/>
      <c r="K29" s="101"/>
      <c r="L29" s="101"/>
      <c r="M29" s="101"/>
      <c r="N29" s="120" t="s">
        <v>1372</v>
      </c>
      <c r="O29" s="167">
        <v>34</v>
      </c>
      <c r="P29" s="67">
        <f ca="1" t="shared" si="1"/>
        <v>73.1</v>
      </c>
      <c r="Q29" s="27">
        <v>0.105</v>
      </c>
      <c r="R29" s="67">
        <f t="shared" si="2"/>
        <v>10</v>
      </c>
      <c r="S29" s="67">
        <f ca="1" t="shared" si="3"/>
        <v>21.5</v>
      </c>
    </row>
    <row r="30" ht="15.95" customHeight="1" spans="1:19">
      <c r="A30" s="20"/>
      <c r="B30" s="109" t="s">
        <v>585</v>
      </c>
      <c r="C30" s="23"/>
      <c r="D30" s="23" t="s">
        <v>434</v>
      </c>
      <c r="E30" s="24">
        <f>D3*2+E20+E13</f>
        <v>16</v>
      </c>
      <c r="F30" s="101">
        <v>2.55</v>
      </c>
      <c r="G30" s="154"/>
      <c r="H30" s="154"/>
      <c r="I30" s="101"/>
      <c r="J30" s="101"/>
      <c r="K30" s="101"/>
      <c r="L30" s="101"/>
      <c r="M30" s="101"/>
      <c r="N30" s="120" t="s">
        <v>1373</v>
      </c>
      <c r="O30" s="172">
        <v>14</v>
      </c>
      <c r="P30" s="67">
        <f ca="1" t="shared" si="1"/>
        <v>35.7</v>
      </c>
      <c r="Q30" s="27">
        <v>0.25</v>
      </c>
      <c r="R30" s="67">
        <f t="shared" si="2"/>
        <v>2</v>
      </c>
      <c r="S30" s="67">
        <f ca="1" t="shared" si="3"/>
        <v>5.1</v>
      </c>
    </row>
    <row r="31" ht="15.95" customHeight="1" spans="1:19">
      <c r="A31" s="20"/>
      <c r="B31" s="159" t="s">
        <v>1374</v>
      </c>
      <c r="C31" s="43"/>
      <c r="D31" s="43" t="s">
        <v>434</v>
      </c>
      <c r="E31" s="44">
        <f>D3*2+4</f>
        <v>10</v>
      </c>
      <c r="F31" s="39">
        <v>1.95</v>
      </c>
      <c r="G31" s="160"/>
      <c r="H31" s="160"/>
      <c r="I31" s="39"/>
      <c r="J31" s="39"/>
      <c r="K31" s="39"/>
      <c r="L31" s="39"/>
      <c r="M31" s="39"/>
      <c r="N31" s="120" t="s">
        <v>1375</v>
      </c>
      <c r="O31" s="167">
        <v>8</v>
      </c>
      <c r="P31" s="67">
        <f ca="1" t="shared" si="1"/>
        <v>15.6</v>
      </c>
      <c r="Q31" s="27">
        <v>0.28</v>
      </c>
      <c r="R31" s="67">
        <f t="shared" si="2"/>
        <v>2</v>
      </c>
      <c r="S31" s="67">
        <f ca="1" t="shared" si="3"/>
        <v>3.9</v>
      </c>
    </row>
    <row r="32" ht="15.95" customHeight="1" spans="1:19">
      <c r="A32" s="20"/>
      <c r="B32" s="109" t="s">
        <v>554</v>
      </c>
      <c r="C32" s="23"/>
      <c r="D32" s="23" t="s">
        <v>555</v>
      </c>
      <c r="E32" s="28">
        <f>E18+E19+E13</f>
        <v>13</v>
      </c>
      <c r="F32" s="101">
        <v>1.46</v>
      </c>
      <c r="G32" s="154"/>
      <c r="H32" s="154"/>
      <c r="I32" s="101"/>
      <c r="J32" s="101"/>
      <c r="K32" s="101"/>
      <c r="L32" s="101"/>
      <c r="M32" s="101"/>
      <c r="N32" s="120" t="s">
        <v>1376</v>
      </c>
      <c r="O32" s="167">
        <v>11</v>
      </c>
      <c r="P32" s="67">
        <f ca="1" t="shared" si="1"/>
        <v>16.06</v>
      </c>
      <c r="Q32" s="27"/>
      <c r="R32" s="67">
        <f t="shared" si="2"/>
        <v>2</v>
      </c>
      <c r="S32" s="67">
        <f ca="1" t="shared" si="3"/>
        <v>2.92</v>
      </c>
    </row>
    <row r="33" spans="15:19">
      <c r="O33" s="84" t="s">
        <v>1218</v>
      </c>
      <c r="P33" s="3">
        <f ca="1">SUM(P6:P32)</f>
        <v>16981.2483506752</v>
      </c>
      <c r="R33" s="84" t="s">
        <v>1219</v>
      </c>
      <c r="S33" s="3">
        <f ca="1">SUM(S6:S32)</f>
        <v>7063.9601669888</v>
      </c>
    </row>
    <row r="34" spans="2:2">
      <c r="B34" s="50" t="s">
        <v>1221</v>
      </c>
    </row>
    <row r="35" spans="15:16">
      <c r="O35" s="50" t="s">
        <v>1377</v>
      </c>
      <c r="P35" s="3">
        <f ca="1">P33+S33</f>
        <v>24045.208517664</v>
      </c>
    </row>
    <row r="36" ht="31.5" spans="2:16">
      <c r="B36" s="230" t="s">
        <v>1378</v>
      </c>
      <c r="C36" s="230"/>
      <c r="D36" s="229"/>
      <c r="E36" s="229"/>
      <c r="F36" s="229"/>
      <c r="G36" s="52"/>
      <c r="H36" s="52"/>
      <c r="I36" s="52"/>
      <c r="J36" s="52"/>
      <c r="K36" s="52"/>
      <c r="L36" s="52"/>
      <c r="M36" s="52"/>
      <c r="O36" s="50" t="s">
        <v>14</v>
      </c>
      <c r="P36" s="3">
        <f ca="1">P35/E2</f>
        <v>200.3767376472</v>
      </c>
    </row>
    <row r="37" ht="18.75" spans="2:13">
      <c r="B37" s="231" t="s">
        <v>1379</v>
      </c>
      <c r="C37" s="231"/>
      <c r="D37" s="54"/>
      <c r="E37" s="54"/>
      <c r="F37" s="54"/>
      <c r="G37" s="53"/>
      <c r="H37" s="53"/>
      <c r="I37" s="53"/>
      <c r="J37" s="53"/>
      <c r="K37" s="53"/>
      <c r="L37" s="53"/>
      <c r="M37" s="53"/>
    </row>
    <row r="38" ht="18.75" spans="2:13">
      <c r="B38" s="231" t="s">
        <v>1380</v>
      </c>
      <c r="C38" s="231" t="s">
        <v>1381</v>
      </c>
      <c r="D38" s="54"/>
      <c r="E38" s="54"/>
      <c r="F38" s="54"/>
      <c r="G38" s="53"/>
      <c r="H38" s="53"/>
      <c r="I38" s="53"/>
      <c r="J38" s="53"/>
      <c r="K38" s="53"/>
      <c r="L38" s="53"/>
      <c r="M38" s="53"/>
    </row>
    <row r="39" ht="18.75" spans="2:13">
      <c r="B39" s="231">
        <v>3.58</v>
      </c>
      <c r="C39" s="231">
        <v>4.58</v>
      </c>
      <c r="D39" s="54"/>
      <c r="E39" s="54"/>
      <c r="F39" s="54"/>
      <c r="G39" s="53"/>
      <c r="H39" s="53"/>
      <c r="I39" s="53"/>
      <c r="J39" s="53"/>
      <c r="K39" s="53"/>
      <c r="L39" s="53"/>
      <c r="M39" s="53"/>
    </row>
    <row r="40" ht="18.75" spans="2:13">
      <c r="B40" s="231" t="s">
        <v>1382</v>
      </c>
      <c r="C40" s="231"/>
      <c r="D40" s="54"/>
      <c r="E40" s="54"/>
      <c r="F40" s="54"/>
      <c r="G40" s="53"/>
      <c r="H40" s="53"/>
      <c r="I40" s="53"/>
      <c r="J40" s="53"/>
      <c r="K40" s="53"/>
      <c r="L40" s="53"/>
      <c r="M40" s="53"/>
    </row>
    <row r="41" ht="18.75" spans="2:13">
      <c r="B41" s="231" t="s">
        <v>1380</v>
      </c>
      <c r="C41" s="231" t="s">
        <v>1381</v>
      </c>
      <c r="D41" s="54"/>
      <c r="E41" s="54"/>
      <c r="F41" s="54"/>
      <c r="G41" s="53"/>
      <c r="H41" s="53"/>
      <c r="I41" s="53"/>
      <c r="J41" s="53"/>
      <c r="K41" s="53"/>
      <c r="L41" s="53"/>
      <c r="M41" s="53"/>
    </row>
    <row r="42" ht="18.75" spans="2:13">
      <c r="B42" s="232">
        <v>5</v>
      </c>
      <c r="C42" s="232">
        <v>6</v>
      </c>
      <c r="D42" s="54"/>
      <c r="E42" s="54"/>
      <c r="F42" s="54"/>
      <c r="G42" s="53"/>
      <c r="H42" s="53"/>
      <c r="I42" s="53"/>
      <c r="J42" s="53"/>
      <c r="K42" s="53"/>
      <c r="L42" s="53"/>
      <c r="M42" s="53"/>
    </row>
    <row r="43" ht="18.75" spans="2:13">
      <c r="B43" s="231" t="s">
        <v>1383</v>
      </c>
      <c r="C43" s="231"/>
      <c r="D43" s="54"/>
      <c r="E43" s="54"/>
      <c r="F43" s="54"/>
      <c r="G43" s="53"/>
      <c r="H43" s="53"/>
      <c r="I43" s="53"/>
      <c r="J43" s="53"/>
      <c r="K43" s="53"/>
      <c r="L43" s="53"/>
      <c r="M43" s="53"/>
    </row>
    <row r="44" ht="18.75" spans="2:3">
      <c r="B44" s="231" t="s">
        <v>1380</v>
      </c>
      <c r="C44" s="231" t="s">
        <v>1381</v>
      </c>
    </row>
    <row r="45" ht="18.75" spans="2:3">
      <c r="B45" s="233">
        <v>3.97</v>
      </c>
      <c r="C45" s="233">
        <v>4.97</v>
      </c>
    </row>
    <row r="46" ht="20.1" customHeight="1" spans="2:3">
      <c r="B46" s="234" t="s">
        <v>1384</v>
      </c>
      <c r="C46" s="234"/>
    </row>
    <row r="47" ht="37.5" spans="2:3">
      <c r="B47" s="235" t="s">
        <v>1385</v>
      </c>
      <c r="C47" s="235" t="s">
        <v>1386</v>
      </c>
    </row>
    <row r="48" ht="18.75" spans="2:3">
      <c r="B48" s="236">
        <v>95</v>
      </c>
      <c r="C48" s="236">
        <v>110.8</v>
      </c>
    </row>
  </sheetData>
  <mergeCells count="17">
    <mergeCell ref="A1:N1"/>
    <mergeCell ref="A2:C2"/>
    <mergeCell ref="F2:N2"/>
    <mergeCell ref="A3:B3"/>
    <mergeCell ref="I3:M3"/>
    <mergeCell ref="A4:F4"/>
    <mergeCell ref="G4:H4"/>
    <mergeCell ref="I4:M4"/>
    <mergeCell ref="B36:C36"/>
    <mergeCell ref="B37:C37"/>
    <mergeCell ref="B40:C40"/>
    <mergeCell ref="B43:C43"/>
    <mergeCell ref="B46:C46"/>
    <mergeCell ref="A6:A16"/>
    <mergeCell ref="A17:A24"/>
    <mergeCell ref="A25:A28"/>
    <mergeCell ref="A29:A32"/>
  </mergeCells>
  <dataValidations count="4">
    <dataValidation type="list" allowBlank="1" showInputMessage="1" showErrorMessage="1" sqref="B25">
      <formula1>"顶布[白]{全新},顶布[白]{A类},顶布[白]{B类},顶布[白]{C类},顶布[白]{D类}"</formula1>
    </dataValidation>
    <dataValidation type="list" allowBlank="1" showInputMessage="1" showErrorMessage="1" sqref="B26">
      <formula1>"山尖布[白]{全新},山尖布[白]{A类},山尖布[白]{B类},山尖布[白]{C类},山尖布[白]{D类}"</formula1>
    </dataValidation>
    <dataValidation allowBlank="1" showInputMessage="1" showErrorMessage="1" sqref="B27"/>
    <dataValidation type="list" allowBlank="1" showInputMessage="1" showErrorMessage="1" sqref="B28">
      <formula1>"围布[白]{全新},围布[白]{A类},围布[白]{B类},围布[白]{C类},围布[白]{D类},透光窗围布[白]{全新},透光窗围布[白]{A类},透光窗围布[白]{B类},透光窗围布[白]{C类},透光窗围布[白]{D类}"</formula1>
    </dataValidation>
  </dataValidations>
  <printOptions horizontalCentered="1"/>
  <pageMargins left="0.238888888888889" right="0.11875" top="0.159027777777778" bottom="0.259027777777778" header="0.159027777777778" footer="0.2"/>
  <pageSetup paperSize="9" orientation="portrait"/>
  <headerFooter alignWithMargins="0" scaleWithDoc="0">
    <oddFooter>&amp;L&amp;"SimSun"&amp;9&amp;C&amp;"SimSun"&amp;9第 &amp;P 页，共 &amp;N 页&amp;R&amp;"SimSun"&amp;9</oddFooter>
  </headerFooter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7030A0"/>
  </sheetPr>
  <dimension ref="A1:L27"/>
  <sheetViews>
    <sheetView showGridLines="0" workbookViewId="0">
      <selection activeCell="E31" sqref="E31"/>
    </sheetView>
  </sheetViews>
  <sheetFormatPr defaultColWidth="9" defaultRowHeight="14.25"/>
  <cols>
    <col min="1" max="1" width="21.125" style="1" customWidth="1"/>
    <col min="2" max="2" width="19.125" style="1" customWidth="1"/>
    <col min="3" max="3" width="15.5" style="1" customWidth="1"/>
    <col min="4" max="4" width="11.375" style="1" customWidth="1"/>
    <col min="5" max="5" width="10.5" style="1" customWidth="1"/>
    <col min="6" max="6" width="9" style="1"/>
    <col min="7" max="7" width="12.625" style="1" customWidth="1"/>
    <col min="8" max="16384" width="9" style="1"/>
  </cols>
  <sheetData>
    <row r="1" spans="1:4">
      <c r="A1" s="2" t="str">
        <f ca="1">'数据修改（批量）'!A1</f>
        <v>上海有色铝锭价格</v>
      </c>
      <c r="B1" s="2"/>
      <c r="C1" s="2"/>
      <c r="D1" s="3"/>
    </row>
    <row r="2" spans="1:7">
      <c r="A2" s="4">
        <f ca="1">'数据修改（批量）'!A2</f>
        <v>16200</v>
      </c>
      <c r="B2" s="2" t="str">
        <f ca="1">'数据修改（批量）'!B2</f>
        <v>项目</v>
      </c>
      <c r="C2" s="2" t="str">
        <f ca="1">'数据修改（批量）'!C2</f>
        <v>加工费</v>
      </c>
      <c r="D2" s="2" t="str">
        <f ca="1">'数据修改（批量）'!D2</f>
        <v>包装物</v>
      </c>
      <c r="E2" s="2" t="str">
        <f ca="1">'数据修改（批量）'!E2</f>
        <v>运费</v>
      </c>
      <c r="F2" s="2" t="str">
        <f ca="1">'数据修改（批量）'!F2</f>
        <v>单价</v>
      </c>
      <c r="G2" s="2" t="str">
        <f ca="1">'数据修改（批量）'!G2</f>
        <v>每公斤价格</v>
      </c>
    </row>
    <row r="3" spans="1:7">
      <c r="A3" s="2"/>
      <c r="B3" s="2" t="str">
        <f ca="1">'数据修改（批量）'!B3</f>
        <v>203料</v>
      </c>
      <c r="C3" s="2">
        <f ca="1">'数据修改（批量）'!C3</f>
        <v>5500</v>
      </c>
      <c r="D3" s="2">
        <f ca="1">'数据修改（批量）'!D3</f>
        <v>868</v>
      </c>
      <c r="E3" s="2">
        <f ca="1">'数据修改（批量）'!E3</f>
        <v>80</v>
      </c>
      <c r="F3" s="2">
        <f ca="1">'数据修改（批量）'!F3</f>
        <v>22648</v>
      </c>
      <c r="G3" s="2">
        <f ca="1">'数据修改（批量）'!G3</f>
        <v>22.648</v>
      </c>
    </row>
    <row r="4" spans="1:7">
      <c r="A4" s="2"/>
      <c r="B4" s="2" t="str">
        <f ca="1">'数据修改（批量）'!B4</f>
        <v>203料氧化</v>
      </c>
      <c r="C4" s="2">
        <f ca="1">'数据修改（批量）'!C4</f>
        <v>6000</v>
      </c>
      <c r="D4" s="2">
        <f ca="1">'数据修改（批量）'!D4</f>
        <v>888</v>
      </c>
      <c r="E4" s="2">
        <f ca="1">'数据修改（批量）'!E4</f>
        <v>80</v>
      </c>
      <c r="F4" s="2">
        <f ca="1">'数据修改（批量）'!F4</f>
        <v>23168</v>
      </c>
      <c r="G4" s="2">
        <f ca="1">'数据修改（批量）'!G4</f>
        <v>23.168</v>
      </c>
    </row>
    <row r="5" spans="2:7">
      <c r="B5" s="2" t="str">
        <f ca="1">'数据修改（批量）'!B5</f>
        <v>小料加工费</v>
      </c>
      <c r="C5" s="2">
        <f ca="1">'数据修改（批量）'!C5</f>
        <v>4500</v>
      </c>
      <c r="D5" s="2">
        <f ca="1">'数据修改（批量）'!D5</f>
        <v>828</v>
      </c>
      <c r="E5" s="2">
        <f ca="1">'数据修改（批量）'!E5</f>
        <v>80</v>
      </c>
      <c r="F5" s="2">
        <f ca="1">'数据修改（批量）'!F5</f>
        <v>21608</v>
      </c>
      <c r="G5" s="2">
        <f ca="1">'数据修改（批量）'!G5</f>
        <v>21.608</v>
      </c>
    </row>
    <row r="6" spans="1:4">
      <c r="A6" s="2" t="str">
        <f ca="1">'数据修改（批量）'!A6</f>
        <v>南海有色铝锭价格</v>
      </c>
      <c r="D6" s="5"/>
    </row>
    <row r="7" spans="1:1">
      <c r="A7" s="4">
        <f ca="1">'数据修改（批量）'!A7</f>
        <v>16600</v>
      </c>
    </row>
    <row r="8" spans="2:7">
      <c r="B8" s="2" t="str">
        <f ca="1">'数据修改（批量）'!B8</f>
        <v>项目</v>
      </c>
      <c r="C8" s="2" t="str">
        <f ca="1">'数据修改（批量）'!C8</f>
        <v>加工费</v>
      </c>
      <c r="D8" s="2" t="str">
        <f ca="1">'数据修改（批量）'!D8</f>
        <v>包装物</v>
      </c>
      <c r="E8" s="2" t="str">
        <f ca="1">'数据修改（批量）'!E8</f>
        <v>运费</v>
      </c>
      <c r="F8" s="2" t="str">
        <f ca="1">'数据修改（批量）'!F8</f>
        <v>单价</v>
      </c>
      <c r="G8" s="2" t="str">
        <f ca="1">'数据修改（批量）'!G8</f>
        <v>每公斤价格</v>
      </c>
    </row>
    <row r="9" spans="2:7">
      <c r="B9" s="2" t="str">
        <f ca="1">'数据修改（批量）'!B9</f>
        <v>300/350料8米以上</v>
      </c>
      <c r="C9" s="2">
        <f ca="1">'数据修改（批量）'!C9</f>
        <v>7800</v>
      </c>
      <c r="D9" s="2">
        <f ca="1">'数据修改（批量）'!D9</f>
        <v>976</v>
      </c>
      <c r="E9" s="2">
        <f ca="1">'数据修改（批量）'!E9</f>
        <v>1000</v>
      </c>
      <c r="F9" s="2">
        <f ca="1">'数据修改（批量）'!F9</f>
        <v>26376</v>
      </c>
      <c r="G9" s="2">
        <f ca="1">'数据修改（批量）'!G9</f>
        <v>26.376</v>
      </c>
    </row>
    <row r="10" spans="2:7">
      <c r="B10" s="2" t="str">
        <f ca="1">'数据修改（批量）'!B10</f>
        <v>300/350料8米以下</v>
      </c>
      <c r="C10" s="2">
        <f ca="1">'数据修改（批量）'!C10</f>
        <v>7100</v>
      </c>
      <c r="D10" s="2">
        <f ca="1">'数据修改（批量）'!D10</f>
        <v>948</v>
      </c>
      <c r="E10" s="2">
        <f ca="1">'数据修改（批量）'!E10</f>
        <v>1000</v>
      </c>
      <c r="F10" s="2">
        <f ca="1">'数据修改（批量）'!F10</f>
        <v>25648</v>
      </c>
      <c r="G10" s="2">
        <f ca="1">'数据修改（批量）'!G10</f>
        <v>25.648</v>
      </c>
    </row>
    <row r="12" spans="1:4">
      <c r="A12" s="2" t="str">
        <f ca="1">'数据修改（批量）'!A12</f>
        <v>篷布</v>
      </c>
      <c r="B12" s="2"/>
      <c r="C12" s="2"/>
      <c r="D12" s="3"/>
    </row>
    <row r="13" spans="1:7">
      <c r="A13" s="2"/>
      <c r="B13" s="2" t="str">
        <f ca="1">'数据修改（批量）'!B13</f>
        <v>项目</v>
      </c>
      <c r="C13" s="2" t="str">
        <f ca="1">'数据修改（批量）'!C13</f>
        <v>运费</v>
      </c>
      <c r="D13" s="2" t="str">
        <f ca="1">'数据修改（批量）'!D13</f>
        <v>单价</v>
      </c>
      <c r="E13" s="2" t="str">
        <f ca="1">'数据修改（批量）'!E13</f>
        <v>每平价格</v>
      </c>
      <c r="F13" s="2"/>
      <c r="G13" s="2"/>
    </row>
    <row r="14" spans="1:7">
      <c r="A14" s="2"/>
      <c r="B14" s="2">
        <f ca="1">'数据修改（批量）'!B14</f>
        <v>650</v>
      </c>
      <c r="C14" s="2">
        <f ca="1">'数据修改（批量）'!C14</f>
        <v>0.5</v>
      </c>
      <c r="D14" s="4">
        <f ca="1">'数据修改（批量）'!D14</f>
        <v>13.8</v>
      </c>
      <c r="E14" s="2">
        <f ca="1">'数据修改（批量）'!E14</f>
        <v>14.3</v>
      </c>
      <c r="F14" s="2"/>
      <c r="G14" s="2"/>
    </row>
    <row r="15" spans="1:7">
      <c r="A15" s="2"/>
      <c r="B15" s="2">
        <f ca="1">'数据修改（批量）'!B15</f>
        <v>780</v>
      </c>
      <c r="C15" s="2">
        <f ca="1">'数据修改（批量）'!C15</f>
        <v>0.5</v>
      </c>
      <c r="D15" s="4">
        <f ca="1">'数据修改（批量）'!D15</f>
        <v>16.8</v>
      </c>
      <c r="E15" s="2">
        <f ca="1">'数据修改（批量）'!E15</f>
        <v>17.3</v>
      </c>
      <c r="F15" s="2"/>
      <c r="G15" s="2"/>
    </row>
    <row r="16" spans="2:7">
      <c r="B16" s="2">
        <f ca="1">'数据修改（批量）'!B16</f>
        <v>850</v>
      </c>
      <c r="C16" s="2">
        <f ca="1">'数据修改（批量）'!C16</f>
        <v>0.5</v>
      </c>
      <c r="D16" s="4">
        <f ca="1">'数据修改（批量）'!D16</f>
        <v>18</v>
      </c>
      <c r="E16" s="2">
        <f ca="1">'数据修改（批量）'!E16</f>
        <v>18.5</v>
      </c>
      <c r="F16" s="2"/>
      <c r="G16" s="2"/>
    </row>
    <row r="21" spans="1:7">
      <c r="A21" s="6" t="str">
        <f ca="1">'数据修改（批量）'!A21</f>
        <v>说明：黄色部分可以根据价格修改</v>
      </c>
      <c r="B21" s="6"/>
      <c r="C21" s="6"/>
      <c r="D21" s="6"/>
      <c r="E21" s="6"/>
      <c r="F21" s="6"/>
      <c r="G21" s="6"/>
    </row>
    <row r="27" spans="12:12">
      <c r="L27" s="1">
        <f>20*0.08</f>
        <v>1.6</v>
      </c>
    </row>
  </sheetData>
  <mergeCells count="1">
    <mergeCell ref="A21:G21"/>
  </mergeCells>
  <pageMargins left="0.75" right="0.75" top="1" bottom="1" header="0.509027777777778" footer="0.509027777777778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101"/>
  <sheetViews>
    <sheetView showGridLines="0" topLeftCell="A61" workbookViewId="0">
      <selection activeCell="B68" sqref="B68:C68"/>
    </sheetView>
  </sheetViews>
  <sheetFormatPr defaultColWidth="9" defaultRowHeight="13.5" outlineLevelCol="5"/>
  <cols>
    <col min="1" max="1" width="10.625" style="323" customWidth="1"/>
    <col min="2" max="2" width="10.625" style="332" customWidth="1"/>
    <col min="3" max="3" width="33.375" customWidth="1"/>
    <col min="4" max="4" width="22.125" customWidth="1"/>
  </cols>
  <sheetData>
    <row r="1" ht="18.75" spans="1:6">
      <c r="A1" s="315" t="s">
        <v>17</v>
      </c>
      <c r="B1" s="316"/>
      <c r="C1" s="317"/>
      <c r="D1" s="317"/>
      <c r="E1" s="317"/>
      <c r="F1" s="318"/>
    </row>
    <row r="2" spans="1:6">
      <c r="A2" s="319" t="s">
        <v>18</v>
      </c>
      <c r="B2" s="319" t="s">
        <v>19</v>
      </c>
      <c r="C2" s="319" t="s">
        <v>20</v>
      </c>
      <c r="D2" s="319" t="s">
        <v>21</v>
      </c>
      <c r="E2" s="319" t="s">
        <v>22</v>
      </c>
      <c r="F2" s="320" t="s">
        <v>23</v>
      </c>
    </row>
    <row r="3" spans="1:6">
      <c r="A3" s="321" t="s">
        <v>609</v>
      </c>
      <c r="B3" s="23" t="s">
        <v>610</v>
      </c>
      <c r="C3" s="91" t="s">
        <v>611</v>
      </c>
      <c r="D3" s="91"/>
      <c r="E3" s="23" t="s">
        <v>612</v>
      </c>
      <c r="F3" s="322">
        <v>1</v>
      </c>
    </row>
    <row r="4" spans="1:6">
      <c r="A4" s="321"/>
      <c r="B4" s="23" t="s">
        <v>613</v>
      </c>
      <c r="C4" s="91" t="s">
        <v>614</v>
      </c>
      <c r="D4" s="91"/>
      <c r="E4" s="23" t="s">
        <v>612</v>
      </c>
      <c r="F4" s="322">
        <v>1</v>
      </c>
    </row>
    <row r="5" spans="1:6">
      <c r="A5" s="321"/>
      <c r="B5" s="23" t="s">
        <v>615</v>
      </c>
      <c r="C5" s="91" t="s">
        <v>616</v>
      </c>
      <c r="D5" s="91"/>
      <c r="E5" s="23" t="s">
        <v>612</v>
      </c>
      <c r="F5" s="322">
        <v>1</v>
      </c>
    </row>
    <row r="6" spans="1:6">
      <c r="A6" s="321"/>
      <c r="B6" s="23" t="s">
        <v>617</v>
      </c>
      <c r="C6" s="91" t="s">
        <v>618</v>
      </c>
      <c r="D6" s="91"/>
      <c r="E6" s="23" t="s">
        <v>612</v>
      </c>
      <c r="F6" s="322">
        <v>1</v>
      </c>
    </row>
    <row r="7" spans="1:6">
      <c r="A7" s="321"/>
      <c r="B7" s="23" t="s">
        <v>619</v>
      </c>
      <c r="C7" s="91" t="s">
        <v>620</v>
      </c>
      <c r="D7" s="91"/>
      <c r="E7" s="23" t="s">
        <v>612</v>
      </c>
      <c r="F7" s="322">
        <v>1</v>
      </c>
    </row>
    <row r="8" spans="1:6">
      <c r="A8" s="321"/>
      <c r="B8" s="23" t="s">
        <v>621</v>
      </c>
      <c r="C8" s="91" t="s">
        <v>622</v>
      </c>
      <c r="D8" s="91"/>
      <c r="E8" s="23" t="s">
        <v>612</v>
      </c>
      <c r="F8" s="322">
        <v>1</v>
      </c>
    </row>
    <row r="9" spans="1:6">
      <c r="A9" s="321"/>
      <c r="B9" s="23" t="s">
        <v>623</v>
      </c>
      <c r="C9" s="91" t="s">
        <v>624</v>
      </c>
      <c r="D9" s="91"/>
      <c r="E9" s="23" t="s">
        <v>612</v>
      </c>
      <c r="F9" s="322">
        <v>1</v>
      </c>
    </row>
    <row r="10" spans="1:6">
      <c r="A10" s="321"/>
      <c r="B10" s="23" t="s">
        <v>625</v>
      </c>
      <c r="C10" s="91" t="s">
        <v>626</v>
      </c>
      <c r="D10" s="91"/>
      <c r="E10" s="23" t="s">
        <v>612</v>
      </c>
      <c r="F10" s="322">
        <v>1</v>
      </c>
    </row>
    <row r="11" spans="1:6">
      <c r="A11" s="321"/>
      <c r="B11" s="23" t="s">
        <v>627</v>
      </c>
      <c r="C11" s="91" t="s">
        <v>628</v>
      </c>
      <c r="D11" s="91"/>
      <c r="E11" s="23" t="s">
        <v>612</v>
      </c>
      <c r="F11" s="322">
        <v>1</v>
      </c>
    </row>
    <row r="12" spans="1:6">
      <c r="A12" s="321"/>
      <c r="B12" s="23" t="s">
        <v>629</v>
      </c>
      <c r="C12" s="91" t="s">
        <v>630</v>
      </c>
      <c r="D12" s="91"/>
      <c r="E12" s="23" t="s">
        <v>612</v>
      </c>
      <c r="F12" s="322">
        <v>1</v>
      </c>
    </row>
    <row r="13" spans="1:6">
      <c r="A13" s="321"/>
      <c r="B13" s="23" t="s">
        <v>631</v>
      </c>
      <c r="C13" s="91" t="s">
        <v>632</v>
      </c>
      <c r="D13" s="91"/>
      <c r="E13" s="23" t="s">
        <v>612</v>
      </c>
      <c r="F13" s="322">
        <v>1</v>
      </c>
    </row>
    <row r="14" spans="1:6">
      <c r="A14" s="321"/>
      <c r="B14" s="23" t="s">
        <v>633</v>
      </c>
      <c r="C14" s="91" t="s">
        <v>634</v>
      </c>
      <c r="D14" s="91"/>
      <c r="E14" s="23" t="s">
        <v>612</v>
      </c>
      <c r="F14" s="322">
        <v>1</v>
      </c>
    </row>
    <row r="15" spans="1:6">
      <c r="A15" s="321"/>
      <c r="B15" s="23" t="s">
        <v>635</v>
      </c>
      <c r="C15" s="91" t="s">
        <v>636</v>
      </c>
      <c r="D15" s="91"/>
      <c r="E15" s="23" t="s">
        <v>612</v>
      </c>
      <c r="F15" s="322">
        <v>1</v>
      </c>
    </row>
    <row r="16" spans="1:6">
      <c r="A16" s="321"/>
      <c r="B16" s="23" t="s">
        <v>637</v>
      </c>
      <c r="C16" s="91" t="s">
        <v>638</v>
      </c>
      <c r="D16" s="91"/>
      <c r="E16" s="23" t="s">
        <v>612</v>
      </c>
      <c r="F16" s="322">
        <v>1</v>
      </c>
    </row>
    <row r="17" spans="1:6">
      <c r="A17" s="321"/>
      <c r="B17" s="23" t="s">
        <v>639</v>
      </c>
      <c r="C17" s="91" t="s">
        <v>640</v>
      </c>
      <c r="D17" s="91"/>
      <c r="E17" s="23" t="s">
        <v>612</v>
      </c>
      <c r="F17" s="322">
        <v>1</v>
      </c>
    </row>
    <row r="18" spans="1:6">
      <c r="A18" s="321"/>
      <c r="B18" s="23" t="s">
        <v>641</v>
      </c>
      <c r="C18" s="91" t="s">
        <v>642</v>
      </c>
      <c r="D18" s="91"/>
      <c r="E18" s="23" t="s">
        <v>612</v>
      </c>
      <c r="F18" s="322">
        <v>1</v>
      </c>
    </row>
    <row r="19" spans="1:6">
      <c r="A19" s="321"/>
      <c r="B19" s="23" t="s">
        <v>643</v>
      </c>
      <c r="C19" s="91" t="s">
        <v>644</v>
      </c>
      <c r="D19" s="91"/>
      <c r="E19" s="23" t="s">
        <v>612</v>
      </c>
      <c r="F19" s="322">
        <v>1</v>
      </c>
    </row>
    <row r="20" spans="1:6">
      <c r="A20" s="321"/>
      <c r="B20" s="23" t="s">
        <v>645</v>
      </c>
      <c r="C20" s="91" t="s">
        <v>646</v>
      </c>
      <c r="D20" s="91"/>
      <c r="E20" s="23" t="s">
        <v>612</v>
      </c>
      <c r="F20" s="322">
        <v>1</v>
      </c>
    </row>
    <row r="21" spans="1:6">
      <c r="A21" s="321"/>
      <c r="B21" s="23" t="s">
        <v>647</v>
      </c>
      <c r="C21" s="91" t="s">
        <v>648</v>
      </c>
      <c r="D21" s="91"/>
      <c r="E21" s="23" t="s">
        <v>612</v>
      </c>
      <c r="F21" s="322">
        <v>1</v>
      </c>
    </row>
    <row r="22" spans="1:6">
      <c r="A22" s="321"/>
      <c r="B22" s="23" t="s">
        <v>649</v>
      </c>
      <c r="C22" s="91" t="s">
        <v>650</v>
      </c>
      <c r="D22" s="91"/>
      <c r="E22" s="23" t="s">
        <v>612</v>
      </c>
      <c r="F22" s="322">
        <v>1</v>
      </c>
    </row>
    <row r="23" spans="1:6">
      <c r="A23" s="321"/>
      <c r="B23" s="23" t="s">
        <v>651</v>
      </c>
      <c r="C23" s="91" t="s">
        <v>652</v>
      </c>
      <c r="D23" s="91"/>
      <c r="E23" s="23" t="s">
        <v>612</v>
      </c>
      <c r="F23" s="322">
        <v>1</v>
      </c>
    </row>
    <row r="24" spans="1:6">
      <c r="A24" s="321"/>
      <c r="B24" s="23" t="s">
        <v>653</v>
      </c>
      <c r="C24" s="91" t="s">
        <v>654</v>
      </c>
      <c r="D24" s="91"/>
      <c r="E24" s="23" t="s">
        <v>612</v>
      </c>
      <c r="F24" s="322">
        <v>1</v>
      </c>
    </row>
    <row r="25" spans="1:6">
      <c r="A25" s="321"/>
      <c r="B25" s="23" t="s">
        <v>655</v>
      </c>
      <c r="C25" s="91" t="s">
        <v>656</v>
      </c>
      <c r="D25" s="91"/>
      <c r="E25" s="23" t="s">
        <v>612</v>
      </c>
      <c r="F25" s="322">
        <v>1</v>
      </c>
    </row>
    <row r="26" spans="1:6">
      <c r="A26" s="321"/>
      <c r="B26" s="23" t="s">
        <v>657</v>
      </c>
      <c r="C26" s="91" t="s">
        <v>658</v>
      </c>
      <c r="D26" s="91"/>
      <c r="E26" s="23" t="s">
        <v>612</v>
      </c>
      <c r="F26" s="322">
        <v>1</v>
      </c>
    </row>
    <row r="27" spans="1:6">
      <c r="A27" s="321"/>
      <c r="B27" s="23" t="s">
        <v>659</v>
      </c>
      <c r="C27" s="91" t="s">
        <v>660</v>
      </c>
      <c r="D27" s="91"/>
      <c r="E27" s="23" t="s">
        <v>612</v>
      </c>
      <c r="F27" s="322">
        <v>1</v>
      </c>
    </row>
    <row r="28" spans="1:6">
      <c r="A28" s="333" t="s">
        <v>661</v>
      </c>
      <c r="B28" s="23" t="s">
        <v>662</v>
      </c>
      <c r="C28" s="91" t="s">
        <v>663</v>
      </c>
      <c r="D28" s="91"/>
      <c r="E28" s="23" t="s">
        <v>664</v>
      </c>
      <c r="F28" s="322">
        <v>1</v>
      </c>
    </row>
    <row r="29" spans="1:6">
      <c r="A29" s="334"/>
      <c r="B29" s="23" t="s">
        <v>665</v>
      </c>
      <c r="C29" s="91" t="s">
        <v>666</v>
      </c>
      <c r="D29" s="91"/>
      <c r="E29" s="23" t="s">
        <v>664</v>
      </c>
      <c r="F29" s="322">
        <v>1</v>
      </c>
    </row>
    <row r="30" spans="1:6">
      <c r="A30" s="334"/>
      <c r="B30" s="23" t="s">
        <v>667</v>
      </c>
      <c r="C30" s="91" t="s">
        <v>668</v>
      </c>
      <c r="D30" s="91"/>
      <c r="E30" s="23" t="s">
        <v>664</v>
      </c>
      <c r="F30" s="322">
        <v>1</v>
      </c>
    </row>
    <row r="31" spans="1:6">
      <c r="A31" s="334"/>
      <c r="B31" s="23" t="s">
        <v>669</v>
      </c>
      <c r="C31" s="91" t="s">
        <v>670</v>
      </c>
      <c r="D31" s="91"/>
      <c r="E31" s="23" t="s">
        <v>664</v>
      </c>
      <c r="F31" s="322">
        <v>1</v>
      </c>
    </row>
    <row r="32" spans="1:6">
      <c r="A32" s="334"/>
      <c r="B32" s="23" t="s">
        <v>671</v>
      </c>
      <c r="C32" s="91" t="s">
        <v>672</v>
      </c>
      <c r="D32" s="91"/>
      <c r="E32" s="23" t="s">
        <v>664</v>
      </c>
      <c r="F32" s="335">
        <v>1</v>
      </c>
    </row>
    <row r="33" spans="1:6">
      <c r="A33" s="334"/>
      <c r="B33" s="23" t="s">
        <v>673</v>
      </c>
      <c r="C33" s="91" t="s">
        <v>674</v>
      </c>
      <c r="D33" s="91"/>
      <c r="E33" s="23" t="s">
        <v>664</v>
      </c>
      <c r="F33" s="335">
        <v>1</v>
      </c>
    </row>
    <row r="34" spans="1:6">
      <c r="A34" s="334"/>
      <c r="B34" s="23" t="s">
        <v>675</v>
      </c>
      <c r="C34" s="91" t="s">
        <v>676</v>
      </c>
      <c r="D34" s="91"/>
      <c r="E34" s="23" t="s">
        <v>664</v>
      </c>
      <c r="F34" s="335">
        <v>1</v>
      </c>
    </row>
    <row r="35" spans="1:6">
      <c r="A35" s="334"/>
      <c r="B35" s="23" t="s">
        <v>677</v>
      </c>
      <c r="C35" s="91" t="s">
        <v>678</v>
      </c>
      <c r="D35" s="91"/>
      <c r="E35" s="23" t="s">
        <v>664</v>
      </c>
      <c r="F35" s="335">
        <v>1</v>
      </c>
    </row>
    <row r="36" spans="1:6">
      <c r="A36" s="334"/>
      <c r="B36" s="23" t="s">
        <v>679</v>
      </c>
      <c r="C36" s="91" t="s">
        <v>680</v>
      </c>
      <c r="D36" s="91"/>
      <c r="E36" s="23" t="s">
        <v>664</v>
      </c>
      <c r="F36" s="335">
        <v>1</v>
      </c>
    </row>
    <row r="37" spans="1:6">
      <c r="A37" s="334"/>
      <c r="B37" s="23" t="s">
        <v>681</v>
      </c>
      <c r="C37" s="91" t="s">
        <v>682</v>
      </c>
      <c r="D37" s="91"/>
      <c r="E37" s="23" t="s">
        <v>664</v>
      </c>
      <c r="F37" s="335">
        <v>1</v>
      </c>
    </row>
    <row r="38" spans="1:6">
      <c r="A38" s="334"/>
      <c r="B38" s="23" t="s">
        <v>683</v>
      </c>
      <c r="C38" s="91" t="s">
        <v>684</v>
      </c>
      <c r="D38" s="91"/>
      <c r="E38" s="23" t="s">
        <v>664</v>
      </c>
      <c r="F38" s="335">
        <v>1</v>
      </c>
    </row>
    <row r="39" spans="1:6">
      <c r="A39" s="334"/>
      <c r="B39" s="23" t="s">
        <v>685</v>
      </c>
      <c r="C39" s="91" t="s">
        <v>686</v>
      </c>
      <c r="D39" s="91"/>
      <c r="E39" s="23" t="s">
        <v>664</v>
      </c>
      <c r="F39" s="335">
        <v>1</v>
      </c>
    </row>
    <row r="40" spans="1:6">
      <c r="A40" s="334"/>
      <c r="B40" s="23" t="s">
        <v>687</v>
      </c>
      <c r="C40" s="91" t="s">
        <v>688</v>
      </c>
      <c r="D40" s="91"/>
      <c r="E40" s="23" t="s">
        <v>664</v>
      </c>
      <c r="F40" s="335">
        <v>1</v>
      </c>
    </row>
    <row r="41" spans="1:6">
      <c r="A41" s="334"/>
      <c r="B41" s="23" t="s">
        <v>689</v>
      </c>
      <c r="C41" s="91" t="s">
        <v>690</v>
      </c>
      <c r="D41" s="91"/>
      <c r="E41" s="23" t="s">
        <v>664</v>
      </c>
      <c r="F41" s="335">
        <v>1</v>
      </c>
    </row>
    <row r="42" spans="1:6">
      <c r="A42" s="334"/>
      <c r="B42" s="23" t="s">
        <v>691</v>
      </c>
      <c r="C42" s="91" t="s">
        <v>692</v>
      </c>
      <c r="D42" s="91"/>
      <c r="E42" s="23" t="s">
        <v>664</v>
      </c>
      <c r="F42" s="335">
        <v>1</v>
      </c>
    </row>
    <row r="43" spans="1:6">
      <c r="A43" s="334"/>
      <c r="B43" s="23" t="s">
        <v>693</v>
      </c>
      <c r="C43" s="91" t="s">
        <v>694</v>
      </c>
      <c r="D43" s="91"/>
      <c r="E43" s="23" t="s">
        <v>664</v>
      </c>
      <c r="F43" s="335">
        <v>1</v>
      </c>
    </row>
    <row r="44" spans="1:6">
      <c r="A44" s="334"/>
      <c r="B44" s="23" t="s">
        <v>695</v>
      </c>
      <c r="C44" s="91" t="s">
        <v>696</v>
      </c>
      <c r="D44" s="91"/>
      <c r="E44" s="23" t="s">
        <v>664</v>
      </c>
      <c r="F44" s="335">
        <v>1</v>
      </c>
    </row>
    <row r="45" spans="1:6">
      <c r="A45" s="334"/>
      <c r="B45" s="23" t="s">
        <v>697</v>
      </c>
      <c r="C45" s="91" t="s">
        <v>698</v>
      </c>
      <c r="D45" s="91"/>
      <c r="E45" s="23" t="s">
        <v>664</v>
      </c>
      <c r="F45" s="335">
        <v>1</v>
      </c>
    </row>
    <row r="46" spans="1:6">
      <c r="A46" s="334"/>
      <c r="B46" s="23" t="s">
        <v>699</v>
      </c>
      <c r="C46" s="91" t="s">
        <v>700</v>
      </c>
      <c r="D46" s="91"/>
      <c r="E46" s="23" t="s">
        <v>664</v>
      </c>
      <c r="F46" s="335">
        <v>1</v>
      </c>
    </row>
    <row r="47" spans="1:6">
      <c r="A47" s="334"/>
      <c r="B47" s="23" t="s">
        <v>701</v>
      </c>
      <c r="C47" s="91" t="s">
        <v>702</v>
      </c>
      <c r="D47" s="91"/>
      <c r="E47" s="23" t="s">
        <v>664</v>
      </c>
      <c r="F47" s="335">
        <v>1</v>
      </c>
    </row>
    <row r="48" spans="1:6">
      <c r="A48" s="334"/>
      <c r="B48" s="23" t="s">
        <v>703</v>
      </c>
      <c r="C48" s="91" t="s">
        <v>704</v>
      </c>
      <c r="D48" s="91"/>
      <c r="E48" s="23" t="s">
        <v>664</v>
      </c>
      <c r="F48" s="335">
        <v>1</v>
      </c>
    </row>
    <row r="49" spans="1:6">
      <c r="A49" s="334"/>
      <c r="B49" s="23" t="s">
        <v>705</v>
      </c>
      <c r="C49" s="91" t="s">
        <v>706</v>
      </c>
      <c r="D49" s="91"/>
      <c r="E49" s="23" t="s">
        <v>664</v>
      </c>
      <c r="F49" s="335">
        <v>1</v>
      </c>
    </row>
    <row r="50" spans="1:6">
      <c r="A50" s="334"/>
      <c r="B50" s="23" t="s">
        <v>707</v>
      </c>
      <c r="C50" s="91" t="s">
        <v>708</v>
      </c>
      <c r="D50" s="91"/>
      <c r="E50" s="23" t="s">
        <v>664</v>
      </c>
      <c r="F50" s="335">
        <v>1</v>
      </c>
    </row>
    <row r="51" spans="1:6">
      <c r="A51" s="334"/>
      <c r="B51" s="23" t="s">
        <v>709</v>
      </c>
      <c r="C51" s="91" t="s">
        <v>710</v>
      </c>
      <c r="D51" s="91"/>
      <c r="E51" s="23" t="s">
        <v>664</v>
      </c>
      <c r="F51" s="335">
        <v>1</v>
      </c>
    </row>
    <row r="52" spans="1:6">
      <c r="A52" s="334"/>
      <c r="B52" s="23" t="s">
        <v>711</v>
      </c>
      <c r="C52" s="91" t="s">
        <v>712</v>
      </c>
      <c r="D52" s="91"/>
      <c r="E52" s="23" t="s">
        <v>664</v>
      </c>
      <c r="F52" s="322">
        <v>1</v>
      </c>
    </row>
    <row r="53" spans="1:6">
      <c r="A53" s="334"/>
      <c r="B53" s="23" t="s">
        <v>713</v>
      </c>
      <c r="C53" s="91" t="s">
        <v>714</v>
      </c>
      <c r="D53" s="91"/>
      <c r="E53" s="23" t="s">
        <v>664</v>
      </c>
      <c r="F53" s="322">
        <v>1</v>
      </c>
    </row>
    <row r="54" spans="1:6">
      <c r="A54" s="336"/>
      <c r="B54" s="23" t="s">
        <v>715</v>
      </c>
      <c r="C54" s="91" t="s">
        <v>716</v>
      </c>
      <c r="D54" s="91"/>
      <c r="E54" s="23" t="s">
        <v>664</v>
      </c>
      <c r="F54" s="322">
        <v>1</v>
      </c>
    </row>
    <row r="55" spans="1:6">
      <c r="A55" s="321" t="s">
        <v>717</v>
      </c>
      <c r="B55" s="23" t="s">
        <v>718</v>
      </c>
      <c r="C55" s="91" t="s">
        <v>719</v>
      </c>
      <c r="D55" s="91"/>
      <c r="E55" s="23" t="s">
        <v>664</v>
      </c>
      <c r="F55" s="322">
        <v>1</v>
      </c>
    </row>
    <row r="56" spans="1:6">
      <c r="A56" s="321"/>
      <c r="B56" s="23" t="s">
        <v>720</v>
      </c>
      <c r="C56" s="91" t="s">
        <v>721</v>
      </c>
      <c r="D56" s="91"/>
      <c r="E56" s="23" t="s">
        <v>664</v>
      </c>
      <c r="F56" s="322">
        <v>1</v>
      </c>
    </row>
    <row r="57" spans="1:6">
      <c r="A57" s="321"/>
      <c r="B57" s="23" t="s">
        <v>722</v>
      </c>
      <c r="C57" s="91" t="s">
        <v>723</v>
      </c>
      <c r="D57" s="91"/>
      <c r="E57" s="23" t="s">
        <v>664</v>
      </c>
      <c r="F57" s="322">
        <v>1</v>
      </c>
    </row>
    <row r="58" spans="1:6">
      <c r="A58" s="321"/>
      <c r="B58" s="23" t="s">
        <v>724</v>
      </c>
      <c r="C58" s="91" t="s">
        <v>725</v>
      </c>
      <c r="D58" s="91"/>
      <c r="E58" s="23" t="s">
        <v>664</v>
      </c>
      <c r="F58" s="322">
        <v>1</v>
      </c>
    </row>
    <row r="59" spans="1:6">
      <c r="A59" s="321"/>
      <c r="B59" s="23" t="s">
        <v>726</v>
      </c>
      <c r="C59" s="91" t="s">
        <v>727</v>
      </c>
      <c r="D59" s="91"/>
      <c r="E59" s="23" t="s">
        <v>664</v>
      </c>
      <c r="F59" s="322">
        <v>1</v>
      </c>
    </row>
    <row r="60" spans="1:6">
      <c r="A60" s="321"/>
      <c r="B60" s="23" t="s">
        <v>728</v>
      </c>
      <c r="C60" s="91" t="s">
        <v>729</v>
      </c>
      <c r="D60" s="91"/>
      <c r="E60" s="23" t="s">
        <v>664</v>
      </c>
      <c r="F60" s="322">
        <v>1</v>
      </c>
    </row>
    <row r="61" spans="1:6">
      <c r="A61" s="321"/>
      <c r="B61" s="23" t="s">
        <v>730</v>
      </c>
      <c r="C61" s="91" t="s">
        <v>731</v>
      </c>
      <c r="D61" s="91"/>
      <c r="E61" s="23" t="s">
        <v>664</v>
      </c>
      <c r="F61" s="322">
        <v>1</v>
      </c>
    </row>
    <row r="62" spans="1:6">
      <c r="A62" s="321"/>
      <c r="B62" s="23" t="s">
        <v>732</v>
      </c>
      <c r="C62" s="91" t="s">
        <v>733</v>
      </c>
      <c r="D62" s="91"/>
      <c r="E62" s="23" t="s">
        <v>664</v>
      </c>
      <c r="F62" s="322">
        <v>1</v>
      </c>
    </row>
    <row r="63" spans="1:6">
      <c r="A63" s="321"/>
      <c r="B63" s="23" t="s">
        <v>734</v>
      </c>
      <c r="C63" s="91" t="s">
        <v>735</v>
      </c>
      <c r="D63" s="91"/>
      <c r="E63" s="23" t="s">
        <v>664</v>
      </c>
      <c r="F63" s="322">
        <v>1</v>
      </c>
    </row>
    <row r="64" spans="1:6">
      <c r="A64" s="321"/>
      <c r="B64" s="23" t="s">
        <v>736</v>
      </c>
      <c r="C64" s="91" t="s">
        <v>737</v>
      </c>
      <c r="D64" s="91"/>
      <c r="E64" s="23" t="s">
        <v>664</v>
      </c>
      <c r="F64" s="322">
        <v>1</v>
      </c>
    </row>
    <row r="65" spans="1:6">
      <c r="A65" s="321"/>
      <c r="B65" s="23" t="s">
        <v>738</v>
      </c>
      <c r="C65" s="91" t="s">
        <v>739</v>
      </c>
      <c r="D65" s="91"/>
      <c r="E65" s="23" t="s">
        <v>664</v>
      </c>
      <c r="F65" s="322">
        <v>1</v>
      </c>
    </row>
    <row r="66" spans="1:6">
      <c r="A66" s="321"/>
      <c r="B66" s="23" t="s">
        <v>740</v>
      </c>
      <c r="C66" s="91" t="s">
        <v>741</v>
      </c>
      <c r="D66" s="91"/>
      <c r="E66" s="23" t="s">
        <v>664</v>
      </c>
      <c r="F66" s="322">
        <v>1</v>
      </c>
    </row>
    <row r="67" spans="1:6">
      <c r="A67" s="321"/>
      <c r="B67" s="23" t="s">
        <v>742</v>
      </c>
      <c r="C67" s="91" t="s">
        <v>743</v>
      </c>
      <c r="D67" s="91"/>
      <c r="E67" s="23" t="s">
        <v>664</v>
      </c>
      <c r="F67" s="322">
        <v>1</v>
      </c>
    </row>
    <row r="68" spans="1:6">
      <c r="A68" s="321"/>
      <c r="B68" s="23" t="s">
        <v>744</v>
      </c>
      <c r="C68" s="91" t="s">
        <v>745</v>
      </c>
      <c r="D68" s="91"/>
      <c r="E68" s="23" t="s">
        <v>664</v>
      </c>
      <c r="F68" s="322">
        <v>1</v>
      </c>
    </row>
    <row r="69" spans="1:6">
      <c r="A69" s="321"/>
      <c r="B69" s="23" t="s">
        <v>746</v>
      </c>
      <c r="C69" s="91" t="s">
        <v>747</v>
      </c>
      <c r="D69" s="91"/>
      <c r="E69" s="23" t="s">
        <v>664</v>
      </c>
      <c r="F69" s="322">
        <v>1</v>
      </c>
    </row>
    <row r="70" spans="1:6">
      <c r="A70" s="321"/>
      <c r="B70" s="23" t="s">
        <v>748</v>
      </c>
      <c r="C70" s="91" t="s">
        <v>749</v>
      </c>
      <c r="D70" s="91"/>
      <c r="E70" s="23" t="s">
        <v>664</v>
      </c>
      <c r="F70" s="322">
        <v>1</v>
      </c>
    </row>
    <row r="71" spans="1:6">
      <c r="A71" s="321"/>
      <c r="B71" s="23" t="s">
        <v>750</v>
      </c>
      <c r="C71" s="91" t="s">
        <v>751</v>
      </c>
      <c r="D71" s="91"/>
      <c r="E71" s="23" t="s">
        <v>664</v>
      </c>
      <c r="F71" s="322">
        <v>1</v>
      </c>
    </row>
    <row r="72" spans="1:6">
      <c r="A72" s="321"/>
      <c r="B72" s="23" t="s">
        <v>752</v>
      </c>
      <c r="C72" s="91" t="s">
        <v>753</v>
      </c>
      <c r="D72" s="91"/>
      <c r="E72" s="23" t="s">
        <v>664</v>
      </c>
      <c r="F72" s="322">
        <v>1</v>
      </c>
    </row>
    <row r="73" spans="1:6">
      <c r="A73" s="321"/>
      <c r="B73" s="23" t="s">
        <v>754</v>
      </c>
      <c r="C73" s="91" t="s">
        <v>755</v>
      </c>
      <c r="D73" s="91"/>
      <c r="E73" s="23" t="s">
        <v>664</v>
      </c>
      <c r="F73" s="322">
        <v>1</v>
      </c>
    </row>
    <row r="74" spans="1:6">
      <c r="A74" s="321"/>
      <c r="B74" s="23" t="s">
        <v>756</v>
      </c>
      <c r="C74" s="91" t="s">
        <v>757</v>
      </c>
      <c r="D74" s="91"/>
      <c r="E74" s="23" t="s">
        <v>664</v>
      </c>
      <c r="F74" s="322">
        <v>1</v>
      </c>
    </row>
    <row r="75" spans="1:6">
      <c r="A75" s="321"/>
      <c r="B75" s="23" t="s">
        <v>758</v>
      </c>
      <c r="C75" s="91" t="s">
        <v>759</v>
      </c>
      <c r="D75" s="91"/>
      <c r="E75" s="23" t="s">
        <v>664</v>
      </c>
      <c r="F75" s="322">
        <v>1</v>
      </c>
    </row>
    <row r="76" spans="1:6">
      <c r="A76" s="321"/>
      <c r="B76" s="23" t="s">
        <v>760</v>
      </c>
      <c r="C76" s="91" t="s">
        <v>761</v>
      </c>
      <c r="D76" s="91"/>
      <c r="E76" s="23" t="s">
        <v>664</v>
      </c>
      <c r="F76" s="322">
        <v>1</v>
      </c>
    </row>
    <row r="77" spans="1:6">
      <c r="A77" s="321"/>
      <c r="B77" s="23" t="s">
        <v>762</v>
      </c>
      <c r="C77" s="91" t="s">
        <v>763</v>
      </c>
      <c r="D77" s="91"/>
      <c r="E77" s="23" t="s">
        <v>664</v>
      </c>
      <c r="F77" s="322">
        <v>1</v>
      </c>
    </row>
    <row r="78" spans="1:6">
      <c r="A78" s="321" t="s">
        <v>764</v>
      </c>
      <c r="B78" s="23" t="s">
        <v>765</v>
      </c>
      <c r="C78" s="91" t="s">
        <v>766</v>
      </c>
      <c r="D78" s="91"/>
      <c r="E78" s="23" t="s">
        <v>434</v>
      </c>
      <c r="F78" s="322">
        <v>1</v>
      </c>
    </row>
    <row r="79" spans="1:6">
      <c r="A79" s="321"/>
      <c r="B79" s="23" t="s">
        <v>767</v>
      </c>
      <c r="C79" s="91" t="s">
        <v>768</v>
      </c>
      <c r="D79" s="91"/>
      <c r="E79" s="23" t="s">
        <v>434</v>
      </c>
      <c r="F79" s="322">
        <v>1</v>
      </c>
    </row>
    <row r="80" spans="1:6">
      <c r="A80" s="321"/>
      <c r="B80" s="23" t="s">
        <v>769</v>
      </c>
      <c r="C80" s="91" t="s">
        <v>770</v>
      </c>
      <c r="D80" s="91"/>
      <c r="E80" s="23" t="s">
        <v>434</v>
      </c>
      <c r="F80" s="322">
        <v>1</v>
      </c>
    </row>
    <row r="81" spans="1:6">
      <c r="A81" s="321"/>
      <c r="B81" s="23" t="s">
        <v>771</v>
      </c>
      <c r="C81" s="91" t="s">
        <v>772</v>
      </c>
      <c r="D81" s="91"/>
      <c r="E81" s="23" t="s">
        <v>434</v>
      </c>
      <c r="F81" s="322">
        <v>1</v>
      </c>
    </row>
    <row r="82" spans="1:6">
      <c r="A82" s="321"/>
      <c r="B82" s="23" t="s">
        <v>773</v>
      </c>
      <c r="C82" s="91" t="s">
        <v>774</v>
      </c>
      <c r="D82" s="91"/>
      <c r="E82" s="23" t="s">
        <v>434</v>
      </c>
      <c r="F82" s="322">
        <v>1</v>
      </c>
    </row>
    <row r="83" spans="1:6">
      <c r="A83" s="321"/>
      <c r="B83" s="23" t="s">
        <v>775</v>
      </c>
      <c r="C83" s="91" t="s">
        <v>776</v>
      </c>
      <c r="D83" s="91"/>
      <c r="E83" s="23" t="s">
        <v>434</v>
      </c>
      <c r="F83" s="322">
        <v>1</v>
      </c>
    </row>
    <row r="84" spans="1:6">
      <c r="A84" s="321"/>
      <c r="B84" s="23" t="s">
        <v>777</v>
      </c>
      <c r="C84" s="91" t="s">
        <v>778</v>
      </c>
      <c r="D84" s="91"/>
      <c r="E84" s="23" t="s">
        <v>434</v>
      </c>
      <c r="F84" s="322">
        <v>1</v>
      </c>
    </row>
    <row r="85" spans="1:6">
      <c r="A85" s="321"/>
      <c r="B85" s="23" t="s">
        <v>779</v>
      </c>
      <c r="C85" s="91" t="s">
        <v>780</v>
      </c>
      <c r="D85" s="91"/>
      <c r="E85" s="23" t="s">
        <v>434</v>
      </c>
      <c r="F85" s="322">
        <v>1</v>
      </c>
    </row>
    <row r="86" spans="1:6">
      <c r="A86" s="321"/>
      <c r="B86" s="23" t="s">
        <v>781</v>
      </c>
      <c r="C86" s="91" t="s">
        <v>782</v>
      </c>
      <c r="D86" s="91"/>
      <c r="E86" s="23" t="s">
        <v>434</v>
      </c>
      <c r="F86" s="322">
        <v>1</v>
      </c>
    </row>
    <row r="87" spans="1:6">
      <c r="A87" s="321"/>
      <c r="B87" s="23" t="s">
        <v>783</v>
      </c>
      <c r="C87" s="91" t="s">
        <v>784</v>
      </c>
      <c r="D87" s="91"/>
      <c r="E87" s="23" t="s">
        <v>434</v>
      </c>
      <c r="F87" s="322">
        <v>1</v>
      </c>
    </row>
    <row r="88" spans="1:6">
      <c r="A88" s="321"/>
      <c r="B88" s="23" t="s">
        <v>785</v>
      </c>
      <c r="C88" s="91" t="s">
        <v>786</v>
      </c>
      <c r="D88" s="91"/>
      <c r="E88" s="23" t="s">
        <v>787</v>
      </c>
      <c r="F88" s="322">
        <v>1</v>
      </c>
    </row>
    <row r="89" spans="1:6">
      <c r="A89" s="321"/>
      <c r="B89" s="23" t="s">
        <v>788</v>
      </c>
      <c r="C89" s="91" t="s">
        <v>789</v>
      </c>
      <c r="D89" s="91"/>
      <c r="E89" s="23" t="s">
        <v>434</v>
      </c>
      <c r="F89" s="322">
        <v>1</v>
      </c>
    </row>
    <row r="90" spans="1:6">
      <c r="A90" s="321" t="s">
        <v>790</v>
      </c>
      <c r="B90" s="23" t="s">
        <v>791</v>
      </c>
      <c r="C90" s="91" t="s">
        <v>792</v>
      </c>
      <c r="D90" s="91"/>
      <c r="E90" s="23" t="s">
        <v>787</v>
      </c>
      <c r="F90" s="322">
        <v>1</v>
      </c>
    </row>
    <row r="91" spans="1:6">
      <c r="A91" s="321"/>
      <c r="B91" s="23" t="s">
        <v>793</v>
      </c>
      <c r="C91" s="91" t="s">
        <v>794</v>
      </c>
      <c r="D91" s="91"/>
      <c r="E91" s="23" t="s">
        <v>787</v>
      </c>
      <c r="F91" s="322">
        <v>1</v>
      </c>
    </row>
    <row r="92" spans="1:6">
      <c r="A92" s="321"/>
      <c r="B92" s="23" t="s">
        <v>795</v>
      </c>
      <c r="C92" s="91"/>
      <c r="D92" s="91"/>
      <c r="E92" s="23"/>
      <c r="F92" s="322"/>
    </row>
    <row r="93" spans="1:6">
      <c r="A93" s="321"/>
      <c r="B93" s="23" t="s">
        <v>796</v>
      </c>
      <c r="C93" s="91"/>
      <c r="D93" s="91"/>
      <c r="E93" s="23"/>
      <c r="F93" s="322"/>
    </row>
    <row r="94" spans="1:6">
      <c r="A94" s="321"/>
      <c r="B94" s="23" t="s">
        <v>797</v>
      </c>
      <c r="C94" s="91"/>
      <c r="D94" s="91"/>
      <c r="E94" s="23"/>
      <c r="F94" s="322"/>
    </row>
    <row r="95" spans="1:6">
      <c r="A95" s="321"/>
      <c r="B95" s="23" t="s">
        <v>798</v>
      </c>
      <c r="C95" s="91"/>
      <c r="D95" s="91"/>
      <c r="E95" s="23"/>
      <c r="F95" s="322"/>
    </row>
    <row r="96" spans="1:6">
      <c r="A96" s="321"/>
      <c r="B96" s="23" t="s">
        <v>799</v>
      </c>
      <c r="C96" s="91"/>
      <c r="D96" s="91"/>
      <c r="E96" s="23"/>
      <c r="F96" s="322"/>
    </row>
    <row r="97" spans="1:6">
      <c r="A97" s="321"/>
      <c r="B97" s="23" t="s">
        <v>800</v>
      </c>
      <c r="C97" s="91"/>
      <c r="D97" s="91"/>
      <c r="E97" s="23"/>
      <c r="F97" s="322"/>
    </row>
    <row r="98" spans="1:6">
      <c r="A98" s="321"/>
      <c r="B98" s="23" t="s">
        <v>801</v>
      </c>
      <c r="C98" s="91"/>
      <c r="D98" s="91"/>
      <c r="E98" s="23"/>
      <c r="F98" s="322"/>
    </row>
    <row r="99" spans="1:6">
      <c r="A99" s="321"/>
      <c r="B99" s="23" t="s">
        <v>802</v>
      </c>
      <c r="C99" s="91"/>
      <c r="D99" s="91"/>
      <c r="E99" s="23"/>
      <c r="F99" s="322"/>
    </row>
    <row r="100" spans="1:6">
      <c r="A100" s="321"/>
      <c r="B100" s="23" t="s">
        <v>803</v>
      </c>
      <c r="C100" s="91"/>
      <c r="D100" s="91"/>
      <c r="E100" s="23"/>
      <c r="F100" s="322"/>
    </row>
    <row r="101" spans="1:6">
      <c r="A101" s="321"/>
      <c r="B101" s="23" t="s">
        <v>804</v>
      </c>
      <c r="C101" s="91"/>
      <c r="D101" s="91"/>
      <c r="E101" s="23"/>
      <c r="F101" s="322"/>
    </row>
  </sheetData>
  <mergeCells count="5">
    <mergeCell ref="A3:A27"/>
    <mergeCell ref="A28:A54"/>
    <mergeCell ref="A55:A77"/>
    <mergeCell ref="A78:A89"/>
    <mergeCell ref="A90:A101"/>
  </mergeCells>
  <pageMargins left="0.75" right="0.75" top="1" bottom="1" header="0.511805555555556" footer="0.511805555555556"/>
  <pageSetup paperSize="9" orientation="portrait"/>
  <headerFooter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FFFF00"/>
  </sheetPr>
  <dimension ref="A1:V46"/>
  <sheetViews>
    <sheetView showGridLines="0" workbookViewId="0">
      <selection activeCell="F11" sqref="F11"/>
    </sheetView>
  </sheetViews>
  <sheetFormatPr defaultColWidth="9" defaultRowHeight="14.25"/>
  <cols>
    <col min="1" max="1" width="2.875" style="50" customWidth="1"/>
    <col min="2" max="2" width="16.875" style="50" customWidth="1"/>
    <col min="3" max="5" width="10.625" style="51" customWidth="1"/>
    <col min="6" max="6" width="10.625" style="50" customWidth="1"/>
    <col min="7" max="13" width="15.75" style="50" customWidth="1"/>
    <col min="14" max="14" width="72.75" style="50" customWidth="1"/>
    <col min="15" max="15" width="11.125" style="50" customWidth="1"/>
    <col min="16" max="16" width="16.75" style="3" customWidth="1"/>
    <col min="17" max="17" width="9" style="3" hidden="1" customWidth="1"/>
    <col min="18" max="18" width="9" style="3"/>
    <col min="19" max="19" width="17" style="3" customWidth="1"/>
    <col min="20" max="22" width="9" style="3"/>
    <col min="23" max="16384" width="9" style="1"/>
  </cols>
  <sheetData>
    <row r="1" ht="15" customHeight="1" spans="1:15">
      <c r="A1" s="7" t="s">
        <v>1404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237"/>
    </row>
    <row r="2" ht="15" customHeight="1" spans="1:22">
      <c r="A2" s="141" t="s">
        <v>1246</v>
      </c>
      <c r="B2" s="142"/>
      <c r="C2" s="142"/>
      <c r="D2" s="9" t="s">
        <v>1198</v>
      </c>
      <c r="E2" s="176">
        <f>A3*5*15</f>
        <v>150</v>
      </c>
      <c r="F2" s="186"/>
      <c r="G2" s="187"/>
      <c r="H2" s="187"/>
      <c r="I2" s="187"/>
      <c r="J2" s="187"/>
      <c r="K2" s="187"/>
      <c r="L2" s="187"/>
      <c r="M2" s="187"/>
      <c r="N2" s="197"/>
      <c r="O2" s="162"/>
      <c r="Q2" s="55"/>
      <c r="R2" s="55"/>
      <c r="S2" s="55"/>
      <c r="U2" s="1"/>
      <c r="V2" s="1"/>
    </row>
    <row r="3" ht="15" customHeight="1" spans="1:22">
      <c r="A3" s="177">
        <v>2</v>
      </c>
      <c r="B3" s="177"/>
      <c r="C3" s="178" t="s">
        <v>1247</v>
      </c>
      <c r="D3" s="179">
        <v>3</v>
      </c>
      <c r="E3" s="180" t="s">
        <v>1248</v>
      </c>
      <c r="F3" s="188">
        <v>2</v>
      </c>
      <c r="G3" s="11" t="s">
        <v>1249</v>
      </c>
      <c r="H3" s="12"/>
      <c r="I3" s="12"/>
      <c r="J3" s="12"/>
      <c r="K3" s="12"/>
      <c r="L3" s="12"/>
      <c r="M3" s="12"/>
      <c r="N3" s="12"/>
      <c r="O3" s="162"/>
      <c r="Q3" s="55"/>
      <c r="R3" s="55"/>
      <c r="S3" s="55"/>
      <c r="U3" s="1"/>
      <c r="V3" s="1"/>
    </row>
    <row r="4" ht="15" customHeight="1" spans="1:19">
      <c r="A4" s="146" t="s">
        <v>1200</v>
      </c>
      <c r="B4" s="146" t="s">
        <v>1201</v>
      </c>
      <c r="C4" s="146" t="s">
        <v>1250</v>
      </c>
      <c r="D4" s="146" t="s">
        <v>22</v>
      </c>
      <c r="E4" s="147" t="s">
        <v>1251</v>
      </c>
      <c r="F4" s="75" t="s">
        <v>1204</v>
      </c>
      <c r="G4" s="19" t="s">
        <v>1205</v>
      </c>
      <c r="H4" s="17" t="s">
        <v>1253</v>
      </c>
      <c r="I4" s="17" t="s">
        <v>1254</v>
      </c>
      <c r="J4" s="17" t="s">
        <v>1255</v>
      </c>
      <c r="K4" s="17" t="s">
        <v>1209</v>
      </c>
      <c r="L4" s="17" t="s">
        <v>1347</v>
      </c>
      <c r="M4" s="17" t="s">
        <v>1211</v>
      </c>
      <c r="N4" s="19" t="s">
        <v>1257</v>
      </c>
      <c r="O4" s="164" t="s">
        <v>1212</v>
      </c>
      <c r="P4" s="165" t="s">
        <v>1213</v>
      </c>
      <c r="Q4" s="75" t="s">
        <v>1396</v>
      </c>
      <c r="R4" s="165" t="s">
        <v>1214</v>
      </c>
      <c r="S4" s="75" t="s">
        <v>1213</v>
      </c>
    </row>
    <row r="5" ht="17.1" customHeight="1" spans="1:19">
      <c r="A5" s="20" t="s">
        <v>1215</v>
      </c>
      <c r="B5" s="91" t="s">
        <v>1224</v>
      </c>
      <c r="C5" s="23"/>
      <c r="D5" s="23" t="s">
        <v>28</v>
      </c>
      <c r="E5" s="24">
        <f>D3*2</f>
        <v>6</v>
      </c>
      <c r="F5" s="93">
        <f ca="1" t="shared" ref="F5:F10" si="0">I5+J5+K5+L5+M5</f>
        <v>609.2654672</v>
      </c>
      <c r="G5" s="94">
        <f>7.16/2</f>
        <v>3.58</v>
      </c>
      <c r="H5" s="94">
        <v>5.3</v>
      </c>
      <c r="I5" s="93">
        <f ca="1">G5*H5*'10变15米（人字150料）参数'!G3*1.1</f>
        <v>472.6954672</v>
      </c>
      <c r="J5" s="93">
        <v>75.88</v>
      </c>
      <c r="K5" s="93">
        <v>38.79</v>
      </c>
      <c r="L5" s="93">
        <f>2.55*4</f>
        <v>10.2</v>
      </c>
      <c r="M5" s="93">
        <f>18*0.65</f>
        <v>11.7</v>
      </c>
      <c r="N5" s="166" t="s">
        <v>1405</v>
      </c>
      <c r="O5" s="167">
        <v>4</v>
      </c>
      <c r="P5" s="67">
        <f ca="1" t="shared" ref="P5:P30" si="1">F5*O5</f>
        <v>2437.0618688</v>
      </c>
      <c r="Q5" s="27">
        <v>36.2</v>
      </c>
      <c r="R5" s="67">
        <f t="shared" ref="R5:R30" si="2">E5-O5</f>
        <v>2</v>
      </c>
      <c r="S5" s="67">
        <f ca="1" t="shared" ref="S5:S30" si="3">F5*R5</f>
        <v>1218.5309344</v>
      </c>
    </row>
    <row r="6" ht="17.1" customHeight="1" spans="1:19">
      <c r="A6" s="20"/>
      <c r="B6" s="91" t="s">
        <v>1308</v>
      </c>
      <c r="C6" s="23"/>
      <c r="D6" s="23" t="s">
        <v>28</v>
      </c>
      <c r="E6" s="24">
        <f>F3*2</f>
        <v>4</v>
      </c>
      <c r="F6" s="101">
        <f ca="1" t="shared" si="0"/>
        <v>761.1092</v>
      </c>
      <c r="G6" s="148">
        <v>5</v>
      </c>
      <c r="H6" s="148">
        <v>5.3</v>
      </c>
      <c r="I6" s="101">
        <f ca="1">G6*H6*'10变15米（人字150料）参数'!G3*1.1</f>
        <v>660.1892</v>
      </c>
      <c r="J6" s="101"/>
      <c r="K6" s="101">
        <f>49.51+41.21</f>
        <v>90.72</v>
      </c>
      <c r="L6" s="101">
        <f>2.55*4</f>
        <v>10.2</v>
      </c>
      <c r="M6" s="101"/>
      <c r="N6" s="166" t="s">
        <v>1406</v>
      </c>
      <c r="O6" s="167">
        <v>4</v>
      </c>
      <c r="P6" s="67">
        <f ca="1" t="shared" si="1"/>
        <v>3044.4368</v>
      </c>
      <c r="Q6" s="27">
        <v>39.3</v>
      </c>
      <c r="R6" s="67">
        <f t="shared" si="2"/>
        <v>0</v>
      </c>
      <c r="S6" s="67">
        <f ca="1" t="shared" si="3"/>
        <v>0</v>
      </c>
    </row>
    <row r="7" ht="17.1" customHeight="1" spans="1:19">
      <c r="A7" s="20"/>
      <c r="B7" s="91" t="s">
        <v>1350</v>
      </c>
      <c r="C7" s="23"/>
      <c r="D7" s="23" t="s">
        <v>28</v>
      </c>
      <c r="E7" s="24">
        <f>D3*2</f>
        <v>6</v>
      </c>
      <c r="F7" s="61">
        <f ca="1" t="shared" si="0"/>
        <v>749.0469848</v>
      </c>
      <c r="G7" s="95">
        <v>5.47</v>
      </c>
      <c r="H7" s="95">
        <v>5.3</v>
      </c>
      <c r="I7" s="61">
        <f ca="1">G7*H7*'10变15米（人字150料）参数'!G3*1.1</f>
        <v>722.2469848</v>
      </c>
      <c r="J7" s="61">
        <f>2.5*4</f>
        <v>10</v>
      </c>
      <c r="K7" s="61">
        <v>10.8</v>
      </c>
      <c r="L7" s="61">
        <f>1*6</f>
        <v>6</v>
      </c>
      <c r="M7" s="61"/>
      <c r="N7" s="116" t="s">
        <v>1407</v>
      </c>
      <c r="O7" s="167">
        <v>4</v>
      </c>
      <c r="P7" s="67">
        <f ca="1" t="shared" si="1"/>
        <v>2996.1879392</v>
      </c>
      <c r="Q7" s="27">
        <v>29.9</v>
      </c>
      <c r="R7" s="67">
        <f t="shared" si="2"/>
        <v>2</v>
      </c>
      <c r="S7" s="67">
        <f ca="1" t="shared" si="3"/>
        <v>1498.0939696</v>
      </c>
    </row>
    <row r="8" ht="17.1" customHeight="1" spans="1:19">
      <c r="A8" s="20"/>
      <c r="B8" s="91" t="s">
        <v>1408</v>
      </c>
      <c r="C8" s="23"/>
      <c r="D8" s="23" t="s">
        <v>28</v>
      </c>
      <c r="E8" s="24">
        <f>D3*2</f>
        <v>6</v>
      </c>
      <c r="F8" s="61">
        <f ca="1" t="shared" si="0"/>
        <v>560.8210328</v>
      </c>
      <c r="G8" s="95">
        <f>5.34/2</f>
        <v>2.67</v>
      </c>
      <c r="H8" s="95">
        <v>5.3</v>
      </c>
      <c r="I8" s="61">
        <f ca="1">G8*H8*'10变15米（人字150料）参数'!G3*1.1</f>
        <v>352.5410328</v>
      </c>
      <c r="J8" s="61">
        <f>2*2.5</f>
        <v>5</v>
      </c>
      <c r="K8" s="61">
        <f>1.5*6.606*20</f>
        <v>198.18</v>
      </c>
      <c r="L8" s="61">
        <f>2.55*2</f>
        <v>5.1</v>
      </c>
      <c r="M8" s="61"/>
      <c r="N8" s="116"/>
      <c r="O8" s="167">
        <v>4</v>
      </c>
      <c r="P8" s="67">
        <f ca="1" t="shared" si="1"/>
        <v>2243.2841312</v>
      </c>
      <c r="Q8" s="27"/>
      <c r="R8" s="67">
        <f t="shared" si="2"/>
        <v>2</v>
      </c>
      <c r="S8" s="67">
        <f ca="1" t="shared" si="3"/>
        <v>1121.6420656</v>
      </c>
    </row>
    <row r="9" ht="17.1" customHeight="1" spans="1:19">
      <c r="A9" s="20"/>
      <c r="B9" s="91" t="s">
        <v>1226</v>
      </c>
      <c r="C9" s="23"/>
      <c r="D9" s="23" t="s">
        <v>28</v>
      </c>
      <c r="E9" s="24">
        <f>A3*4</f>
        <v>8</v>
      </c>
      <c r="F9" s="101">
        <f ca="1" t="shared" si="0"/>
        <v>195.0929650432</v>
      </c>
      <c r="G9" s="148">
        <v>4.882</v>
      </c>
      <c r="H9" s="148">
        <v>1.552</v>
      </c>
      <c r="I9" s="101">
        <f ca="1">G9*H9*'10变15米（人字150料）参数'!G5*1.1</f>
        <v>180.0929650432</v>
      </c>
      <c r="J9" s="101"/>
      <c r="K9" s="101"/>
      <c r="L9" s="101">
        <f>0.5*4</f>
        <v>2</v>
      </c>
      <c r="M9" s="101">
        <f>6.5*2</f>
        <v>13</v>
      </c>
      <c r="N9" s="120" t="s">
        <v>1352</v>
      </c>
      <c r="O9" s="167">
        <v>4</v>
      </c>
      <c r="P9" s="67">
        <f ca="1" t="shared" si="1"/>
        <v>780.3718601728</v>
      </c>
      <c r="Q9" s="27">
        <v>7.95</v>
      </c>
      <c r="R9" s="67">
        <f t="shared" si="2"/>
        <v>4</v>
      </c>
      <c r="S9" s="67">
        <f ca="1" t="shared" si="3"/>
        <v>780.3718601728</v>
      </c>
    </row>
    <row r="10" ht="17.1" customHeight="1" spans="1:19">
      <c r="A10" s="20"/>
      <c r="B10" s="91" t="s">
        <v>1264</v>
      </c>
      <c r="C10" s="23"/>
      <c r="D10" s="23" t="s">
        <v>28</v>
      </c>
      <c r="E10" s="24">
        <f>A3*3+F3</f>
        <v>8</v>
      </c>
      <c r="F10" s="101">
        <f ca="1" t="shared" si="0"/>
        <v>336.5448493136</v>
      </c>
      <c r="G10" s="148">
        <v>4.882</v>
      </c>
      <c r="H10" s="148">
        <v>2.771</v>
      </c>
      <c r="I10" s="101">
        <f ca="1">G10*H10*'10变15米（人字150料）参数'!G5*1.1</f>
        <v>321.5448493136</v>
      </c>
      <c r="J10" s="101"/>
      <c r="K10" s="101"/>
      <c r="L10" s="101">
        <f>0.5*4</f>
        <v>2</v>
      </c>
      <c r="M10" s="101">
        <f>6.5*2</f>
        <v>13</v>
      </c>
      <c r="N10" s="120" t="s">
        <v>1353</v>
      </c>
      <c r="O10" s="167">
        <v>5</v>
      </c>
      <c r="P10" s="67">
        <f ca="1" t="shared" si="1"/>
        <v>1682.724246568</v>
      </c>
      <c r="Q10" s="27">
        <v>13.1</v>
      </c>
      <c r="R10" s="67">
        <f t="shared" si="2"/>
        <v>3</v>
      </c>
      <c r="S10" s="67">
        <f ca="1" t="shared" si="3"/>
        <v>1009.6345479408</v>
      </c>
    </row>
    <row r="11" ht="17.1" customHeight="1" spans="1:19">
      <c r="A11" s="20"/>
      <c r="B11" s="91" t="s">
        <v>1266</v>
      </c>
      <c r="C11" s="23"/>
      <c r="D11" s="23" t="s">
        <v>28</v>
      </c>
      <c r="E11" s="24">
        <f>A3*2+F3*3</f>
        <v>10</v>
      </c>
      <c r="F11" s="101">
        <f ca="1">'数据修改（批量）'!A28</f>
        <v>95</v>
      </c>
      <c r="G11" s="148">
        <v>4.86</v>
      </c>
      <c r="H11" s="148">
        <v>1.345</v>
      </c>
      <c r="I11" s="101">
        <f ca="1">G11*H11*'10变15米（人字150料）参数'!G5*1.1</f>
        <v>155.36951496</v>
      </c>
      <c r="J11" s="101"/>
      <c r="K11" s="101"/>
      <c r="L11" s="101"/>
      <c r="M11" s="101"/>
      <c r="N11" s="120" t="s">
        <v>1354</v>
      </c>
      <c r="O11" s="167">
        <v>8</v>
      </c>
      <c r="P11" s="67">
        <f ca="1" t="shared" si="1"/>
        <v>760</v>
      </c>
      <c r="Q11" s="27">
        <v>5.65</v>
      </c>
      <c r="R11" s="67">
        <f t="shared" si="2"/>
        <v>2</v>
      </c>
      <c r="S11" s="67">
        <f ca="1" t="shared" si="3"/>
        <v>190</v>
      </c>
    </row>
    <row r="12" ht="17.1" customHeight="1" spans="1:19">
      <c r="A12" s="20"/>
      <c r="B12" s="91" t="s">
        <v>1272</v>
      </c>
      <c r="C12" s="23"/>
      <c r="D12" s="23" t="s">
        <v>28</v>
      </c>
      <c r="E12" s="30">
        <v>5</v>
      </c>
      <c r="F12" s="101">
        <f>(I12+J12+K12+L12+M12)*1.2</f>
        <v>131.4</v>
      </c>
      <c r="G12" s="148"/>
      <c r="H12" s="148"/>
      <c r="I12" s="101">
        <v>95</v>
      </c>
      <c r="J12" s="101">
        <v>6.5</v>
      </c>
      <c r="K12" s="101">
        <v>4</v>
      </c>
      <c r="L12" s="101">
        <v>3</v>
      </c>
      <c r="M12" s="101">
        <v>1</v>
      </c>
      <c r="N12" s="120" t="s">
        <v>1355</v>
      </c>
      <c r="O12" s="167">
        <v>4</v>
      </c>
      <c r="P12" s="67">
        <f ca="1" t="shared" si="1"/>
        <v>525.6</v>
      </c>
      <c r="Q12" s="27">
        <v>36.35</v>
      </c>
      <c r="R12" s="67">
        <f t="shared" si="2"/>
        <v>1</v>
      </c>
      <c r="S12" s="67">
        <f ca="1" t="shared" si="3"/>
        <v>131.4</v>
      </c>
    </row>
    <row r="13" ht="17.1" customHeight="1" spans="1:19">
      <c r="A13" s="20"/>
      <c r="B13" s="91" t="s">
        <v>1356</v>
      </c>
      <c r="C13" s="23"/>
      <c r="D13" s="23" t="s">
        <v>28</v>
      </c>
      <c r="E13" s="24">
        <f>F3</f>
        <v>2</v>
      </c>
      <c r="F13" s="101">
        <f ca="1">(I13+J13+K13+L13+M13)</f>
        <v>60.422</v>
      </c>
      <c r="G13" s="148">
        <v>2.5</v>
      </c>
      <c r="H13" s="148">
        <v>1</v>
      </c>
      <c r="I13" s="101">
        <f ca="1">G13*H13*'10变15米（人字150料）参数'!G5*1.1</f>
        <v>59.422</v>
      </c>
      <c r="J13" s="101"/>
      <c r="K13" s="101"/>
      <c r="L13" s="101">
        <f>0.5*2</f>
        <v>1</v>
      </c>
      <c r="M13" s="101"/>
      <c r="N13" s="170" t="s">
        <v>1357</v>
      </c>
      <c r="O13" s="167">
        <v>2</v>
      </c>
      <c r="P13" s="67">
        <f ca="1" t="shared" si="1"/>
        <v>120.844</v>
      </c>
      <c r="Q13" s="27"/>
      <c r="R13" s="67">
        <f t="shared" si="2"/>
        <v>0</v>
      </c>
      <c r="S13" s="67">
        <f ca="1" t="shared" si="3"/>
        <v>0</v>
      </c>
    </row>
    <row r="14" ht="17.1" customHeight="1" spans="1:19">
      <c r="A14" s="20"/>
      <c r="B14" s="91" t="s">
        <v>1276</v>
      </c>
      <c r="C14" s="23"/>
      <c r="D14" s="23" t="s">
        <v>28</v>
      </c>
      <c r="E14" s="28">
        <f>F3*2</f>
        <v>4</v>
      </c>
      <c r="F14" s="101">
        <f ca="1">(I14+J14+K14+L14+M14)</f>
        <v>348.2448493136</v>
      </c>
      <c r="G14" s="95">
        <v>4.882</v>
      </c>
      <c r="H14" s="95">
        <v>2.771</v>
      </c>
      <c r="I14" s="61">
        <f ca="1">G14*H14*'10变15米（人字150料）参数'!G5*1.1</f>
        <v>321.5448493136</v>
      </c>
      <c r="J14" s="61"/>
      <c r="K14" s="61">
        <v>15</v>
      </c>
      <c r="L14" s="61">
        <f>8*0.65</f>
        <v>5.2</v>
      </c>
      <c r="M14" s="61">
        <v>6.5</v>
      </c>
      <c r="N14" s="120" t="s">
        <v>1358</v>
      </c>
      <c r="O14" s="167">
        <v>4</v>
      </c>
      <c r="P14" s="67">
        <f ca="1" t="shared" si="1"/>
        <v>1392.9793972544</v>
      </c>
      <c r="Q14" s="27">
        <v>13.75</v>
      </c>
      <c r="R14" s="67">
        <f t="shared" si="2"/>
        <v>0</v>
      </c>
      <c r="S14" s="67">
        <f ca="1" t="shared" si="3"/>
        <v>0</v>
      </c>
    </row>
    <row r="15" ht="17.1" customHeight="1" spans="1:19">
      <c r="A15" s="31"/>
      <c r="B15" s="149" t="s">
        <v>1274</v>
      </c>
      <c r="C15" s="43"/>
      <c r="D15" s="43" t="s">
        <v>28</v>
      </c>
      <c r="E15" s="150">
        <f>A3*2+F3*3</f>
        <v>10</v>
      </c>
      <c r="F15" s="101">
        <f>(I15+J15+K15+L15+M15)</f>
        <v>20.4</v>
      </c>
      <c r="G15" s="151"/>
      <c r="H15" s="151"/>
      <c r="I15" s="39">
        <f>17*1.2</f>
        <v>20.4</v>
      </c>
      <c r="J15" s="39"/>
      <c r="K15" s="39"/>
      <c r="L15" s="39"/>
      <c r="M15" s="39"/>
      <c r="N15" s="171" t="s">
        <v>1359</v>
      </c>
      <c r="O15" s="167">
        <v>8</v>
      </c>
      <c r="P15" s="67">
        <f ca="1" t="shared" si="1"/>
        <v>163.2</v>
      </c>
      <c r="Q15" s="27">
        <v>3</v>
      </c>
      <c r="R15" s="67">
        <f t="shared" si="2"/>
        <v>2</v>
      </c>
      <c r="S15" s="67">
        <f ca="1" t="shared" si="3"/>
        <v>40.8</v>
      </c>
    </row>
    <row r="16" ht="17.1" customHeight="1" spans="1:19">
      <c r="A16" s="20" t="s">
        <v>1278</v>
      </c>
      <c r="B16" s="91" t="s">
        <v>1304</v>
      </c>
      <c r="C16" s="23"/>
      <c r="D16" s="23" t="s">
        <v>434</v>
      </c>
      <c r="E16" s="24">
        <f>D3</f>
        <v>3</v>
      </c>
      <c r="F16" s="101">
        <v>168</v>
      </c>
      <c r="G16" s="151"/>
      <c r="H16" s="151"/>
      <c r="I16" s="39"/>
      <c r="J16" s="39"/>
      <c r="K16" s="39"/>
      <c r="L16" s="39"/>
      <c r="M16" s="39"/>
      <c r="N16" s="171" t="s">
        <v>1409</v>
      </c>
      <c r="O16" s="172">
        <v>2</v>
      </c>
      <c r="P16" s="67">
        <f ca="1" t="shared" si="1"/>
        <v>336</v>
      </c>
      <c r="Q16" s="27">
        <v>16.3</v>
      </c>
      <c r="R16" s="67">
        <f t="shared" si="2"/>
        <v>1</v>
      </c>
      <c r="S16" s="67">
        <f ca="1" t="shared" si="3"/>
        <v>168</v>
      </c>
    </row>
    <row r="17" ht="17.1" customHeight="1" spans="1:19">
      <c r="A17" s="20"/>
      <c r="B17" s="91" t="s">
        <v>1310</v>
      </c>
      <c r="C17" s="23"/>
      <c r="D17" s="23" t="s">
        <v>434</v>
      </c>
      <c r="E17" s="24">
        <f>E6</f>
        <v>4</v>
      </c>
      <c r="F17" s="101">
        <v>76.4</v>
      </c>
      <c r="G17" s="148"/>
      <c r="H17" s="148"/>
      <c r="I17" s="101"/>
      <c r="J17" s="101"/>
      <c r="K17" s="101"/>
      <c r="L17" s="101"/>
      <c r="M17" s="101"/>
      <c r="N17" s="120" t="s">
        <v>1361</v>
      </c>
      <c r="O17" s="167">
        <v>4</v>
      </c>
      <c r="P17" s="67">
        <f ca="1" t="shared" si="1"/>
        <v>305.6</v>
      </c>
      <c r="Q17" s="27">
        <v>10.3</v>
      </c>
      <c r="R17" s="67">
        <f t="shared" si="2"/>
        <v>0</v>
      </c>
      <c r="S17" s="67">
        <f ca="1" t="shared" si="3"/>
        <v>0</v>
      </c>
    </row>
    <row r="18" ht="17.1" customHeight="1" spans="1:19">
      <c r="A18" s="20"/>
      <c r="B18" s="91" t="s">
        <v>1280</v>
      </c>
      <c r="C18" s="23"/>
      <c r="D18" s="23" t="s">
        <v>434</v>
      </c>
      <c r="E18" s="28">
        <f>E5</f>
        <v>6</v>
      </c>
      <c r="F18" s="61">
        <v>74.28</v>
      </c>
      <c r="G18" s="95"/>
      <c r="H18" s="95"/>
      <c r="I18" s="61"/>
      <c r="J18" s="61"/>
      <c r="K18" s="61"/>
      <c r="L18" s="61"/>
      <c r="M18" s="61"/>
      <c r="N18" s="173" t="s">
        <v>1361</v>
      </c>
      <c r="O18" s="167">
        <v>4</v>
      </c>
      <c r="P18" s="67">
        <f ca="1" t="shared" si="1"/>
        <v>297.12</v>
      </c>
      <c r="Q18" s="27">
        <v>11.1</v>
      </c>
      <c r="R18" s="67">
        <f t="shared" si="2"/>
        <v>2</v>
      </c>
      <c r="S18" s="67">
        <f ca="1" t="shared" si="3"/>
        <v>148.56</v>
      </c>
    </row>
    <row r="19" ht="17.1" customHeight="1" spans="1:19">
      <c r="A19" s="20"/>
      <c r="B19" s="91" t="s">
        <v>1339</v>
      </c>
      <c r="C19" s="23"/>
      <c r="D19" s="23" t="s">
        <v>28</v>
      </c>
      <c r="E19" s="32">
        <f>E12</f>
        <v>5</v>
      </c>
      <c r="F19" s="101">
        <v>91.3</v>
      </c>
      <c r="G19" s="148"/>
      <c r="H19" s="148"/>
      <c r="I19" s="101"/>
      <c r="J19" s="101"/>
      <c r="K19" s="101"/>
      <c r="L19" s="101"/>
      <c r="M19" s="101"/>
      <c r="N19" s="120" t="s">
        <v>1362</v>
      </c>
      <c r="O19" s="167">
        <v>4</v>
      </c>
      <c r="P19" s="67">
        <f ca="1" t="shared" si="1"/>
        <v>365.2</v>
      </c>
      <c r="Q19" s="27">
        <v>7.25</v>
      </c>
      <c r="R19" s="67">
        <f t="shared" si="2"/>
        <v>1</v>
      </c>
      <c r="S19" s="67">
        <f ca="1" t="shared" si="3"/>
        <v>91.3</v>
      </c>
    </row>
    <row r="20" ht="17.1" customHeight="1" spans="1:19">
      <c r="A20" s="20"/>
      <c r="B20" s="91" t="s">
        <v>1282</v>
      </c>
      <c r="C20" s="23"/>
      <c r="D20" s="23" t="s">
        <v>434</v>
      </c>
      <c r="E20" s="24">
        <f>D3*2+F3*2</f>
        <v>10</v>
      </c>
      <c r="F20" s="101">
        <v>4.45</v>
      </c>
      <c r="G20" s="148"/>
      <c r="H20" s="148"/>
      <c r="I20" s="101"/>
      <c r="J20" s="101"/>
      <c r="K20" s="101"/>
      <c r="L20" s="101"/>
      <c r="M20" s="101"/>
      <c r="N20" s="120" t="s">
        <v>1363</v>
      </c>
      <c r="O20" s="167">
        <v>8</v>
      </c>
      <c r="P20" s="67">
        <f ca="1" t="shared" si="1"/>
        <v>35.6</v>
      </c>
      <c r="Q20" s="27">
        <v>0.75</v>
      </c>
      <c r="R20" s="67">
        <f t="shared" si="2"/>
        <v>2</v>
      </c>
      <c r="S20" s="67">
        <f ca="1" t="shared" si="3"/>
        <v>8.9</v>
      </c>
    </row>
    <row r="21" ht="17.1" customHeight="1" spans="1:19">
      <c r="A21" s="20"/>
      <c r="B21" s="91" t="s">
        <v>1284</v>
      </c>
      <c r="C21" s="23"/>
      <c r="D21" s="23" t="s">
        <v>434</v>
      </c>
      <c r="E21" s="24">
        <f>D3*2</f>
        <v>6</v>
      </c>
      <c r="F21" s="101">
        <v>6.51</v>
      </c>
      <c r="G21" s="148"/>
      <c r="H21" s="148"/>
      <c r="I21" s="101"/>
      <c r="J21" s="101"/>
      <c r="K21" s="101"/>
      <c r="L21" s="101"/>
      <c r="M21" s="101"/>
      <c r="N21" s="120" t="s">
        <v>1364</v>
      </c>
      <c r="O21" s="167">
        <v>4</v>
      </c>
      <c r="P21" s="67">
        <f ca="1" t="shared" si="1"/>
        <v>26.04</v>
      </c>
      <c r="Q21" s="27">
        <v>1.65</v>
      </c>
      <c r="R21" s="67">
        <f t="shared" si="2"/>
        <v>2</v>
      </c>
      <c r="S21" s="67">
        <f ca="1" t="shared" si="3"/>
        <v>13.02</v>
      </c>
    </row>
    <row r="22" ht="17.1" customHeight="1" spans="1:19">
      <c r="A22" s="20"/>
      <c r="B22" s="91" t="s">
        <v>519</v>
      </c>
      <c r="C22" s="23"/>
      <c r="D22" s="23" t="s">
        <v>434</v>
      </c>
      <c r="E22" s="24">
        <f>F3*2</f>
        <v>4</v>
      </c>
      <c r="F22" s="101">
        <v>5.95</v>
      </c>
      <c r="G22" s="151"/>
      <c r="H22" s="151"/>
      <c r="I22" s="39"/>
      <c r="J22" s="39"/>
      <c r="K22" s="39"/>
      <c r="L22" s="39"/>
      <c r="M22" s="39"/>
      <c r="N22" s="120" t="s">
        <v>1365</v>
      </c>
      <c r="O22" s="167">
        <v>4</v>
      </c>
      <c r="P22" s="67">
        <f ca="1" t="shared" si="1"/>
        <v>23.8</v>
      </c>
      <c r="Q22" s="27">
        <v>1.4</v>
      </c>
      <c r="R22" s="67">
        <f t="shared" si="2"/>
        <v>0</v>
      </c>
      <c r="S22" s="67">
        <f ca="1" t="shared" si="3"/>
        <v>0</v>
      </c>
    </row>
    <row r="23" ht="17.1" customHeight="1" spans="1:19">
      <c r="A23" s="31"/>
      <c r="B23" s="152" t="s">
        <v>551</v>
      </c>
      <c r="C23" s="43"/>
      <c r="D23" s="43" t="s">
        <v>434</v>
      </c>
      <c r="E23" s="150">
        <f>F3*2</f>
        <v>4</v>
      </c>
      <c r="F23" s="41">
        <v>15.5</v>
      </c>
      <c r="G23" s="99"/>
      <c r="H23" s="99"/>
      <c r="I23" s="41"/>
      <c r="J23" s="41"/>
      <c r="K23" s="41"/>
      <c r="L23" s="41"/>
      <c r="M23" s="41"/>
      <c r="N23" s="173" t="s">
        <v>1361</v>
      </c>
      <c r="O23" s="174">
        <v>4</v>
      </c>
      <c r="P23" s="67">
        <f ca="1" t="shared" si="1"/>
        <v>62</v>
      </c>
      <c r="Q23" s="27"/>
      <c r="R23" s="67">
        <f t="shared" si="2"/>
        <v>0</v>
      </c>
      <c r="S23" s="67">
        <f ca="1" t="shared" si="3"/>
        <v>0</v>
      </c>
    </row>
    <row r="24" ht="17.1" customHeight="1" spans="1:19">
      <c r="A24" s="153" t="s">
        <v>1216</v>
      </c>
      <c r="B24" s="91" t="s">
        <v>1366</v>
      </c>
      <c r="C24" s="23"/>
      <c r="D24" s="23" t="s">
        <v>612</v>
      </c>
      <c r="E24" s="24">
        <f>A3</f>
        <v>2</v>
      </c>
      <c r="F24" s="122">
        <f ca="1">(I24+J24)*1.1+30</f>
        <v>2004.291</v>
      </c>
      <c r="G24" s="99">
        <v>17.4</v>
      </c>
      <c r="H24" s="99">
        <v>5</v>
      </c>
      <c r="I24" s="41">
        <f ca="1">G24*H24*'10变15米（人字150料）参数'!E15*1.1</f>
        <v>1655.61</v>
      </c>
      <c r="J24" s="41">
        <f>17.4*2*4</f>
        <v>139.2</v>
      </c>
      <c r="K24" s="41">
        <v>30</v>
      </c>
      <c r="L24" s="41"/>
      <c r="M24" s="41"/>
      <c r="N24" s="167" t="s">
        <v>1410</v>
      </c>
      <c r="O24" s="175">
        <v>1</v>
      </c>
      <c r="P24" s="67">
        <f ca="1" t="shared" si="1"/>
        <v>2004.291</v>
      </c>
      <c r="Q24" s="27">
        <v>71.65</v>
      </c>
      <c r="R24" s="67">
        <f t="shared" si="2"/>
        <v>1</v>
      </c>
      <c r="S24" s="67">
        <f ca="1" t="shared" si="3"/>
        <v>2004.291</v>
      </c>
    </row>
    <row r="25" ht="17.1" customHeight="1" spans="1:19">
      <c r="A25" s="153"/>
      <c r="B25" s="91" t="s">
        <v>1368</v>
      </c>
      <c r="C25" s="23"/>
      <c r="D25" s="23" t="s">
        <v>664</v>
      </c>
      <c r="E25" s="24">
        <f>F3</f>
        <v>2</v>
      </c>
      <c r="F25" s="122">
        <f ca="1">(I25+J25)*1.1+15</f>
        <v>595.947884</v>
      </c>
      <c r="G25" s="148">
        <v>7.73</v>
      </c>
      <c r="H25" s="154">
        <v>3.6</v>
      </c>
      <c r="I25" s="101">
        <f ca="1">G25*H25*'10变15米（人字150料）参数'!E14*1.1</f>
        <v>437.73444</v>
      </c>
      <c r="J25" s="101">
        <f>11.3*2*4</f>
        <v>90.4</v>
      </c>
      <c r="K25" s="101">
        <v>15</v>
      </c>
      <c r="L25" s="101"/>
      <c r="M25" s="101"/>
      <c r="N25" s="51" t="s">
        <v>1411</v>
      </c>
      <c r="O25" s="167">
        <v>2</v>
      </c>
      <c r="P25" s="67">
        <f ca="1" t="shared" si="1"/>
        <v>1191.895768</v>
      </c>
      <c r="Q25" s="27">
        <v>21.35</v>
      </c>
      <c r="R25" s="67">
        <f t="shared" si="2"/>
        <v>0</v>
      </c>
      <c r="S25" s="67">
        <f ca="1" t="shared" si="3"/>
        <v>0</v>
      </c>
    </row>
    <row r="26" ht="17.1" customHeight="1" spans="1:19">
      <c r="A26" s="155"/>
      <c r="B26" s="91" t="s">
        <v>1370</v>
      </c>
      <c r="C26" s="23"/>
      <c r="D26" s="23" t="s">
        <v>664</v>
      </c>
      <c r="E26" s="24">
        <f>A3*2+F3*3</f>
        <v>10</v>
      </c>
      <c r="F26" s="101">
        <f ca="1">I26+J26+K26+L26+M26</f>
        <v>376.49012</v>
      </c>
      <c r="G26" s="156">
        <v>5.2</v>
      </c>
      <c r="H26" s="157">
        <v>3.97</v>
      </c>
      <c r="I26" s="101">
        <f ca="1">G26*H26*'10变15米（人字150料）参数'!E14*1.1+15</f>
        <v>339.73012</v>
      </c>
      <c r="J26" s="71">
        <f>4*2</f>
        <v>8</v>
      </c>
      <c r="K26" s="71">
        <f>0.5*10</f>
        <v>5</v>
      </c>
      <c r="L26" s="71">
        <f>0.32*18</f>
        <v>5.76</v>
      </c>
      <c r="M26" s="71">
        <f>18*1</f>
        <v>18</v>
      </c>
      <c r="N26" s="120" t="s">
        <v>1371</v>
      </c>
      <c r="O26" s="167">
        <v>8</v>
      </c>
      <c r="P26" s="67">
        <f ca="1" t="shared" si="1"/>
        <v>3011.92096</v>
      </c>
      <c r="Q26" s="27"/>
      <c r="R26" s="67">
        <f t="shared" si="2"/>
        <v>2</v>
      </c>
      <c r="S26" s="67">
        <f ca="1" t="shared" si="3"/>
        <v>752.98024</v>
      </c>
    </row>
    <row r="27" ht="17.1" customHeight="1" spans="1:19">
      <c r="A27" s="20" t="s">
        <v>1235</v>
      </c>
      <c r="B27" s="158" t="s">
        <v>583</v>
      </c>
      <c r="C27" s="23"/>
      <c r="D27" s="23" t="s">
        <v>434</v>
      </c>
      <c r="E27" s="24">
        <f>D3*10+F3*2+E19*2</f>
        <v>44</v>
      </c>
      <c r="F27" s="101">
        <v>2.15</v>
      </c>
      <c r="G27" s="154"/>
      <c r="H27" s="154"/>
      <c r="I27" s="101"/>
      <c r="J27" s="101"/>
      <c r="K27" s="101"/>
      <c r="L27" s="101"/>
      <c r="M27" s="101"/>
      <c r="N27" s="120" t="s">
        <v>1372</v>
      </c>
      <c r="O27" s="167">
        <v>34</v>
      </c>
      <c r="P27" s="67">
        <f ca="1" t="shared" si="1"/>
        <v>73.1</v>
      </c>
      <c r="Q27" s="27">
        <v>0.105</v>
      </c>
      <c r="R27" s="67">
        <f t="shared" si="2"/>
        <v>10</v>
      </c>
      <c r="S27" s="67">
        <f ca="1" t="shared" si="3"/>
        <v>21.5</v>
      </c>
    </row>
    <row r="28" ht="17.1" customHeight="1" spans="1:19">
      <c r="A28" s="20"/>
      <c r="B28" s="109" t="s">
        <v>585</v>
      </c>
      <c r="C28" s="23"/>
      <c r="D28" s="23" t="s">
        <v>434</v>
      </c>
      <c r="E28" s="24">
        <f>D3*2+E19+E12</f>
        <v>16</v>
      </c>
      <c r="F28" s="101">
        <v>2.55</v>
      </c>
      <c r="G28" s="154"/>
      <c r="H28" s="154"/>
      <c r="I28" s="101"/>
      <c r="J28" s="101"/>
      <c r="K28" s="101"/>
      <c r="L28" s="101"/>
      <c r="M28" s="101"/>
      <c r="N28" s="120" t="s">
        <v>1373</v>
      </c>
      <c r="O28" s="172">
        <v>14</v>
      </c>
      <c r="P28" s="67">
        <f ca="1" t="shared" si="1"/>
        <v>35.7</v>
      </c>
      <c r="Q28" s="27">
        <v>0.25</v>
      </c>
      <c r="R28" s="67">
        <f t="shared" si="2"/>
        <v>2</v>
      </c>
      <c r="S28" s="67">
        <f ca="1" t="shared" si="3"/>
        <v>5.1</v>
      </c>
    </row>
    <row r="29" ht="17.1" customHeight="1" spans="1:19">
      <c r="A29" s="20"/>
      <c r="B29" s="159" t="s">
        <v>1374</v>
      </c>
      <c r="C29" s="43"/>
      <c r="D29" s="43" t="s">
        <v>434</v>
      </c>
      <c r="E29" s="44">
        <f>D3*2+4</f>
        <v>10</v>
      </c>
      <c r="F29" s="39">
        <v>1.95</v>
      </c>
      <c r="G29" s="160"/>
      <c r="H29" s="160"/>
      <c r="I29" s="39"/>
      <c r="J29" s="39"/>
      <c r="K29" s="39"/>
      <c r="L29" s="39"/>
      <c r="M29" s="39"/>
      <c r="N29" s="120" t="s">
        <v>1375</v>
      </c>
      <c r="O29" s="167">
        <v>8</v>
      </c>
      <c r="P29" s="67">
        <f ca="1" t="shared" si="1"/>
        <v>15.6</v>
      </c>
      <c r="Q29" s="27">
        <v>0.28</v>
      </c>
      <c r="R29" s="67">
        <f t="shared" si="2"/>
        <v>2</v>
      </c>
      <c r="S29" s="67">
        <f ca="1" t="shared" si="3"/>
        <v>3.9</v>
      </c>
    </row>
    <row r="30" ht="17.1" customHeight="1" spans="1:19">
      <c r="A30" s="20"/>
      <c r="B30" s="109" t="s">
        <v>554</v>
      </c>
      <c r="C30" s="23"/>
      <c r="D30" s="23" t="s">
        <v>555</v>
      </c>
      <c r="E30" s="28">
        <f>E17+E18+E12</f>
        <v>15</v>
      </c>
      <c r="F30" s="101">
        <v>1.46</v>
      </c>
      <c r="G30" s="154"/>
      <c r="H30" s="154"/>
      <c r="I30" s="101"/>
      <c r="J30" s="101"/>
      <c r="K30" s="101"/>
      <c r="L30" s="101"/>
      <c r="M30" s="101"/>
      <c r="N30" s="120" t="s">
        <v>1376</v>
      </c>
      <c r="O30" s="167">
        <v>13</v>
      </c>
      <c r="P30" s="67">
        <f ca="1" t="shared" si="1"/>
        <v>18.98</v>
      </c>
      <c r="Q30" s="27"/>
      <c r="R30" s="67">
        <f t="shared" si="2"/>
        <v>2</v>
      </c>
      <c r="S30" s="67">
        <f ca="1" t="shared" si="3"/>
        <v>2.92</v>
      </c>
    </row>
    <row r="31" spans="15:19">
      <c r="O31" s="84" t="s">
        <v>1218</v>
      </c>
      <c r="P31" s="3">
        <f ca="1">SUM(P5:P30)</f>
        <v>23949.5379711952</v>
      </c>
      <c r="R31" s="3" t="s">
        <v>1219</v>
      </c>
      <c r="S31" s="3">
        <f ca="1">SUM(S5:S30)</f>
        <v>9210.9446177136</v>
      </c>
    </row>
    <row r="32" spans="2:2">
      <c r="B32" s="50" t="s">
        <v>1221</v>
      </c>
    </row>
    <row r="33" ht="18" customHeight="1" spans="15:16">
      <c r="O33" s="50" t="s">
        <v>1377</v>
      </c>
      <c r="P33" s="3">
        <f ca="1">P31+S31</f>
        <v>33160.4825889088</v>
      </c>
    </row>
    <row r="34" ht="18" customHeight="1" spans="2:16">
      <c r="B34" s="242" t="s">
        <v>1378</v>
      </c>
      <c r="C34" s="242"/>
      <c r="D34" s="229"/>
      <c r="E34" s="229"/>
      <c r="F34" s="229"/>
      <c r="G34" s="52"/>
      <c r="H34" s="52"/>
      <c r="I34" s="52"/>
      <c r="J34" s="52"/>
      <c r="K34" s="52"/>
      <c r="L34" s="52"/>
      <c r="M34" s="52"/>
      <c r="O34" s="50" t="s">
        <v>14</v>
      </c>
      <c r="P34" s="3">
        <f ca="1">P33/E2</f>
        <v>221.069883926059</v>
      </c>
    </row>
    <row r="35" ht="18.75" spans="2:13">
      <c r="B35" s="231" t="s">
        <v>1379</v>
      </c>
      <c r="C35" s="231"/>
      <c r="D35" s="54"/>
      <c r="E35" s="54"/>
      <c r="F35" s="54"/>
      <c r="G35" s="53"/>
      <c r="H35" s="53"/>
      <c r="I35" s="53"/>
      <c r="J35" s="53"/>
      <c r="K35" s="53"/>
      <c r="L35" s="53"/>
      <c r="M35" s="53"/>
    </row>
    <row r="36" ht="18.75" spans="2:13">
      <c r="B36" s="231" t="s">
        <v>1380</v>
      </c>
      <c r="C36" s="231" t="s">
        <v>1381</v>
      </c>
      <c r="D36" s="54"/>
      <c r="E36" s="54"/>
      <c r="F36" s="54"/>
      <c r="G36" s="53"/>
      <c r="H36" s="53"/>
      <c r="I36" s="53"/>
      <c r="J36" s="53"/>
      <c r="K36" s="53"/>
      <c r="L36" s="53"/>
      <c r="M36" s="53"/>
    </row>
    <row r="37" ht="18.75" spans="2:13">
      <c r="B37" s="231">
        <v>3.58</v>
      </c>
      <c r="C37" s="231">
        <v>4.58</v>
      </c>
      <c r="D37" s="54"/>
      <c r="E37" s="54"/>
      <c r="F37" s="54"/>
      <c r="G37" s="53"/>
      <c r="H37" s="53"/>
      <c r="I37" s="53"/>
      <c r="J37" s="53"/>
      <c r="K37" s="53"/>
      <c r="L37" s="53"/>
      <c r="M37" s="53"/>
    </row>
    <row r="38" ht="18.75" spans="2:13">
      <c r="B38" s="231" t="s">
        <v>1382</v>
      </c>
      <c r="C38" s="231"/>
      <c r="D38" s="54"/>
      <c r="E38" s="54"/>
      <c r="F38" s="54"/>
      <c r="G38" s="53"/>
      <c r="H38" s="53"/>
      <c r="I38" s="53"/>
      <c r="J38" s="53"/>
      <c r="K38" s="53"/>
      <c r="L38" s="53"/>
      <c r="M38" s="53"/>
    </row>
    <row r="39" ht="18.75" spans="2:13">
      <c r="B39" s="231" t="s">
        <v>1380</v>
      </c>
      <c r="C39" s="231" t="s">
        <v>1381</v>
      </c>
      <c r="D39" s="54"/>
      <c r="E39" s="54"/>
      <c r="F39" s="54"/>
      <c r="G39" s="53"/>
      <c r="H39" s="53"/>
      <c r="I39" s="53"/>
      <c r="J39" s="53"/>
      <c r="K39" s="53"/>
      <c r="L39" s="53"/>
      <c r="M39" s="53"/>
    </row>
    <row r="40" ht="18.75" spans="2:13">
      <c r="B40" s="232">
        <v>5</v>
      </c>
      <c r="C40" s="232">
        <v>6</v>
      </c>
      <c r="D40" s="54"/>
      <c r="E40" s="54"/>
      <c r="F40" s="54"/>
      <c r="G40" s="53"/>
      <c r="H40" s="53"/>
      <c r="I40" s="53"/>
      <c r="J40" s="53"/>
      <c r="K40" s="53"/>
      <c r="L40" s="53"/>
      <c r="M40" s="53"/>
    </row>
    <row r="41" ht="18.75" spans="2:13">
      <c r="B41" s="231" t="s">
        <v>1383</v>
      </c>
      <c r="C41" s="231"/>
      <c r="D41" s="54"/>
      <c r="E41" s="54"/>
      <c r="F41" s="54"/>
      <c r="G41" s="53"/>
      <c r="H41" s="53"/>
      <c r="I41" s="53"/>
      <c r="J41" s="53"/>
      <c r="K41" s="53"/>
      <c r="L41" s="53"/>
      <c r="M41" s="53"/>
    </row>
    <row r="42" ht="18.75" spans="2:3">
      <c r="B42" s="231" t="s">
        <v>1380</v>
      </c>
      <c r="C42" s="231" t="s">
        <v>1381</v>
      </c>
    </row>
    <row r="43" ht="18.75" spans="2:3">
      <c r="B43" s="233">
        <v>3.97</v>
      </c>
      <c r="C43" s="233">
        <v>4.97</v>
      </c>
    </row>
    <row r="44" ht="20.1" customHeight="1" spans="2:3">
      <c r="B44" s="234" t="s">
        <v>1384</v>
      </c>
      <c r="C44" s="234"/>
    </row>
    <row r="45" ht="37.5" spans="2:3">
      <c r="B45" s="235" t="s">
        <v>1385</v>
      </c>
      <c r="C45" s="235" t="s">
        <v>1386</v>
      </c>
    </row>
    <row r="46" ht="18.75" spans="2:3">
      <c r="B46" s="236">
        <v>95</v>
      </c>
      <c r="C46" s="236">
        <v>110.8</v>
      </c>
    </row>
  </sheetData>
  <mergeCells count="14">
    <mergeCell ref="A1:N1"/>
    <mergeCell ref="A2:C2"/>
    <mergeCell ref="F2:N2"/>
    <mergeCell ref="A3:B3"/>
    <mergeCell ref="H3:M3"/>
    <mergeCell ref="B34:C34"/>
    <mergeCell ref="B35:C35"/>
    <mergeCell ref="B38:C38"/>
    <mergeCell ref="B41:C41"/>
    <mergeCell ref="B44:C44"/>
    <mergeCell ref="A5:A15"/>
    <mergeCell ref="A16:A23"/>
    <mergeCell ref="A24:A26"/>
    <mergeCell ref="A27:A30"/>
  </mergeCells>
  <dataValidations count="3">
    <dataValidation type="list" allowBlank="1" showInputMessage="1" showErrorMessage="1" sqref="B24">
      <formula1>"顶布[白]{全新},顶布[白]{A类},顶布[白]{B类},顶布[白]{C类},顶布[白]{D类}"</formula1>
    </dataValidation>
    <dataValidation type="list" allowBlank="1" showInputMessage="1" showErrorMessage="1" sqref="B25">
      <formula1>"山尖布[白]{全新},山尖布[白]{A类},山尖布[白]{B类},山尖布[白]{C类},山尖布[白]{D类}"</formula1>
    </dataValidation>
    <dataValidation type="list" allowBlank="1" showInputMessage="1" showErrorMessage="1" sqref="B26">
      <formula1>"围布[白]{全新},围布[白]{A类},围布[白]{B类},围布[白]{C类},围布[白]{D类},透光窗围布[白]{全新},透光窗围布[白]{A类},透光窗围布[白]{B类},透光窗围布[白]{C类},透光窗围布[白]{D类}"</formula1>
    </dataValidation>
  </dataValidations>
  <printOptions horizontalCentered="1"/>
  <pageMargins left="0.238888888888889" right="0.11875" top="0.159027777777778" bottom="0.259027777777778" header="0.159027777777778" footer="0.2"/>
  <pageSetup paperSize="9" orientation="portrait"/>
  <headerFooter alignWithMargins="0" scaleWithDoc="0">
    <oddFooter>&amp;L&amp;"SimSun"&amp;9&amp;C&amp;"SimSun"&amp;9第 &amp;P 页，共 &amp;N 页&amp;R&amp;"SimSun"&amp;9</oddFooter>
  </headerFooter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FFFF00"/>
  </sheetPr>
  <dimension ref="A1:R35"/>
  <sheetViews>
    <sheetView showGridLines="0" workbookViewId="0">
      <selection activeCell="F11" sqref="F11"/>
    </sheetView>
  </sheetViews>
  <sheetFormatPr defaultColWidth="9" defaultRowHeight="14.25"/>
  <cols>
    <col min="1" max="1" width="3" style="1" customWidth="1"/>
    <col min="2" max="2" width="14.875" style="1" customWidth="1"/>
    <col min="3" max="6" width="10.375" style="1" customWidth="1"/>
    <col min="7" max="13" width="15.125" style="1" customWidth="1"/>
    <col min="14" max="14" width="61.25" style="1" customWidth="1"/>
    <col min="15" max="15" width="9" style="1"/>
    <col min="16" max="16" width="14.5" style="1" customWidth="1"/>
    <col min="17" max="17" width="9" style="1"/>
    <col min="18" max="18" width="14.75" style="1" customWidth="1"/>
    <col min="19" max="16384" width="9" style="1"/>
  </cols>
  <sheetData>
    <row r="1" ht="18.75" spans="1:18">
      <c r="A1" s="7" t="s">
        <v>1412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237"/>
      <c r="P1" s="3"/>
      <c r="Q1" s="3"/>
      <c r="R1" s="3"/>
    </row>
    <row r="2" spans="1:18">
      <c r="A2" s="141" t="s">
        <v>1246</v>
      </c>
      <c r="B2" s="142"/>
      <c r="C2" s="142"/>
      <c r="D2" s="9" t="s">
        <v>1198</v>
      </c>
      <c r="E2" s="176">
        <f>A3*5*15</f>
        <v>150</v>
      </c>
      <c r="F2" s="186"/>
      <c r="G2" s="187"/>
      <c r="H2" s="187"/>
      <c r="I2" s="187"/>
      <c r="J2" s="187"/>
      <c r="K2" s="187"/>
      <c r="L2" s="187"/>
      <c r="M2" s="187"/>
      <c r="N2" s="197"/>
      <c r="O2" s="162"/>
      <c r="P2" s="3"/>
      <c r="Q2" s="55"/>
      <c r="R2" s="55"/>
    </row>
    <row r="3" spans="1:18">
      <c r="A3" s="177">
        <v>2</v>
      </c>
      <c r="B3" s="177"/>
      <c r="C3" s="178" t="s">
        <v>1247</v>
      </c>
      <c r="D3" s="179">
        <v>3</v>
      </c>
      <c r="E3" s="180" t="s">
        <v>1248</v>
      </c>
      <c r="F3" s="188">
        <v>2</v>
      </c>
      <c r="G3" s="11" t="s">
        <v>1249</v>
      </c>
      <c r="H3" s="12"/>
      <c r="I3" s="12"/>
      <c r="J3" s="12"/>
      <c r="K3" s="12"/>
      <c r="L3" s="12"/>
      <c r="M3" s="12"/>
      <c r="N3" s="185"/>
      <c r="O3" s="162"/>
      <c r="P3" s="3"/>
      <c r="Q3" s="55"/>
      <c r="R3" s="55"/>
    </row>
    <row r="4" ht="24" spans="1:18">
      <c r="A4" s="146" t="s">
        <v>1200</v>
      </c>
      <c r="B4" s="146" t="s">
        <v>1201</v>
      </c>
      <c r="C4" s="146" t="s">
        <v>1250</v>
      </c>
      <c r="D4" s="146" t="s">
        <v>22</v>
      </c>
      <c r="E4" s="147" t="s">
        <v>1251</v>
      </c>
      <c r="F4" s="75" t="s">
        <v>1204</v>
      </c>
      <c r="G4" s="19" t="s">
        <v>1205</v>
      </c>
      <c r="H4" s="17" t="s">
        <v>1253</v>
      </c>
      <c r="I4" s="17" t="s">
        <v>1254</v>
      </c>
      <c r="J4" s="17" t="s">
        <v>1255</v>
      </c>
      <c r="K4" s="17" t="s">
        <v>1209</v>
      </c>
      <c r="L4" s="17" t="s">
        <v>1347</v>
      </c>
      <c r="M4" s="17" t="s">
        <v>1211</v>
      </c>
      <c r="N4" s="19" t="s">
        <v>1257</v>
      </c>
      <c r="O4" s="164" t="s">
        <v>1212</v>
      </c>
      <c r="P4" s="165" t="s">
        <v>1213</v>
      </c>
      <c r="Q4" s="165" t="s">
        <v>1214</v>
      </c>
      <c r="R4" s="75" t="s">
        <v>1213</v>
      </c>
    </row>
    <row r="5" ht="18" customHeight="1" spans="1:18">
      <c r="A5" s="20" t="s">
        <v>1215</v>
      </c>
      <c r="B5" s="91" t="s">
        <v>1224</v>
      </c>
      <c r="C5" s="23"/>
      <c r="D5" s="23" t="s">
        <v>28</v>
      </c>
      <c r="E5" s="24">
        <f>D3*2</f>
        <v>6</v>
      </c>
      <c r="F5" s="93">
        <f ca="1" t="shared" ref="F5:F10" si="0">I5+J5+K5+L5+M5</f>
        <v>737.342172</v>
      </c>
      <c r="G5" s="94">
        <v>4.55</v>
      </c>
      <c r="H5" s="94">
        <v>5.3</v>
      </c>
      <c r="I5" s="93">
        <f ca="1">G5*H5*'10变15米（人字150料）参数'!G3*1.1</f>
        <v>600.772172</v>
      </c>
      <c r="J5" s="93">
        <v>75.88</v>
      </c>
      <c r="K5" s="93">
        <v>38.79</v>
      </c>
      <c r="L5" s="93">
        <f>2.55*4</f>
        <v>10.2</v>
      </c>
      <c r="M5" s="93">
        <f>18*0.65</f>
        <v>11.7</v>
      </c>
      <c r="N5" s="166" t="s">
        <v>1413</v>
      </c>
      <c r="O5" s="167">
        <v>4</v>
      </c>
      <c r="P5" s="67">
        <f ca="1" t="shared" ref="P5:P30" si="1">F5*O5</f>
        <v>2949.368688</v>
      </c>
      <c r="Q5" s="67">
        <f t="shared" ref="Q5:Q30" si="2">E5-O5</f>
        <v>2</v>
      </c>
      <c r="R5" s="67">
        <f ca="1" t="shared" ref="R5:R30" si="3">F5*Q5</f>
        <v>1474.684344</v>
      </c>
    </row>
    <row r="6" ht="18" customHeight="1" spans="1:18">
      <c r="A6" s="20"/>
      <c r="B6" s="91" t="s">
        <v>1308</v>
      </c>
      <c r="C6" s="23"/>
      <c r="D6" s="23" t="s">
        <v>28</v>
      </c>
      <c r="E6" s="24">
        <f>F3*2</f>
        <v>4</v>
      </c>
      <c r="F6" s="101">
        <f ca="1" t="shared" si="0"/>
        <v>893.14704</v>
      </c>
      <c r="G6" s="148">
        <v>6</v>
      </c>
      <c r="H6" s="148">
        <v>5.3</v>
      </c>
      <c r="I6" s="101">
        <f ca="1">G6*H6*'10变15米（人字150料）参数'!G3*1.1</f>
        <v>792.22704</v>
      </c>
      <c r="J6" s="101"/>
      <c r="K6" s="101">
        <f>49.51+41.21</f>
        <v>90.72</v>
      </c>
      <c r="L6" s="101">
        <f>2.55*4</f>
        <v>10.2</v>
      </c>
      <c r="M6" s="101"/>
      <c r="N6" s="166" t="s">
        <v>1406</v>
      </c>
      <c r="O6" s="167">
        <v>4</v>
      </c>
      <c r="P6" s="67">
        <f ca="1" t="shared" si="1"/>
        <v>3572.58816</v>
      </c>
      <c r="Q6" s="67">
        <f t="shared" si="2"/>
        <v>0</v>
      </c>
      <c r="R6" s="67">
        <f ca="1" t="shared" si="3"/>
        <v>0</v>
      </c>
    </row>
    <row r="7" ht="18" customHeight="1" spans="1:18">
      <c r="A7" s="20"/>
      <c r="B7" s="91" t="s">
        <v>1350</v>
      </c>
      <c r="C7" s="23"/>
      <c r="D7" s="23" t="s">
        <v>28</v>
      </c>
      <c r="E7" s="24">
        <f>D3*2</f>
        <v>6</v>
      </c>
      <c r="F7" s="61">
        <f ca="1" t="shared" si="0"/>
        <v>749.0469848</v>
      </c>
      <c r="G7" s="95">
        <v>5.47</v>
      </c>
      <c r="H7" s="95">
        <v>5.3</v>
      </c>
      <c r="I7" s="61">
        <f ca="1">G7*H7*'10变15米（人字150料）参数'!G3*1.1</f>
        <v>722.2469848</v>
      </c>
      <c r="J7" s="61">
        <f>2.5*4</f>
        <v>10</v>
      </c>
      <c r="K7" s="61">
        <v>10.8</v>
      </c>
      <c r="L7" s="61">
        <f>1*6</f>
        <v>6</v>
      </c>
      <c r="M7" s="61"/>
      <c r="N7" s="116" t="s">
        <v>1407</v>
      </c>
      <c r="O7" s="167">
        <v>4</v>
      </c>
      <c r="P7" s="67">
        <f ca="1" t="shared" si="1"/>
        <v>2996.1879392</v>
      </c>
      <c r="Q7" s="67">
        <f t="shared" si="2"/>
        <v>2</v>
      </c>
      <c r="R7" s="67">
        <f ca="1" t="shared" si="3"/>
        <v>1498.0939696</v>
      </c>
    </row>
    <row r="8" ht="18" customHeight="1" spans="1:18">
      <c r="A8" s="20"/>
      <c r="B8" s="91" t="s">
        <v>1408</v>
      </c>
      <c r="C8" s="23"/>
      <c r="D8" s="23" t="s">
        <v>28</v>
      </c>
      <c r="E8" s="24">
        <f>D3*2</f>
        <v>6</v>
      </c>
      <c r="F8" s="61">
        <f ca="1" t="shared" si="0"/>
        <v>560.8210328</v>
      </c>
      <c r="G8" s="95">
        <f>5.34/2</f>
        <v>2.67</v>
      </c>
      <c r="H8" s="95">
        <v>5.3</v>
      </c>
      <c r="I8" s="61">
        <f ca="1">G8*H8*'10变15米（人字150料）参数'!G3*1.1</f>
        <v>352.5410328</v>
      </c>
      <c r="J8" s="61">
        <f>2*2.5</f>
        <v>5</v>
      </c>
      <c r="K8" s="61">
        <f>1.5*6.606*20</f>
        <v>198.18</v>
      </c>
      <c r="L8" s="61">
        <f>2.55*2</f>
        <v>5.1</v>
      </c>
      <c r="M8" s="61"/>
      <c r="N8" s="116"/>
      <c r="O8" s="167">
        <v>4</v>
      </c>
      <c r="P8" s="67">
        <f ca="1" t="shared" si="1"/>
        <v>2243.2841312</v>
      </c>
      <c r="Q8" s="67">
        <f t="shared" si="2"/>
        <v>2</v>
      </c>
      <c r="R8" s="67">
        <f ca="1" t="shared" si="3"/>
        <v>1121.6420656</v>
      </c>
    </row>
    <row r="9" ht="18" customHeight="1" spans="1:18">
      <c r="A9" s="20"/>
      <c r="B9" s="91" t="s">
        <v>1226</v>
      </c>
      <c r="C9" s="23"/>
      <c r="D9" s="23" t="s">
        <v>28</v>
      </c>
      <c r="E9" s="24">
        <f>A3*4</f>
        <v>8</v>
      </c>
      <c r="F9" s="101">
        <f ca="1" t="shared" si="0"/>
        <v>195.0929650432</v>
      </c>
      <c r="G9" s="148">
        <v>4.882</v>
      </c>
      <c r="H9" s="148">
        <v>1.552</v>
      </c>
      <c r="I9" s="101">
        <f ca="1">G9*H9*'10变15米（人字150料）参数'!G5*1.1</f>
        <v>180.0929650432</v>
      </c>
      <c r="J9" s="101"/>
      <c r="K9" s="101"/>
      <c r="L9" s="101">
        <f>0.5*4</f>
        <v>2</v>
      </c>
      <c r="M9" s="101">
        <f>6.5*2</f>
        <v>13</v>
      </c>
      <c r="N9" s="166" t="s">
        <v>1352</v>
      </c>
      <c r="O9" s="167">
        <v>4</v>
      </c>
      <c r="P9" s="67">
        <f ca="1" t="shared" si="1"/>
        <v>780.3718601728</v>
      </c>
      <c r="Q9" s="67">
        <f t="shared" si="2"/>
        <v>4</v>
      </c>
      <c r="R9" s="67">
        <f ca="1" t="shared" si="3"/>
        <v>780.3718601728</v>
      </c>
    </row>
    <row r="10" ht="18" customHeight="1" spans="1:18">
      <c r="A10" s="20"/>
      <c r="B10" s="91" t="s">
        <v>1264</v>
      </c>
      <c r="C10" s="23"/>
      <c r="D10" s="23" t="s">
        <v>28</v>
      </c>
      <c r="E10" s="24">
        <f>A3*3+F3</f>
        <v>8</v>
      </c>
      <c r="F10" s="101">
        <f ca="1" t="shared" si="0"/>
        <v>336.5448493136</v>
      </c>
      <c r="G10" s="148">
        <v>4.882</v>
      </c>
      <c r="H10" s="148">
        <v>2.771</v>
      </c>
      <c r="I10" s="101">
        <f ca="1">G10*H10*'10变15米（人字150料）参数'!G5*1.1</f>
        <v>321.5448493136</v>
      </c>
      <c r="J10" s="101"/>
      <c r="K10" s="101"/>
      <c r="L10" s="101">
        <f>0.5*4</f>
        <v>2</v>
      </c>
      <c r="M10" s="101">
        <f>6.5*2</f>
        <v>13</v>
      </c>
      <c r="N10" s="166" t="s">
        <v>1353</v>
      </c>
      <c r="O10" s="167">
        <v>5</v>
      </c>
      <c r="P10" s="67">
        <f ca="1" t="shared" si="1"/>
        <v>1682.724246568</v>
      </c>
      <c r="Q10" s="67">
        <f t="shared" si="2"/>
        <v>3</v>
      </c>
      <c r="R10" s="67">
        <f ca="1" t="shared" si="3"/>
        <v>1009.6345479408</v>
      </c>
    </row>
    <row r="11" ht="18" customHeight="1" spans="1:18">
      <c r="A11" s="20"/>
      <c r="B11" s="91" t="s">
        <v>1266</v>
      </c>
      <c r="C11" s="23"/>
      <c r="D11" s="23" t="s">
        <v>28</v>
      </c>
      <c r="E11" s="24">
        <f>A3*2+F3*3</f>
        <v>10</v>
      </c>
      <c r="F11" s="101">
        <f ca="1">'数据修改（批量）'!A28</f>
        <v>95</v>
      </c>
      <c r="G11" s="148">
        <v>4.86</v>
      </c>
      <c r="H11" s="148">
        <v>1.345</v>
      </c>
      <c r="I11" s="101">
        <f ca="1">G11*H11*'10变15米（人字150料）参数'!G5*1.1</f>
        <v>155.36951496</v>
      </c>
      <c r="J11" s="101"/>
      <c r="K11" s="101"/>
      <c r="L11" s="101"/>
      <c r="M11" s="101"/>
      <c r="N11" s="166" t="s">
        <v>1354</v>
      </c>
      <c r="O11" s="167">
        <v>8</v>
      </c>
      <c r="P11" s="67">
        <f ca="1" t="shared" si="1"/>
        <v>760</v>
      </c>
      <c r="Q11" s="67">
        <f t="shared" si="2"/>
        <v>2</v>
      </c>
      <c r="R11" s="67">
        <f ca="1" t="shared" si="3"/>
        <v>190</v>
      </c>
    </row>
    <row r="12" ht="18" customHeight="1" spans="1:18">
      <c r="A12" s="20"/>
      <c r="B12" s="91" t="s">
        <v>1272</v>
      </c>
      <c r="C12" s="23"/>
      <c r="D12" s="23" t="s">
        <v>28</v>
      </c>
      <c r="E12" s="30">
        <v>5</v>
      </c>
      <c r="F12" s="101">
        <f>(I12+J12+K12+L12+M12)*1.2</f>
        <v>149.4</v>
      </c>
      <c r="G12" s="148"/>
      <c r="H12" s="148"/>
      <c r="I12" s="101">
        <v>110</v>
      </c>
      <c r="J12" s="101">
        <v>6.5</v>
      </c>
      <c r="K12" s="101">
        <v>4</v>
      </c>
      <c r="L12" s="101">
        <v>3</v>
      </c>
      <c r="M12" s="101">
        <v>1</v>
      </c>
      <c r="N12" s="166" t="s">
        <v>1355</v>
      </c>
      <c r="O12" s="167">
        <v>4</v>
      </c>
      <c r="P12" s="67">
        <f ca="1" t="shared" si="1"/>
        <v>597.6</v>
      </c>
      <c r="Q12" s="67">
        <f t="shared" si="2"/>
        <v>1</v>
      </c>
      <c r="R12" s="67">
        <f ca="1" t="shared" si="3"/>
        <v>149.4</v>
      </c>
    </row>
    <row r="13" ht="18" customHeight="1" spans="1:18">
      <c r="A13" s="20"/>
      <c r="B13" s="91" t="s">
        <v>1356</v>
      </c>
      <c r="C13" s="23"/>
      <c r="D13" s="23" t="s">
        <v>28</v>
      </c>
      <c r="E13" s="24">
        <f>F3</f>
        <v>2</v>
      </c>
      <c r="F13" s="101">
        <f ca="1">(I13+J13+K13+L13+M13)</f>
        <v>60.422</v>
      </c>
      <c r="G13" s="148">
        <v>2.5</v>
      </c>
      <c r="H13" s="148">
        <v>1</v>
      </c>
      <c r="I13" s="101">
        <f ca="1">G13*H13*'10变15米（人字150料）参数'!G5*1.1</f>
        <v>59.422</v>
      </c>
      <c r="J13" s="101"/>
      <c r="K13" s="101"/>
      <c r="L13" s="101">
        <f>0.5*2</f>
        <v>1</v>
      </c>
      <c r="M13" s="101"/>
      <c r="N13" s="238" t="s">
        <v>1357</v>
      </c>
      <c r="O13" s="167">
        <v>2</v>
      </c>
      <c r="P13" s="67">
        <f ca="1" t="shared" si="1"/>
        <v>120.844</v>
      </c>
      <c r="Q13" s="67">
        <f t="shared" si="2"/>
        <v>0</v>
      </c>
      <c r="R13" s="67">
        <f ca="1" t="shared" si="3"/>
        <v>0</v>
      </c>
    </row>
    <row r="14" ht="18" customHeight="1" spans="1:18">
      <c r="A14" s="20"/>
      <c r="B14" s="91" t="s">
        <v>1276</v>
      </c>
      <c r="C14" s="23"/>
      <c r="D14" s="23" t="s">
        <v>28</v>
      </c>
      <c r="E14" s="28">
        <f>F3*2</f>
        <v>4</v>
      </c>
      <c r="F14" s="101">
        <f ca="1">(I14+J14+K14+L14+M14)</f>
        <v>348.2448493136</v>
      </c>
      <c r="G14" s="95">
        <v>4.882</v>
      </c>
      <c r="H14" s="95">
        <v>2.771</v>
      </c>
      <c r="I14" s="61">
        <f ca="1">G14*H14*'10变15米（人字150料）参数'!G5*1.1</f>
        <v>321.5448493136</v>
      </c>
      <c r="J14" s="61"/>
      <c r="K14" s="61">
        <v>15</v>
      </c>
      <c r="L14" s="61">
        <f>8*0.65</f>
        <v>5.2</v>
      </c>
      <c r="M14" s="61">
        <v>6.5</v>
      </c>
      <c r="N14" s="166" t="s">
        <v>1358</v>
      </c>
      <c r="O14" s="167">
        <v>4</v>
      </c>
      <c r="P14" s="67">
        <f ca="1" t="shared" si="1"/>
        <v>1392.9793972544</v>
      </c>
      <c r="Q14" s="67">
        <f t="shared" si="2"/>
        <v>0</v>
      </c>
      <c r="R14" s="67">
        <f ca="1" t="shared" si="3"/>
        <v>0</v>
      </c>
    </row>
    <row r="15" ht="18" customHeight="1" spans="1:18">
      <c r="A15" s="31"/>
      <c r="B15" s="152" t="s">
        <v>1274</v>
      </c>
      <c r="C15" s="43"/>
      <c r="D15" s="43" t="s">
        <v>28</v>
      </c>
      <c r="E15" s="150">
        <f>A3*2+F3*3</f>
        <v>10</v>
      </c>
      <c r="F15" s="101">
        <f>(I15+J15+K15+L15+M15)</f>
        <v>20.4</v>
      </c>
      <c r="G15" s="151"/>
      <c r="H15" s="151"/>
      <c r="I15" s="39">
        <f>17*1.2</f>
        <v>20.4</v>
      </c>
      <c r="J15" s="39"/>
      <c r="K15" s="39"/>
      <c r="L15" s="39"/>
      <c r="M15" s="39"/>
      <c r="N15" s="239" t="s">
        <v>1359</v>
      </c>
      <c r="O15" s="167">
        <v>8</v>
      </c>
      <c r="P15" s="67">
        <f ca="1" t="shared" si="1"/>
        <v>163.2</v>
      </c>
      <c r="Q15" s="67">
        <f t="shared" si="2"/>
        <v>2</v>
      </c>
      <c r="R15" s="67">
        <f ca="1" t="shared" si="3"/>
        <v>40.8</v>
      </c>
    </row>
    <row r="16" ht="18" customHeight="1" spans="1:18">
      <c r="A16" s="20" t="s">
        <v>1278</v>
      </c>
      <c r="B16" s="91" t="s">
        <v>1304</v>
      </c>
      <c r="C16" s="23"/>
      <c r="D16" s="23" t="s">
        <v>434</v>
      </c>
      <c r="E16" s="24">
        <f>D3</f>
        <v>3</v>
      </c>
      <c r="F16" s="101">
        <v>168</v>
      </c>
      <c r="G16" s="151"/>
      <c r="H16" s="151"/>
      <c r="I16" s="39"/>
      <c r="J16" s="39"/>
      <c r="K16" s="39"/>
      <c r="L16" s="39"/>
      <c r="M16" s="39"/>
      <c r="N16" s="239" t="s">
        <v>1409</v>
      </c>
      <c r="O16" s="172">
        <v>2</v>
      </c>
      <c r="P16" s="67">
        <f ca="1" t="shared" si="1"/>
        <v>336</v>
      </c>
      <c r="Q16" s="67">
        <f t="shared" si="2"/>
        <v>1</v>
      </c>
      <c r="R16" s="67">
        <f ca="1" t="shared" si="3"/>
        <v>168</v>
      </c>
    </row>
    <row r="17" ht="18" customHeight="1" spans="1:18">
      <c r="A17" s="20"/>
      <c r="B17" s="91" t="s">
        <v>1310</v>
      </c>
      <c r="C17" s="23"/>
      <c r="D17" s="23" t="s">
        <v>434</v>
      </c>
      <c r="E17" s="24">
        <f>E6</f>
        <v>4</v>
      </c>
      <c r="F17" s="101">
        <v>76.4</v>
      </c>
      <c r="G17" s="148"/>
      <c r="H17" s="148"/>
      <c r="I17" s="101"/>
      <c r="J17" s="101"/>
      <c r="K17" s="101"/>
      <c r="L17" s="101"/>
      <c r="M17" s="101"/>
      <c r="N17" s="166" t="s">
        <v>1361</v>
      </c>
      <c r="O17" s="167">
        <v>4</v>
      </c>
      <c r="P17" s="67">
        <f ca="1" t="shared" si="1"/>
        <v>305.6</v>
      </c>
      <c r="Q17" s="67">
        <f t="shared" si="2"/>
        <v>0</v>
      </c>
      <c r="R17" s="67">
        <f ca="1" t="shared" si="3"/>
        <v>0</v>
      </c>
    </row>
    <row r="18" ht="18" customHeight="1" spans="1:18">
      <c r="A18" s="20"/>
      <c r="B18" s="91" t="s">
        <v>1280</v>
      </c>
      <c r="C18" s="23"/>
      <c r="D18" s="23" t="s">
        <v>434</v>
      </c>
      <c r="E18" s="28">
        <f>E5</f>
        <v>6</v>
      </c>
      <c r="F18" s="61">
        <v>74.28</v>
      </c>
      <c r="G18" s="95"/>
      <c r="H18" s="95"/>
      <c r="I18" s="61"/>
      <c r="J18" s="61"/>
      <c r="K18" s="61"/>
      <c r="L18" s="61"/>
      <c r="M18" s="61"/>
      <c r="N18" s="116" t="s">
        <v>1361</v>
      </c>
      <c r="O18" s="167">
        <v>4</v>
      </c>
      <c r="P18" s="67">
        <f ca="1" t="shared" si="1"/>
        <v>297.12</v>
      </c>
      <c r="Q18" s="67">
        <f t="shared" si="2"/>
        <v>2</v>
      </c>
      <c r="R18" s="67">
        <f ca="1" t="shared" si="3"/>
        <v>148.56</v>
      </c>
    </row>
    <row r="19" ht="18" customHeight="1" spans="1:18">
      <c r="A19" s="20"/>
      <c r="B19" s="91" t="s">
        <v>1339</v>
      </c>
      <c r="C19" s="23"/>
      <c r="D19" s="23" t="s">
        <v>28</v>
      </c>
      <c r="E19" s="32">
        <f>E12</f>
        <v>5</v>
      </c>
      <c r="F19" s="101">
        <v>91.3</v>
      </c>
      <c r="G19" s="148"/>
      <c r="H19" s="148"/>
      <c r="I19" s="101"/>
      <c r="J19" s="101"/>
      <c r="K19" s="101"/>
      <c r="L19" s="101"/>
      <c r="M19" s="101"/>
      <c r="N19" s="166" t="s">
        <v>1362</v>
      </c>
      <c r="O19" s="167">
        <v>4</v>
      </c>
      <c r="P19" s="67">
        <f ca="1" t="shared" si="1"/>
        <v>365.2</v>
      </c>
      <c r="Q19" s="67">
        <f t="shared" si="2"/>
        <v>1</v>
      </c>
      <c r="R19" s="67">
        <f ca="1" t="shared" si="3"/>
        <v>91.3</v>
      </c>
    </row>
    <row r="20" ht="18" customHeight="1" spans="1:18">
      <c r="A20" s="20"/>
      <c r="B20" s="91" t="s">
        <v>1282</v>
      </c>
      <c r="C20" s="23"/>
      <c r="D20" s="23" t="s">
        <v>434</v>
      </c>
      <c r="E20" s="24">
        <f>D3*2+F3*2</f>
        <v>10</v>
      </c>
      <c r="F20" s="101">
        <v>4.45</v>
      </c>
      <c r="G20" s="148"/>
      <c r="H20" s="148"/>
      <c r="I20" s="101"/>
      <c r="J20" s="101"/>
      <c r="K20" s="101"/>
      <c r="L20" s="101"/>
      <c r="M20" s="101"/>
      <c r="N20" s="166" t="s">
        <v>1363</v>
      </c>
      <c r="O20" s="167">
        <v>8</v>
      </c>
      <c r="P20" s="67">
        <f ca="1" t="shared" si="1"/>
        <v>35.6</v>
      </c>
      <c r="Q20" s="67">
        <f t="shared" si="2"/>
        <v>2</v>
      </c>
      <c r="R20" s="67">
        <f ca="1" t="shared" si="3"/>
        <v>8.9</v>
      </c>
    </row>
    <row r="21" ht="18" customHeight="1" spans="1:18">
      <c r="A21" s="20"/>
      <c r="B21" s="91" t="s">
        <v>1284</v>
      </c>
      <c r="C21" s="23"/>
      <c r="D21" s="23" t="s">
        <v>434</v>
      </c>
      <c r="E21" s="24">
        <f>D3*2</f>
        <v>6</v>
      </c>
      <c r="F21" s="101">
        <v>6.51</v>
      </c>
      <c r="G21" s="148"/>
      <c r="H21" s="148"/>
      <c r="I21" s="101"/>
      <c r="J21" s="101"/>
      <c r="K21" s="101"/>
      <c r="L21" s="101"/>
      <c r="M21" s="101"/>
      <c r="N21" s="166" t="s">
        <v>1364</v>
      </c>
      <c r="O21" s="167">
        <v>4</v>
      </c>
      <c r="P21" s="67">
        <f ca="1" t="shared" si="1"/>
        <v>26.04</v>
      </c>
      <c r="Q21" s="67">
        <f t="shared" si="2"/>
        <v>2</v>
      </c>
      <c r="R21" s="67">
        <f ca="1" t="shared" si="3"/>
        <v>13.02</v>
      </c>
    </row>
    <row r="22" ht="18" customHeight="1" spans="1:18">
      <c r="A22" s="20"/>
      <c r="B22" s="91" t="s">
        <v>519</v>
      </c>
      <c r="C22" s="23"/>
      <c r="D22" s="23" t="s">
        <v>434</v>
      </c>
      <c r="E22" s="24">
        <f>F3*2</f>
        <v>4</v>
      </c>
      <c r="F22" s="101">
        <v>5.95</v>
      </c>
      <c r="G22" s="151"/>
      <c r="H22" s="151"/>
      <c r="I22" s="39"/>
      <c r="J22" s="39"/>
      <c r="K22" s="39"/>
      <c r="L22" s="39"/>
      <c r="M22" s="39"/>
      <c r="N22" s="166" t="s">
        <v>1365</v>
      </c>
      <c r="O22" s="167">
        <v>4</v>
      </c>
      <c r="P22" s="67">
        <f ca="1" t="shared" si="1"/>
        <v>23.8</v>
      </c>
      <c r="Q22" s="67">
        <f t="shared" si="2"/>
        <v>0</v>
      </c>
      <c r="R22" s="67">
        <f ca="1" t="shared" si="3"/>
        <v>0</v>
      </c>
    </row>
    <row r="23" ht="18" customHeight="1" spans="1:18">
      <c r="A23" s="31"/>
      <c r="B23" s="152" t="s">
        <v>551</v>
      </c>
      <c r="C23" s="43"/>
      <c r="D23" s="43" t="s">
        <v>434</v>
      </c>
      <c r="E23" s="150">
        <f>F3*2</f>
        <v>4</v>
      </c>
      <c r="F23" s="41">
        <v>15.5</v>
      </c>
      <c r="G23" s="99"/>
      <c r="H23" s="99"/>
      <c r="I23" s="41"/>
      <c r="J23" s="41"/>
      <c r="K23" s="41"/>
      <c r="L23" s="41"/>
      <c r="M23" s="41"/>
      <c r="N23" s="116" t="s">
        <v>1361</v>
      </c>
      <c r="O23" s="174">
        <v>4</v>
      </c>
      <c r="P23" s="67">
        <f ca="1" t="shared" si="1"/>
        <v>62</v>
      </c>
      <c r="Q23" s="67">
        <f t="shared" si="2"/>
        <v>0</v>
      </c>
      <c r="R23" s="67">
        <f ca="1" t="shared" si="3"/>
        <v>0</v>
      </c>
    </row>
    <row r="24" ht="18" customHeight="1" spans="1:18">
      <c r="A24" s="153" t="s">
        <v>1216</v>
      </c>
      <c r="B24" s="91" t="s">
        <v>1366</v>
      </c>
      <c r="C24" s="23"/>
      <c r="D24" s="23" t="s">
        <v>612</v>
      </c>
      <c r="E24" s="24">
        <f>A3</f>
        <v>2</v>
      </c>
      <c r="F24" s="122">
        <f ca="1">(I24+J24)*1.1+30</f>
        <v>2004.291</v>
      </c>
      <c r="G24" s="99">
        <v>17.4</v>
      </c>
      <c r="H24" s="99">
        <v>5</v>
      </c>
      <c r="I24" s="41">
        <f ca="1">G24*H24*'10变15米（人字150料）参数'!E15*1.1</f>
        <v>1655.61</v>
      </c>
      <c r="J24" s="41">
        <f>17.4*2*4</f>
        <v>139.2</v>
      </c>
      <c r="K24" s="41">
        <v>30</v>
      </c>
      <c r="L24" s="41"/>
      <c r="M24" s="41"/>
      <c r="N24" s="240" t="s">
        <v>1410</v>
      </c>
      <c r="O24" s="175">
        <v>1</v>
      </c>
      <c r="P24" s="67">
        <f ca="1" t="shared" si="1"/>
        <v>2004.291</v>
      </c>
      <c r="Q24" s="67">
        <f t="shared" si="2"/>
        <v>1</v>
      </c>
      <c r="R24" s="67">
        <f ca="1" t="shared" si="3"/>
        <v>2004.291</v>
      </c>
    </row>
    <row r="25" ht="18" customHeight="1" spans="1:18">
      <c r="A25" s="153"/>
      <c r="B25" s="91" t="s">
        <v>1368</v>
      </c>
      <c r="C25" s="23"/>
      <c r="D25" s="23" t="s">
        <v>664</v>
      </c>
      <c r="E25" s="24">
        <f>F3</f>
        <v>2</v>
      </c>
      <c r="F25" s="122">
        <f ca="1">(I25+J25)*1.1+15</f>
        <v>595.947884</v>
      </c>
      <c r="G25" s="148">
        <v>7.73</v>
      </c>
      <c r="H25" s="154">
        <v>3.6</v>
      </c>
      <c r="I25" s="101">
        <f ca="1">G25*H25*'10变15米（人字150料）参数'!E14*1.1</f>
        <v>437.73444</v>
      </c>
      <c r="J25" s="101">
        <f>11.3*2*4</f>
        <v>90.4</v>
      </c>
      <c r="K25" s="101">
        <v>15</v>
      </c>
      <c r="L25" s="101"/>
      <c r="M25" s="101"/>
      <c r="N25" s="241" t="s">
        <v>1411</v>
      </c>
      <c r="O25" s="167">
        <v>2</v>
      </c>
      <c r="P25" s="67">
        <f ca="1" t="shared" si="1"/>
        <v>1191.895768</v>
      </c>
      <c r="Q25" s="67">
        <f t="shared" si="2"/>
        <v>0</v>
      </c>
      <c r="R25" s="67">
        <f ca="1" t="shared" si="3"/>
        <v>0</v>
      </c>
    </row>
    <row r="26" ht="18" customHeight="1" spans="1:18">
      <c r="A26" s="155"/>
      <c r="B26" s="91" t="s">
        <v>1370</v>
      </c>
      <c r="C26" s="23"/>
      <c r="D26" s="23" t="s">
        <v>664</v>
      </c>
      <c r="E26" s="24">
        <f>A3*2+F3*3</f>
        <v>10</v>
      </c>
      <c r="F26" s="101">
        <f ca="1">I26+J26+K26+L26+M26</f>
        <v>458.28612</v>
      </c>
      <c r="G26" s="156">
        <v>5.2</v>
      </c>
      <c r="H26" s="157">
        <v>4.97</v>
      </c>
      <c r="I26" s="101">
        <f ca="1">G26*H26*'10变15米（人字150料）参数'!E14*1.1+15</f>
        <v>421.52612</v>
      </c>
      <c r="J26" s="71">
        <f>4*2</f>
        <v>8</v>
      </c>
      <c r="K26" s="71">
        <f>0.5*10</f>
        <v>5</v>
      </c>
      <c r="L26" s="71">
        <f>0.32*18</f>
        <v>5.76</v>
      </c>
      <c r="M26" s="71">
        <f>18*1</f>
        <v>18</v>
      </c>
      <c r="N26" s="166" t="s">
        <v>1394</v>
      </c>
      <c r="O26" s="167">
        <v>8</v>
      </c>
      <c r="P26" s="67">
        <f ca="1" t="shared" si="1"/>
        <v>3666.28896</v>
      </c>
      <c r="Q26" s="67">
        <f t="shared" si="2"/>
        <v>2</v>
      </c>
      <c r="R26" s="67">
        <f ca="1" t="shared" si="3"/>
        <v>916.57224</v>
      </c>
    </row>
    <row r="27" ht="18" customHeight="1" spans="1:18">
      <c r="A27" s="20" t="s">
        <v>1235</v>
      </c>
      <c r="B27" s="138" t="s">
        <v>583</v>
      </c>
      <c r="C27" s="23"/>
      <c r="D27" s="23" t="s">
        <v>434</v>
      </c>
      <c r="E27" s="24">
        <f>D3*10+F3*2+E19*2</f>
        <v>44</v>
      </c>
      <c r="F27" s="101">
        <v>2.15</v>
      </c>
      <c r="G27" s="154"/>
      <c r="H27" s="154"/>
      <c r="I27" s="101"/>
      <c r="J27" s="101"/>
      <c r="K27" s="101"/>
      <c r="L27" s="101"/>
      <c r="M27" s="101"/>
      <c r="N27" s="166" t="s">
        <v>1372</v>
      </c>
      <c r="O27" s="167">
        <v>34</v>
      </c>
      <c r="P27" s="67">
        <f ca="1" t="shared" si="1"/>
        <v>73.1</v>
      </c>
      <c r="Q27" s="67">
        <f t="shared" si="2"/>
        <v>10</v>
      </c>
      <c r="R27" s="67">
        <f ca="1" t="shared" si="3"/>
        <v>21.5</v>
      </c>
    </row>
    <row r="28" ht="18" customHeight="1" spans="1:18">
      <c r="A28" s="20"/>
      <c r="B28" s="109" t="s">
        <v>585</v>
      </c>
      <c r="C28" s="23"/>
      <c r="D28" s="23" t="s">
        <v>434</v>
      </c>
      <c r="E28" s="24">
        <f>D3*2+E19+E12</f>
        <v>16</v>
      </c>
      <c r="F28" s="101">
        <v>2.55</v>
      </c>
      <c r="G28" s="154"/>
      <c r="H28" s="154"/>
      <c r="I28" s="101"/>
      <c r="J28" s="101"/>
      <c r="K28" s="101"/>
      <c r="L28" s="101"/>
      <c r="M28" s="101"/>
      <c r="N28" s="166" t="s">
        <v>1373</v>
      </c>
      <c r="O28" s="172">
        <v>14</v>
      </c>
      <c r="P28" s="67">
        <f ca="1" t="shared" si="1"/>
        <v>35.7</v>
      </c>
      <c r="Q28" s="67">
        <f t="shared" si="2"/>
        <v>2</v>
      </c>
      <c r="R28" s="67">
        <f ca="1" t="shared" si="3"/>
        <v>5.1</v>
      </c>
    </row>
    <row r="29" ht="18" customHeight="1" spans="1:18">
      <c r="A29" s="20"/>
      <c r="B29" s="159" t="s">
        <v>1374</v>
      </c>
      <c r="C29" s="43"/>
      <c r="D29" s="43" t="s">
        <v>434</v>
      </c>
      <c r="E29" s="44">
        <f>D3*2+4</f>
        <v>10</v>
      </c>
      <c r="F29" s="39">
        <v>1.95</v>
      </c>
      <c r="G29" s="160"/>
      <c r="H29" s="160"/>
      <c r="I29" s="39"/>
      <c r="J29" s="39"/>
      <c r="K29" s="39"/>
      <c r="L29" s="39"/>
      <c r="M29" s="39"/>
      <c r="N29" s="166" t="s">
        <v>1375</v>
      </c>
      <c r="O29" s="167">
        <v>8</v>
      </c>
      <c r="P29" s="67">
        <f ca="1" t="shared" si="1"/>
        <v>15.6</v>
      </c>
      <c r="Q29" s="67">
        <f t="shared" si="2"/>
        <v>2</v>
      </c>
      <c r="R29" s="67">
        <f ca="1" t="shared" si="3"/>
        <v>3.9</v>
      </c>
    </row>
    <row r="30" ht="18" customHeight="1" spans="1:18">
      <c r="A30" s="20"/>
      <c r="B30" s="109" t="s">
        <v>554</v>
      </c>
      <c r="C30" s="23"/>
      <c r="D30" s="23" t="s">
        <v>555</v>
      </c>
      <c r="E30" s="28">
        <f>E17+E18+E12</f>
        <v>15</v>
      </c>
      <c r="F30" s="101">
        <v>1.46</v>
      </c>
      <c r="G30" s="154"/>
      <c r="H30" s="154"/>
      <c r="I30" s="101"/>
      <c r="J30" s="101"/>
      <c r="K30" s="101"/>
      <c r="L30" s="101"/>
      <c r="M30" s="101"/>
      <c r="N30" s="166" t="s">
        <v>1376</v>
      </c>
      <c r="O30" s="167">
        <v>13</v>
      </c>
      <c r="P30" s="67">
        <f ca="1" t="shared" si="1"/>
        <v>18.98</v>
      </c>
      <c r="Q30" s="67">
        <f t="shared" si="2"/>
        <v>2</v>
      </c>
      <c r="R30" s="67">
        <f ca="1" t="shared" si="3"/>
        <v>2.92</v>
      </c>
    </row>
    <row r="31" spans="1:18">
      <c r="A31" s="50"/>
      <c r="B31" s="50"/>
      <c r="C31" s="51"/>
      <c r="D31" s="51"/>
      <c r="E31" s="51"/>
      <c r="F31" s="50"/>
      <c r="G31" s="50"/>
      <c r="H31" s="50"/>
      <c r="I31" s="50"/>
      <c r="J31" s="50"/>
      <c r="K31" s="50"/>
      <c r="L31" s="50"/>
      <c r="M31" s="50"/>
      <c r="N31" s="50"/>
      <c r="O31" s="1" t="s">
        <v>1218</v>
      </c>
      <c r="P31" s="3">
        <f ca="1">SUM(P5:P30)</f>
        <v>25716.3641503952</v>
      </c>
      <c r="Q31" s="3" t="s">
        <v>1219</v>
      </c>
      <c r="R31" s="3">
        <f ca="1">SUM(R5:R30)</f>
        <v>9648.6900273136</v>
      </c>
    </row>
    <row r="32" spans="1:18">
      <c r="A32" s="50"/>
      <c r="B32" s="50" t="s">
        <v>1221</v>
      </c>
      <c r="C32" s="51"/>
      <c r="D32" s="51"/>
      <c r="E32" s="51"/>
      <c r="F32" s="50"/>
      <c r="G32" s="50"/>
      <c r="H32" s="50"/>
      <c r="I32" s="50"/>
      <c r="J32" s="50"/>
      <c r="K32" s="50"/>
      <c r="L32" s="50"/>
      <c r="M32" s="50"/>
      <c r="N32" s="50"/>
      <c r="P32" s="3"/>
      <c r="Q32" s="3"/>
      <c r="R32" s="3"/>
    </row>
    <row r="34" spans="15:16">
      <c r="O34" s="1" t="s">
        <v>1377</v>
      </c>
      <c r="P34" s="1">
        <f ca="1">P31+R31</f>
        <v>35365.0541777088</v>
      </c>
    </row>
    <row r="35" spans="15:16">
      <c r="O35" s="1" t="s">
        <v>14</v>
      </c>
      <c r="P35" s="1">
        <f ca="1">P34/E2</f>
        <v>235.767027851392</v>
      </c>
    </row>
  </sheetData>
  <mergeCells count="9">
    <mergeCell ref="A1:N1"/>
    <mergeCell ref="A2:C2"/>
    <mergeCell ref="F2:N2"/>
    <mergeCell ref="A3:B3"/>
    <mergeCell ref="H3:M3"/>
    <mergeCell ref="A5:A15"/>
    <mergeCell ref="A16:A23"/>
    <mergeCell ref="A24:A26"/>
    <mergeCell ref="A27:A30"/>
  </mergeCells>
  <dataValidations count="3">
    <dataValidation type="list" allowBlank="1" showInputMessage="1" showErrorMessage="1" sqref="B24">
      <formula1>"顶布[白]{全新},顶布[白]{A类},顶布[白]{B类},顶布[白]{C类},顶布[白]{D类}"</formula1>
    </dataValidation>
    <dataValidation type="list" allowBlank="1" showInputMessage="1" showErrorMessage="1" sqref="B25">
      <formula1>"山尖布[白]{全新},山尖布[白]{A类},山尖布[白]{B类},山尖布[白]{C类},山尖布[白]{D类}"</formula1>
    </dataValidation>
    <dataValidation type="list" allowBlank="1" showInputMessage="1" showErrorMessage="1" sqref="B26">
      <formula1>"围布[白]{全新},围布[白]{A类},围布[白]{B类},围布[白]{C类},围布[白]{D类},透光窗围布[白]{全新},透光窗围布[白]{A类},透光窗围布[白]{B类},透光窗围布[白]{C类},透光窗围布[白]{D类}"</formula1>
    </dataValidation>
  </dataValidations>
  <pageMargins left="0.75" right="0.75" top="1" bottom="1" header="0.509027777777778" footer="0.509027777777778"/>
  <headerFooter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7030A0"/>
  </sheetPr>
  <dimension ref="A1:L27"/>
  <sheetViews>
    <sheetView showGridLines="0" workbookViewId="0">
      <selection activeCell="E31" sqref="E31"/>
    </sheetView>
  </sheetViews>
  <sheetFormatPr defaultColWidth="9" defaultRowHeight="14.25"/>
  <cols>
    <col min="1" max="1" width="21.125" style="1" customWidth="1"/>
    <col min="2" max="2" width="19.125" style="1" customWidth="1"/>
    <col min="3" max="3" width="15.5" style="1" customWidth="1"/>
    <col min="4" max="4" width="11.375" style="1" customWidth="1"/>
    <col min="5" max="5" width="10.5" style="1" customWidth="1"/>
    <col min="6" max="6" width="9" style="1"/>
    <col min="7" max="7" width="12.625" style="1" customWidth="1"/>
    <col min="8" max="16384" width="9" style="1"/>
  </cols>
  <sheetData>
    <row r="1" spans="1:4">
      <c r="A1" s="2" t="str">
        <f ca="1">'数据修改（批量）'!A1</f>
        <v>上海有色铝锭价格</v>
      </c>
      <c r="B1" s="2"/>
      <c r="C1" s="2"/>
      <c r="D1" s="3"/>
    </row>
    <row r="2" spans="1:7">
      <c r="A2" s="4">
        <f ca="1">'数据修改（批量）'!A2</f>
        <v>16200</v>
      </c>
      <c r="B2" s="2" t="str">
        <f ca="1">'数据修改（批量）'!B2</f>
        <v>项目</v>
      </c>
      <c r="C2" s="2" t="str">
        <f ca="1">'数据修改（批量）'!C2</f>
        <v>加工费</v>
      </c>
      <c r="D2" s="2" t="str">
        <f ca="1">'数据修改（批量）'!D2</f>
        <v>包装物</v>
      </c>
      <c r="E2" s="2" t="str">
        <f ca="1">'数据修改（批量）'!E2</f>
        <v>运费</v>
      </c>
      <c r="F2" s="2" t="str">
        <f ca="1">'数据修改（批量）'!F2</f>
        <v>单价</v>
      </c>
      <c r="G2" s="2" t="str">
        <f ca="1">'数据修改（批量）'!G2</f>
        <v>每公斤价格</v>
      </c>
    </row>
    <row r="3" spans="1:7">
      <c r="A3" s="2"/>
      <c r="B3" s="2" t="str">
        <f ca="1">'数据修改（批量）'!B3</f>
        <v>203料</v>
      </c>
      <c r="C3" s="2">
        <f ca="1">'数据修改（批量）'!C3</f>
        <v>5500</v>
      </c>
      <c r="D3" s="2">
        <f ca="1">'数据修改（批量）'!D3</f>
        <v>868</v>
      </c>
      <c r="E3" s="2">
        <f ca="1">'数据修改（批量）'!E3</f>
        <v>80</v>
      </c>
      <c r="F3" s="2">
        <f ca="1">'数据修改（批量）'!F3</f>
        <v>22648</v>
      </c>
      <c r="G3" s="2">
        <f ca="1">'数据修改（批量）'!G3</f>
        <v>22.648</v>
      </c>
    </row>
    <row r="4" spans="1:7">
      <c r="A4" s="2"/>
      <c r="B4" s="2" t="str">
        <f ca="1">'数据修改（批量）'!B4</f>
        <v>203料氧化</v>
      </c>
      <c r="C4" s="2">
        <f ca="1">'数据修改（批量）'!C4</f>
        <v>6000</v>
      </c>
      <c r="D4" s="2">
        <f ca="1">'数据修改（批量）'!D4</f>
        <v>888</v>
      </c>
      <c r="E4" s="2">
        <f ca="1">'数据修改（批量）'!E4</f>
        <v>80</v>
      </c>
      <c r="F4" s="2">
        <f ca="1">'数据修改（批量）'!F4</f>
        <v>23168</v>
      </c>
      <c r="G4" s="2">
        <f ca="1">'数据修改（批量）'!G4</f>
        <v>23.168</v>
      </c>
    </row>
    <row r="5" spans="2:7">
      <c r="B5" s="2" t="str">
        <f ca="1">'数据修改（批量）'!B5</f>
        <v>小料加工费</v>
      </c>
      <c r="C5" s="2">
        <f ca="1">'数据修改（批量）'!C5</f>
        <v>4500</v>
      </c>
      <c r="D5" s="2">
        <f ca="1">'数据修改（批量）'!D5</f>
        <v>828</v>
      </c>
      <c r="E5" s="2">
        <f ca="1">'数据修改（批量）'!E5</f>
        <v>80</v>
      </c>
      <c r="F5" s="2">
        <f ca="1">'数据修改（批量）'!F5</f>
        <v>21608</v>
      </c>
      <c r="G5" s="2">
        <f ca="1">'数据修改（批量）'!G5</f>
        <v>21.608</v>
      </c>
    </row>
    <row r="6" spans="1:4">
      <c r="A6" s="2" t="str">
        <f ca="1">'数据修改（批量）'!A6</f>
        <v>南海有色铝锭价格</v>
      </c>
      <c r="D6" s="5"/>
    </row>
    <row r="7" spans="1:1">
      <c r="A7" s="4">
        <f ca="1">'数据修改（批量）'!A7</f>
        <v>16600</v>
      </c>
    </row>
    <row r="8" spans="2:7">
      <c r="B8" s="2" t="str">
        <f ca="1">'数据修改（批量）'!B8</f>
        <v>项目</v>
      </c>
      <c r="C8" s="2" t="str">
        <f ca="1">'数据修改（批量）'!C8</f>
        <v>加工费</v>
      </c>
      <c r="D8" s="2" t="str">
        <f ca="1">'数据修改（批量）'!D8</f>
        <v>包装物</v>
      </c>
      <c r="E8" s="2" t="str">
        <f ca="1">'数据修改（批量）'!E8</f>
        <v>运费</v>
      </c>
      <c r="F8" s="2" t="str">
        <f ca="1">'数据修改（批量）'!F8</f>
        <v>单价</v>
      </c>
      <c r="G8" s="2" t="str">
        <f ca="1">'数据修改（批量）'!G8</f>
        <v>每公斤价格</v>
      </c>
    </row>
    <row r="9" spans="2:7">
      <c r="B9" s="2" t="str">
        <f ca="1">'数据修改（批量）'!B9</f>
        <v>300/350料8米以上</v>
      </c>
      <c r="C9" s="2">
        <f ca="1">'数据修改（批量）'!C9</f>
        <v>7800</v>
      </c>
      <c r="D9" s="2">
        <f ca="1">'数据修改（批量）'!D9</f>
        <v>976</v>
      </c>
      <c r="E9" s="2">
        <f ca="1">'数据修改（批量）'!E9</f>
        <v>1000</v>
      </c>
      <c r="F9" s="2">
        <f ca="1">'数据修改（批量）'!F9</f>
        <v>26376</v>
      </c>
      <c r="G9" s="2">
        <f ca="1">'数据修改（批量）'!G9</f>
        <v>26.376</v>
      </c>
    </row>
    <row r="10" spans="2:7">
      <c r="B10" s="2" t="str">
        <f ca="1">'数据修改（批量）'!B10</f>
        <v>300/350料8米以下</v>
      </c>
      <c r="C10" s="2">
        <f ca="1">'数据修改（批量）'!C10</f>
        <v>7100</v>
      </c>
      <c r="D10" s="2">
        <f ca="1">'数据修改（批量）'!D10</f>
        <v>948</v>
      </c>
      <c r="E10" s="2">
        <f ca="1">'数据修改（批量）'!E10</f>
        <v>1000</v>
      </c>
      <c r="F10" s="2">
        <f ca="1">'数据修改（批量）'!F10</f>
        <v>25648</v>
      </c>
      <c r="G10" s="2">
        <f ca="1">'数据修改（批量）'!G10</f>
        <v>25.648</v>
      </c>
    </row>
    <row r="12" spans="1:4">
      <c r="A12" s="2" t="str">
        <f ca="1">'数据修改（批量）'!A12</f>
        <v>篷布</v>
      </c>
      <c r="B12" s="2"/>
      <c r="C12" s="2"/>
      <c r="D12" s="3"/>
    </row>
    <row r="13" spans="1:7">
      <c r="A13" s="2"/>
      <c r="B13" s="2" t="str">
        <f ca="1">'数据修改（批量）'!B13</f>
        <v>项目</v>
      </c>
      <c r="C13" s="2" t="str">
        <f ca="1">'数据修改（批量）'!C13</f>
        <v>运费</v>
      </c>
      <c r="D13" s="2" t="str">
        <f ca="1">'数据修改（批量）'!D13</f>
        <v>单价</v>
      </c>
      <c r="E13" s="2" t="str">
        <f ca="1">'数据修改（批量）'!E13</f>
        <v>每平价格</v>
      </c>
      <c r="F13" s="2"/>
      <c r="G13" s="2"/>
    </row>
    <row r="14" spans="1:7">
      <c r="A14" s="2"/>
      <c r="B14" s="2">
        <f ca="1">'数据修改（批量）'!B14</f>
        <v>650</v>
      </c>
      <c r="C14" s="2">
        <f ca="1">'数据修改（批量）'!C14</f>
        <v>0.5</v>
      </c>
      <c r="D14" s="4">
        <f ca="1">'数据修改（批量）'!D14</f>
        <v>13.8</v>
      </c>
      <c r="E14" s="2">
        <f ca="1">'数据修改（批量）'!E14</f>
        <v>14.3</v>
      </c>
      <c r="F14" s="2"/>
      <c r="G14" s="2"/>
    </row>
    <row r="15" spans="1:7">
      <c r="A15" s="2"/>
      <c r="B15" s="2">
        <f ca="1">'数据修改（批量）'!B15</f>
        <v>780</v>
      </c>
      <c r="C15" s="2">
        <f ca="1">'数据修改（批量）'!C15</f>
        <v>0.5</v>
      </c>
      <c r="D15" s="4">
        <f ca="1">'数据修改（批量）'!D15</f>
        <v>16.8</v>
      </c>
      <c r="E15" s="2">
        <f ca="1">'数据修改（批量）'!E15</f>
        <v>17.3</v>
      </c>
      <c r="F15" s="2"/>
      <c r="G15" s="2"/>
    </row>
    <row r="16" spans="2:7">
      <c r="B16" s="2">
        <f ca="1">'数据修改（批量）'!B16</f>
        <v>850</v>
      </c>
      <c r="C16" s="2">
        <f ca="1">'数据修改（批量）'!C16</f>
        <v>0.5</v>
      </c>
      <c r="D16" s="4">
        <f ca="1">'数据修改（批量）'!D16</f>
        <v>18</v>
      </c>
      <c r="E16" s="2">
        <f ca="1">'数据修改（批量）'!E16</f>
        <v>18.5</v>
      </c>
      <c r="F16" s="2"/>
      <c r="G16" s="2"/>
    </row>
    <row r="21" spans="1:7">
      <c r="A21" s="6" t="str">
        <f ca="1">'数据修改（批量）'!A21</f>
        <v>说明：黄色部分可以根据价格修改</v>
      </c>
      <c r="B21" s="6"/>
      <c r="C21" s="6"/>
      <c r="D21" s="6"/>
      <c r="E21" s="6"/>
      <c r="F21" s="6"/>
      <c r="G21" s="6"/>
    </row>
    <row r="27" spans="12:12">
      <c r="L27" s="1">
        <f>20*0.08</f>
        <v>1.6</v>
      </c>
    </row>
  </sheetData>
  <mergeCells count="1">
    <mergeCell ref="A21:G21"/>
  </mergeCells>
  <pageMargins left="0.75" right="0.75" top="1" bottom="1" header="0.509027777777778" footer="0.509027777777778"/>
  <headerFooter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FF0000"/>
  </sheetPr>
  <dimension ref="A1:V46"/>
  <sheetViews>
    <sheetView showGridLines="0" workbookViewId="0">
      <selection activeCell="F11" sqref="F11"/>
    </sheetView>
  </sheetViews>
  <sheetFormatPr defaultColWidth="9" defaultRowHeight="14.25"/>
  <cols>
    <col min="1" max="1" width="2.875" style="50" customWidth="1"/>
    <col min="2" max="2" width="16.875" style="50" customWidth="1"/>
    <col min="3" max="5" width="10.625" style="51" customWidth="1"/>
    <col min="6" max="6" width="10.625" style="50" customWidth="1"/>
    <col min="7" max="13" width="15.75" style="50" customWidth="1"/>
    <col min="14" max="14" width="72.75" style="50" customWidth="1"/>
    <col min="15" max="15" width="11.125" style="50" customWidth="1"/>
    <col min="16" max="16" width="17.875" style="3" customWidth="1"/>
    <col min="17" max="17" width="9" style="3" hidden="1" customWidth="1"/>
    <col min="18" max="22" width="9" style="3"/>
    <col min="23" max="16384" width="9" style="1"/>
  </cols>
  <sheetData>
    <row r="1" ht="17.1" customHeight="1" spans="1:15">
      <c r="A1" s="7" t="s">
        <v>1414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161"/>
    </row>
    <row r="2" ht="17.1" customHeight="1" spans="1:22">
      <c r="A2" s="141" t="s">
        <v>1246</v>
      </c>
      <c r="B2" s="142"/>
      <c r="C2" s="142"/>
      <c r="D2" s="9" t="s">
        <v>1198</v>
      </c>
      <c r="E2" s="176">
        <f>A3*5*15</f>
        <v>150</v>
      </c>
      <c r="F2" s="11"/>
      <c r="G2" s="11"/>
      <c r="H2" s="11"/>
      <c r="I2" s="11"/>
      <c r="J2" s="11"/>
      <c r="K2" s="11"/>
      <c r="L2" s="11"/>
      <c r="M2" s="11"/>
      <c r="N2" s="11"/>
      <c r="O2" s="162"/>
      <c r="Q2" s="55"/>
      <c r="R2" s="55"/>
      <c r="S2" s="55"/>
      <c r="U2" s="1"/>
      <c r="V2" s="1"/>
    </row>
    <row r="3" ht="17.1" customHeight="1" spans="1:22">
      <c r="A3" s="12">
        <v>2</v>
      </c>
      <c r="B3" s="12"/>
      <c r="C3" s="9" t="s">
        <v>1247</v>
      </c>
      <c r="D3" s="13">
        <v>3</v>
      </c>
      <c r="E3" s="11" t="s">
        <v>1248</v>
      </c>
      <c r="F3" s="12">
        <v>2</v>
      </c>
      <c r="G3" s="11" t="s">
        <v>1249</v>
      </c>
      <c r="H3" s="12"/>
      <c r="I3" s="12"/>
      <c r="J3" s="12"/>
      <c r="K3" s="12"/>
      <c r="L3" s="12"/>
      <c r="M3" s="12"/>
      <c r="N3" s="12"/>
      <c r="O3" s="162"/>
      <c r="Q3" s="55"/>
      <c r="R3" s="55"/>
      <c r="S3" s="55"/>
      <c r="U3" s="1"/>
      <c r="V3" s="1"/>
    </row>
    <row r="4" ht="17.1" customHeight="1" spans="1:22">
      <c r="A4" s="12"/>
      <c r="B4" s="12"/>
      <c r="C4" s="12"/>
      <c r="D4" s="12"/>
      <c r="E4" s="12"/>
      <c r="F4" s="12"/>
      <c r="G4" s="11" t="s">
        <v>1345</v>
      </c>
      <c r="H4" s="11"/>
      <c r="I4" s="9" t="s">
        <v>1346</v>
      </c>
      <c r="J4" s="9"/>
      <c r="K4" s="9"/>
      <c r="L4" s="9"/>
      <c r="M4" s="9"/>
      <c r="N4" s="12"/>
      <c r="O4" s="162"/>
      <c r="Q4" s="55"/>
      <c r="R4" s="55"/>
      <c r="S4" s="55"/>
      <c r="U4" s="1"/>
      <c r="V4" s="1"/>
    </row>
    <row r="5" ht="24" spans="1:19">
      <c r="A5" s="165" t="s">
        <v>1200</v>
      </c>
      <c r="B5" s="165" t="s">
        <v>1201</v>
      </c>
      <c r="C5" s="165" t="s">
        <v>1250</v>
      </c>
      <c r="D5" s="165" t="s">
        <v>22</v>
      </c>
      <c r="E5" s="165" t="s">
        <v>1251</v>
      </c>
      <c r="F5" s="75" t="s">
        <v>1204</v>
      </c>
      <c r="G5" s="19" t="s">
        <v>1205</v>
      </c>
      <c r="H5" s="17" t="s">
        <v>1253</v>
      </c>
      <c r="I5" s="17" t="s">
        <v>1254</v>
      </c>
      <c r="J5" s="17" t="s">
        <v>1255</v>
      </c>
      <c r="K5" s="17" t="s">
        <v>1209</v>
      </c>
      <c r="L5" s="17" t="s">
        <v>1347</v>
      </c>
      <c r="M5" s="17" t="s">
        <v>1211</v>
      </c>
      <c r="N5" s="163" t="s">
        <v>1257</v>
      </c>
      <c r="O5" s="164" t="s">
        <v>1212</v>
      </c>
      <c r="P5" s="165" t="s">
        <v>1213</v>
      </c>
      <c r="Q5" s="75" t="s">
        <v>1396</v>
      </c>
      <c r="R5" s="165" t="s">
        <v>1214</v>
      </c>
      <c r="S5" s="75" t="s">
        <v>1213</v>
      </c>
    </row>
    <row r="6" ht="15" customHeight="1" spans="1:19">
      <c r="A6" s="20" t="s">
        <v>1215</v>
      </c>
      <c r="B6" s="91" t="s">
        <v>1224</v>
      </c>
      <c r="C6" s="23"/>
      <c r="D6" s="23" t="s">
        <v>28</v>
      </c>
      <c r="E6" s="24">
        <f>D3*2</f>
        <v>6</v>
      </c>
      <c r="F6" s="101">
        <f ca="1">I6+J6+K6+L6+M6</f>
        <v>609.2654672</v>
      </c>
      <c r="G6" s="94">
        <f>7.16/2</f>
        <v>3.58</v>
      </c>
      <c r="H6" s="94">
        <v>5.3</v>
      </c>
      <c r="I6" s="93">
        <f ca="1">G6*H6*'15米（人字150料）参数'!G3*1.1</f>
        <v>472.6954672</v>
      </c>
      <c r="J6" s="93">
        <v>75.88</v>
      </c>
      <c r="K6" s="93">
        <v>38.79</v>
      </c>
      <c r="L6" s="93">
        <f>2.55*4</f>
        <v>10.2</v>
      </c>
      <c r="M6" s="93">
        <f>18*0.65</f>
        <v>11.7</v>
      </c>
      <c r="N6" s="166" t="s">
        <v>1388</v>
      </c>
      <c r="O6" s="167">
        <v>4</v>
      </c>
      <c r="P6" s="67">
        <f ca="1" t="shared" ref="P6:P30" si="0">F6*O6</f>
        <v>2437.0618688</v>
      </c>
      <c r="Q6" s="27">
        <v>36.2</v>
      </c>
      <c r="R6" s="67">
        <f t="shared" ref="R6:R30" si="1">E6-O6</f>
        <v>2</v>
      </c>
      <c r="S6" s="67">
        <f ca="1" t="shared" ref="S6:S30" si="2">F6*R6</f>
        <v>1218.5309344</v>
      </c>
    </row>
    <row r="7" ht="15" customHeight="1" spans="1:19">
      <c r="A7" s="20"/>
      <c r="B7" s="91" t="s">
        <v>1308</v>
      </c>
      <c r="C7" s="23"/>
      <c r="D7" s="23" t="s">
        <v>28</v>
      </c>
      <c r="E7" s="24">
        <f>F3*2</f>
        <v>4</v>
      </c>
      <c r="F7" s="101">
        <f ca="1">I7+J7+K7+L7+M7</f>
        <v>761.1092</v>
      </c>
      <c r="G7" s="148">
        <v>5</v>
      </c>
      <c r="H7" s="148">
        <v>5.3</v>
      </c>
      <c r="I7" s="101">
        <f ca="1">G7*H7*'15米（人字150料）参数'!G3*1.1</f>
        <v>660.1892</v>
      </c>
      <c r="J7" s="101"/>
      <c r="K7" s="101">
        <f>49.51+41.21</f>
        <v>90.72</v>
      </c>
      <c r="L7" s="101">
        <f>2.55*4</f>
        <v>10.2</v>
      </c>
      <c r="M7" s="101"/>
      <c r="N7" s="166" t="s">
        <v>1389</v>
      </c>
      <c r="O7" s="167">
        <v>4</v>
      </c>
      <c r="P7" s="67">
        <f ca="1" t="shared" si="0"/>
        <v>3044.4368</v>
      </c>
      <c r="Q7" s="27">
        <v>39.3</v>
      </c>
      <c r="R7" s="67">
        <f t="shared" si="1"/>
        <v>0</v>
      </c>
      <c r="S7" s="67">
        <f ca="1" t="shared" si="2"/>
        <v>0</v>
      </c>
    </row>
    <row r="8" ht="15" customHeight="1" spans="1:19">
      <c r="A8" s="20"/>
      <c r="B8" s="91" t="s">
        <v>1350</v>
      </c>
      <c r="C8" s="23"/>
      <c r="D8" s="23" t="s">
        <v>28</v>
      </c>
      <c r="E8" s="24">
        <f>D3*2</f>
        <v>6</v>
      </c>
      <c r="F8" s="61">
        <f ca="1">I8+J8+K8+L8+M8</f>
        <v>1107.908396</v>
      </c>
      <c r="G8" s="95">
        <v>8.15</v>
      </c>
      <c r="H8" s="95">
        <v>5.3</v>
      </c>
      <c r="I8" s="61">
        <f ca="1">G8*H8*'15米（人字150料）参数'!G3*1.1</f>
        <v>1076.108396</v>
      </c>
      <c r="J8" s="61">
        <f>2.5*6</f>
        <v>15</v>
      </c>
      <c r="K8" s="61">
        <v>10.8</v>
      </c>
      <c r="L8" s="61">
        <f>1*6</f>
        <v>6</v>
      </c>
      <c r="M8" s="61"/>
      <c r="N8" s="116" t="s">
        <v>1415</v>
      </c>
      <c r="O8" s="167">
        <v>4</v>
      </c>
      <c r="P8" s="67">
        <f ca="1" t="shared" si="0"/>
        <v>4431.633584</v>
      </c>
      <c r="Q8" s="27">
        <v>29.9</v>
      </c>
      <c r="R8" s="67">
        <f t="shared" si="1"/>
        <v>2</v>
      </c>
      <c r="S8" s="67">
        <f ca="1" t="shared" si="2"/>
        <v>2215.816792</v>
      </c>
    </row>
    <row r="9" ht="15" customHeight="1" spans="1:19">
      <c r="A9" s="20"/>
      <c r="B9" s="91" t="s">
        <v>1226</v>
      </c>
      <c r="C9" s="23"/>
      <c r="D9" s="23" t="s">
        <v>28</v>
      </c>
      <c r="E9" s="24">
        <f>A3*4</f>
        <v>8</v>
      </c>
      <c r="F9" s="101">
        <f ca="1">I9+J9+K9+L9+M9</f>
        <v>195.0929650432</v>
      </c>
      <c r="G9" s="148">
        <v>4.882</v>
      </c>
      <c r="H9" s="148">
        <v>1.552</v>
      </c>
      <c r="I9" s="101">
        <f ca="1">G9*H9*'15米（人字150料）参数'!G5*1.1</f>
        <v>180.0929650432</v>
      </c>
      <c r="J9" s="101"/>
      <c r="K9" s="101"/>
      <c r="L9" s="101">
        <f>0.5*4</f>
        <v>2</v>
      </c>
      <c r="M9" s="101">
        <f>6.5*2</f>
        <v>13</v>
      </c>
      <c r="N9" s="120" t="s">
        <v>1352</v>
      </c>
      <c r="O9" s="167">
        <v>4</v>
      </c>
      <c r="P9" s="67">
        <f ca="1" t="shared" si="0"/>
        <v>780.3718601728</v>
      </c>
      <c r="Q9" s="27">
        <v>7.95</v>
      </c>
      <c r="R9" s="67">
        <f t="shared" si="1"/>
        <v>4</v>
      </c>
      <c r="S9" s="67">
        <f ca="1" t="shared" si="2"/>
        <v>780.3718601728</v>
      </c>
    </row>
    <row r="10" ht="15" customHeight="1" spans="1:19">
      <c r="A10" s="20"/>
      <c r="B10" s="91" t="s">
        <v>1264</v>
      </c>
      <c r="C10" s="23"/>
      <c r="D10" s="23" t="s">
        <v>28</v>
      </c>
      <c r="E10" s="24">
        <f>A3*3+F3</f>
        <v>8</v>
      </c>
      <c r="F10" s="101">
        <f ca="1">I10+J10+K10+L10+M10</f>
        <v>336.5448493136</v>
      </c>
      <c r="G10" s="148">
        <v>4.882</v>
      </c>
      <c r="H10" s="148">
        <v>2.771</v>
      </c>
      <c r="I10" s="101">
        <f ca="1">G10*H10*'15米（人字150料）参数'!G5*1.1</f>
        <v>321.5448493136</v>
      </c>
      <c r="J10" s="101"/>
      <c r="K10" s="101"/>
      <c r="L10" s="101">
        <f>0.5*4</f>
        <v>2</v>
      </c>
      <c r="M10" s="101">
        <f>6.5*2</f>
        <v>13</v>
      </c>
      <c r="N10" s="120" t="s">
        <v>1353</v>
      </c>
      <c r="O10" s="167">
        <v>5</v>
      </c>
      <c r="P10" s="67">
        <f ca="1" t="shared" si="0"/>
        <v>1682.724246568</v>
      </c>
      <c r="Q10" s="27">
        <v>13.1</v>
      </c>
      <c r="R10" s="67">
        <f t="shared" si="1"/>
        <v>3</v>
      </c>
      <c r="S10" s="67">
        <f ca="1" t="shared" si="2"/>
        <v>1009.6345479408</v>
      </c>
    </row>
    <row r="11" ht="15" customHeight="1" spans="1:19">
      <c r="A11" s="20"/>
      <c r="B11" s="91" t="s">
        <v>1266</v>
      </c>
      <c r="C11" s="23"/>
      <c r="D11" s="23" t="s">
        <v>28</v>
      </c>
      <c r="E11" s="24">
        <f>A3*2+F3*3</f>
        <v>10</v>
      </c>
      <c r="F11" s="101">
        <f ca="1">'数据修改（批量）'!A28</f>
        <v>95</v>
      </c>
      <c r="G11" s="148">
        <v>4.86</v>
      </c>
      <c r="H11" s="148">
        <v>1.345</v>
      </c>
      <c r="I11" s="101">
        <f ca="1">G11*H11*'15米（人字150料）参数'!G5*1.1</f>
        <v>155.36951496</v>
      </c>
      <c r="J11" s="101"/>
      <c r="K11" s="101"/>
      <c r="L11" s="101"/>
      <c r="M11" s="101"/>
      <c r="N11" s="120" t="s">
        <v>1354</v>
      </c>
      <c r="O11" s="167">
        <v>8</v>
      </c>
      <c r="P11" s="67">
        <f ca="1" t="shared" si="0"/>
        <v>760</v>
      </c>
      <c r="Q11" s="27">
        <v>5.65</v>
      </c>
      <c r="R11" s="67">
        <f t="shared" si="1"/>
        <v>2</v>
      </c>
      <c r="S11" s="67">
        <f ca="1" t="shared" si="2"/>
        <v>190</v>
      </c>
    </row>
    <row r="12" ht="15" customHeight="1" spans="1:19">
      <c r="A12" s="20"/>
      <c r="B12" s="91" t="s">
        <v>1272</v>
      </c>
      <c r="C12" s="23"/>
      <c r="D12" s="23" t="s">
        <v>28</v>
      </c>
      <c r="E12" s="30">
        <v>5</v>
      </c>
      <c r="F12" s="101">
        <f>(I12+J12+K12+L12+M12)*1.2</f>
        <v>131.4</v>
      </c>
      <c r="G12" s="148"/>
      <c r="H12" s="148"/>
      <c r="I12" s="101">
        <v>95</v>
      </c>
      <c r="J12" s="101">
        <v>6.5</v>
      </c>
      <c r="K12" s="101">
        <v>4</v>
      </c>
      <c r="L12" s="101">
        <v>3</v>
      </c>
      <c r="M12" s="101">
        <v>1</v>
      </c>
      <c r="N12" s="120" t="s">
        <v>1355</v>
      </c>
      <c r="O12" s="167">
        <v>4</v>
      </c>
      <c r="P12" s="67">
        <f ca="1" t="shared" si="0"/>
        <v>525.6</v>
      </c>
      <c r="Q12" s="27">
        <v>36.35</v>
      </c>
      <c r="R12" s="67">
        <f t="shared" si="1"/>
        <v>1</v>
      </c>
      <c r="S12" s="67">
        <f ca="1" t="shared" si="2"/>
        <v>131.4</v>
      </c>
    </row>
    <row r="13" ht="15" customHeight="1" spans="1:19">
      <c r="A13" s="20"/>
      <c r="B13" s="91" t="s">
        <v>1356</v>
      </c>
      <c r="C13" s="23"/>
      <c r="D13" s="23" t="s">
        <v>28</v>
      </c>
      <c r="E13" s="24">
        <f>F3</f>
        <v>2</v>
      </c>
      <c r="F13" s="101">
        <f ca="1">(I13+J13+K13+L13+M13)</f>
        <v>60.422</v>
      </c>
      <c r="G13" s="148">
        <v>2.5</v>
      </c>
      <c r="H13" s="148">
        <v>1</v>
      </c>
      <c r="I13" s="101">
        <f ca="1">G13*H13*'15米（人字150料）参数'!G5*1.1</f>
        <v>59.422</v>
      </c>
      <c r="J13" s="101"/>
      <c r="K13" s="101"/>
      <c r="L13" s="101">
        <f>0.5*2</f>
        <v>1</v>
      </c>
      <c r="M13" s="101"/>
      <c r="N13" s="170" t="s">
        <v>1357</v>
      </c>
      <c r="O13" s="167">
        <v>2</v>
      </c>
      <c r="P13" s="67">
        <f ca="1" t="shared" si="0"/>
        <v>120.844</v>
      </c>
      <c r="Q13" s="27"/>
      <c r="R13" s="67">
        <f t="shared" si="1"/>
        <v>0</v>
      </c>
      <c r="S13" s="67">
        <f ca="1" t="shared" si="2"/>
        <v>0</v>
      </c>
    </row>
    <row r="14" ht="15" customHeight="1" spans="1:19">
      <c r="A14" s="20"/>
      <c r="B14" s="91" t="s">
        <v>1276</v>
      </c>
      <c r="C14" s="23"/>
      <c r="D14" s="23" t="s">
        <v>28</v>
      </c>
      <c r="E14" s="28">
        <f>F3*2</f>
        <v>4</v>
      </c>
      <c r="F14" s="101">
        <f ca="1">(I14+J14+K14+L14+M14)</f>
        <v>348.2448493136</v>
      </c>
      <c r="G14" s="95">
        <v>4.882</v>
      </c>
      <c r="H14" s="95">
        <v>2.771</v>
      </c>
      <c r="I14" s="61">
        <f ca="1">G14*H14*'15米（人字150料）参数'!G5*1.1</f>
        <v>321.5448493136</v>
      </c>
      <c r="J14" s="61"/>
      <c r="K14" s="61">
        <v>15</v>
      </c>
      <c r="L14" s="61">
        <f>8*0.65</f>
        <v>5.2</v>
      </c>
      <c r="M14" s="61">
        <v>6.5</v>
      </c>
      <c r="N14" s="120" t="s">
        <v>1358</v>
      </c>
      <c r="O14" s="167">
        <v>4</v>
      </c>
      <c r="P14" s="67">
        <f ca="1" t="shared" si="0"/>
        <v>1392.9793972544</v>
      </c>
      <c r="Q14" s="27">
        <v>13.75</v>
      </c>
      <c r="R14" s="67">
        <f t="shared" si="1"/>
        <v>0</v>
      </c>
      <c r="S14" s="67">
        <f ca="1" t="shared" si="2"/>
        <v>0</v>
      </c>
    </row>
    <row r="15" ht="15" customHeight="1" spans="1:19">
      <c r="A15" s="20"/>
      <c r="B15" s="91" t="s">
        <v>1274</v>
      </c>
      <c r="C15" s="23"/>
      <c r="D15" s="23" t="s">
        <v>28</v>
      </c>
      <c r="E15" s="24">
        <f>A3*2+F3*3</f>
        <v>10</v>
      </c>
      <c r="F15" s="101">
        <f>(I15+J15+K15+L15+M15)</f>
        <v>20.4</v>
      </c>
      <c r="G15" s="151"/>
      <c r="H15" s="151"/>
      <c r="I15" s="39">
        <f>17*1.2</f>
        <v>20.4</v>
      </c>
      <c r="J15" s="39"/>
      <c r="K15" s="39"/>
      <c r="L15" s="39"/>
      <c r="M15" s="39"/>
      <c r="N15" s="171" t="s">
        <v>1359</v>
      </c>
      <c r="O15" s="167">
        <v>8</v>
      </c>
      <c r="P15" s="67">
        <f ca="1" t="shared" si="0"/>
        <v>163.2</v>
      </c>
      <c r="Q15" s="27">
        <v>3</v>
      </c>
      <c r="R15" s="67">
        <f t="shared" si="1"/>
        <v>2</v>
      </c>
      <c r="S15" s="67">
        <f ca="1" t="shared" si="2"/>
        <v>40.8</v>
      </c>
    </row>
    <row r="16" ht="15" customHeight="1" spans="1:19">
      <c r="A16" s="20" t="s">
        <v>1278</v>
      </c>
      <c r="B16" s="91" t="s">
        <v>1304</v>
      </c>
      <c r="C16" s="23"/>
      <c r="D16" s="23" t="s">
        <v>434</v>
      </c>
      <c r="E16" s="24">
        <f>D3</f>
        <v>3</v>
      </c>
      <c r="F16" s="101">
        <v>180.62</v>
      </c>
      <c r="G16" s="151"/>
      <c r="H16" s="151"/>
      <c r="I16" s="39"/>
      <c r="J16" s="39"/>
      <c r="K16" s="39"/>
      <c r="L16" s="39"/>
      <c r="M16" s="39"/>
      <c r="N16" s="171" t="s">
        <v>1360</v>
      </c>
      <c r="O16" s="172">
        <v>2</v>
      </c>
      <c r="P16" s="67">
        <f ca="1" t="shared" si="0"/>
        <v>361.24</v>
      </c>
      <c r="Q16" s="27">
        <v>16.3</v>
      </c>
      <c r="R16" s="67">
        <f t="shared" si="1"/>
        <v>1</v>
      </c>
      <c r="S16" s="67">
        <f ca="1" t="shared" si="2"/>
        <v>180.62</v>
      </c>
    </row>
    <row r="17" ht="15" customHeight="1" spans="1:19">
      <c r="A17" s="20"/>
      <c r="B17" s="91" t="s">
        <v>1310</v>
      </c>
      <c r="C17" s="23"/>
      <c r="D17" s="23" t="s">
        <v>434</v>
      </c>
      <c r="E17" s="24">
        <f>E7</f>
        <v>4</v>
      </c>
      <c r="F17" s="101">
        <v>76.4</v>
      </c>
      <c r="G17" s="148"/>
      <c r="H17" s="148"/>
      <c r="I17" s="101"/>
      <c r="J17" s="101"/>
      <c r="K17" s="101"/>
      <c r="L17" s="101"/>
      <c r="M17" s="101"/>
      <c r="N17" s="120" t="s">
        <v>1361</v>
      </c>
      <c r="O17" s="167">
        <v>4</v>
      </c>
      <c r="P17" s="67">
        <f ca="1" t="shared" si="0"/>
        <v>305.6</v>
      </c>
      <c r="Q17" s="27">
        <v>10.3</v>
      </c>
      <c r="R17" s="67">
        <f t="shared" si="1"/>
        <v>0</v>
      </c>
      <c r="S17" s="67">
        <f ca="1" t="shared" si="2"/>
        <v>0</v>
      </c>
    </row>
    <row r="18" ht="15" customHeight="1" spans="1:19">
      <c r="A18" s="20"/>
      <c r="B18" s="91" t="s">
        <v>1280</v>
      </c>
      <c r="C18" s="23"/>
      <c r="D18" s="23" t="s">
        <v>434</v>
      </c>
      <c r="E18" s="28">
        <f>E6</f>
        <v>6</v>
      </c>
      <c r="F18" s="61">
        <v>74.28</v>
      </c>
      <c r="G18" s="95"/>
      <c r="H18" s="95"/>
      <c r="I18" s="61"/>
      <c r="J18" s="61"/>
      <c r="K18" s="61"/>
      <c r="L18" s="61"/>
      <c r="M18" s="61"/>
      <c r="N18" s="173" t="s">
        <v>1361</v>
      </c>
      <c r="O18" s="167">
        <v>4</v>
      </c>
      <c r="P18" s="67">
        <f ca="1" t="shared" si="0"/>
        <v>297.12</v>
      </c>
      <c r="Q18" s="27">
        <v>11.1</v>
      </c>
      <c r="R18" s="67">
        <f t="shared" si="1"/>
        <v>2</v>
      </c>
      <c r="S18" s="67">
        <f ca="1" t="shared" si="2"/>
        <v>148.56</v>
      </c>
    </row>
    <row r="19" ht="15" customHeight="1" spans="1:19">
      <c r="A19" s="20"/>
      <c r="B19" s="91" t="s">
        <v>1339</v>
      </c>
      <c r="C19" s="23"/>
      <c r="D19" s="23" t="s">
        <v>28</v>
      </c>
      <c r="E19" s="32">
        <f>E12</f>
        <v>5</v>
      </c>
      <c r="F19" s="101">
        <v>91.3</v>
      </c>
      <c r="G19" s="148"/>
      <c r="H19" s="148"/>
      <c r="I19" s="101"/>
      <c r="J19" s="101"/>
      <c r="K19" s="101"/>
      <c r="L19" s="101"/>
      <c r="M19" s="101"/>
      <c r="N19" s="120" t="s">
        <v>1362</v>
      </c>
      <c r="O19" s="167">
        <v>4</v>
      </c>
      <c r="P19" s="67">
        <f ca="1" t="shared" si="0"/>
        <v>365.2</v>
      </c>
      <c r="Q19" s="27">
        <v>7.25</v>
      </c>
      <c r="R19" s="67">
        <f t="shared" si="1"/>
        <v>1</v>
      </c>
      <c r="S19" s="67">
        <f ca="1" t="shared" si="2"/>
        <v>91.3</v>
      </c>
    </row>
    <row r="20" ht="15" customHeight="1" spans="1:19">
      <c r="A20" s="20"/>
      <c r="B20" s="91" t="s">
        <v>1282</v>
      </c>
      <c r="C20" s="23"/>
      <c r="D20" s="23" t="s">
        <v>434</v>
      </c>
      <c r="E20" s="24">
        <f>D3*2+F3*2</f>
        <v>10</v>
      </c>
      <c r="F20" s="101">
        <v>4.45</v>
      </c>
      <c r="G20" s="148"/>
      <c r="H20" s="148"/>
      <c r="I20" s="101"/>
      <c r="J20" s="101"/>
      <c r="K20" s="101"/>
      <c r="L20" s="101"/>
      <c r="M20" s="101"/>
      <c r="N20" s="120" t="s">
        <v>1363</v>
      </c>
      <c r="O20" s="167">
        <v>8</v>
      </c>
      <c r="P20" s="67">
        <f ca="1" t="shared" si="0"/>
        <v>35.6</v>
      </c>
      <c r="Q20" s="27">
        <v>0.75</v>
      </c>
      <c r="R20" s="67">
        <f t="shared" si="1"/>
        <v>2</v>
      </c>
      <c r="S20" s="67">
        <f ca="1" t="shared" si="2"/>
        <v>8.9</v>
      </c>
    </row>
    <row r="21" ht="15" customHeight="1" spans="1:19">
      <c r="A21" s="20"/>
      <c r="B21" s="91" t="s">
        <v>1284</v>
      </c>
      <c r="C21" s="23"/>
      <c r="D21" s="23" t="s">
        <v>434</v>
      </c>
      <c r="E21" s="24">
        <f>D3*2</f>
        <v>6</v>
      </c>
      <c r="F21" s="101">
        <v>6.51</v>
      </c>
      <c r="G21" s="148"/>
      <c r="H21" s="148"/>
      <c r="I21" s="101"/>
      <c r="J21" s="101"/>
      <c r="K21" s="101"/>
      <c r="L21" s="101"/>
      <c r="M21" s="101"/>
      <c r="N21" s="120" t="s">
        <v>1364</v>
      </c>
      <c r="O21" s="167">
        <v>4</v>
      </c>
      <c r="P21" s="67">
        <f ca="1" t="shared" si="0"/>
        <v>26.04</v>
      </c>
      <c r="Q21" s="27">
        <v>1.65</v>
      </c>
      <c r="R21" s="67">
        <f t="shared" si="1"/>
        <v>2</v>
      </c>
      <c r="S21" s="67">
        <f ca="1" t="shared" si="2"/>
        <v>13.02</v>
      </c>
    </row>
    <row r="22" ht="15" customHeight="1" spans="1:19">
      <c r="A22" s="20"/>
      <c r="B22" s="91" t="s">
        <v>519</v>
      </c>
      <c r="C22" s="23"/>
      <c r="D22" s="23" t="s">
        <v>434</v>
      </c>
      <c r="E22" s="24">
        <f>F3*2</f>
        <v>4</v>
      </c>
      <c r="F22" s="101">
        <v>5.95</v>
      </c>
      <c r="G22" s="151"/>
      <c r="H22" s="151"/>
      <c r="I22" s="39"/>
      <c r="J22" s="39"/>
      <c r="K22" s="39"/>
      <c r="L22" s="39"/>
      <c r="M22" s="39"/>
      <c r="N22" s="120" t="s">
        <v>1365</v>
      </c>
      <c r="O22" s="167">
        <v>4</v>
      </c>
      <c r="P22" s="67">
        <f ca="1" t="shared" si="0"/>
        <v>23.8</v>
      </c>
      <c r="Q22" s="27">
        <v>1.4</v>
      </c>
      <c r="R22" s="67">
        <f t="shared" si="1"/>
        <v>0</v>
      </c>
      <c r="S22" s="67">
        <f ca="1" t="shared" si="2"/>
        <v>0</v>
      </c>
    </row>
    <row r="23" ht="15" customHeight="1" spans="1:19">
      <c r="A23" s="31"/>
      <c r="B23" s="152" t="s">
        <v>551</v>
      </c>
      <c r="C23" s="43"/>
      <c r="D23" s="43" t="s">
        <v>434</v>
      </c>
      <c r="E23" s="150">
        <f>F3*2</f>
        <v>4</v>
      </c>
      <c r="F23" s="41">
        <v>15.5</v>
      </c>
      <c r="G23" s="99"/>
      <c r="H23" s="99"/>
      <c r="I23" s="41"/>
      <c r="J23" s="41"/>
      <c r="K23" s="41"/>
      <c r="L23" s="41"/>
      <c r="M23" s="41"/>
      <c r="N23" s="173" t="s">
        <v>1361</v>
      </c>
      <c r="O23" s="174">
        <v>4</v>
      </c>
      <c r="P23" s="67">
        <f ca="1" t="shared" si="0"/>
        <v>62</v>
      </c>
      <c r="Q23" s="27"/>
      <c r="R23" s="67">
        <f t="shared" si="1"/>
        <v>0</v>
      </c>
      <c r="S23" s="67">
        <f ca="1" t="shared" si="2"/>
        <v>0</v>
      </c>
    </row>
    <row r="24" ht="15" customHeight="1" spans="1:19">
      <c r="A24" s="153" t="s">
        <v>1216</v>
      </c>
      <c r="B24" s="91" t="s">
        <v>1366</v>
      </c>
      <c r="C24" s="23"/>
      <c r="D24" s="23" t="s">
        <v>612</v>
      </c>
      <c r="E24" s="24">
        <f>A3</f>
        <v>2</v>
      </c>
      <c r="F24" s="122">
        <f ca="1">(I24+J24)*1.1+30</f>
        <v>2004.291</v>
      </c>
      <c r="G24" s="99">
        <v>17.4</v>
      </c>
      <c r="H24" s="99">
        <v>5</v>
      </c>
      <c r="I24" s="41">
        <f ca="1">G24*H24*'15米（人字150料）参数'!E15*1.1</f>
        <v>1655.61</v>
      </c>
      <c r="J24" s="41">
        <f>17.4*2*4</f>
        <v>139.2</v>
      </c>
      <c r="K24" s="41">
        <v>30</v>
      </c>
      <c r="L24" s="41"/>
      <c r="M24" s="41"/>
      <c r="N24" s="167" t="s">
        <v>1410</v>
      </c>
      <c r="O24" s="175">
        <v>1</v>
      </c>
      <c r="P24" s="67">
        <f ca="1" t="shared" si="0"/>
        <v>2004.291</v>
      </c>
      <c r="Q24" s="27">
        <v>71.65</v>
      </c>
      <c r="R24" s="67">
        <f t="shared" si="1"/>
        <v>1</v>
      </c>
      <c r="S24" s="67">
        <f ca="1" t="shared" si="2"/>
        <v>2004.291</v>
      </c>
    </row>
    <row r="25" ht="15" customHeight="1" spans="1:19">
      <c r="A25" s="153"/>
      <c r="B25" s="91" t="s">
        <v>1368</v>
      </c>
      <c r="C25" s="23"/>
      <c r="D25" s="23" t="s">
        <v>664</v>
      </c>
      <c r="E25" s="24">
        <f>F3</f>
        <v>2</v>
      </c>
      <c r="F25" s="122">
        <f ca="1">(I25+J25)*1.1+15</f>
        <v>595.947884</v>
      </c>
      <c r="G25" s="148">
        <v>7.73</v>
      </c>
      <c r="H25" s="154">
        <v>3.6</v>
      </c>
      <c r="I25" s="101">
        <f ca="1">G25*H25*'15米（人字150料）参数'!E14*1.1</f>
        <v>437.73444</v>
      </c>
      <c r="J25" s="101">
        <f>11.3*2*4</f>
        <v>90.4</v>
      </c>
      <c r="K25" s="101">
        <v>15</v>
      </c>
      <c r="L25" s="101"/>
      <c r="M25" s="101"/>
      <c r="N25" s="51" t="s">
        <v>1411</v>
      </c>
      <c r="O25" s="167">
        <v>2</v>
      </c>
      <c r="P25" s="67">
        <f ca="1" t="shared" si="0"/>
        <v>1191.895768</v>
      </c>
      <c r="Q25" s="27">
        <v>21.35</v>
      </c>
      <c r="R25" s="67">
        <f t="shared" si="1"/>
        <v>0</v>
      </c>
      <c r="S25" s="67">
        <f ca="1" t="shared" si="2"/>
        <v>0</v>
      </c>
    </row>
    <row r="26" ht="15" customHeight="1" spans="1:19">
      <c r="A26" s="155"/>
      <c r="B26" s="91" t="s">
        <v>1370</v>
      </c>
      <c r="C26" s="23"/>
      <c r="D26" s="23" t="s">
        <v>664</v>
      </c>
      <c r="E26" s="24">
        <f>A3*2+F3*3</f>
        <v>10</v>
      </c>
      <c r="F26" s="101">
        <f ca="1">I26+J26+K26+L26+M26</f>
        <v>376.49012</v>
      </c>
      <c r="G26" s="156">
        <v>5.2</v>
      </c>
      <c r="H26" s="157">
        <v>3.97</v>
      </c>
      <c r="I26" s="101">
        <f ca="1">G26*H26*'15米（人字150料）参数'!E14*1.1+15</f>
        <v>339.73012</v>
      </c>
      <c r="J26" s="71">
        <f>4*2</f>
        <v>8</v>
      </c>
      <c r="K26" s="71">
        <f>0.5*10</f>
        <v>5</v>
      </c>
      <c r="L26" s="71">
        <f>0.32*18</f>
        <v>5.76</v>
      </c>
      <c r="M26" s="71">
        <f>18*1</f>
        <v>18</v>
      </c>
      <c r="N26" s="120" t="s">
        <v>1371</v>
      </c>
      <c r="O26" s="167">
        <v>8</v>
      </c>
      <c r="P26" s="67">
        <f ca="1" t="shared" si="0"/>
        <v>3011.92096</v>
      </c>
      <c r="Q26" s="27"/>
      <c r="R26" s="67">
        <f t="shared" si="1"/>
        <v>2</v>
      </c>
      <c r="S26" s="67">
        <f ca="1" t="shared" si="2"/>
        <v>752.98024</v>
      </c>
    </row>
    <row r="27" ht="15" customHeight="1" spans="1:19">
      <c r="A27" s="20" t="s">
        <v>1235</v>
      </c>
      <c r="B27" s="138" t="s">
        <v>583</v>
      </c>
      <c r="C27" s="23"/>
      <c r="D27" s="23" t="s">
        <v>434</v>
      </c>
      <c r="E27" s="24">
        <f>D3*10+F3*2+E19*2</f>
        <v>44</v>
      </c>
      <c r="F27" s="101">
        <v>2.15</v>
      </c>
      <c r="G27" s="154"/>
      <c r="H27" s="154"/>
      <c r="I27" s="101"/>
      <c r="J27" s="101"/>
      <c r="K27" s="101"/>
      <c r="L27" s="101"/>
      <c r="M27" s="101"/>
      <c r="N27" s="120" t="s">
        <v>1372</v>
      </c>
      <c r="O27" s="167">
        <v>34</v>
      </c>
      <c r="P27" s="67">
        <f ca="1" t="shared" si="0"/>
        <v>73.1</v>
      </c>
      <c r="Q27" s="27">
        <v>0.105</v>
      </c>
      <c r="R27" s="67">
        <f t="shared" si="1"/>
        <v>10</v>
      </c>
      <c r="S27" s="67">
        <f ca="1" t="shared" si="2"/>
        <v>21.5</v>
      </c>
    </row>
    <row r="28" ht="15" customHeight="1" spans="1:19">
      <c r="A28" s="20"/>
      <c r="B28" s="109" t="s">
        <v>585</v>
      </c>
      <c r="C28" s="23"/>
      <c r="D28" s="23" t="s">
        <v>434</v>
      </c>
      <c r="E28" s="24">
        <f>D3*2+E19+E12</f>
        <v>16</v>
      </c>
      <c r="F28" s="101">
        <v>2.55</v>
      </c>
      <c r="G28" s="154"/>
      <c r="H28" s="154"/>
      <c r="I28" s="101"/>
      <c r="J28" s="101"/>
      <c r="K28" s="101"/>
      <c r="L28" s="101"/>
      <c r="M28" s="101"/>
      <c r="N28" s="120" t="s">
        <v>1373</v>
      </c>
      <c r="O28" s="172">
        <v>14</v>
      </c>
      <c r="P28" s="67">
        <f ca="1" t="shared" si="0"/>
        <v>35.7</v>
      </c>
      <c r="Q28" s="27">
        <v>0.25</v>
      </c>
      <c r="R28" s="67">
        <f t="shared" si="1"/>
        <v>2</v>
      </c>
      <c r="S28" s="67">
        <f ca="1" t="shared" si="2"/>
        <v>5.1</v>
      </c>
    </row>
    <row r="29" ht="15" customHeight="1" spans="1:19">
      <c r="A29" s="20"/>
      <c r="B29" s="159" t="s">
        <v>1374</v>
      </c>
      <c r="C29" s="43"/>
      <c r="D29" s="43" t="s">
        <v>434</v>
      </c>
      <c r="E29" s="44">
        <f>D3*2+4</f>
        <v>10</v>
      </c>
      <c r="F29" s="39">
        <v>1.95</v>
      </c>
      <c r="G29" s="160"/>
      <c r="H29" s="160"/>
      <c r="I29" s="39"/>
      <c r="J29" s="39"/>
      <c r="K29" s="39"/>
      <c r="L29" s="39"/>
      <c r="M29" s="39"/>
      <c r="N29" s="120" t="s">
        <v>1375</v>
      </c>
      <c r="O29" s="167">
        <v>8</v>
      </c>
      <c r="P29" s="67">
        <f ca="1" t="shared" si="0"/>
        <v>15.6</v>
      </c>
      <c r="Q29" s="27">
        <v>0.28</v>
      </c>
      <c r="R29" s="67">
        <f t="shared" si="1"/>
        <v>2</v>
      </c>
      <c r="S29" s="67">
        <f ca="1" t="shared" si="2"/>
        <v>3.9</v>
      </c>
    </row>
    <row r="30" ht="15" customHeight="1" spans="1:19">
      <c r="A30" s="20"/>
      <c r="B30" s="109" t="s">
        <v>554</v>
      </c>
      <c r="C30" s="23"/>
      <c r="D30" s="23" t="s">
        <v>555</v>
      </c>
      <c r="E30" s="28">
        <f>E17+E18+E12</f>
        <v>15</v>
      </c>
      <c r="F30" s="101">
        <v>1.46</v>
      </c>
      <c r="G30" s="154"/>
      <c r="H30" s="154"/>
      <c r="I30" s="101"/>
      <c r="J30" s="101"/>
      <c r="K30" s="101"/>
      <c r="L30" s="101"/>
      <c r="M30" s="101"/>
      <c r="N30" s="120" t="s">
        <v>1376</v>
      </c>
      <c r="O30" s="167">
        <v>13</v>
      </c>
      <c r="P30" s="67">
        <f ca="1" t="shared" si="0"/>
        <v>18.98</v>
      </c>
      <c r="Q30" s="27"/>
      <c r="R30" s="67">
        <f t="shared" si="1"/>
        <v>2</v>
      </c>
      <c r="S30" s="67">
        <f ca="1" t="shared" si="2"/>
        <v>2.92</v>
      </c>
    </row>
    <row r="31" spans="15:19">
      <c r="O31" s="84" t="s">
        <v>1218</v>
      </c>
      <c r="P31" s="3">
        <f ca="1">SUM(P6:P30)</f>
        <v>23166.9394847952</v>
      </c>
      <c r="R31" s="3" t="s">
        <v>1219</v>
      </c>
      <c r="S31" s="3">
        <f ca="1">SUM(S6:S30)</f>
        <v>8819.6453745136</v>
      </c>
    </row>
    <row r="32" spans="2:2">
      <c r="B32" s="50" t="s">
        <v>1221</v>
      </c>
    </row>
    <row r="33" spans="15:16">
      <c r="O33" s="50" t="s">
        <v>1377</v>
      </c>
      <c r="P33" s="3">
        <f ca="1">P31+S31</f>
        <v>31986.5848593088</v>
      </c>
    </row>
    <row r="34" ht="31.5" spans="2:16">
      <c r="B34" s="230" t="s">
        <v>1378</v>
      </c>
      <c r="C34" s="230"/>
      <c r="D34" s="229"/>
      <c r="E34" s="229"/>
      <c r="F34" s="229"/>
      <c r="G34" s="52"/>
      <c r="H34" s="52"/>
      <c r="I34" s="52"/>
      <c r="J34" s="52"/>
      <c r="K34" s="52"/>
      <c r="L34" s="52"/>
      <c r="M34" s="52"/>
      <c r="O34" s="50" t="s">
        <v>14</v>
      </c>
      <c r="P34" s="3">
        <f ca="1">P33/E2</f>
        <v>213.243899062059</v>
      </c>
    </row>
    <row r="35" ht="18.75" spans="2:13">
      <c r="B35" s="231" t="s">
        <v>1379</v>
      </c>
      <c r="C35" s="231"/>
      <c r="D35" s="54"/>
      <c r="E35" s="54"/>
      <c r="F35" s="54"/>
      <c r="G35" s="53"/>
      <c r="H35" s="53"/>
      <c r="I35" s="53"/>
      <c r="J35" s="53"/>
      <c r="K35" s="53"/>
      <c r="L35" s="53"/>
      <c r="M35" s="53"/>
    </row>
    <row r="36" ht="18.75" spans="2:13">
      <c r="B36" s="231" t="s">
        <v>1380</v>
      </c>
      <c r="C36" s="231" t="s">
        <v>1381</v>
      </c>
      <c r="D36" s="54"/>
      <c r="E36" s="54"/>
      <c r="F36" s="54"/>
      <c r="G36" s="53"/>
      <c r="H36" s="53"/>
      <c r="I36" s="53"/>
      <c r="J36" s="53"/>
      <c r="K36" s="53"/>
      <c r="L36" s="53"/>
      <c r="M36" s="53"/>
    </row>
    <row r="37" ht="18.75" spans="2:13">
      <c r="B37" s="231">
        <v>3.58</v>
      </c>
      <c r="C37" s="231">
        <v>4.58</v>
      </c>
      <c r="D37" s="54"/>
      <c r="E37" s="54"/>
      <c r="F37" s="54"/>
      <c r="G37" s="53"/>
      <c r="H37" s="53"/>
      <c r="I37" s="53"/>
      <c r="J37" s="53"/>
      <c r="K37" s="53"/>
      <c r="L37" s="53"/>
      <c r="M37" s="53"/>
    </row>
    <row r="38" ht="18.75" spans="2:13">
      <c r="B38" s="231" t="s">
        <v>1382</v>
      </c>
      <c r="C38" s="231"/>
      <c r="D38" s="54"/>
      <c r="E38" s="54"/>
      <c r="F38" s="54"/>
      <c r="G38" s="53"/>
      <c r="H38" s="53"/>
      <c r="I38" s="53"/>
      <c r="J38" s="53"/>
      <c r="K38" s="53"/>
      <c r="L38" s="53"/>
      <c r="M38" s="53"/>
    </row>
    <row r="39" ht="18.75" spans="2:13">
      <c r="B39" s="231" t="s">
        <v>1380</v>
      </c>
      <c r="C39" s="231" t="s">
        <v>1381</v>
      </c>
      <c r="D39" s="54"/>
      <c r="E39" s="54"/>
      <c r="F39" s="54"/>
      <c r="G39" s="53"/>
      <c r="H39" s="53"/>
      <c r="I39" s="53"/>
      <c r="J39" s="53"/>
      <c r="K39" s="53"/>
      <c r="L39" s="53"/>
      <c r="M39" s="53"/>
    </row>
    <row r="40" ht="18.75" spans="2:13">
      <c r="B40" s="232">
        <v>5</v>
      </c>
      <c r="C40" s="232">
        <v>6</v>
      </c>
      <c r="D40" s="54"/>
      <c r="E40" s="54"/>
      <c r="F40" s="54"/>
      <c r="G40" s="53"/>
      <c r="H40" s="53"/>
      <c r="I40" s="53"/>
      <c r="J40" s="53"/>
      <c r="K40" s="53"/>
      <c r="L40" s="53"/>
      <c r="M40" s="53"/>
    </row>
    <row r="41" ht="18.75" spans="2:13">
      <c r="B41" s="231" t="s">
        <v>1383</v>
      </c>
      <c r="C41" s="231"/>
      <c r="D41" s="54"/>
      <c r="E41" s="54"/>
      <c r="F41" s="54"/>
      <c r="G41" s="53"/>
      <c r="H41" s="53"/>
      <c r="I41" s="53"/>
      <c r="J41" s="53"/>
      <c r="K41" s="53"/>
      <c r="L41" s="53"/>
      <c r="M41" s="53"/>
    </row>
    <row r="42" ht="18.75" spans="2:3">
      <c r="B42" s="231" t="s">
        <v>1380</v>
      </c>
      <c r="C42" s="231" t="s">
        <v>1381</v>
      </c>
    </row>
    <row r="43" ht="18.75" spans="2:3">
      <c r="B43" s="233">
        <v>3.97</v>
      </c>
      <c r="C43" s="233">
        <v>4.97</v>
      </c>
    </row>
    <row r="44" ht="20.1" customHeight="1" spans="2:3">
      <c r="B44" s="234" t="s">
        <v>1384</v>
      </c>
      <c r="C44" s="234"/>
    </row>
    <row r="45" ht="37.5" spans="2:3">
      <c r="B45" s="235" t="s">
        <v>1385</v>
      </c>
      <c r="C45" s="235" t="s">
        <v>1386</v>
      </c>
    </row>
    <row r="46" ht="18.75" spans="2:3">
      <c r="B46" s="236">
        <v>95</v>
      </c>
      <c r="C46" s="236">
        <v>110.8</v>
      </c>
    </row>
  </sheetData>
  <mergeCells count="17">
    <mergeCell ref="A1:N1"/>
    <mergeCell ref="A2:C2"/>
    <mergeCell ref="F2:N2"/>
    <mergeCell ref="A3:B3"/>
    <mergeCell ref="H3:N3"/>
    <mergeCell ref="A4:F4"/>
    <mergeCell ref="G4:H4"/>
    <mergeCell ref="I4:M4"/>
    <mergeCell ref="B34:C34"/>
    <mergeCell ref="B35:C35"/>
    <mergeCell ref="B38:C38"/>
    <mergeCell ref="B41:C41"/>
    <mergeCell ref="B44:C44"/>
    <mergeCell ref="A6:A15"/>
    <mergeCell ref="A16:A23"/>
    <mergeCell ref="A24:A26"/>
    <mergeCell ref="A27:A30"/>
  </mergeCells>
  <dataValidations count="3">
    <dataValidation type="list" allowBlank="1" showInputMessage="1" showErrorMessage="1" sqref="B24">
      <formula1>"顶布[白]{全新},顶布[白]{A类},顶布[白]{B类},顶布[白]{C类},顶布[白]{D类}"</formula1>
    </dataValidation>
    <dataValidation type="list" allowBlank="1" showInputMessage="1" showErrorMessage="1" sqref="B25">
      <formula1>"山尖布[白]{全新},山尖布[白]{A类},山尖布[白]{B类},山尖布[白]{C类},山尖布[白]{D类}"</formula1>
    </dataValidation>
    <dataValidation type="list" allowBlank="1" showInputMessage="1" showErrorMessage="1" sqref="B26">
      <formula1>"围布[白]{全新},围布[白]{A类},围布[白]{B类},围布[白]{C类},围布[白]{D类},透光窗围布[白]{全新},透光窗围布[白]{A类},透光窗围布[白]{B类},透光窗围布[白]{C类},透光窗围布[白]{D类}"</formula1>
    </dataValidation>
  </dataValidations>
  <printOptions horizontalCentered="1"/>
  <pageMargins left="0.238888888888889" right="0.11875" top="0.159027777777778" bottom="0.259027777777778" header="0.159027777777778" footer="0.2"/>
  <pageSetup paperSize="9" orientation="portrait"/>
  <headerFooter alignWithMargins="0" scaleWithDoc="0">
    <oddFooter>&amp;L&amp;"SimSun"&amp;9&amp;C&amp;"SimSun"&amp;9第 &amp;P 页，共 &amp;N 页&amp;R&amp;"SimSun"&amp;9</oddFooter>
  </headerFooter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FF0000"/>
  </sheetPr>
  <dimension ref="A1:R34"/>
  <sheetViews>
    <sheetView showGridLines="0" workbookViewId="0">
      <selection activeCell="F11" sqref="F11"/>
    </sheetView>
  </sheetViews>
  <sheetFormatPr defaultColWidth="9" defaultRowHeight="14.25"/>
  <cols>
    <col min="1" max="1" width="3.125" style="1" customWidth="1"/>
    <col min="2" max="2" width="14.125" style="1" customWidth="1"/>
    <col min="3" max="5" width="9" style="1"/>
    <col min="6" max="13" width="10.75" style="1" customWidth="1"/>
    <col min="14" max="14" width="49" style="1" customWidth="1"/>
    <col min="15" max="16384" width="9" style="1"/>
  </cols>
  <sheetData>
    <row r="1" ht="18.75" spans="1:18">
      <c r="A1" s="72" t="s">
        <v>1416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161"/>
      <c r="P1" s="3"/>
      <c r="Q1" s="3"/>
      <c r="R1" s="3"/>
    </row>
    <row r="2" spans="1:18">
      <c r="A2" s="141" t="s">
        <v>1246</v>
      </c>
      <c r="B2" s="142"/>
      <c r="C2" s="142"/>
      <c r="D2" s="9" t="s">
        <v>1198</v>
      </c>
      <c r="E2" s="176">
        <f>A3*5*15</f>
        <v>150</v>
      </c>
      <c r="F2" s="11"/>
      <c r="G2" s="11"/>
      <c r="H2" s="11"/>
      <c r="I2" s="11"/>
      <c r="J2" s="11"/>
      <c r="K2" s="11"/>
      <c r="L2" s="11"/>
      <c r="M2" s="11"/>
      <c r="N2" s="11"/>
      <c r="O2" s="162"/>
      <c r="P2" s="3"/>
      <c r="Q2" s="55"/>
      <c r="R2" s="55"/>
    </row>
    <row r="3" spans="1:18">
      <c r="A3" s="177">
        <v>2</v>
      </c>
      <c r="B3" s="177"/>
      <c r="C3" s="178" t="s">
        <v>1247</v>
      </c>
      <c r="D3" s="179">
        <v>3</v>
      </c>
      <c r="E3" s="180" t="s">
        <v>1248</v>
      </c>
      <c r="F3" s="12">
        <v>2</v>
      </c>
      <c r="G3" s="11" t="s">
        <v>1249</v>
      </c>
      <c r="H3" s="12"/>
      <c r="I3" s="12"/>
      <c r="J3" s="12"/>
      <c r="K3" s="12"/>
      <c r="L3" s="12"/>
      <c r="M3" s="12"/>
      <c r="N3" s="12"/>
      <c r="O3" s="162"/>
      <c r="P3" s="3"/>
      <c r="Q3" s="55"/>
      <c r="R3" s="55"/>
    </row>
    <row r="4" spans="1:18">
      <c r="A4" s="190"/>
      <c r="B4" s="128"/>
      <c r="C4" s="128"/>
      <c r="D4" s="128"/>
      <c r="E4" s="128"/>
      <c r="F4" s="128"/>
      <c r="G4" s="180" t="s">
        <v>1345</v>
      </c>
      <c r="H4" s="191"/>
      <c r="I4" s="198" t="s">
        <v>1346</v>
      </c>
      <c r="J4" s="199"/>
      <c r="K4" s="199"/>
      <c r="L4" s="199"/>
      <c r="M4" s="200"/>
      <c r="N4" s="201"/>
      <c r="O4" s="162"/>
      <c r="P4" s="3"/>
      <c r="Q4" s="55"/>
      <c r="R4" s="55"/>
    </row>
    <row r="5" ht="24" spans="1:18">
      <c r="A5" s="146" t="s">
        <v>1200</v>
      </c>
      <c r="B5" s="146" t="s">
        <v>1201</v>
      </c>
      <c r="C5" s="146" t="s">
        <v>1250</v>
      </c>
      <c r="D5" s="146" t="s">
        <v>22</v>
      </c>
      <c r="E5" s="147" t="s">
        <v>1251</v>
      </c>
      <c r="F5" s="75" t="s">
        <v>1204</v>
      </c>
      <c r="G5" s="19" t="s">
        <v>1205</v>
      </c>
      <c r="H5" s="17" t="s">
        <v>1253</v>
      </c>
      <c r="I5" s="17" t="s">
        <v>1254</v>
      </c>
      <c r="J5" s="17" t="s">
        <v>1255</v>
      </c>
      <c r="K5" s="17" t="s">
        <v>1209</v>
      </c>
      <c r="L5" s="17" t="s">
        <v>1347</v>
      </c>
      <c r="M5" s="17" t="s">
        <v>1211</v>
      </c>
      <c r="N5" s="163" t="s">
        <v>1257</v>
      </c>
      <c r="O5" s="164" t="s">
        <v>1212</v>
      </c>
      <c r="P5" s="165" t="s">
        <v>1213</v>
      </c>
      <c r="Q5" s="165" t="s">
        <v>1214</v>
      </c>
      <c r="R5" s="75" t="s">
        <v>1213</v>
      </c>
    </row>
    <row r="6" ht="15" customHeight="1" spans="1:18">
      <c r="A6" s="20" t="s">
        <v>1215</v>
      </c>
      <c r="B6" s="91" t="s">
        <v>1224</v>
      </c>
      <c r="C6" s="23"/>
      <c r="D6" s="23" t="s">
        <v>28</v>
      </c>
      <c r="E6" s="24">
        <f>D3*2</f>
        <v>6</v>
      </c>
      <c r="F6" s="93">
        <f ca="1">I6+J6+K6+L6+M6</f>
        <v>737.342172</v>
      </c>
      <c r="G6" s="94">
        <v>4.55</v>
      </c>
      <c r="H6" s="94">
        <v>5.3</v>
      </c>
      <c r="I6" s="93">
        <f ca="1">G6*H6*'15米（人字150料）参数'!G3*1.1</f>
        <v>600.772172</v>
      </c>
      <c r="J6" s="93">
        <v>75.88</v>
      </c>
      <c r="K6" s="93">
        <v>38.79</v>
      </c>
      <c r="L6" s="93">
        <f>2.55*4</f>
        <v>10.2</v>
      </c>
      <c r="M6" s="93">
        <f>18*0.65</f>
        <v>11.7</v>
      </c>
      <c r="N6" s="166" t="s">
        <v>1417</v>
      </c>
      <c r="O6" s="167">
        <v>4</v>
      </c>
      <c r="P6" s="67">
        <f ca="1" t="shared" ref="P6:P30" si="0">F6*O6</f>
        <v>2949.368688</v>
      </c>
      <c r="Q6" s="67">
        <f t="shared" ref="Q6:Q30" si="1">E6-O6</f>
        <v>2</v>
      </c>
      <c r="R6" s="67">
        <f ca="1" t="shared" ref="R6:R30" si="2">F6*Q6</f>
        <v>1474.684344</v>
      </c>
    </row>
    <row r="7" ht="15" customHeight="1" spans="1:18">
      <c r="A7" s="20"/>
      <c r="B7" s="91" t="s">
        <v>1308</v>
      </c>
      <c r="C7" s="23"/>
      <c r="D7" s="23" t="s">
        <v>28</v>
      </c>
      <c r="E7" s="24">
        <f>F3*2</f>
        <v>4</v>
      </c>
      <c r="F7" s="101">
        <f ca="1">I7+J7+K7+L7+M7</f>
        <v>893.14704</v>
      </c>
      <c r="G7" s="148">
        <v>6</v>
      </c>
      <c r="H7" s="148">
        <v>5.3</v>
      </c>
      <c r="I7" s="101">
        <f ca="1">G7*H7*'15米（人字150料）参数'!G3*1.1</f>
        <v>792.22704</v>
      </c>
      <c r="J7" s="101"/>
      <c r="K7" s="101">
        <f>49.51+41.21</f>
        <v>90.72</v>
      </c>
      <c r="L7" s="101">
        <f>2.55*4</f>
        <v>10.2</v>
      </c>
      <c r="M7" s="101"/>
      <c r="N7" s="166" t="s">
        <v>1418</v>
      </c>
      <c r="O7" s="167">
        <v>4</v>
      </c>
      <c r="P7" s="67">
        <f ca="1" t="shared" si="0"/>
        <v>3572.58816</v>
      </c>
      <c r="Q7" s="67">
        <f t="shared" si="1"/>
        <v>0</v>
      </c>
      <c r="R7" s="67">
        <f ca="1" t="shared" si="2"/>
        <v>0</v>
      </c>
    </row>
    <row r="8" ht="15" customHeight="1" spans="1:18">
      <c r="A8" s="20"/>
      <c r="B8" s="91" t="s">
        <v>1350</v>
      </c>
      <c r="C8" s="23"/>
      <c r="D8" s="23" t="s">
        <v>28</v>
      </c>
      <c r="E8" s="24">
        <f>D3*2</f>
        <v>6</v>
      </c>
      <c r="F8" s="61">
        <f ca="1">I8+J8+K8+L8+M8</f>
        <v>1107.908396</v>
      </c>
      <c r="G8" s="95">
        <v>8.15</v>
      </c>
      <c r="H8" s="95">
        <v>5.3</v>
      </c>
      <c r="I8" s="61">
        <f ca="1">G8*H8*'15米（人字150料）参数'!G3*1.1</f>
        <v>1076.108396</v>
      </c>
      <c r="J8" s="61">
        <f>2.5*6</f>
        <v>15</v>
      </c>
      <c r="K8" s="61">
        <v>10.8</v>
      </c>
      <c r="L8" s="61">
        <f>1*6</f>
        <v>6</v>
      </c>
      <c r="M8" s="61"/>
      <c r="N8" s="116" t="s">
        <v>1415</v>
      </c>
      <c r="O8" s="167">
        <v>4</v>
      </c>
      <c r="P8" s="67">
        <f ca="1" t="shared" si="0"/>
        <v>4431.633584</v>
      </c>
      <c r="Q8" s="67">
        <f t="shared" si="1"/>
        <v>2</v>
      </c>
      <c r="R8" s="67">
        <f ca="1" t="shared" si="2"/>
        <v>2215.816792</v>
      </c>
    </row>
    <row r="9" ht="15" customHeight="1" spans="1:18">
      <c r="A9" s="20"/>
      <c r="B9" s="91" t="s">
        <v>1226</v>
      </c>
      <c r="C9" s="23"/>
      <c r="D9" s="23" t="s">
        <v>28</v>
      </c>
      <c r="E9" s="24">
        <f>A3*4</f>
        <v>8</v>
      </c>
      <c r="F9" s="101">
        <f ca="1">I9+J9+K9+L9+M9</f>
        <v>195.0929650432</v>
      </c>
      <c r="G9" s="148">
        <v>4.882</v>
      </c>
      <c r="H9" s="148">
        <v>1.552</v>
      </c>
      <c r="I9" s="101">
        <f ca="1">G9*H9*'15米（人字150料）参数'!G5*1.1</f>
        <v>180.0929650432</v>
      </c>
      <c r="J9" s="101"/>
      <c r="K9" s="101"/>
      <c r="L9" s="101">
        <f>0.5*4</f>
        <v>2</v>
      </c>
      <c r="M9" s="101">
        <f>6.5*2</f>
        <v>13</v>
      </c>
      <c r="N9" s="120" t="s">
        <v>1352</v>
      </c>
      <c r="O9" s="167">
        <v>4</v>
      </c>
      <c r="P9" s="67">
        <f ca="1" t="shared" si="0"/>
        <v>780.3718601728</v>
      </c>
      <c r="Q9" s="67">
        <f t="shared" si="1"/>
        <v>4</v>
      </c>
      <c r="R9" s="67">
        <f ca="1" t="shared" si="2"/>
        <v>780.3718601728</v>
      </c>
    </row>
    <row r="10" ht="15" customHeight="1" spans="1:18">
      <c r="A10" s="20"/>
      <c r="B10" s="91" t="s">
        <v>1264</v>
      </c>
      <c r="C10" s="23"/>
      <c r="D10" s="23" t="s">
        <v>28</v>
      </c>
      <c r="E10" s="24">
        <f>A3*3+F3</f>
        <v>8</v>
      </c>
      <c r="F10" s="101">
        <f ca="1">I10+J10+K10+L10+M10</f>
        <v>336.5448493136</v>
      </c>
      <c r="G10" s="148">
        <v>4.882</v>
      </c>
      <c r="H10" s="148">
        <v>2.771</v>
      </c>
      <c r="I10" s="101">
        <f ca="1">G10*H10*'15米（人字150料）参数'!G5*1.1</f>
        <v>321.5448493136</v>
      </c>
      <c r="J10" s="101"/>
      <c r="K10" s="101"/>
      <c r="L10" s="101">
        <f>0.5*4</f>
        <v>2</v>
      </c>
      <c r="M10" s="101">
        <f>6.5*2</f>
        <v>13</v>
      </c>
      <c r="N10" s="120" t="s">
        <v>1353</v>
      </c>
      <c r="O10" s="167">
        <v>5</v>
      </c>
      <c r="P10" s="67">
        <f ca="1" t="shared" si="0"/>
        <v>1682.724246568</v>
      </c>
      <c r="Q10" s="67">
        <f t="shared" si="1"/>
        <v>3</v>
      </c>
      <c r="R10" s="67">
        <f ca="1" t="shared" si="2"/>
        <v>1009.6345479408</v>
      </c>
    </row>
    <row r="11" ht="15" customHeight="1" spans="1:18">
      <c r="A11" s="20"/>
      <c r="B11" s="91" t="s">
        <v>1266</v>
      </c>
      <c r="C11" s="23"/>
      <c r="D11" s="23" t="s">
        <v>28</v>
      </c>
      <c r="E11" s="24">
        <f>A3*2+F3*3</f>
        <v>10</v>
      </c>
      <c r="F11" s="101">
        <f ca="1">'数据修改（批量）'!A28</f>
        <v>95</v>
      </c>
      <c r="G11" s="148">
        <v>4.86</v>
      </c>
      <c r="H11" s="148">
        <v>1.345</v>
      </c>
      <c r="I11" s="101">
        <f ca="1">G11*H11*'15米（人字150料）参数'!G5*1.1</f>
        <v>155.36951496</v>
      </c>
      <c r="J11" s="101"/>
      <c r="K11" s="101"/>
      <c r="L11" s="101"/>
      <c r="M11" s="101"/>
      <c r="N11" s="120" t="s">
        <v>1354</v>
      </c>
      <c r="O11" s="167">
        <v>8</v>
      </c>
      <c r="P11" s="67">
        <f ca="1" t="shared" si="0"/>
        <v>760</v>
      </c>
      <c r="Q11" s="67">
        <f t="shared" si="1"/>
        <v>2</v>
      </c>
      <c r="R11" s="67">
        <f ca="1" t="shared" si="2"/>
        <v>190</v>
      </c>
    </row>
    <row r="12" ht="15" customHeight="1" spans="1:18">
      <c r="A12" s="20"/>
      <c r="B12" s="91" t="s">
        <v>1272</v>
      </c>
      <c r="C12" s="23"/>
      <c r="D12" s="23" t="s">
        <v>28</v>
      </c>
      <c r="E12" s="30">
        <v>5</v>
      </c>
      <c r="F12" s="101">
        <f>(I12+J12+K12+L12+M12)*1.2</f>
        <v>149.4</v>
      </c>
      <c r="G12" s="148"/>
      <c r="H12" s="148"/>
      <c r="I12" s="101">
        <v>110</v>
      </c>
      <c r="J12" s="101">
        <v>6.5</v>
      </c>
      <c r="K12" s="101">
        <v>4</v>
      </c>
      <c r="L12" s="101">
        <v>3</v>
      </c>
      <c r="M12" s="101">
        <v>1</v>
      </c>
      <c r="N12" s="120" t="s">
        <v>1355</v>
      </c>
      <c r="O12" s="167">
        <v>4</v>
      </c>
      <c r="P12" s="67">
        <f ca="1" t="shared" si="0"/>
        <v>597.6</v>
      </c>
      <c r="Q12" s="67">
        <f t="shared" si="1"/>
        <v>1</v>
      </c>
      <c r="R12" s="67">
        <f ca="1" t="shared" si="2"/>
        <v>149.4</v>
      </c>
    </row>
    <row r="13" ht="15" customHeight="1" spans="1:18">
      <c r="A13" s="20"/>
      <c r="B13" s="91" t="s">
        <v>1356</v>
      </c>
      <c r="C13" s="23"/>
      <c r="D13" s="23" t="s">
        <v>28</v>
      </c>
      <c r="E13" s="24">
        <f>F3</f>
        <v>2</v>
      </c>
      <c r="F13" s="101">
        <f ca="1">(I13+J13+K13+L13+M13)</f>
        <v>60.422</v>
      </c>
      <c r="G13" s="148">
        <v>2.5</v>
      </c>
      <c r="H13" s="148">
        <v>1</v>
      </c>
      <c r="I13" s="101">
        <f ca="1">G13*H13*'15米（人字150料）参数'!G5*1.1</f>
        <v>59.422</v>
      </c>
      <c r="J13" s="101"/>
      <c r="K13" s="101"/>
      <c r="L13" s="101">
        <f>0.5*2</f>
        <v>1</v>
      </c>
      <c r="M13" s="101"/>
      <c r="N13" s="170" t="s">
        <v>1357</v>
      </c>
      <c r="O13" s="167">
        <v>2</v>
      </c>
      <c r="P13" s="67">
        <f ca="1" t="shared" si="0"/>
        <v>120.844</v>
      </c>
      <c r="Q13" s="67">
        <f t="shared" si="1"/>
        <v>0</v>
      </c>
      <c r="R13" s="67">
        <f ca="1" t="shared" si="2"/>
        <v>0</v>
      </c>
    </row>
    <row r="14" ht="15" customHeight="1" spans="1:18">
      <c r="A14" s="20"/>
      <c r="B14" s="91" t="s">
        <v>1276</v>
      </c>
      <c r="C14" s="23"/>
      <c r="D14" s="23" t="s">
        <v>28</v>
      </c>
      <c r="E14" s="28">
        <f>F3*2</f>
        <v>4</v>
      </c>
      <c r="F14" s="101">
        <f ca="1">(I14+J14+K14+L14+M14)</f>
        <v>348.2448493136</v>
      </c>
      <c r="G14" s="95">
        <v>4.882</v>
      </c>
      <c r="H14" s="95">
        <v>2.771</v>
      </c>
      <c r="I14" s="61">
        <f ca="1">G14*H14*'15米（人字150料）参数'!G5*1.1</f>
        <v>321.5448493136</v>
      </c>
      <c r="J14" s="61"/>
      <c r="K14" s="61">
        <v>15</v>
      </c>
      <c r="L14" s="61">
        <f>8*0.65</f>
        <v>5.2</v>
      </c>
      <c r="M14" s="61">
        <v>6.5</v>
      </c>
      <c r="N14" s="120" t="s">
        <v>1358</v>
      </c>
      <c r="O14" s="167">
        <v>4</v>
      </c>
      <c r="P14" s="67">
        <f ca="1" t="shared" si="0"/>
        <v>1392.9793972544</v>
      </c>
      <c r="Q14" s="67">
        <f t="shared" si="1"/>
        <v>0</v>
      </c>
      <c r="R14" s="67">
        <f ca="1" t="shared" si="2"/>
        <v>0</v>
      </c>
    </row>
    <row r="15" ht="15" customHeight="1" spans="1:18">
      <c r="A15" s="31"/>
      <c r="B15" s="149" t="s">
        <v>1274</v>
      </c>
      <c r="C15" s="43"/>
      <c r="D15" s="43" t="s">
        <v>28</v>
      </c>
      <c r="E15" s="150">
        <f>A3*2+F3*3</f>
        <v>10</v>
      </c>
      <c r="F15" s="101">
        <f>(I15+J15+K15+L15+M15)</f>
        <v>20.4</v>
      </c>
      <c r="G15" s="151"/>
      <c r="H15" s="151"/>
      <c r="I15" s="39">
        <f>17*1.2</f>
        <v>20.4</v>
      </c>
      <c r="J15" s="39"/>
      <c r="K15" s="39"/>
      <c r="L15" s="39"/>
      <c r="M15" s="39"/>
      <c r="N15" s="171" t="s">
        <v>1359</v>
      </c>
      <c r="O15" s="167">
        <v>8</v>
      </c>
      <c r="P15" s="67">
        <f ca="1" t="shared" si="0"/>
        <v>163.2</v>
      </c>
      <c r="Q15" s="67">
        <f t="shared" si="1"/>
        <v>2</v>
      </c>
      <c r="R15" s="67">
        <f ca="1" t="shared" si="2"/>
        <v>40.8</v>
      </c>
    </row>
    <row r="16" ht="15" customHeight="1" spans="1:18">
      <c r="A16" s="20" t="s">
        <v>1278</v>
      </c>
      <c r="B16" s="91" t="s">
        <v>1304</v>
      </c>
      <c r="C16" s="23"/>
      <c r="D16" s="23" t="s">
        <v>434</v>
      </c>
      <c r="E16" s="24">
        <f>D3</f>
        <v>3</v>
      </c>
      <c r="F16" s="101">
        <v>180.62</v>
      </c>
      <c r="G16" s="151"/>
      <c r="H16" s="151"/>
      <c r="I16" s="39"/>
      <c r="J16" s="39"/>
      <c r="K16" s="39"/>
      <c r="L16" s="39"/>
      <c r="M16" s="39"/>
      <c r="N16" s="171" t="s">
        <v>1360</v>
      </c>
      <c r="O16" s="172">
        <v>2</v>
      </c>
      <c r="P16" s="67">
        <f ca="1" t="shared" si="0"/>
        <v>361.24</v>
      </c>
      <c r="Q16" s="67">
        <f t="shared" si="1"/>
        <v>1</v>
      </c>
      <c r="R16" s="67">
        <f ca="1" t="shared" si="2"/>
        <v>180.62</v>
      </c>
    </row>
    <row r="17" ht="15" customHeight="1" spans="1:18">
      <c r="A17" s="20"/>
      <c r="B17" s="91" t="s">
        <v>1310</v>
      </c>
      <c r="C17" s="23"/>
      <c r="D17" s="23" t="s">
        <v>434</v>
      </c>
      <c r="E17" s="24">
        <f>E7</f>
        <v>4</v>
      </c>
      <c r="F17" s="101">
        <v>76.4</v>
      </c>
      <c r="G17" s="148"/>
      <c r="H17" s="148"/>
      <c r="I17" s="101"/>
      <c r="J17" s="101"/>
      <c r="K17" s="101"/>
      <c r="L17" s="101"/>
      <c r="M17" s="101"/>
      <c r="N17" s="120" t="s">
        <v>1361</v>
      </c>
      <c r="O17" s="167">
        <v>4</v>
      </c>
      <c r="P17" s="67">
        <f ca="1" t="shared" si="0"/>
        <v>305.6</v>
      </c>
      <c r="Q17" s="67">
        <f t="shared" si="1"/>
        <v>0</v>
      </c>
      <c r="R17" s="67">
        <f ca="1" t="shared" si="2"/>
        <v>0</v>
      </c>
    </row>
    <row r="18" ht="15" customHeight="1" spans="1:18">
      <c r="A18" s="20"/>
      <c r="B18" s="91" t="s">
        <v>1280</v>
      </c>
      <c r="C18" s="23"/>
      <c r="D18" s="23" t="s">
        <v>434</v>
      </c>
      <c r="E18" s="28">
        <f>E6</f>
        <v>6</v>
      </c>
      <c r="F18" s="61">
        <v>74.28</v>
      </c>
      <c r="G18" s="95"/>
      <c r="H18" s="95"/>
      <c r="I18" s="61"/>
      <c r="J18" s="61"/>
      <c r="K18" s="61"/>
      <c r="L18" s="61"/>
      <c r="M18" s="61"/>
      <c r="N18" s="173" t="s">
        <v>1361</v>
      </c>
      <c r="O18" s="167">
        <v>4</v>
      </c>
      <c r="P18" s="67">
        <f ca="1" t="shared" si="0"/>
        <v>297.12</v>
      </c>
      <c r="Q18" s="67">
        <f t="shared" si="1"/>
        <v>2</v>
      </c>
      <c r="R18" s="67">
        <f ca="1" t="shared" si="2"/>
        <v>148.56</v>
      </c>
    </row>
    <row r="19" ht="15" customHeight="1" spans="1:18">
      <c r="A19" s="20"/>
      <c r="B19" s="91" t="s">
        <v>1339</v>
      </c>
      <c r="C19" s="23"/>
      <c r="D19" s="23" t="s">
        <v>28</v>
      </c>
      <c r="E19" s="32">
        <f>E12</f>
        <v>5</v>
      </c>
      <c r="F19" s="101">
        <v>91.3</v>
      </c>
      <c r="G19" s="148"/>
      <c r="H19" s="148"/>
      <c r="I19" s="101"/>
      <c r="J19" s="101"/>
      <c r="K19" s="101"/>
      <c r="L19" s="101"/>
      <c r="M19" s="101"/>
      <c r="N19" s="120" t="s">
        <v>1362</v>
      </c>
      <c r="O19" s="167">
        <v>4</v>
      </c>
      <c r="P19" s="67">
        <f ca="1" t="shared" si="0"/>
        <v>365.2</v>
      </c>
      <c r="Q19" s="67">
        <f t="shared" si="1"/>
        <v>1</v>
      </c>
      <c r="R19" s="67">
        <f ca="1" t="shared" si="2"/>
        <v>91.3</v>
      </c>
    </row>
    <row r="20" ht="15" customHeight="1" spans="1:18">
      <c r="A20" s="20"/>
      <c r="B20" s="91" t="s">
        <v>1282</v>
      </c>
      <c r="C20" s="23"/>
      <c r="D20" s="23" t="s">
        <v>434</v>
      </c>
      <c r="E20" s="24">
        <f>D3*2+F3*2</f>
        <v>10</v>
      </c>
      <c r="F20" s="101">
        <v>4.45</v>
      </c>
      <c r="G20" s="148"/>
      <c r="H20" s="148"/>
      <c r="I20" s="101"/>
      <c r="J20" s="101"/>
      <c r="K20" s="101"/>
      <c r="L20" s="101"/>
      <c r="M20" s="101"/>
      <c r="N20" s="120" t="s">
        <v>1363</v>
      </c>
      <c r="O20" s="167">
        <v>8</v>
      </c>
      <c r="P20" s="67">
        <f ca="1" t="shared" si="0"/>
        <v>35.6</v>
      </c>
      <c r="Q20" s="67">
        <f t="shared" si="1"/>
        <v>2</v>
      </c>
      <c r="R20" s="67">
        <f ca="1" t="shared" si="2"/>
        <v>8.9</v>
      </c>
    </row>
    <row r="21" ht="15" customHeight="1" spans="1:18">
      <c r="A21" s="20"/>
      <c r="B21" s="91" t="s">
        <v>1284</v>
      </c>
      <c r="C21" s="23"/>
      <c r="D21" s="23" t="s">
        <v>434</v>
      </c>
      <c r="E21" s="24">
        <f>D3*2</f>
        <v>6</v>
      </c>
      <c r="F21" s="101">
        <v>6.51</v>
      </c>
      <c r="G21" s="148"/>
      <c r="H21" s="148"/>
      <c r="I21" s="101"/>
      <c r="J21" s="101"/>
      <c r="K21" s="101"/>
      <c r="L21" s="101"/>
      <c r="M21" s="101"/>
      <c r="N21" s="120" t="s">
        <v>1364</v>
      </c>
      <c r="O21" s="167">
        <v>4</v>
      </c>
      <c r="P21" s="67">
        <f ca="1" t="shared" si="0"/>
        <v>26.04</v>
      </c>
      <c r="Q21" s="67">
        <f t="shared" si="1"/>
        <v>2</v>
      </c>
      <c r="R21" s="67">
        <f ca="1" t="shared" si="2"/>
        <v>13.02</v>
      </c>
    </row>
    <row r="22" ht="15" customHeight="1" spans="1:18">
      <c r="A22" s="20"/>
      <c r="B22" s="91" t="s">
        <v>519</v>
      </c>
      <c r="C22" s="23"/>
      <c r="D22" s="23" t="s">
        <v>434</v>
      </c>
      <c r="E22" s="24">
        <f>F3*2</f>
        <v>4</v>
      </c>
      <c r="F22" s="101">
        <v>5.95</v>
      </c>
      <c r="G22" s="151"/>
      <c r="H22" s="151"/>
      <c r="I22" s="39"/>
      <c r="J22" s="39"/>
      <c r="K22" s="39"/>
      <c r="L22" s="39"/>
      <c r="M22" s="39"/>
      <c r="N22" s="120" t="s">
        <v>1365</v>
      </c>
      <c r="O22" s="167">
        <v>4</v>
      </c>
      <c r="P22" s="67">
        <f ca="1" t="shared" si="0"/>
        <v>23.8</v>
      </c>
      <c r="Q22" s="67">
        <f t="shared" si="1"/>
        <v>0</v>
      </c>
      <c r="R22" s="67">
        <f ca="1" t="shared" si="2"/>
        <v>0</v>
      </c>
    </row>
    <row r="23" ht="15" customHeight="1" spans="1:18">
      <c r="A23" s="31"/>
      <c r="B23" s="152" t="s">
        <v>551</v>
      </c>
      <c r="C23" s="43"/>
      <c r="D23" s="43" t="s">
        <v>434</v>
      </c>
      <c r="E23" s="150">
        <f>F3*2</f>
        <v>4</v>
      </c>
      <c r="F23" s="41">
        <v>15.5</v>
      </c>
      <c r="G23" s="99"/>
      <c r="H23" s="99"/>
      <c r="I23" s="41"/>
      <c r="J23" s="41"/>
      <c r="K23" s="41"/>
      <c r="L23" s="41"/>
      <c r="M23" s="41"/>
      <c r="N23" s="173" t="s">
        <v>1361</v>
      </c>
      <c r="O23" s="174">
        <v>4</v>
      </c>
      <c r="P23" s="67">
        <f ca="1" t="shared" si="0"/>
        <v>62</v>
      </c>
      <c r="Q23" s="67">
        <f t="shared" si="1"/>
        <v>0</v>
      </c>
      <c r="R23" s="67">
        <f ca="1" t="shared" si="2"/>
        <v>0</v>
      </c>
    </row>
    <row r="24" ht="15" customHeight="1" spans="1:18">
      <c r="A24" s="153" t="s">
        <v>1216</v>
      </c>
      <c r="B24" s="91" t="s">
        <v>1366</v>
      </c>
      <c r="C24" s="23"/>
      <c r="D24" s="23" t="s">
        <v>612</v>
      </c>
      <c r="E24" s="24">
        <f>A3</f>
        <v>2</v>
      </c>
      <c r="F24" s="122">
        <f ca="1">(I24+J24)*1.1+30</f>
        <v>2004.291</v>
      </c>
      <c r="G24" s="99">
        <v>17.4</v>
      </c>
      <c r="H24" s="99">
        <v>5</v>
      </c>
      <c r="I24" s="41">
        <f ca="1">G24*H24*'15米（人字150料）参数'!E15*1.1</f>
        <v>1655.61</v>
      </c>
      <c r="J24" s="41">
        <f>17.4*2*4</f>
        <v>139.2</v>
      </c>
      <c r="K24" s="41">
        <v>30</v>
      </c>
      <c r="L24" s="41"/>
      <c r="M24" s="41"/>
      <c r="N24" s="167" t="s">
        <v>1410</v>
      </c>
      <c r="O24" s="175">
        <v>1</v>
      </c>
      <c r="P24" s="67">
        <f ca="1" t="shared" si="0"/>
        <v>2004.291</v>
      </c>
      <c r="Q24" s="67">
        <f t="shared" si="1"/>
        <v>1</v>
      </c>
      <c r="R24" s="67">
        <f ca="1" t="shared" si="2"/>
        <v>2004.291</v>
      </c>
    </row>
    <row r="25" ht="15" customHeight="1" spans="1:18">
      <c r="A25" s="153"/>
      <c r="B25" s="91" t="s">
        <v>1368</v>
      </c>
      <c r="C25" s="23"/>
      <c r="D25" s="23" t="s">
        <v>664</v>
      </c>
      <c r="E25" s="24">
        <f>F3</f>
        <v>2</v>
      </c>
      <c r="F25" s="122">
        <f ca="1">(I25+J25)*1.1+15</f>
        <v>595.947884</v>
      </c>
      <c r="G25" s="148">
        <v>7.73</v>
      </c>
      <c r="H25" s="154">
        <v>3.6</v>
      </c>
      <c r="I25" s="101">
        <f ca="1">G25*H25*'15米（人字150料）参数'!E14*1.1</f>
        <v>437.73444</v>
      </c>
      <c r="J25" s="101">
        <f>11.3*2*4</f>
        <v>90.4</v>
      </c>
      <c r="K25" s="101">
        <v>15</v>
      </c>
      <c r="L25" s="101"/>
      <c r="M25" s="101"/>
      <c r="N25" s="51" t="s">
        <v>1411</v>
      </c>
      <c r="O25" s="167">
        <v>2</v>
      </c>
      <c r="P25" s="67">
        <f ca="1" t="shared" si="0"/>
        <v>1191.895768</v>
      </c>
      <c r="Q25" s="67">
        <f t="shared" si="1"/>
        <v>0</v>
      </c>
      <c r="R25" s="67">
        <f ca="1" t="shared" si="2"/>
        <v>0</v>
      </c>
    </row>
    <row r="26" ht="15" customHeight="1" spans="1:18">
      <c r="A26" s="155"/>
      <c r="B26" s="91" t="s">
        <v>1370</v>
      </c>
      <c r="C26" s="23"/>
      <c r="D26" s="23" t="s">
        <v>664</v>
      </c>
      <c r="E26" s="24">
        <f>A3*2+F3*3</f>
        <v>10</v>
      </c>
      <c r="F26" s="101">
        <f ca="1">I26+J26+K26+L26+M26</f>
        <v>458.28612</v>
      </c>
      <c r="G26" s="156">
        <v>5.2</v>
      </c>
      <c r="H26" s="157">
        <v>4.97</v>
      </c>
      <c r="I26" s="101">
        <f ca="1">G26*H26*'15米（人字150料）参数'!E14*1.1+15</f>
        <v>421.52612</v>
      </c>
      <c r="J26" s="71">
        <f>4*2</f>
        <v>8</v>
      </c>
      <c r="K26" s="71">
        <f>0.5*10</f>
        <v>5</v>
      </c>
      <c r="L26" s="71">
        <f>0.32*18</f>
        <v>5.76</v>
      </c>
      <c r="M26" s="71">
        <f>18*1</f>
        <v>18</v>
      </c>
      <c r="N26" s="120" t="s">
        <v>1394</v>
      </c>
      <c r="O26" s="167">
        <v>8</v>
      </c>
      <c r="P26" s="67">
        <f ca="1" t="shared" si="0"/>
        <v>3666.28896</v>
      </c>
      <c r="Q26" s="67">
        <f t="shared" si="1"/>
        <v>2</v>
      </c>
      <c r="R26" s="67">
        <f ca="1" t="shared" si="2"/>
        <v>916.57224</v>
      </c>
    </row>
    <row r="27" ht="15" customHeight="1" spans="1:18">
      <c r="A27" s="20" t="s">
        <v>1235</v>
      </c>
      <c r="B27" s="158" t="s">
        <v>583</v>
      </c>
      <c r="C27" s="23"/>
      <c r="D27" s="23" t="s">
        <v>434</v>
      </c>
      <c r="E27" s="24">
        <f>D3*10+F3*2+E19*2</f>
        <v>44</v>
      </c>
      <c r="F27" s="101">
        <v>2.15</v>
      </c>
      <c r="G27" s="154"/>
      <c r="H27" s="154"/>
      <c r="I27" s="101"/>
      <c r="J27" s="101"/>
      <c r="K27" s="101"/>
      <c r="L27" s="101"/>
      <c r="M27" s="101"/>
      <c r="N27" s="120" t="s">
        <v>1372</v>
      </c>
      <c r="O27" s="167">
        <v>34</v>
      </c>
      <c r="P27" s="67">
        <f ca="1" t="shared" si="0"/>
        <v>73.1</v>
      </c>
      <c r="Q27" s="67">
        <f t="shared" si="1"/>
        <v>10</v>
      </c>
      <c r="R27" s="67">
        <f ca="1" t="shared" si="2"/>
        <v>21.5</v>
      </c>
    </row>
    <row r="28" ht="15" customHeight="1" spans="1:18">
      <c r="A28" s="20"/>
      <c r="B28" s="109" t="s">
        <v>585</v>
      </c>
      <c r="C28" s="23"/>
      <c r="D28" s="23" t="s">
        <v>434</v>
      </c>
      <c r="E28" s="24">
        <f>D3*2+E19+E12</f>
        <v>16</v>
      </c>
      <c r="F28" s="101">
        <v>2.55</v>
      </c>
      <c r="G28" s="154"/>
      <c r="H28" s="154"/>
      <c r="I28" s="101"/>
      <c r="J28" s="101"/>
      <c r="K28" s="101"/>
      <c r="L28" s="101"/>
      <c r="M28" s="101"/>
      <c r="N28" s="120" t="s">
        <v>1373</v>
      </c>
      <c r="O28" s="172">
        <v>14</v>
      </c>
      <c r="P28" s="67">
        <f ca="1" t="shared" si="0"/>
        <v>35.7</v>
      </c>
      <c r="Q28" s="67">
        <f t="shared" si="1"/>
        <v>2</v>
      </c>
      <c r="R28" s="67">
        <f ca="1" t="shared" si="2"/>
        <v>5.1</v>
      </c>
    </row>
    <row r="29" ht="15" customHeight="1" spans="1:18">
      <c r="A29" s="20"/>
      <c r="B29" s="159" t="s">
        <v>1374</v>
      </c>
      <c r="C29" s="43"/>
      <c r="D29" s="43" t="s">
        <v>434</v>
      </c>
      <c r="E29" s="44">
        <f>D3*2+4</f>
        <v>10</v>
      </c>
      <c r="F29" s="39">
        <v>1.95</v>
      </c>
      <c r="G29" s="160"/>
      <c r="H29" s="160"/>
      <c r="I29" s="39"/>
      <c r="J29" s="39"/>
      <c r="K29" s="39"/>
      <c r="L29" s="39"/>
      <c r="M29" s="39"/>
      <c r="N29" s="120" t="s">
        <v>1375</v>
      </c>
      <c r="O29" s="167">
        <v>8</v>
      </c>
      <c r="P29" s="67">
        <f ca="1" t="shared" si="0"/>
        <v>15.6</v>
      </c>
      <c r="Q29" s="67">
        <f t="shared" si="1"/>
        <v>2</v>
      </c>
      <c r="R29" s="67">
        <f ca="1" t="shared" si="2"/>
        <v>3.9</v>
      </c>
    </row>
    <row r="30" ht="15" customHeight="1" spans="1:18">
      <c r="A30" s="20"/>
      <c r="B30" s="109" t="s">
        <v>554</v>
      </c>
      <c r="C30" s="23"/>
      <c r="D30" s="23" t="s">
        <v>555</v>
      </c>
      <c r="E30" s="28">
        <f>E17+E18+E12</f>
        <v>15</v>
      </c>
      <c r="F30" s="101">
        <v>1.46</v>
      </c>
      <c r="G30" s="154"/>
      <c r="H30" s="154"/>
      <c r="I30" s="101"/>
      <c r="J30" s="101"/>
      <c r="K30" s="101"/>
      <c r="L30" s="101"/>
      <c r="M30" s="101"/>
      <c r="N30" s="120" t="s">
        <v>1376</v>
      </c>
      <c r="O30" s="167">
        <v>13</v>
      </c>
      <c r="P30" s="67">
        <f ca="1" t="shared" si="0"/>
        <v>18.98</v>
      </c>
      <c r="Q30" s="67">
        <f t="shared" si="1"/>
        <v>2</v>
      </c>
      <c r="R30" s="67">
        <f ca="1" t="shared" si="2"/>
        <v>2.92</v>
      </c>
    </row>
    <row r="31" spans="1:18">
      <c r="A31" s="50"/>
      <c r="B31" s="50"/>
      <c r="C31" s="51"/>
      <c r="D31" s="51"/>
      <c r="E31" s="51"/>
      <c r="F31" s="50"/>
      <c r="G31" s="50"/>
      <c r="H31" s="50"/>
      <c r="I31" s="50"/>
      <c r="J31" s="50"/>
      <c r="K31" s="50"/>
      <c r="L31" s="50"/>
      <c r="M31" s="50"/>
      <c r="N31" s="50"/>
      <c r="O31" s="1" t="s">
        <v>1218</v>
      </c>
      <c r="P31" s="3">
        <f ca="1">SUM(P6:P30)</f>
        <v>24933.7656639952</v>
      </c>
      <c r="Q31" s="3" t="s">
        <v>1219</v>
      </c>
      <c r="R31" s="3">
        <f ca="1">SUM(R6:R30)</f>
        <v>9257.3907841136</v>
      </c>
    </row>
    <row r="32" spans="1:18">
      <c r="A32" s="50"/>
      <c r="B32" s="50" t="s">
        <v>1221</v>
      </c>
      <c r="C32" s="51"/>
      <c r="D32" s="51"/>
      <c r="E32" s="51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3"/>
      <c r="Q32" s="3"/>
      <c r="R32" s="3"/>
    </row>
    <row r="33" spans="1:18">
      <c r="A33" s="50"/>
      <c r="B33" s="50"/>
      <c r="C33" s="51"/>
      <c r="D33" s="51"/>
      <c r="E33" s="51"/>
      <c r="F33" s="50"/>
      <c r="G33" s="50"/>
      <c r="H33" s="50"/>
      <c r="I33" s="50"/>
      <c r="J33" s="50"/>
      <c r="K33" s="50"/>
      <c r="L33" s="50"/>
      <c r="M33" s="50"/>
      <c r="N33" s="50"/>
      <c r="O33" s="50" t="s">
        <v>1377</v>
      </c>
      <c r="P33" s="3">
        <f ca="1">P31+R31</f>
        <v>34191.1564481088</v>
      </c>
      <c r="Q33" s="3"/>
      <c r="R33" s="3"/>
    </row>
    <row r="34" ht="31.5" spans="1:18">
      <c r="A34" s="50"/>
      <c r="B34" s="228"/>
      <c r="C34" s="228"/>
      <c r="D34" s="229"/>
      <c r="E34" s="229"/>
      <c r="F34" s="229"/>
      <c r="G34" s="52"/>
      <c r="H34" s="52"/>
      <c r="I34" s="52"/>
      <c r="J34" s="52"/>
      <c r="K34" s="52"/>
      <c r="L34" s="52"/>
      <c r="M34" s="52"/>
      <c r="N34" s="50"/>
      <c r="O34" s="50" t="s">
        <v>14</v>
      </c>
      <c r="P34" s="3">
        <f ca="1">P33/E2</f>
        <v>227.941042987392</v>
      </c>
      <c r="Q34" s="3"/>
      <c r="R34" s="3"/>
    </row>
  </sheetData>
  <mergeCells count="13">
    <mergeCell ref="A1:N1"/>
    <mergeCell ref="A2:C2"/>
    <mergeCell ref="F2:N2"/>
    <mergeCell ref="A3:B3"/>
    <mergeCell ref="H3:N3"/>
    <mergeCell ref="A4:F4"/>
    <mergeCell ref="G4:H4"/>
    <mergeCell ref="I4:M4"/>
    <mergeCell ref="B34:C34"/>
    <mergeCell ref="A6:A15"/>
    <mergeCell ref="A16:A23"/>
    <mergeCell ref="A24:A26"/>
    <mergeCell ref="A27:A30"/>
  </mergeCells>
  <dataValidations count="3">
    <dataValidation type="list" allowBlank="1" showInputMessage="1" showErrorMessage="1" sqref="B24">
      <formula1>"顶布[白]{全新},顶布[白]{A类},顶布[白]{B类},顶布[白]{C类},顶布[白]{D类}"</formula1>
    </dataValidation>
    <dataValidation type="list" allowBlank="1" showInputMessage="1" showErrorMessage="1" sqref="B25">
      <formula1>"山尖布[白]{全新},山尖布[白]{A类},山尖布[白]{B类},山尖布[白]{C类},山尖布[白]{D类}"</formula1>
    </dataValidation>
    <dataValidation type="list" allowBlank="1" showInputMessage="1" showErrorMessage="1" sqref="B26">
      <formula1>"围布[白]{全新},围布[白]{A类},围布[白]{B类},围布[白]{C类},围布[白]{D类},透光窗围布[白]{全新},透光窗围布[白]{A类},透光窗围布[白]{B类},透光窗围布[白]{C类},透光窗围布[白]{D类}"</formula1>
    </dataValidation>
  </dataValidations>
  <pageMargins left="0.75" right="0.75" top="1" bottom="1" header="0.509027777777778" footer="0.509027777777778"/>
  <headerFooter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7030A0"/>
  </sheetPr>
  <dimension ref="A1:L27"/>
  <sheetViews>
    <sheetView showGridLines="0" workbookViewId="0">
      <selection activeCell="E31" sqref="E31"/>
    </sheetView>
  </sheetViews>
  <sheetFormatPr defaultColWidth="9" defaultRowHeight="14.25"/>
  <cols>
    <col min="1" max="1" width="21.125" style="1" customWidth="1"/>
    <col min="2" max="2" width="19.125" style="1" customWidth="1"/>
    <col min="3" max="3" width="15.5" style="1" customWidth="1"/>
    <col min="4" max="4" width="11.375" style="1" customWidth="1"/>
    <col min="5" max="5" width="10.5" style="1" customWidth="1"/>
    <col min="6" max="6" width="9" style="1"/>
    <col min="7" max="7" width="12.625" style="1" customWidth="1"/>
    <col min="8" max="16384" width="9" style="1"/>
  </cols>
  <sheetData>
    <row r="1" spans="1:4">
      <c r="A1" s="2" t="str">
        <f ca="1">'数据修改（批量）'!A1</f>
        <v>上海有色铝锭价格</v>
      </c>
      <c r="B1" s="2"/>
      <c r="C1" s="2"/>
      <c r="D1" s="3"/>
    </row>
    <row r="2" spans="1:7">
      <c r="A2" s="4">
        <f ca="1">'数据修改（批量）'!A2</f>
        <v>16200</v>
      </c>
      <c r="B2" s="2" t="str">
        <f ca="1">'数据修改（批量）'!B2</f>
        <v>项目</v>
      </c>
      <c r="C2" s="2" t="str">
        <f ca="1">'数据修改（批量）'!C2</f>
        <v>加工费</v>
      </c>
      <c r="D2" s="2" t="str">
        <f ca="1">'数据修改（批量）'!D2</f>
        <v>包装物</v>
      </c>
      <c r="E2" s="2" t="str">
        <f ca="1">'数据修改（批量）'!E2</f>
        <v>运费</v>
      </c>
      <c r="F2" s="2" t="str">
        <f ca="1">'数据修改（批量）'!F2</f>
        <v>单价</v>
      </c>
      <c r="G2" s="2" t="str">
        <f ca="1">'数据修改（批量）'!G2</f>
        <v>每公斤价格</v>
      </c>
    </row>
    <row r="3" spans="1:7">
      <c r="A3" s="2"/>
      <c r="B3" s="2" t="str">
        <f ca="1">'数据修改（批量）'!B3</f>
        <v>203料</v>
      </c>
      <c r="C3" s="2">
        <f ca="1">'数据修改（批量）'!C3</f>
        <v>5500</v>
      </c>
      <c r="D3" s="2">
        <f ca="1">'数据修改（批量）'!D3</f>
        <v>868</v>
      </c>
      <c r="E3" s="2">
        <f ca="1">'数据修改（批量）'!E3</f>
        <v>80</v>
      </c>
      <c r="F3" s="2">
        <f ca="1">'数据修改（批量）'!F3</f>
        <v>22648</v>
      </c>
      <c r="G3" s="2">
        <f ca="1">'数据修改（批量）'!G3</f>
        <v>22.648</v>
      </c>
    </row>
    <row r="4" spans="1:7">
      <c r="A4" s="2"/>
      <c r="B4" s="2" t="str">
        <f ca="1">'数据修改（批量）'!B4</f>
        <v>203料氧化</v>
      </c>
      <c r="C4" s="2">
        <f ca="1">'数据修改（批量）'!C4</f>
        <v>6000</v>
      </c>
      <c r="D4" s="2">
        <f ca="1">'数据修改（批量）'!D4</f>
        <v>888</v>
      </c>
      <c r="E4" s="2">
        <f ca="1">'数据修改（批量）'!E4</f>
        <v>80</v>
      </c>
      <c r="F4" s="2">
        <f ca="1">'数据修改（批量）'!F4</f>
        <v>23168</v>
      </c>
      <c r="G4" s="2">
        <f ca="1">'数据修改（批量）'!G4</f>
        <v>23.168</v>
      </c>
    </row>
    <row r="5" spans="2:7">
      <c r="B5" s="2" t="str">
        <f ca="1">'数据修改（批量）'!B5</f>
        <v>小料加工费</v>
      </c>
      <c r="C5" s="2">
        <f ca="1">'数据修改（批量）'!C5</f>
        <v>4500</v>
      </c>
      <c r="D5" s="2">
        <f ca="1">'数据修改（批量）'!D5</f>
        <v>828</v>
      </c>
      <c r="E5" s="2">
        <f ca="1">'数据修改（批量）'!E5</f>
        <v>80</v>
      </c>
      <c r="F5" s="2">
        <f ca="1">'数据修改（批量）'!F5</f>
        <v>21608</v>
      </c>
      <c r="G5" s="2">
        <f ca="1">'数据修改（批量）'!G5</f>
        <v>21.608</v>
      </c>
    </row>
    <row r="6" spans="1:4">
      <c r="A6" s="2" t="str">
        <f ca="1">'数据修改（批量）'!A6</f>
        <v>南海有色铝锭价格</v>
      </c>
      <c r="D6" s="5"/>
    </row>
    <row r="7" spans="1:1">
      <c r="A7" s="4">
        <f ca="1">'数据修改（批量）'!A7</f>
        <v>16600</v>
      </c>
    </row>
    <row r="8" spans="2:7">
      <c r="B8" s="2" t="str">
        <f ca="1">'数据修改（批量）'!B8</f>
        <v>项目</v>
      </c>
      <c r="C8" s="2" t="str">
        <f ca="1">'数据修改（批量）'!C8</f>
        <v>加工费</v>
      </c>
      <c r="D8" s="2" t="str">
        <f ca="1">'数据修改（批量）'!D8</f>
        <v>包装物</v>
      </c>
      <c r="E8" s="2" t="str">
        <f ca="1">'数据修改（批量）'!E8</f>
        <v>运费</v>
      </c>
      <c r="F8" s="2" t="str">
        <f ca="1">'数据修改（批量）'!F8</f>
        <v>单价</v>
      </c>
      <c r="G8" s="2" t="str">
        <f ca="1">'数据修改（批量）'!G8</f>
        <v>每公斤价格</v>
      </c>
    </row>
    <row r="9" spans="2:7">
      <c r="B9" s="2" t="str">
        <f ca="1">'数据修改（批量）'!B9</f>
        <v>300/350料8米以上</v>
      </c>
      <c r="C9" s="2">
        <f ca="1">'数据修改（批量）'!C9</f>
        <v>7800</v>
      </c>
      <c r="D9" s="2">
        <f ca="1">'数据修改（批量）'!D9</f>
        <v>976</v>
      </c>
      <c r="E9" s="2">
        <f ca="1">'数据修改（批量）'!E9</f>
        <v>1000</v>
      </c>
      <c r="F9" s="2">
        <f ca="1">'数据修改（批量）'!F9</f>
        <v>26376</v>
      </c>
      <c r="G9" s="2">
        <f ca="1">'数据修改（批量）'!G9</f>
        <v>26.376</v>
      </c>
    </row>
    <row r="10" spans="2:7">
      <c r="B10" s="2" t="str">
        <f ca="1">'数据修改（批量）'!B10</f>
        <v>300/350料8米以下</v>
      </c>
      <c r="C10" s="2">
        <f ca="1">'数据修改（批量）'!C10</f>
        <v>7100</v>
      </c>
      <c r="D10" s="2">
        <f ca="1">'数据修改（批量）'!D10</f>
        <v>948</v>
      </c>
      <c r="E10" s="2">
        <f ca="1">'数据修改（批量）'!E10</f>
        <v>1000</v>
      </c>
      <c r="F10" s="2">
        <f ca="1">'数据修改（批量）'!F10</f>
        <v>25648</v>
      </c>
      <c r="G10" s="2">
        <f ca="1">'数据修改（批量）'!G10</f>
        <v>25.648</v>
      </c>
    </row>
    <row r="12" spans="1:4">
      <c r="A12" s="2" t="str">
        <f ca="1">'数据修改（批量）'!A12</f>
        <v>篷布</v>
      </c>
      <c r="B12" s="2"/>
      <c r="C12" s="2"/>
      <c r="D12" s="3"/>
    </row>
    <row r="13" spans="1:7">
      <c r="A13" s="2"/>
      <c r="B13" s="2" t="str">
        <f ca="1">'数据修改（批量）'!B13</f>
        <v>项目</v>
      </c>
      <c r="C13" s="2" t="str">
        <f ca="1">'数据修改（批量）'!C13</f>
        <v>运费</v>
      </c>
      <c r="D13" s="2" t="str">
        <f ca="1">'数据修改（批量）'!D13</f>
        <v>单价</v>
      </c>
      <c r="E13" s="2" t="str">
        <f ca="1">'数据修改（批量）'!E13</f>
        <v>每平价格</v>
      </c>
      <c r="F13" s="2"/>
      <c r="G13" s="2"/>
    </row>
    <row r="14" spans="1:7">
      <c r="A14" s="2"/>
      <c r="B14" s="2">
        <f ca="1">'数据修改（批量）'!B14</f>
        <v>650</v>
      </c>
      <c r="C14" s="2">
        <f ca="1">'数据修改（批量）'!C14</f>
        <v>0.5</v>
      </c>
      <c r="D14" s="4">
        <f ca="1">'数据修改（批量）'!D14</f>
        <v>13.8</v>
      </c>
      <c r="E14" s="2">
        <f ca="1">'数据修改（批量）'!E14</f>
        <v>14.3</v>
      </c>
      <c r="F14" s="2"/>
      <c r="G14" s="2"/>
    </row>
    <row r="15" spans="1:7">
      <c r="A15" s="2"/>
      <c r="B15" s="2">
        <f ca="1">'数据修改（批量）'!B15</f>
        <v>780</v>
      </c>
      <c r="C15" s="2">
        <f ca="1">'数据修改（批量）'!C15</f>
        <v>0.5</v>
      </c>
      <c r="D15" s="4">
        <f ca="1">'数据修改（批量）'!D15</f>
        <v>16.8</v>
      </c>
      <c r="E15" s="2">
        <f ca="1">'数据修改（批量）'!E15</f>
        <v>17.3</v>
      </c>
      <c r="F15" s="2"/>
      <c r="G15" s="2"/>
    </row>
    <row r="16" spans="2:7">
      <c r="B16" s="2">
        <f ca="1">'数据修改（批量）'!B16</f>
        <v>850</v>
      </c>
      <c r="C16" s="2">
        <f ca="1">'数据修改（批量）'!C16</f>
        <v>0.5</v>
      </c>
      <c r="D16" s="4">
        <f ca="1">'数据修改（批量）'!D16</f>
        <v>18</v>
      </c>
      <c r="E16" s="2">
        <f ca="1">'数据修改（批量）'!E16</f>
        <v>18.5</v>
      </c>
      <c r="F16" s="2"/>
      <c r="G16" s="2"/>
    </row>
    <row r="21" spans="1:7">
      <c r="A21" s="6" t="str">
        <f ca="1">'数据修改（批量）'!A21</f>
        <v>说明：黄色部分可以根据价格修改</v>
      </c>
      <c r="B21" s="6"/>
      <c r="C21" s="6"/>
      <c r="D21" s="6"/>
      <c r="E21" s="6"/>
      <c r="F21" s="6"/>
      <c r="G21" s="6"/>
    </row>
    <row r="27" spans="12:12">
      <c r="L27" s="1">
        <f>20*0.08</f>
        <v>1.6</v>
      </c>
    </row>
  </sheetData>
  <mergeCells count="1">
    <mergeCell ref="A21:G21"/>
  </mergeCells>
  <pageMargins left="0.75" right="0.75" top="1" bottom="1" header="0.509027777777778" footer="0.509027777777778"/>
  <pageSetup paperSize="9" orientation="portrait"/>
  <headerFooter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FFFF00"/>
  </sheetPr>
  <dimension ref="A1:U34"/>
  <sheetViews>
    <sheetView showGridLines="0" workbookViewId="0">
      <selection activeCell="F11" sqref="F11"/>
    </sheetView>
  </sheetViews>
  <sheetFormatPr defaultColWidth="9" defaultRowHeight="14.25"/>
  <cols>
    <col min="1" max="1" width="2.875" style="50" customWidth="1"/>
    <col min="2" max="2" width="16.875" style="50" customWidth="1"/>
    <col min="3" max="5" width="9.5" style="51" customWidth="1"/>
    <col min="6" max="13" width="11.125" style="50" customWidth="1"/>
    <col min="14" max="14" width="72.75" style="50" customWidth="1"/>
    <col min="15" max="15" width="12.25" style="50" customWidth="1"/>
    <col min="16" max="18" width="12.25" style="3" customWidth="1"/>
    <col min="19" max="21" width="9" style="3"/>
    <col min="22" max="16384" width="9" style="1"/>
  </cols>
  <sheetData>
    <row r="1" ht="15" customHeight="1" spans="1:15">
      <c r="A1" s="7" t="s">
        <v>1419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161"/>
    </row>
    <row r="2" ht="15" customHeight="1" spans="1:21">
      <c r="A2" s="141" t="s">
        <v>1246</v>
      </c>
      <c r="B2" s="142"/>
      <c r="C2" s="142"/>
      <c r="D2" s="9" t="s">
        <v>1198</v>
      </c>
      <c r="E2" s="176">
        <f>A3*5*15</f>
        <v>150</v>
      </c>
      <c r="F2" s="11"/>
      <c r="G2" s="11"/>
      <c r="H2" s="11"/>
      <c r="I2" s="11"/>
      <c r="J2" s="11"/>
      <c r="K2" s="11"/>
      <c r="L2" s="11"/>
      <c r="M2" s="11"/>
      <c r="N2" s="11"/>
      <c r="O2" s="162"/>
      <c r="Q2" s="55"/>
      <c r="R2" s="55"/>
      <c r="T2" s="1"/>
      <c r="U2" s="1"/>
    </row>
    <row r="3" ht="15" customHeight="1" spans="1:21">
      <c r="A3" s="177">
        <v>2</v>
      </c>
      <c r="B3" s="177"/>
      <c r="C3" s="178" t="s">
        <v>1247</v>
      </c>
      <c r="D3" s="179">
        <v>3</v>
      </c>
      <c r="E3" s="180" t="s">
        <v>1248</v>
      </c>
      <c r="F3" s="12">
        <v>2</v>
      </c>
      <c r="G3" s="11" t="s">
        <v>1249</v>
      </c>
      <c r="H3" s="12"/>
      <c r="I3" s="12"/>
      <c r="J3" s="12"/>
      <c r="K3" s="12"/>
      <c r="L3" s="12"/>
      <c r="M3" s="12"/>
      <c r="N3" s="12"/>
      <c r="O3" s="162"/>
      <c r="Q3" s="55"/>
      <c r="R3" s="55"/>
      <c r="T3" s="1"/>
      <c r="U3" s="1"/>
    </row>
    <row r="4" ht="15" customHeight="1" spans="1:21">
      <c r="A4" s="190"/>
      <c r="B4" s="128"/>
      <c r="C4" s="128"/>
      <c r="D4" s="128"/>
      <c r="E4" s="128"/>
      <c r="F4" s="128"/>
      <c r="G4" s="180" t="s">
        <v>1345</v>
      </c>
      <c r="H4" s="191"/>
      <c r="I4" s="198" t="s">
        <v>1346</v>
      </c>
      <c r="J4" s="199"/>
      <c r="K4" s="199"/>
      <c r="L4" s="199"/>
      <c r="M4" s="200"/>
      <c r="N4" s="201"/>
      <c r="O4" s="162"/>
      <c r="Q4" s="55"/>
      <c r="R4" s="55"/>
      <c r="T4" s="1"/>
      <c r="U4" s="1"/>
    </row>
    <row r="5" ht="15" customHeight="1" spans="1:18">
      <c r="A5" s="146" t="s">
        <v>1200</v>
      </c>
      <c r="B5" s="146" t="s">
        <v>1201</v>
      </c>
      <c r="C5" s="146" t="s">
        <v>1250</v>
      </c>
      <c r="D5" s="146" t="s">
        <v>22</v>
      </c>
      <c r="E5" s="147" t="s">
        <v>1251</v>
      </c>
      <c r="F5" s="75" t="s">
        <v>1204</v>
      </c>
      <c r="G5" s="19" t="s">
        <v>1205</v>
      </c>
      <c r="H5" s="17" t="s">
        <v>1253</v>
      </c>
      <c r="I5" s="17" t="s">
        <v>1254</v>
      </c>
      <c r="J5" s="17" t="s">
        <v>1255</v>
      </c>
      <c r="K5" s="17" t="s">
        <v>1209</v>
      </c>
      <c r="L5" s="17" t="s">
        <v>1420</v>
      </c>
      <c r="M5" s="17" t="s">
        <v>1211</v>
      </c>
      <c r="N5" s="163" t="s">
        <v>1257</v>
      </c>
      <c r="O5" s="164" t="s">
        <v>1212</v>
      </c>
      <c r="P5" s="165" t="s">
        <v>1213</v>
      </c>
      <c r="Q5" s="165" t="s">
        <v>1214</v>
      </c>
      <c r="R5" s="75" t="s">
        <v>1213</v>
      </c>
    </row>
    <row r="6" ht="12.95" customHeight="1" spans="1:18">
      <c r="A6" s="20" t="s">
        <v>1215</v>
      </c>
      <c r="B6" s="91" t="s">
        <v>1224</v>
      </c>
      <c r="C6" s="23"/>
      <c r="D6" s="23" t="s">
        <v>28</v>
      </c>
      <c r="E6" s="24">
        <f>D3*2</f>
        <v>6</v>
      </c>
      <c r="F6" s="93">
        <f ca="1">I6+J6+K6+L6+M6</f>
        <v>899.193354992</v>
      </c>
      <c r="G6" s="94">
        <f>7.16/2</f>
        <v>3.58</v>
      </c>
      <c r="H6" s="94">
        <v>8.233</v>
      </c>
      <c r="I6" s="93">
        <f ca="1">G6*H6*'15米（人字203料）参数'!G3*1.1</f>
        <v>734.283354992</v>
      </c>
      <c r="J6" s="93">
        <f>48.55*2</f>
        <v>97.1</v>
      </c>
      <c r="K6" s="93">
        <v>45.91</v>
      </c>
      <c r="L6" s="93">
        <f>2.55*4</f>
        <v>10.2</v>
      </c>
      <c r="M6" s="93">
        <f>18*0.65</f>
        <v>11.7</v>
      </c>
      <c r="N6" s="166" t="s">
        <v>1421</v>
      </c>
      <c r="O6" s="167">
        <v>4</v>
      </c>
      <c r="P6" s="67">
        <f ca="1" t="shared" ref="P6:P30" si="0">F6*O6</f>
        <v>3596.773419968</v>
      </c>
      <c r="Q6" s="67">
        <f t="shared" ref="Q6:Q30" si="1">E6-O6</f>
        <v>2</v>
      </c>
      <c r="R6" s="67">
        <f ca="1" t="shared" ref="R6:R30" si="2">F6*Q6</f>
        <v>1798.386709984</v>
      </c>
    </row>
    <row r="7" ht="12.95" customHeight="1" spans="1:18">
      <c r="A7" s="20"/>
      <c r="B7" s="91" t="s">
        <v>1308</v>
      </c>
      <c r="C7" s="23"/>
      <c r="D7" s="23" t="s">
        <v>28</v>
      </c>
      <c r="E7" s="24">
        <f>F3*2</f>
        <v>4</v>
      </c>
      <c r="F7" s="101">
        <f ca="1">I7+J7+K7+L7+M7</f>
        <v>761.1092</v>
      </c>
      <c r="G7" s="148">
        <v>5</v>
      </c>
      <c r="H7" s="148">
        <v>5.3</v>
      </c>
      <c r="I7" s="101">
        <f ca="1">G7*H7*'15米（人字203料）参数'!G3*1.1</f>
        <v>660.1892</v>
      </c>
      <c r="J7" s="101"/>
      <c r="K7" s="101">
        <f>49.51+41.21</f>
        <v>90.72</v>
      </c>
      <c r="L7" s="101">
        <f>2.55*4</f>
        <v>10.2</v>
      </c>
      <c r="M7" s="101"/>
      <c r="N7" s="166" t="s">
        <v>1406</v>
      </c>
      <c r="O7" s="167">
        <v>4</v>
      </c>
      <c r="P7" s="67">
        <f ca="1" t="shared" si="0"/>
        <v>3044.4368</v>
      </c>
      <c r="Q7" s="67">
        <f t="shared" si="1"/>
        <v>0</v>
      </c>
      <c r="R7" s="67">
        <f ca="1" t="shared" si="2"/>
        <v>0</v>
      </c>
    </row>
    <row r="8" ht="12.95" customHeight="1" spans="1:18">
      <c r="A8" s="20"/>
      <c r="B8" s="91" t="s">
        <v>1350</v>
      </c>
      <c r="C8" s="23"/>
      <c r="D8" s="23" t="s">
        <v>28</v>
      </c>
      <c r="E8" s="24">
        <f>D3*2</f>
        <v>6</v>
      </c>
      <c r="F8" s="61">
        <f ca="1">I8+J8+K8+L8+M8</f>
        <v>1704.47272156</v>
      </c>
      <c r="G8" s="95">
        <v>8.15</v>
      </c>
      <c r="H8" s="95">
        <v>8.233</v>
      </c>
      <c r="I8" s="61">
        <f ca="1">G8*H8*'15米（人字203料）参数'!G3*1.1</f>
        <v>1671.62272156</v>
      </c>
      <c r="J8" s="61">
        <f>2.5*6</f>
        <v>15</v>
      </c>
      <c r="K8" s="61">
        <v>11.85</v>
      </c>
      <c r="L8" s="61">
        <f>1*6</f>
        <v>6</v>
      </c>
      <c r="M8" s="61"/>
      <c r="N8" s="116" t="s">
        <v>1422</v>
      </c>
      <c r="O8" s="167">
        <v>4</v>
      </c>
      <c r="P8" s="67">
        <f ca="1" t="shared" si="0"/>
        <v>6817.89088624</v>
      </c>
      <c r="Q8" s="67">
        <f t="shared" si="1"/>
        <v>2</v>
      </c>
      <c r="R8" s="67">
        <f ca="1" t="shared" si="2"/>
        <v>3408.94544312</v>
      </c>
    </row>
    <row r="9" ht="12.95" customHeight="1" spans="1:18">
      <c r="A9" s="20"/>
      <c r="B9" s="91" t="s">
        <v>1226</v>
      </c>
      <c r="C9" s="23"/>
      <c r="D9" s="23" t="s">
        <v>28</v>
      </c>
      <c r="E9" s="24">
        <f>A3*4</f>
        <v>8</v>
      </c>
      <c r="F9" s="101">
        <f ca="1">I9+J9+K9+L9+M9</f>
        <v>195.0929650432</v>
      </c>
      <c r="G9" s="148">
        <v>4.882</v>
      </c>
      <c r="H9" s="148">
        <v>1.552</v>
      </c>
      <c r="I9" s="101">
        <f ca="1">G9*H9*'15米（人字203料）参数'!G5*1.1</f>
        <v>180.0929650432</v>
      </c>
      <c r="J9" s="101"/>
      <c r="K9" s="101"/>
      <c r="L9" s="101">
        <f>0.5*4</f>
        <v>2</v>
      </c>
      <c r="M9" s="101">
        <f>6.5*2</f>
        <v>13</v>
      </c>
      <c r="N9" s="120" t="s">
        <v>1352</v>
      </c>
      <c r="O9" s="167">
        <v>4</v>
      </c>
      <c r="P9" s="67">
        <f ca="1" t="shared" si="0"/>
        <v>780.3718601728</v>
      </c>
      <c r="Q9" s="67">
        <f t="shared" si="1"/>
        <v>4</v>
      </c>
      <c r="R9" s="67">
        <f ca="1" t="shared" si="2"/>
        <v>780.3718601728</v>
      </c>
    </row>
    <row r="10" ht="12.95" customHeight="1" spans="1:18">
      <c r="A10" s="20"/>
      <c r="B10" s="91" t="s">
        <v>1264</v>
      </c>
      <c r="C10" s="23"/>
      <c r="D10" s="23" t="s">
        <v>28</v>
      </c>
      <c r="E10" s="24">
        <f>A3*3+F3</f>
        <v>8</v>
      </c>
      <c r="F10" s="101">
        <f ca="1">I10+J10+K10+L10+M10</f>
        <v>336.5448493136</v>
      </c>
      <c r="G10" s="148">
        <v>4.882</v>
      </c>
      <c r="H10" s="148">
        <v>2.771</v>
      </c>
      <c r="I10" s="101">
        <f ca="1">G10*H10*'15米（人字203料）参数'!G5*1.1</f>
        <v>321.5448493136</v>
      </c>
      <c r="J10" s="101"/>
      <c r="K10" s="101"/>
      <c r="L10" s="101">
        <f>0.5*4</f>
        <v>2</v>
      </c>
      <c r="M10" s="101">
        <f>6.5*2</f>
        <v>13</v>
      </c>
      <c r="N10" s="120" t="s">
        <v>1353</v>
      </c>
      <c r="O10" s="167">
        <v>5</v>
      </c>
      <c r="P10" s="67">
        <f ca="1" t="shared" si="0"/>
        <v>1682.724246568</v>
      </c>
      <c r="Q10" s="67">
        <f t="shared" si="1"/>
        <v>3</v>
      </c>
      <c r="R10" s="67">
        <f ca="1" t="shared" si="2"/>
        <v>1009.6345479408</v>
      </c>
    </row>
    <row r="11" ht="12.95" customHeight="1" spans="1:18">
      <c r="A11" s="20"/>
      <c r="B11" s="91" t="s">
        <v>1266</v>
      </c>
      <c r="C11" s="23"/>
      <c r="D11" s="23" t="s">
        <v>28</v>
      </c>
      <c r="E11" s="24">
        <f>A3*2+F3*3</f>
        <v>10</v>
      </c>
      <c r="F11" s="101">
        <f ca="1">'数据修改（批量）'!A28</f>
        <v>95</v>
      </c>
      <c r="G11" s="148">
        <v>4.86</v>
      </c>
      <c r="H11" s="148">
        <v>1.345</v>
      </c>
      <c r="I11" s="101">
        <f ca="1">G11*H11*'15米（人字203料）参数'!G5*1.1</f>
        <v>155.36951496</v>
      </c>
      <c r="J11" s="101"/>
      <c r="K11" s="101"/>
      <c r="L11" s="101"/>
      <c r="M11" s="101"/>
      <c r="N11" s="120" t="s">
        <v>1354</v>
      </c>
      <c r="O11" s="167">
        <v>8</v>
      </c>
      <c r="P11" s="67">
        <f ca="1" t="shared" si="0"/>
        <v>760</v>
      </c>
      <c r="Q11" s="67">
        <f t="shared" si="1"/>
        <v>2</v>
      </c>
      <c r="R11" s="67">
        <f ca="1" t="shared" si="2"/>
        <v>190</v>
      </c>
    </row>
    <row r="12" ht="12.95" customHeight="1" spans="1:18">
      <c r="A12" s="20"/>
      <c r="B12" s="91" t="s">
        <v>1272</v>
      </c>
      <c r="C12" s="23"/>
      <c r="D12" s="23" t="s">
        <v>28</v>
      </c>
      <c r="E12" s="30">
        <v>5</v>
      </c>
      <c r="F12" s="101">
        <f>(I12+J12+K12+L12+M12)*1.2</f>
        <v>131.4</v>
      </c>
      <c r="G12" s="148"/>
      <c r="H12" s="148"/>
      <c r="I12" s="101">
        <v>95</v>
      </c>
      <c r="J12" s="101">
        <v>6.5</v>
      </c>
      <c r="K12" s="101">
        <v>4</v>
      </c>
      <c r="L12" s="101">
        <v>3</v>
      </c>
      <c r="M12" s="101">
        <v>1</v>
      </c>
      <c r="N12" s="120" t="s">
        <v>1355</v>
      </c>
      <c r="O12" s="167">
        <v>4</v>
      </c>
      <c r="P12" s="67">
        <f ca="1" t="shared" si="0"/>
        <v>525.6</v>
      </c>
      <c r="Q12" s="67">
        <f t="shared" si="1"/>
        <v>1</v>
      </c>
      <c r="R12" s="67">
        <f ca="1" t="shared" si="2"/>
        <v>131.4</v>
      </c>
    </row>
    <row r="13" ht="12.95" customHeight="1" spans="1:18">
      <c r="A13" s="20"/>
      <c r="B13" s="91" t="s">
        <v>1356</v>
      </c>
      <c r="C13" s="23"/>
      <c r="D13" s="23" t="s">
        <v>28</v>
      </c>
      <c r="E13" s="24">
        <f>F3</f>
        <v>2</v>
      </c>
      <c r="F13" s="101">
        <f ca="1">(I13+J13+K13+L13+M13)</f>
        <v>60.422</v>
      </c>
      <c r="G13" s="148">
        <v>2.5</v>
      </c>
      <c r="H13" s="148">
        <v>1</v>
      </c>
      <c r="I13" s="101">
        <f ca="1">G13*H13*'15米（人字203料）参数'!G5*1.1</f>
        <v>59.422</v>
      </c>
      <c r="J13" s="101"/>
      <c r="K13" s="101"/>
      <c r="L13" s="101">
        <f>0.5*2</f>
        <v>1</v>
      </c>
      <c r="M13" s="101"/>
      <c r="N13" s="170" t="s">
        <v>1357</v>
      </c>
      <c r="O13" s="167">
        <v>2</v>
      </c>
      <c r="P13" s="67">
        <f ca="1" t="shared" si="0"/>
        <v>120.844</v>
      </c>
      <c r="Q13" s="67">
        <f t="shared" si="1"/>
        <v>0</v>
      </c>
      <c r="R13" s="67">
        <f ca="1" t="shared" si="2"/>
        <v>0</v>
      </c>
    </row>
    <row r="14" ht="12.95" customHeight="1" spans="1:18">
      <c r="A14" s="20"/>
      <c r="B14" s="91" t="s">
        <v>1276</v>
      </c>
      <c r="C14" s="23"/>
      <c r="D14" s="23" t="s">
        <v>28</v>
      </c>
      <c r="E14" s="28">
        <f>F3*2</f>
        <v>4</v>
      </c>
      <c r="F14" s="101">
        <f ca="1">(I14+J14+K14+L14+M14)</f>
        <v>348.2448493136</v>
      </c>
      <c r="G14" s="95">
        <v>4.882</v>
      </c>
      <c r="H14" s="95">
        <v>2.771</v>
      </c>
      <c r="I14" s="61">
        <f ca="1">G14*H14*'15米（人字203料）参数'!G5*1.1</f>
        <v>321.5448493136</v>
      </c>
      <c r="J14" s="61"/>
      <c r="K14" s="61">
        <v>15</v>
      </c>
      <c r="L14" s="61">
        <f>8*0.65</f>
        <v>5.2</v>
      </c>
      <c r="M14" s="61">
        <v>6.5</v>
      </c>
      <c r="N14" s="120" t="s">
        <v>1358</v>
      </c>
      <c r="O14" s="167">
        <v>4</v>
      </c>
      <c r="P14" s="67">
        <f ca="1" t="shared" si="0"/>
        <v>1392.9793972544</v>
      </c>
      <c r="Q14" s="67">
        <f t="shared" si="1"/>
        <v>0</v>
      </c>
      <c r="R14" s="67">
        <f ca="1" t="shared" si="2"/>
        <v>0</v>
      </c>
    </row>
    <row r="15" ht="12.95" customHeight="1" spans="1:18">
      <c r="A15" s="31"/>
      <c r="B15" s="149" t="s">
        <v>1274</v>
      </c>
      <c r="C15" s="43"/>
      <c r="D15" s="43" t="s">
        <v>28</v>
      </c>
      <c r="E15" s="150">
        <f>A3*2+F3*3</f>
        <v>10</v>
      </c>
      <c r="F15" s="101">
        <f>(I15+J15+K15+L15+M15)</f>
        <v>20.4</v>
      </c>
      <c r="G15" s="151"/>
      <c r="H15" s="151"/>
      <c r="I15" s="39">
        <f>17*1.2</f>
        <v>20.4</v>
      </c>
      <c r="J15" s="39"/>
      <c r="K15" s="39"/>
      <c r="L15" s="39"/>
      <c r="M15" s="39"/>
      <c r="N15" s="171" t="s">
        <v>1359</v>
      </c>
      <c r="O15" s="167">
        <v>8</v>
      </c>
      <c r="P15" s="67">
        <f ca="1" t="shared" si="0"/>
        <v>163.2</v>
      </c>
      <c r="Q15" s="67">
        <f t="shared" si="1"/>
        <v>2</v>
      </c>
      <c r="R15" s="67">
        <f ca="1" t="shared" si="2"/>
        <v>40.8</v>
      </c>
    </row>
    <row r="16" ht="12.95" customHeight="1" spans="1:18">
      <c r="A16" s="20" t="s">
        <v>1278</v>
      </c>
      <c r="B16" s="91" t="s">
        <v>1304</v>
      </c>
      <c r="C16" s="23"/>
      <c r="D16" s="23" t="s">
        <v>434</v>
      </c>
      <c r="E16" s="24">
        <f>D3</f>
        <v>3</v>
      </c>
      <c r="F16" s="101">
        <v>180.62</v>
      </c>
      <c r="G16" s="151"/>
      <c r="H16" s="151"/>
      <c r="I16" s="39"/>
      <c r="J16" s="39"/>
      <c r="K16" s="39"/>
      <c r="L16" s="39"/>
      <c r="M16" s="39"/>
      <c r="N16" s="171" t="s">
        <v>1360</v>
      </c>
      <c r="O16" s="172">
        <v>2</v>
      </c>
      <c r="P16" s="67">
        <f ca="1" t="shared" si="0"/>
        <v>361.24</v>
      </c>
      <c r="Q16" s="67">
        <f t="shared" si="1"/>
        <v>1</v>
      </c>
      <c r="R16" s="67">
        <f ca="1" t="shared" si="2"/>
        <v>180.62</v>
      </c>
    </row>
    <row r="17" ht="12.95" customHeight="1" spans="1:18">
      <c r="A17" s="20"/>
      <c r="B17" s="91" t="s">
        <v>1310</v>
      </c>
      <c r="C17" s="23"/>
      <c r="D17" s="23" t="s">
        <v>434</v>
      </c>
      <c r="E17" s="24">
        <f>E7</f>
        <v>4</v>
      </c>
      <c r="F17" s="101">
        <v>76.4</v>
      </c>
      <c r="G17" s="148"/>
      <c r="H17" s="148"/>
      <c r="I17" s="101"/>
      <c r="J17" s="101"/>
      <c r="K17" s="101"/>
      <c r="L17" s="101"/>
      <c r="M17" s="101"/>
      <c r="N17" s="120" t="s">
        <v>1361</v>
      </c>
      <c r="O17" s="167">
        <v>4</v>
      </c>
      <c r="P17" s="67">
        <f ca="1" t="shared" si="0"/>
        <v>305.6</v>
      </c>
      <c r="Q17" s="67">
        <f t="shared" si="1"/>
        <v>0</v>
      </c>
      <c r="R17" s="67">
        <f ca="1" t="shared" si="2"/>
        <v>0</v>
      </c>
    </row>
    <row r="18" ht="12.95" customHeight="1" spans="1:18">
      <c r="A18" s="20"/>
      <c r="B18" s="91" t="s">
        <v>1280</v>
      </c>
      <c r="C18" s="23"/>
      <c r="D18" s="23" t="s">
        <v>434</v>
      </c>
      <c r="E18" s="28">
        <f>E6</f>
        <v>6</v>
      </c>
      <c r="F18" s="61">
        <v>85.93</v>
      </c>
      <c r="G18" s="95"/>
      <c r="H18" s="95"/>
      <c r="I18" s="61"/>
      <c r="J18" s="61"/>
      <c r="K18" s="61"/>
      <c r="L18" s="61"/>
      <c r="M18" s="61"/>
      <c r="N18" s="173" t="s">
        <v>1361</v>
      </c>
      <c r="O18" s="167">
        <v>4</v>
      </c>
      <c r="P18" s="67">
        <f ca="1" t="shared" si="0"/>
        <v>343.72</v>
      </c>
      <c r="Q18" s="67">
        <f t="shared" si="1"/>
        <v>2</v>
      </c>
      <c r="R18" s="67">
        <f ca="1" t="shared" si="2"/>
        <v>171.86</v>
      </c>
    </row>
    <row r="19" ht="12.95" customHeight="1" spans="1:18">
      <c r="A19" s="20"/>
      <c r="B19" s="91" t="s">
        <v>1339</v>
      </c>
      <c r="C19" s="23"/>
      <c r="D19" s="23" t="s">
        <v>28</v>
      </c>
      <c r="E19" s="32">
        <f>E12</f>
        <v>5</v>
      </c>
      <c r="F19" s="101">
        <v>91.3</v>
      </c>
      <c r="G19" s="148"/>
      <c r="H19" s="148"/>
      <c r="I19" s="101"/>
      <c r="J19" s="101"/>
      <c r="K19" s="101"/>
      <c r="L19" s="101"/>
      <c r="M19" s="101"/>
      <c r="N19" s="120" t="s">
        <v>1362</v>
      </c>
      <c r="O19" s="167">
        <v>4</v>
      </c>
      <c r="P19" s="67">
        <f ca="1" t="shared" si="0"/>
        <v>365.2</v>
      </c>
      <c r="Q19" s="67">
        <f t="shared" si="1"/>
        <v>1</v>
      </c>
      <c r="R19" s="67">
        <f ca="1" t="shared" si="2"/>
        <v>91.3</v>
      </c>
    </row>
    <row r="20" ht="12.95" customHeight="1" spans="1:18">
      <c r="A20" s="20"/>
      <c r="B20" s="91" t="s">
        <v>1282</v>
      </c>
      <c r="C20" s="23"/>
      <c r="D20" s="23" t="s">
        <v>434</v>
      </c>
      <c r="E20" s="24">
        <f>D3*2+F3*2</f>
        <v>10</v>
      </c>
      <c r="F20" s="101">
        <v>4.45</v>
      </c>
      <c r="G20" s="148"/>
      <c r="H20" s="148"/>
      <c r="I20" s="101"/>
      <c r="J20" s="101"/>
      <c r="K20" s="101"/>
      <c r="L20" s="101"/>
      <c r="M20" s="101"/>
      <c r="N20" s="120" t="s">
        <v>1363</v>
      </c>
      <c r="O20" s="167">
        <v>8</v>
      </c>
      <c r="P20" s="67">
        <f ca="1" t="shared" si="0"/>
        <v>35.6</v>
      </c>
      <c r="Q20" s="67">
        <f t="shared" si="1"/>
        <v>2</v>
      </c>
      <c r="R20" s="67">
        <f ca="1" t="shared" si="2"/>
        <v>8.9</v>
      </c>
    </row>
    <row r="21" ht="12.95" customHeight="1" spans="1:18">
      <c r="A21" s="20"/>
      <c r="B21" s="91" t="s">
        <v>1284</v>
      </c>
      <c r="C21" s="23"/>
      <c r="D21" s="23" t="s">
        <v>434</v>
      </c>
      <c r="E21" s="24">
        <f>D3*2</f>
        <v>6</v>
      </c>
      <c r="F21" s="101">
        <v>6.51</v>
      </c>
      <c r="G21" s="148"/>
      <c r="H21" s="148"/>
      <c r="I21" s="101"/>
      <c r="J21" s="101"/>
      <c r="K21" s="101"/>
      <c r="L21" s="101"/>
      <c r="M21" s="101"/>
      <c r="N21" s="120" t="s">
        <v>1364</v>
      </c>
      <c r="O21" s="167">
        <v>4</v>
      </c>
      <c r="P21" s="67">
        <f ca="1" t="shared" si="0"/>
        <v>26.04</v>
      </c>
      <c r="Q21" s="67">
        <f t="shared" si="1"/>
        <v>2</v>
      </c>
      <c r="R21" s="67">
        <f ca="1" t="shared" si="2"/>
        <v>13.02</v>
      </c>
    </row>
    <row r="22" ht="12.95" customHeight="1" spans="1:18">
      <c r="A22" s="20"/>
      <c r="B22" s="91" t="s">
        <v>519</v>
      </c>
      <c r="C22" s="23"/>
      <c r="D22" s="23" t="s">
        <v>434</v>
      </c>
      <c r="E22" s="24">
        <f>F3*2</f>
        <v>4</v>
      </c>
      <c r="F22" s="101">
        <v>13</v>
      </c>
      <c r="G22" s="151"/>
      <c r="H22" s="151"/>
      <c r="I22" s="39"/>
      <c r="J22" s="39"/>
      <c r="K22" s="39"/>
      <c r="L22" s="39"/>
      <c r="M22" s="39"/>
      <c r="N22" s="120" t="s">
        <v>1365</v>
      </c>
      <c r="O22" s="167">
        <v>4</v>
      </c>
      <c r="P22" s="67">
        <f ca="1" t="shared" si="0"/>
        <v>52</v>
      </c>
      <c r="Q22" s="67">
        <f t="shared" si="1"/>
        <v>0</v>
      </c>
      <c r="R22" s="67">
        <f ca="1" t="shared" si="2"/>
        <v>0</v>
      </c>
    </row>
    <row r="23" ht="12.95" customHeight="1" spans="1:18">
      <c r="A23" s="31"/>
      <c r="B23" s="152" t="s">
        <v>551</v>
      </c>
      <c r="C23" s="43"/>
      <c r="D23" s="43" t="s">
        <v>434</v>
      </c>
      <c r="E23" s="150">
        <f>F3*2</f>
        <v>4</v>
      </c>
      <c r="F23" s="41">
        <v>15.5</v>
      </c>
      <c r="G23" s="99"/>
      <c r="H23" s="99"/>
      <c r="I23" s="41"/>
      <c r="J23" s="41"/>
      <c r="K23" s="41"/>
      <c r="L23" s="41"/>
      <c r="M23" s="41"/>
      <c r="N23" s="173" t="s">
        <v>1361</v>
      </c>
      <c r="O23" s="174">
        <v>4</v>
      </c>
      <c r="P23" s="67">
        <f ca="1" t="shared" si="0"/>
        <v>62</v>
      </c>
      <c r="Q23" s="67">
        <f t="shared" si="1"/>
        <v>0</v>
      </c>
      <c r="R23" s="67">
        <f ca="1" t="shared" si="2"/>
        <v>0</v>
      </c>
    </row>
    <row r="24" ht="12.95" customHeight="1" spans="1:18">
      <c r="A24" s="153" t="s">
        <v>1216</v>
      </c>
      <c r="B24" s="91" t="s">
        <v>1366</v>
      </c>
      <c r="C24" s="23"/>
      <c r="D24" s="23" t="s">
        <v>612</v>
      </c>
      <c r="E24" s="24">
        <f>A3</f>
        <v>2</v>
      </c>
      <c r="F24" s="122">
        <f ca="1">(I24+J24)*1.1+30</f>
        <v>2004.291</v>
      </c>
      <c r="G24" s="99">
        <v>17.4</v>
      </c>
      <c r="H24" s="99">
        <v>5</v>
      </c>
      <c r="I24" s="41">
        <f ca="1">G24*H24*'15米（人字203料）参数'!E15*1.1</f>
        <v>1655.61</v>
      </c>
      <c r="J24" s="41">
        <f>17.4*2*4</f>
        <v>139.2</v>
      </c>
      <c r="K24" s="41">
        <v>30</v>
      </c>
      <c r="L24" s="41"/>
      <c r="M24" s="41"/>
      <c r="N24" s="167" t="s">
        <v>1410</v>
      </c>
      <c r="O24" s="175">
        <v>1</v>
      </c>
      <c r="P24" s="67">
        <f ca="1" t="shared" si="0"/>
        <v>2004.291</v>
      </c>
      <c r="Q24" s="67">
        <f t="shared" si="1"/>
        <v>1</v>
      </c>
      <c r="R24" s="67">
        <f ca="1" t="shared" si="2"/>
        <v>2004.291</v>
      </c>
    </row>
    <row r="25" ht="12.95" customHeight="1" spans="1:18">
      <c r="A25" s="153"/>
      <c r="B25" s="91" t="s">
        <v>1368</v>
      </c>
      <c r="C25" s="23"/>
      <c r="D25" s="23" t="s">
        <v>664</v>
      </c>
      <c r="E25" s="24">
        <f>F3</f>
        <v>2</v>
      </c>
      <c r="F25" s="122">
        <f ca="1">(I25+J25)*1.1+15</f>
        <v>595.947884</v>
      </c>
      <c r="G25" s="148">
        <v>7.73</v>
      </c>
      <c r="H25" s="154">
        <v>3.6</v>
      </c>
      <c r="I25" s="101">
        <f ca="1">G25*H25*'15米（人字203料）参数'!E14*1.1</f>
        <v>437.73444</v>
      </c>
      <c r="J25" s="101">
        <f>11.3*2*4</f>
        <v>90.4</v>
      </c>
      <c r="K25" s="101">
        <v>15</v>
      </c>
      <c r="L25" s="101"/>
      <c r="M25" s="101"/>
      <c r="N25" s="51" t="s">
        <v>1411</v>
      </c>
      <c r="O25" s="167">
        <v>2</v>
      </c>
      <c r="P25" s="67">
        <f ca="1" t="shared" si="0"/>
        <v>1191.895768</v>
      </c>
      <c r="Q25" s="67">
        <f t="shared" si="1"/>
        <v>0</v>
      </c>
      <c r="R25" s="67">
        <f ca="1" t="shared" si="2"/>
        <v>0</v>
      </c>
    </row>
    <row r="26" ht="12.95" customHeight="1" spans="1:18">
      <c r="A26" s="155"/>
      <c r="B26" s="91" t="s">
        <v>1370</v>
      </c>
      <c r="C26" s="23"/>
      <c r="D26" s="23" t="s">
        <v>664</v>
      </c>
      <c r="E26" s="24">
        <f>A3*2+F3*3</f>
        <v>10</v>
      </c>
      <c r="F26" s="101">
        <f ca="1">I26+J26+K26+L26+M26</f>
        <v>376.49012</v>
      </c>
      <c r="G26" s="156">
        <v>5.2</v>
      </c>
      <c r="H26" s="157">
        <v>3.97</v>
      </c>
      <c r="I26" s="101">
        <f ca="1">G26*H26*'15米（人字203料）参数'!E14*1.1+15</f>
        <v>339.73012</v>
      </c>
      <c r="J26" s="71">
        <f>4*2</f>
        <v>8</v>
      </c>
      <c r="K26" s="71">
        <f>0.5*10</f>
        <v>5</v>
      </c>
      <c r="L26" s="71">
        <f>0.32*18</f>
        <v>5.76</v>
      </c>
      <c r="M26" s="71">
        <f>18*1</f>
        <v>18</v>
      </c>
      <c r="N26" s="120" t="s">
        <v>1371</v>
      </c>
      <c r="O26" s="167">
        <v>8</v>
      </c>
      <c r="P26" s="67">
        <f ca="1" t="shared" si="0"/>
        <v>3011.92096</v>
      </c>
      <c r="Q26" s="67">
        <f t="shared" si="1"/>
        <v>2</v>
      </c>
      <c r="R26" s="67">
        <f ca="1" t="shared" si="2"/>
        <v>752.98024</v>
      </c>
    </row>
    <row r="27" ht="12.95" customHeight="1" spans="1:18">
      <c r="A27" s="20" t="s">
        <v>1235</v>
      </c>
      <c r="B27" s="158" t="s">
        <v>589</v>
      </c>
      <c r="C27" s="23"/>
      <c r="D27" s="23" t="s">
        <v>434</v>
      </c>
      <c r="E27" s="24">
        <f>D3*10+F3*2+E19*2</f>
        <v>44</v>
      </c>
      <c r="F27" s="101">
        <v>2.15</v>
      </c>
      <c r="G27" s="154"/>
      <c r="H27" s="154"/>
      <c r="I27" s="101"/>
      <c r="J27" s="101"/>
      <c r="K27" s="101"/>
      <c r="L27" s="101"/>
      <c r="M27" s="101"/>
      <c r="N27" s="120" t="s">
        <v>1372</v>
      </c>
      <c r="O27" s="167">
        <v>34</v>
      </c>
      <c r="P27" s="67">
        <f ca="1" t="shared" si="0"/>
        <v>73.1</v>
      </c>
      <c r="Q27" s="67">
        <f t="shared" si="1"/>
        <v>10</v>
      </c>
      <c r="R27" s="67">
        <f ca="1" t="shared" si="2"/>
        <v>21.5</v>
      </c>
    </row>
    <row r="28" ht="12.95" customHeight="1" spans="1:18">
      <c r="A28" s="20"/>
      <c r="B28" s="109" t="s">
        <v>591</v>
      </c>
      <c r="C28" s="23"/>
      <c r="D28" s="23" t="s">
        <v>434</v>
      </c>
      <c r="E28" s="24">
        <f>D3*2+E19+E12</f>
        <v>16</v>
      </c>
      <c r="F28" s="101">
        <v>2.55</v>
      </c>
      <c r="G28" s="154"/>
      <c r="H28" s="154"/>
      <c r="I28" s="101"/>
      <c r="J28" s="101"/>
      <c r="K28" s="101"/>
      <c r="L28" s="101"/>
      <c r="M28" s="101"/>
      <c r="N28" s="120" t="s">
        <v>1373</v>
      </c>
      <c r="O28" s="172">
        <v>14</v>
      </c>
      <c r="P28" s="67">
        <f ca="1" t="shared" si="0"/>
        <v>35.7</v>
      </c>
      <c r="Q28" s="67">
        <f t="shared" si="1"/>
        <v>2</v>
      </c>
      <c r="R28" s="67">
        <f ca="1" t="shared" si="2"/>
        <v>5.1</v>
      </c>
    </row>
    <row r="29" ht="12.95" customHeight="1" spans="1:18">
      <c r="A29" s="20"/>
      <c r="B29" s="159" t="s">
        <v>1423</v>
      </c>
      <c r="C29" s="43"/>
      <c r="D29" s="43" t="s">
        <v>434</v>
      </c>
      <c r="E29" s="44">
        <f>D3*2+4</f>
        <v>10</v>
      </c>
      <c r="F29" s="39">
        <v>1.95</v>
      </c>
      <c r="G29" s="160"/>
      <c r="H29" s="160"/>
      <c r="I29" s="39"/>
      <c r="J29" s="39"/>
      <c r="K29" s="39"/>
      <c r="L29" s="39"/>
      <c r="M29" s="39"/>
      <c r="N29" s="120" t="s">
        <v>1375</v>
      </c>
      <c r="O29" s="167">
        <v>8</v>
      </c>
      <c r="P29" s="67">
        <f ca="1" t="shared" si="0"/>
        <v>15.6</v>
      </c>
      <c r="Q29" s="67">
        <f t="shared" si="1"/>
        <v>2</v>
      </c>
      <c r="R29" s="67">
        <f ca="1" t="shared" si="2"/>
        <v>3.9</v>
      </c>
    </row>
    <row r="30" ht="12.95" customHeight="1" spans="1:18">
      <c r="A30" s="20"/>
      <c r="B30" s="109" t="s">
        <v>554</v>
      </c>
      <c r="C30" s="23"/>
      <c r="D30" s="23" t="s">
        <v>555</v>
      </c>
      <c r="E30" s="28">
        <f>E17+E18+E12</f>
        <v>15</v>
      </c>
      <c r="F30" s="101">
        <v>1.46</v>
      </c>
      <c r="G30" s="154"/>
      <c r="H30" s="154"/>
      <c r="I30" s="101"/>
      <c r="J30" s="101"/>
      <c r="K30" s="101"/>
      <c r="L30" s="101"/>
      <c r="M30" s="101"/>
      <c r="N30" s="120" t="s">
        <v>1376</v>
      </c>
      <c r="O30" s="167">
        <v>13</v>
      </c>
      <c r="P30" s="67">
        <f ca="1" t="shared" si="0"/>
        <v>18.98</v>
      </c>
      <c r="Q30" s="67">
        <f t="shared" si="1"/>
        <v>2</v>
      </c>
      <c r="R30" s="67">
        <f ca="1" t="shared" si="2"/>
        <v>2.92</v>
      </c>
    </row>
    <row r="31" spans="2:18">
      <c r="B31" s="50" t="s">
        <v>1424</v>
      </c>
      <c r="O31" s="84" t="s">
        <v>1218</v>
      </c>
      <c r="P31" s="3">
        <f ca="1">SUM(P6:P30)</f>
        <v>26787.7083382032</v>
      </c>
      <c r="Q31" s="3" t="s">
        <v>1219</v>
      </c>
      <c r="R31" s="3">
        <f ca="1">SUM(R6:R30)</f>
        <v>10615.9298012176</v>
      </c>
    </row>
    <row r="32" spans="2:2">
      <c r="B32" s="50" t="s">
        <v>1221</v>
      </c>
    </row>
    <row r="33" spans="15:16">
      <c r="O33" s="50" t="s">
        <v>1377</v>
      </c>
      <c r="P33" s="3">
        <f ca="1">P31+R31</f>
        <v>37403.6381394208</v>
      </c>
    </row>
    <row r="34" spans="2:16">
      <c r="B34" s="52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O34" s="50" t="s">
        <v>14</v>
      </c>
      <c r="P34" s="3">
        <f ca="1">P33/E2</f>
        <v>249.357587596139</v>
      </c>
    </row>
  </sheetData>
  <mergeCells count="12">
    <mergeCell ref="A1:N1"/>
    <mergeCell ref="A2:C2"/>
    <mergeCell ref="F2:N2"/>
    <mergeCell ref="A3:B3"/>
    <mergeCell ref="H3:M3"/>
    <mergeCell ref="A4:F4"/>
    <mergeCell ref="G4:H4"/>
    <mergeCell ref="I4:M4"/>
    <mergeCell ref="A6:A15"/>
    <mergeCell ref="A16:A23"/>
    <mergeCell ref="A24:A26"/>
    <mergeCell ref="A27:A30"/>
  </mergeCells>
  <dataValidations count="3">
    <dataValidation type="list" allowBlank="1" showInputMessage="1" showErrorMessage="1" sqref="B24">
      <formula1>"顶布[白]{全新},顶布[白]{A类},顶布[白]{B类},顶布[白]{C类},顶布[白]{D类}"</formula1>
    </dataValidation>
    <dataValidation type="list" allowBlank="1" showInputMessage="1" showErrorMessage="1" sqref="B25">
      <formula1>"山尖布[白]{全新},山尖布[白]{A类},山尖布[白]{B类},山尖布[白]{C类},山尖布[白]{D类}"</formula1>
    </dataValidation>
    <dataValidation type="list" allowBlank="1" showInputMessage="1" showErrorMessage="1" sqref="B26">
      <formula1>"围布[白]{全新},围布[白]{A类},围布[白]{B类},围布[白]{C类},围布[白]{D类},透光窗围布[白]{全新},透光窗围布[白]{A类},透光窗围布[白]{B类},透光窗围布[白]{C类},透光窗围布[白]{D类}"</formula1>
    </dataValidation>
  </dataValidations>
  <printOptions horizontalCentered="1"/>
  <pageMargins left="0.238888888888889" right="0.11875" top="0.159027777777778" bottom="0.259027777777778" header="0.159027777777778" footer="0.2"/>
  <pageSetup paperSize="9" orientation="portrait"/>
  <headerFooter alignWithMargins="0" scaleWithDoc="0">
    <oddFooter>&amp;L&amp;"SimSun"&amp;9&amp;C&amp;"SimSun"&amp;9第 &amp;P 页，共 &amp;N 页&amp;R&amp;"SimSun"&amp;9</oddFooter>
  </headerFooter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FFFF00"/>
  </sheetPr>
  <dimension ref="A1:R34"/>
  <sheetViews>
    <sheetView showGridLines="0" workbookViewId="0">
      <selection activeCell="F11" sqref="F11"/>
    </sheetView>
  </sheetViews>
  <sheetFormatPr defaultColWidth="9" defaultRowHeight="14.25"/>
  <cols>
    <col min="1" max="1" width="2.75" style="1" customWidth="1"/>
    <col min="2" max="2" width="13.875" style="1" customWidth="1"/>
    <col min="3" max="5" width="9" style="1"/>
    <col min="6" max="6" width="10" style="1" customWidth="1"/>
    <col min="7" max="8" width="12.125" style="1" customWidth="1"/>
    <col min="9" max="9" width="14.625" style="1" customWidth="1"/>
    <col min="10" max="10" width="15.75" style="1" customWidth="1"/>
    <col min="11" max="11" width="9" style="1"/>
    <col min="12" max="12" width="17" style="1" customWidth="1"/>
    <col min="13" max="13" width="9" style="1"/>
    <col min="14" max="14" width="73.375" style="1" customWidth="1"/>
    <col min="15" max="15" width="9" style="1"/>
    <col min="16" max="16" width="14.625" style="1" customWidth="1"/>
    <col min="17" max="17" width="9" style="1"/>
    <col min="18" max="18" width="15.25" style="1" customWidth="1"/>
    <col min="19" max="16384" width="9" style="1"/>
  </cols>
  <sheetData>
    <row r="1" ht="18.75" spans="1:18">
      <c r="A1" s="78" t="s">
        <v>1425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161"/>
      <c r="P1" s="3"/>
      <c r="Q1" s="3"/>
      <c r="R1" s="3"/>
    </row>
    <row r="2" spans="1:18">
      <c r="A2" s="141" t="s">
        <v>1246</v>
      </c>
      <c r="B2" s="142"/>
      <c r="C2" s="142"/>
      <c r="D2" s="9" t="s">
        <v>1198</v>
      </c>
      <c r="E2" s="10">
        <f>A3*5*15</f>
        <v>150</v>
      </c>
      <c r="F2" s="11"/>
      <c r="G2" s="11"/>
      <c r="H2" s="11"/>
      <c r="I2" s="11"/>
      <c r="J2" s="11"/>
      <c r="K2" s="11"/>
      <c r="L2" s="11"/>
      <c r="M2" s="11"/>
      <c r="N2" s="11"/>
      <c r="O2" s="162"/>
      <c r="P2" s="3"/>
      <c r="Q2" s="55"/>
      <c r="R2" s="55"/>
    </row>
    <row r="3" spans="1:18">
      <c r="A3" s="12">
        <v>2</v>
      </c>
      <c r="B3" s="12"/>
      <c r="C3" s="9" t="s">
        <v>1247</v>
      </c>
      <c r="D3" s="13">
        <v>3</v>
      </c>
      <c r="E3" s="11" t="s">
        <v>1248</v>
      </c>
      <c r="F3" s="12">
        <v>2</v>
      </c>
      <c r="G3" s="11" t="s">
        <v>1249</v>
      </c>
      <c r="H3" s="12"/>
      <c r="I3" s="12"/>
      <c r="J3" s="12"/>
      <c r="K3" s="12"/>
      <c r="L3" s="12"/>
      <c r="M3" s="12"/>
      <c r="N3" s="12"/>
      <c r="O3" s="162"/>
      <c r="P3" s="3"/>
      <c r="Q3" s="55"/>
      <c r="R3" s="55"/>
    </row>
    <row r="4" spans="1:18">
      <c r="A4" s="143"/>
      <c r="B4" s="144"/>
      <c r="C4" s="144"/>
      <c r="D4" s="144"/>
      <c r="E4" s="144"/>
      <c r="F4" s="145"/>
      <c r="G4" s="11" t="s">
        <v>1345</v>
      </c>
      <c r="H4" s="11"/>
      <c r="I4" s="9" t="s">
        <v>1346</v>
      </c>
      <c r="J4" s="9"/>
      <c r="K4" s="9"/>
      <c r="L4" s="9"/>
      <c r="M4" s="9"/>
      <c r="N4" s="12"/>
      <c r="O4" s="162"/>
      <c r="P4" s="3"/>
      <c r="Q4" s="55"/>
      <c r="R4" s="55"/>
    </row>
    <row r="5" ht="24" spans="1:18">
      <c r="A5" s="165" t="s">
        <v>1200</v>
      </c>
      <c r="B5" s="165" t="s">
        <v>1201</v>
      </c>
      <c r="C5" s="165" t="s">
        <v>1250</v>
      </c>
      <c r="D5" s="165" t="s">
        <v>22</v>
      </c>
      <c r="E5" s="165" t="s">
        <v>1251</v>
      </c>
      <c r="F5" s="75" t="s">
        <v>1204</v>
      </c>
      <c r="G5" s="75" t="s">
        <v>1205</v>
      </c>
      <c r="H5" s="75" t="s">
        <v>1253</v>
      </c>
      <c r="I5" s="75" t="s">
        <v>1254</v>
      </c>
      <c r="J5" s="75" t="s">
        <v>1255</v>
      </c>
      <c r="K5" s="75" t="s">
        <v>1209</v>
      </c>
      <c r="L5" s="75" t="s">
        <v>1420</v>
      </c>
      <c r="M5" s="75" t="s">
        <v>1211</v>
      </c>
      <c r="N5" s="75" t="s">
        <v>1257</v>
      </c>
      <c r="O5" s="164" t="s">
        <v>1212</v>
      </c>
      <c r="P5" s="165" t="s">
        <v>1213</v>
      </c>
      <c r="Q5" s="165" t="s">
        <v>1214</v>
      </c>
      <c r="R5" s="75" t="s">
        <v>1213</v>
      </c>
    </row>
    <row r="6" ht="15" customHeight="1" spans="1:18">
      <c r="A6" s="20" t="s">
        <v>1215</v>
      </c>
      <c r="B6" s="91" t="s">
        <v>1224</v>
      </c>
      <c r="C6" s="23"/>
      <c r="D6" s="23" t="s">
        <v>28</v>
      </c>
      <c r="E6" s="24">
        <f>D3*2</f>
        <v>6</v>
      </c>
      <c r="F6" s="93">
        <f ca="1">I6+J6+K6+L6+M6</f>
        <v>1104.300437392</v>
      </c>
      <c r="G6" s="94">
        <v>4.58</v>
      </c>
      <c r="H6" s="94">
        <v>8.233</v>
      </c>
      <c r="I6" s="93">
        <f ca="1">G6*H6*'15米（人字203料）参数'!G3*1.1</f>
        <v>939.390437392</v>
      </c>
      <c r="J6" s="93">
        <f>48.55*2</f>
        <v>97.1</v>
      </c>
      <c r="K6" s="93">
        <v>45.91</v>
      </c>
      <c r="L6" s="93">
        <f>2.55*4</f>
        <v>10.2</v>
      </c>
      <c r="M6" s="93">
        <f>18*0.65</f>
        <v>11.7</v>
      </c>
      <c r="N6" s="166" t="s">
        <v>1426</v>
      </c>
      <c r="O6" s="167">
        <v>4</v>
      </c>
      <c r="P6" s="67">
        <f ca="1" t="shared" ref="P6:P30" si="0">F6*O6</f>
        <v>4417.201749568</v>
      </c>
      <c r="Q6" s="67">
        <f t="shared" ref="Q6:Q30" si="1">E6-O6</f>
        <v>2</v>
      </c>
      <c r="R6" s="67">
        <f ca="1" t="shared" ref="R6:R30" si="2">F6*Q6</f>
        <v>2208.600874784</v>
      </c>
    </row>
    <row r="7" ht="15" customHeight="1" spans="1:18">
      <c r="A7" s="20"/>
      <c r="B7" s="91" t="s">
        <v>1308</v>
      </c>
      <c r="C7" s="23"/>
      <c r="D7" s="23" t="s">
        <v>28</v>
      </c>
      <c r="E7" s="24">
        <f>F3*2</f>
        <v>4</v>
      </c>
      <c r="F7" s="101">
        <f ca="1">I7+J7+K7+L7+M7</f>
        <v>893.14704</v>
      </c>
      <c r="G7" s="148">
        <v>6</v>
      </c>
      <c r="H7" s="148">
        <v>5.3</v>
      </c>
      <c r="I7" s="101">
        <f ca="1">G7*H7*'15米（人字203料）参数'!G3*1.1</f>
        <v>792.22704</v>
      </c>
      <c r="J7" s="101"/>
      <c r="K7" s="101">
        <f>49.51+41.21</f>
        <v>90.72</v>
      </c>
      <c r="L7" s="101">
        <f>2.55*4</f>
        <v>10.2</v>
      </c>
      <c r="M7" s="101"/>
      <c r="N7" s="166" t="s">
        <v>1427</v>
      </c>
      <c r="O7" s="167">
        <v>4</v>
      </c>
      <c r="P7" s="67">
        <f ca="1" t="shared" si="0"/>
        <v>3572.58816</v>
      </c>
      <c r="Q7" s="67">
        <f t="shared" si="1"/>
        <v>0</v>
      </c>
      <c r="R7" s="67">
        <f ca="1" t="shared" si="2"/>
        <v>0</v>
      </c>
    </row>
    <row r="8" ht="15" customHeight="1" spans="1:18">
      <c r="A8" s="20"/>
      <c r="B8" s="91" t="s">
        <v>1350</v>
      </c>
      <c r="C8" s="23"/>
      <c r="D8" s="23" t="s">
        <v>28</v>
      </c>
      <c r="E8" s="24">
        <f>D3*2</f>
        <v>6</v>
      </c>
      <c r="F8" s="61">
        <f ca="1">I8+J8+K8+L8+M8</f>
        <v>1704.47272156</v>
      </c>
      <c r="G8" s="95">
        <v>8.15</v>
      </c>
      <c r="H8" s="95">
        <v>8.233</v>
      </c>
      <c r="I8" s="61">
        <f ca="1">G8*H8*'15米（人字203料）参数'!G3*1.1</f>
        <v>1671.62272156</v>
      </c>
      <c r="J8" s="61">
        <f>2.5*6</f>
        <v>15</v>
      </c>
      <c r="K8" s="61">
        <v>11.85</v>
      </c>
      <c r="L8" s="61">
        <f>1*6</f>
        <v>6</v>
      </c>
      <c r="M8" s="61"/>
      <c r="N8" s="116" t="s">
        <v>1422</v>
      </c>
      <c r="O8" s="167">
        <v>4</v>
      </c>
      <c r="P8" s="67">
        <f ca="1" t="shared" si="0"/>
        <v>6817.89088624</v>
      </c>
      <c r="Q8" s="67">
        <f t="shared" si="1"/>
        <v>2</v>
      </c>
      <c r="R8" s="67">
        <f ca="1" t="shared" si="2"/>
        <v>3408.94544312</v>
      </c>
    </row>
    <row r="9" ht="15" customHeight="1" spans="1:18">
      <c r="A9" s="20"/>
      <c r="B9" s="91" t="s">
        <v>1226</v>
      </c>
      <c r="C9" s="23"/>
      <c r="D9" s="23" t="s">
        <v>28</v>
      </c>
      <c r="E9" s="24">
        <f>A3*4</f>
        <v>8</v>
      </c>
      <c r="F9" s="101">
        <f ca="1">I9+J9+K9+L9+M9</f>
        <v>195.0929650432</v>
      </c>
      <c r="G9" s="148">
        <v>4.882</v>
      </c>
      <c r="H9" s="148">
        <v>1.552</v>
      </c>
      <c r="I9" s="101">
        <f ca="1">G9*H9*'15米（人字203料）参数'!G5*1.1</f>
        <v>180.0929650432</v>
      </c>
      <c r="J9" s="101"/>
      <c r="K9" s="101"/>
      <c r="L9" s="101">
        <f>0.5*4</f>
        <v>2</v>
      </c>
      <c r="M9" s="101">
        <f>6.5*2</f>
        <v>13</v>
      </c>
      <c r="N9" s="120" t="s">
        <v>1352</v>
      </c>
      <c r="O9" s="167">
        <v>4</v>
      </c>
      <c r="P9" s="67">
        <f ca="1" t="shared" si="0"/>
        <v>780.3718601728</v>
      </c>
      <c r="Q9" s="67">
        <f t="shared" si="1"/>
        <v>4</v>
      </c>
      <c r="R9" s="67">
        <f ca="1" t="shared" si="2"/>
        <v>780.3718601728</v>
      </c>
    </row>
    <row r="10" ht="15" customHeight="1" spans="1:18">
      <c r="A10" s="20"/>
      <c r="B10" s="91" t="s">
        <v>1264</v>
      </c>
      <c r="C10" s="23"/>
      <c r="D10" s="23" t="s">
        <v>28</v>
      </c>
      <c r="E10" s="24">
        <f>A3*3+F3</f>
        <v>8</v>
      </c>
      <c r="F10" s="101">
        <f ca="1">I10+J10+K10+L10+M10</f>
        <v>336.5448493136</v>
      </c>
      <c r="G10" s="148">
        <v>4.882</v>
      </c>
      <c r="H10" s="148">
        <v>2.771</v>
      </c>
      <c r="I10" s="101">
        <f ca="1">G10*H10*'15米（人字203料）参数'!G5*1.1</f>
        <v>321.5448493136</v>
      </c>
      <c r="J10" s="101"/>
      <c r="K10" s="101"/>
      <c r="L10" s="101">
        <f>0.5*4</f>
        <v>2</v>
      </c>
      <c r="M10" s="101">
        <f>6.5*2</f>
        <v>13</v>
      </c>
      <c r="N10" s="120" t="s">
        <v>1353</v>
      </c>
      <c r="O10" s="167">
        <v>5</v>
      </c>
      <c r="P10" s="67">
        <f ca="1" t="shared" si="0"/>
        <v>1682.724246568</v>
      </c>
      <c r="Q10" s="67">
        <f t="shared" si="1"/>
        <v>3</v>
      </c>
      <c r="R10" s="67">
        <f ca="1" t="shared" si="2"/>
        <v>1009.6345479408</v>
      </c>
    </row>
    <row r="11" ht="15" customHeight="1" spans="1:18">
      <c r="A11" s="20"/>
      <c r="B11" s="91" t="s">
        <v>1266</v>
      </c>
      <c r="C11" s="23"/>
      <c r="D11" s="23" t="s">
        <v>28</v>
      </c>
      <c r="E11" s="24">
        <f>A3*2+F3*3</f>
        <v>10</v>
      </c>
      <c r="F11" s="101">
        <f ca="1">'数据修改（批量）'!A28</f>
        <v>95</v>
      </c>
      <c r="G11" s="148">
        <v>4.86</v>
      </c>
      <c r="H11" s="148">
        <v>1.345</v>
      </c>
      <c r="I11" s="101">
        <f ca="1">G11*H11*'15米（人字203料）参数'!G5*1.1</f>
        <v>155.36951496</v>
      </c>
      <c r="J11" s="101"/>
      <c r="K11" s="101"/>
      <c r="L11" s="101"/>
      <c r="M11" s="101"/>
      <c r="N11" s="120" t="s">
        <v>1354</v>
      </c>
      <c r="O11" s="167">
        <v>8</v>
      </c>
      <c r="P11" s="67">
        <f ca="1" t="shared" si="0"/>
        <v>760</v>
      </c>
      <c r="Q11" s="67">
        <f t="shared" si="1"/>
        <v>2</v>
      </c>
      <c r="R11" s="67">
        <f ca="1" t="shared" si="2"/>
        <v>190</v>
      </c>
    </row>
    <row r="12" ht="15" customHeight="1" spans="1:18">
      <c r="A12" s="20"/>
      <c r="B12" s="91" t="s">
        <v>1272</v>
      </c>
      <c r="C12" s="23"/>
      <c r="D12" s="23" t="s">
        <v>28</v>
      </c>
      <c r="E12" s="30">
        <v>5</v>
      </c>
      <c r="F12" s="101">
        <f>(I12+J12+K12+L12+M12)*1.2</f>
        <v>147</v>
      </c>
      <c r="G12" s="148"/>
      <c r="H12" s="148"/>
      <c r="I12" s="101">
        <v>108</v>
      </c>
      <c r="J12" s="101">
        <v>6.5</v>
      </c>
      <c r="K12" s="101">
        <v>4</v>
      </c>
      <c r="L12" s="101">
        <v>3</v>
      </c>
      <c r="M12" s="101">
        <v>1</v>
      </c>
      <c r="N12" s="120" t="s">
        <v>1428</v>
      </c>
      <c r="O12" s="167">
        <v>4</v>
      </c>
      <c r="P12" s="67">
        <f ca="1" t="shared" si="0"/>
        <v>588</v>
      </c>
      <c r="Q12" s="67">
        <f t="shared" si="1"/>
        <v>1</v>
      </c>
      <c r="R12" s="67">
        <f ca="1" t="shared" si="2"/>
        <v>147</v>
      </c>
    </row>
    <row r="13" ht="15" customHeight="1" spans="1:18">
      <c r="A13" s="20"/>
      <c r="B13" s="91" t="s">
        <v>1356</v>
      </c>
      <c r="C13" s="23"/>
      <c r="D13" s="23" t="s">
        <v>28</v>
      </c>
      <c r="E13" s="24">
        <f>F3</f>
        <v>2</v>
      </c>
      <c r="F13" s="101">
        <f ca="1">(I13+J13+K13+L13+M13)</f>
        <v>60.422</v>
      </c>
      <c r="G13" s="148">
        <v>2.5</v>
      </c>
      <c r="H13" s="148">
        <v>1</v>
      </c>
      <c r="I13" s="101">
        <f ca="1">G13*H13*'15米（人字203料）参数'!G5*1.1</f>
        <v>59.422</v>
      </c>
      <c r="J13" s="101"/>
      <c r="K13" s="101"/>
      <c r="L13" s="101">
        <f>0.5*2</f>
        <v>1</v>
      </c>
      <c r="M13" s="101"/>
      <c r="N13" s="170" t="s">
        <v>1357</v>
      </c>
      <c r="O13" s="167">
        <v>2</v>
      </c>
      <c r="P13" s="67">
        <f ca="1" t="shared" si="0"/>
        <v>120.844</v>
      </c>
      <c r="Q13" s="67">
        <f t="shared" si="1"/>
        <v>0</v>
      </c>
      <c r="R13" s="67">
        <f ca="1" t="shared" si="2"/>
        <v>0</v>
      </c>
    </row>
    <row r="14" ht="15" customHeight="1" spans="1:18">
      <c r="A14" s="20"/>
      <c r="B14" s="91" t="s">
        <v>1276</v>
      </c>
      <c r="C14" s="23"/>
      <c r="D14" s="23" t="s">
        <v>28</v>
      </c>
      <c r="E14" s="28">
        <f>F3*2</f>
        <v>4</v>
      </c>
      <c r="F14" s="101">
        <f ca="1">(I14+J14+K14+L14+M14)</f>
        <v>348.2448493136</v>
      </c>
      <c r="G14" s="95">
        <v>4.882</v>
      </c>
      <c r="H14" s="95">
        <v>2.771</v>
      </c>
      <c r="I14" s="61">
        <f ca="1">G14*H14*'15米（人字203料）参数'!G5*1.1</f>
        <v>321.5448493136</v>
      </c>
      <c r="J14" s="61"/>
      <c r="K14" s="61">
        <v>15</v>
      </c>
      <c r="L14" s="61">
        <f>8*0.65</f>
        <v>5.2</v>
      </c>
      <c r="M14" s="61">
        <v>6.5</v>
      </c>
      <c r="N14" s="120" t="s">
        <v>1358</v>
      </c>
      <c r="O14" s="167">
        <v>4</v>
      </c>
      <c r="P14" s="67">
        <f ca="1" t="shared" si="0"/>
        <v>1392.9793972544</v>
      </c>
      <c r="Q14" s="67">
        <f t="shared" si="1"/>
        <v>0</v>
      </c>
      <c r="R14" s="67">
        <f ca="1" t="shared" si="2"/>
        <v>0</v>
      </c>
    </row>
    <row r="15" ht="15" customHeight="1" spans="1:18">
      <c r="A15" s="31"/>
      <c r="B15" s="149" t="s">
        <v>1274</v>
      </c>
      <c r="C15" s="43"/>
      <c r="D15" s="43" t="s">
        <v>28</v>
      </c>
      <c r="E15" s="150">
        <f>A3*2+F3*3</f>
        <v>10</v>
      </c>
      <c r="F15" s="101">
        <f>(I15+J15+K15+L15+M15)</f>
        <v>20.4</v>
      </c>
      <c r="G15" s="151"/>
      <c r="H15" s="151"/>
      <c r="I15" s="39">
        <f>17*1.2</f>
        <v>20.4</v>
      </c>
      <c r="J15" s="39"/>
      <c r="K15" s="39"/>
      <c r="L15" s="39"/>
      <c r="M15" s="39"/>
      <c r="N15" s="171" t="s">
        <v>1359</v>
      </c>
      <c r="O15" s="167">
        <v>8</v>
      </c>
      <c r="P15" s="67">
        <f ca="1" t="shared" si="0"/>
        <v>163.2</v>
      </c>
      <c r="Q15" s="67">
        <f t="shared" si="1"/>
        <v>2</v>
      </c>
      <c r="R15" s="67">
        <f ca="1" t="shared" si="2"/>
        <v>40.8</v>
      </c>
    </row>
    <row r="16" ht="15" customHeight="1" spans="1:18">
      <c r="A16" s="20" t="s">
        <v>1278</v>
      </c>
      <c r="B16" s="91" t="s">
        <v>1304</v>
      </c>
      <c r="C16" s="23"/>
      <c r="D16" s="23" t="s">
        <v>434</v>
      </c>
      <c r="E16" s="24">
        <f>D3</f>
        <v>3</v>
      </c>
      <c r="F16" s="101">
        <v>180.62</v>
      </c>
      <c r="G16" s="151"/>
      <c r="H16" s="151"/>
      <c r="I16" s="39"/>
      <c r="J16" s="39"/>
      <c r="K16" s="39"/>
      <c r="L16" s="39"/>
      <c r="M16" s="39"/>
      <c r="N16" s="171" t="s">
        <v>1360</v>
      </c>
      <c r="O16" s="172">
        <v>2</v>
      </c>
      <c r="P16" s="67">
        <f ca="1" t="shared" si="0"/>
        <v>361.24</v>
      </c>
      <c r="Q16" s="67">
        <f t="shared" si="1"/>
        <v>1</v>
      </c>
      <c r="R16" s="67">
        <f ca="1" t="shared" si="2"/>
        <v>180.62</v>
      </c>
    </row>
    <row r="17" ht="15" customHeight="1" spans="1:18">
      <c r="A17" s="20"/>
      <c r="B17" s="91" t="s">
        <v>1310</v>
      </c>
      <c r="C17" s="23"/>
      <c r="D17" s="23" t="s">
        <v>434</v>
      </c>
      <c r="E17" s="24">
        <f>E7</f>
        <v>4</v>
      </c>
      <c r="F17" s="101">
        <v>76.4</v>
      </c>
      <c r="G17" s="148"/>
      <c r="H17" s="148"/>
      <c r="I17" s="101"/>
      <c r="J17" s="101"/>
      <c r="K17" s="101"/>
      <c r="L17" s="101"/>
      <c r="M17" s="101"/>
      <c r="N17" s="120" t="s">
        <v>1361</v>
      </c>
      <c r="O17" s="167">
        <v>4</v>
      </c>
      <c r="P17" s="67">
        <f ca="1" t="shared" si="0"/>
        <v>305.6</v>
      </c>
      <c r="Q17" s="67">
        <f t="shared" si="1"/>
        <v>0</v>
      </c>
      <c r="R17" s="67">
        <f ca="1" t="shared" si="2"/>
        <v>0</v>
      </c>
    </row>
    <row r="18" ht="15" customHeight="1" spans="1:18">
      <c r="A18" s="20"/>
      <c r="B18" s="91" t="s">
        <v>1280</v>
      </c>
      <c r="C18" s="23"/>
      <c r="D18" s="23" t="s">
        <v>434</v>
      </c>
      <c r="E18" s="28">
        <f>E6</f>
        <v>6</v>
      </c>
      <c r="F18" s="61">
        <v>85.93</v>
      </c>
      <c r="G18" s="95"/>
      <c r="H18" s="95"/>
      <c r="I18" s="61"/>
      <c r="J18" s="61"/>
      <c r="K18" s="61"/>
      <c r="L18" s="61"/>
      <c r="M18" s="61"/>
      <c r="N18" s="173" t="s">
        <v>1361</v>
      </c>
      <c r="O18" s="167">
        <v>4</v>
      </c>
      <c r="P18" s="67">
        <f ca="1" t="shared" si="0"/>
        <v>343.72</v>
      </c>
      <c r="Q18" s="67">
        <f t="shared" si="1"/>
        <v>2</v>
      </c>
      <c r="R18" s="67">
        <f ca="1" t="shared" si="2"/>
        <v>171.86</v>
      </c>
    </row>
    <row r="19" ht="15" customHeight="1" spans="1:18">
      <c r="A19" s="20"/>
      <c r="B19" s="91" t="s">
        <v>1339</v>
      </c>
      <c r="C19" s="23"/>
      <c r="D19" s="23" t="s">
        <v>28</v>
      </c>
      <c r="E19" s="32">
        <f>E12</f>
        <v>5</v>
      </c>
      <c r="F19" s="101">
        <v>91.3</v>
      </c>
      <c r="G19" s="148"/>
      <c r="H19" s="148"/>
      <c r="I19" s="101"/>
      <c r="J19" s="101"/>
      <c r="K19" s="101"/>
      <c r="L19" s="101"/>
      <c r="M19" s="101"/>
      <c r="N19" s="120" t="s">
        <v>1362</v>
      </c>
      <c r="O19" s="167">
        <v>4</v>
      </c>
      <c r="P19" s="67">
        <f ca="1" t="shared" si="0"/>
        <v>365.2</v>
      </c>
      <c r="Q19" s="67">
        <f t="shared" si="1"/>
        <v>1</v>
      </c>
      <c r="R19" s="67">
        <f ca="1" t="shared" si="2"/>
        <v>91.3</v>
      </c>
    </row>
    <row r="20" ht="15" customHeight="1" spans="1:18">
      <c r="A20" s="20"/>
      <c r="B20" s="91" t="s">
        <v>1282</v>
      </c>
      <c r="C20" s="23"/>
      <c r="D20" s="23" t="s">
        <v>434</v>
      </c>
      <c r="E20" s="24">
        <f>D3*2+F3*2</f>
        <v>10</v>
      </c>
      <c r="F20" s="101">
        <v>4.45</v>
      </c>
      <c r="G20" s="148"/>
      <c r="H20" s="148"/>
      <c r="I20" s="101"/>
      <c r="J20" s="101"/>
      <c r="K20" s="101"/>
      <c r="L20" s="101"/>
      <c r="M20" s="101"/>
      <c r="N20" s="120" t="s">
        <v>1363</v>
      </c>
      <c r="O20" s="167">
        <v>8</v>
      </c>
      <c r="P20" s="67">
        <f ca="1" t="shared" si="0"/>
        <v>35.6</v>
      </c>
      <c r="Q20" s="67">
        <f t="shared" si="1"/>
        <v>2</v>
      </c>
      <c r="R20" s="67">
        <f ca="1" t="shared" si="2"/>
        <v>8.9</v>
      </c>
    </row>
    <row r="21" ht="15" customHeight="1" spans="1:18">
      <c r="A21" s="20"/>
      <c r="B21" s="91" t="s">
        <v>1284</v>
      </c>
      <c r="C21" s="23"/>
      <c r="D21" s="23" t="s">
        <v>434</v>
      </c>
      <c r="E21" s="24">
        <f>D3*2</f>
        <v>6</v>
      </c>
      <c r="F21" s="101">
        <v>6.51</v>
      </c>
      <c r="G21" s="148"/>
      <c r="H21" s="148"/>
      <c r="I21" s="101"/>
      <c r="J21" s="101"/>
      <c r="K21" s="101"/>
      <c r="L21" s="101"/>
      <c r="M21" s="101"/>
      <c r="N21" s="120" t="s">
        <v>1364</v>
      </c>
      <c r="O21" s="167">
        <v>4</v>
      </c>
      <c r="P21" s="67">
        <f ca="1" t="shared" si="0"/>
        <v>26.04</v>
      </c>
      <c r="Q21" s="67">
        <f t="shared" si="1"/>
        <v>2</v>
      </c>
      <c r="R21" s="67">
        <f ca="1" t="shared" si="2"/>
        <v>13.02</v>
      </c>
    </row>
    <row r="22" ht="15" customHeight="1" spans="1:18">
      <c r="A22" s="20"/>
      <c r="B22" s="91" t="s">
        <v>519</v>
      </c>
      <c r="C22" s="23"/>
      <c r="D22" s="23" t="s">
        <v>434</v>
      </c>
      <c r="E22" s="24">
        <f>F3*2</f>
        <v>4</v>
      </c>
      <c r="F22" s="101">
        <v>13</v>
      </c>
      <c r="G22" s="151"/>
      <c r="H22" s="151"/>
      <c r="I22" s="39"/>
      <c r="J22" s="39"/>
      <c r="K22" s="39"/>
      <c r="L22" s="39"/>
      <c r="M22" s="39"/>
      <c r="N22" s="120" t="s">
        <v>1365</v>
      </c>
      <c r="O22" s="167">
        <v>4</v>
      </c>
      <c r="P22" s="67">
        <f ca="1" t="shared" si="0"/>
        <v>52</v>
      </c>
      <c r="Q22" s="67">
        <f t="shared" si="1"/>
        <v>0</v>
      </c>
      <c r="R22" s="67">
        <f ca="1" t="shared" si="2"/>
        <v>0</v>
      </c>
    </row>
    <row r="23" ht="15" customHeight="1" spans="1:18">
      <c r="A23" s="31"/>
      <c r="B23" s="152" t="s">
        <v>551</v>
      </c>
      <c r="C23" s="43"/>
      <c r="D23" s="43" t="s">
        <v>434</v>
      </c>
      <c r="E23" s="150">
        <f>F3*2</f>
        <v>4</v>
      </c>
      <c r="F23" s="41">
        <v>15.5</v>
      </c>
      <c r="G23" s="99"/>
      <c r="H23" s="99"/>
      <c r="I23" s="41"/>
      <c r="J23" s="41"/>
      <c r="K23" s="41"/>
      <c r="L23" s="41"/>
      <c r="M23" s="41"/>
      <c r="N23" s="173" t="s">
        <v>1361</v>
      </c>
      <c r="O23" s="174">
        <v>4</v>
      </c>
      <c r="P23" s="67">
        <f ca="1" t="shared" si="0"/>
        <v>62</v>
      </c>
      <c r="Q23" s="67">
        <f t="shared" si="1"/>
        <v>0</v>
      </c>
      <c r="R23" s="67">
        <f ca="1" t="shared" si="2"/>
        <v>0</v>
      </c>
    </row>
    <row r="24" ht="15" customHeight="1" spans="1:18">
      <c r="A24" s="153" t="s">
        <v>1216</v>
      </c>
      <c r="B24" s="91" t="s">
        <v>1366</v>
      </c>
      <c r="C24" s="23"/>
      <c r="D24" s="23" t="s">
        <v>612</v>
      </c>
      <c r="E24" s="24">
        <f>A3</f>
        <v>2</v>
      </c>
      <c r="F24" s="122">
        <f ca="1">(I24+J24)*1.1+30</f>
        <v>2004.291</v>
      </c>
      <c r="G24" s="99">
        <v>17.4</v>
      </c>
      <c r="H24" s="99">
        <v>5</v>
      </c>
      <c r="I24" s="41">
        <f ca="1">G24*H24*'15米（人字203料）参数'!E15*1.1</f>
        <v>1655.61</v>
      </c>
      <c r="J24" s="41">
        <f>17.4*2*4</f>
        <v>139.2</v>
      </c>
      <c r="K24" s="41">
        <v>30</v>
      </c>
      <c r="L24" s="41"/>
      <c r="M24" s="41"/>
      <c r="N24" s="167" t="s">
        <v>1410</v>
      </c>
      <c r="O24" s="175">
        <v>1</v>
      </c>
      <c r="P24" s="67">
        <f ca="1" t="shared" si="0"/>
        <v>2004.291</v>
      </c>
      <c r="Q24" s="67">
        <f t="shared" si="1"/>
        <v>1</v>
      </c>
      <c r="R24" s="67">
        <f ca="1" t="shared" si="2"/>
        <v>2004.291</v>
      </c>
    </row>
    <row r="25" ht="15" customHeight="1" spans="1:18">
      <c r="A25" s="153"/>
      <c r="B25" s="91" t="s">
        <v>1368</v>
      </c>
      <c r="C25" s="23"/>
      <c r="D25" s="23" t="s">
        <v>664</v>
      </c>
      <c r="E25" s="24">
        <f>F3</f>
        <v>2</v>
      </c>
      <c r="F25" s="122">
        <f ca="1">(I25+J25)*1.1+15</f>
        <v>595.947884</v>
      </c>
      <c r="G25" s="148">
        <v>7.73</v>
      </c>
      <c r="H25" s="154">
        <v>3.6</v>
      </c>
      <c r="I25" s="101">
        <f ca="1">G25*H25*'15米（人字203料）参数'!E14*1.1</f>
        <v>437.73444</v>
      </c>
      <c r="J25" s="101">
        <f>11.3*2*4</f>
        <v>90.4</v>
      </c>
      <c r="K25" s="101">
        <v>15</v>
      </c>
      <c r="L25" s="101"/>
      <c r="M25" s="101"/>
      <c r="N25" s="51" t="s">
        <v>1411</v>
      </c>
      <c r="O25" s="167">
        <v>2</v>
      </c>
      <c r="P25" s="67">
        <f ca="1" t="shared" si="0"/>
        <v>1191.895768</v>
      </c>
      <c r="Q25" s="67">
        <f t="shared" si="1"/>
        <v>0</v>
      </c>
      <c r="R25" s="67">
        <f ca="1" t="shared" si="2"/>
        <v>0</v>
      </c>
    </row>
    <row r="26" ht="15" customHeight="1" spans="1:18">
      <c r="A26" s="155"/>
      <c r="B26" s="91" t="s">
        <v>1370</v>
      </c>
      <c r="C26" s="23"/>
      <c r="D26" s="23" t="s">
        <v>664</v>
      </c>
      <c r="E26" s="24">
        <f>A3*2+F3*3</f>
        <v>10</v>
      </c>
      <c r="F26" s="101">
        <f ca="1">I26+J26+K26+L26+M26</f>
        <v>458.28612</v>
      </c>
      <c r="G26" s="156">
        <v>5.2</v>
      </c>
      <c r="H26" s="157">
        <v>4.97</v>
      </c>
      <c r="I26" s="101">
        <f ca="1">G26*H26*'15米（人字203料）参数'!E14*1.1+15</f>
        <v>421.52612</v>
      </c>
      <c r="J26" s="71">
        <f>4*2</f>
        <v>8</v>
      </c>
      <c r="K26" s="71">
        <f>0.5*10</f>
        <v>5</v>
      </c>
      <c r="L26" s="71">
        <f>0.32*18</f>
        <v>5.76</v>
      </c>
      <c r="M26" s="71">
        <f>18*1</f>
        <v>18</v>
      </c>
      <c r="N26" s="120" t="s">
        <v>1394</v>
      </c>
      <c r="O26" s="167">
        <v>8</v>
      </c>
      <c r="P26" s="67">
        <f ca="1" t="shared" si="0"/>
        <v>3666.28896</v>
      </c>
      <c r="Q26" s="67">
        <f t="shared" si="1"/>
        <v>2</v>
      </c>
      <c r="R26" s="67">
        <f ca="1" t="shared" si="2"/>
        <v>916.57224</v>
      </c>
    </row>
    <row r="27" ht="15" customHeight="1" spans="1:18">
      <c r="A27" s="20" t="s">
        <v>1235</v>
      </c>
      <c r="B27" s="158" t="s">
        <v>589</v>
      </c>
      <c r="C27" s="23"/>
      <c r="D27" s="23" t="s">
        <v>434</v>
      </c>
      <c r="E27" s="24">
        <f>D3*10+F3*2+E19*2</f>
        <v>44</v>
      </c>
      <c r="F27" s="101">
        <v>2.15</v>
      </c>
      <c r="G27" s="154"/>
      <c r="H27" s="154"/>
      <c r="I27" s="101"/>
      <c r="J27" s="101"/>
      <c r="K27" s="101"/>
      <c r="L27" s="101"/>
      <c r="M27" s="101"/>
      <c r="N27" s="120" t="s">
        <v>1372</v>
      </c>
      <c r="O27" s="167">
        <v>34</v>
      </c>
      <c r="P27" s="67">
        <f ca="1" t="shared" si="0"/>
        <v>73.1</v>
      </c>
      <c r="Q27" s="67">
        <f t="shared" si="1"/>
        <v>10</v>
      </c>
      <c r="R27" s="67">
        <f ca="1" t="shared" si="2"/>
        <v>21.5</v>
      </c>
    </row>
    <row r="28" ht="15" customHeight="1" spans="1:18">
      <c r="A28" s="20"/>
      <c r="B28" s="109" t="s">
        <v>591</v>
      </c>
      <c r="C28" s="23"/>
      <c r="D28" s="23" t="s">
        <v>434</v>
      </c>
      <c r="E28" s="24">
        <f>D3*2+E19+E12</f>
        <v>16</v>
      </c>
      <c r="F28" s="101">
        <v>2.55</v>
      </c>
      <c r="G28" s="154"/>
      <c r="H28" s="154"/>
      <c r="I28" s="101"/>
      <c r="J28" s="101"/>
      <c r="K28" s="101"/>
      <c r="L28" s="101"/>
      <c r="M28" s="101"/>
      <c r="N28" s="120" t="s">
        <v>1373</v>
      </c>
      <c r="O28" s="172">
        <v>14</v>
      </c>
      <c r="P28" s="67">
        <f ca="1" t="shared" si="0"/>
        <v>35.7</v>
      </c>
      <c r="Q28" s="67">
        <f t="shared" si="1"/>
        <v>2</v>
      </c>
      <c r="R28" s="67">
        <f ca="1" t="shared" si="2"/>
        <v>5.1</v>
      </c>
    </row>
    <row r="29" ht="15" customHeight="1" spans="1:18">
      <c r="A29" s="20"/>
      <c r="B29" s="159" t="s">
        <v>1423</v>
      </c>
      <c r="C29" s="43"/>
      <c r="D29" s="43" t="s">
        <v>434</v>
      </c>
      <c r="E29" s="44">
        <f>D3*2+4</f>
        <v>10</v>
      </c>
      <c r="F29" s="39">
        <v>1.95</v>
      </c>
      <c r="G29" s="160"/>
      <c r="H29" s="160"/>
      <c r="I29" s="39"/>
      <c r="J29" s="39"/>
      <c r="K29" s="39"/>
      <c r="L29" s="39"/>
      <c r="M29" s="39"/>
      <c r="N29" s="120" t="s">
        <v>1375</v>
      </c>
      <c r="O29" s="167">
        <v>8</v>
      </c>
      <c r="P29" s="67">
        <f ca="1" t="shared" si="0"/>
        <v>15.6</v>
      </c>
      <c r="Q29" s="67">
        <f t="shared" si="1"/>
        <v>2</v>
      </c>
      <c r="R29" s="67">
        <f ca="1" t="shared" si="2"/>
        <v>3.9</v>
      </c>
    </row>
    <row r="30" ht="15" customHeight="1" spans="1:18">
      <c r="A30" s="20"/>
      <c r="B30" s="109" t="s">
        <v>554</v>
      </c>
      <c r="C30" s="23"/>
      <c r="D30" s="23" t="s">
        <v>555</v>
      </c>
      <c r="E30" s="28">
        <f>E17+E18+E12</f>
        <v>15</v>
      </c>
      <c r="F30" s="101">
        <v>1.46</v>
      </c>
      <c r="G30" s="154"/>
      <c r="H30" s="154"/>
      <c r="I30" s="101"/>
      <c r="J30" s="101"/>
      <c r="K30" s="101"/>
      <c r="L30" s="101"/>
      <c r="M30" s="101"/>
      <c r="N30" s="120" t="s">
        <v>1376</v>
      </c>
      <c r="O30" s="167">
        <v>13</v>
      </c>
      <c r="P30" s="67">
        <f ca="1" t="shared" si="0"/>
        <v>18.98</v>
      </c>
      <c r="Q30" s="67">
        <f t="shared" si="1"/>
        <v>2</v>
      </c>
      <c r="R30" s="67">
        <f ca="1" t="shared" si="2"/>
        <v>2.92</v>
      </c>
    </row>
    <row r="31" spans="1:18">
      <c r="A31" s="50"/>
      <c r="B31" s="50"/>
      <c r="C31" s="51"/>
      <c r="D31" s="51"/>
      <c r="E31" s="51"/>
      <c r="F31" s="50"/>
      <c r="G31" s="50"/>
      <c r="H31" s="50"/>
      <c r="I31" s="50"/>
      <c r="J31" s="50"/>
      <c r="K31" s="50"/>
      <c r="L31" s="50"/>
      <c r="M31" s="50"/>
      <c r="N31" s="50"/>
      <c r="O31" s="84" t="s">
        <v>1218</v>
      </c>
      <c r="P31" s="3">
        <f ca="1">SUM(P6:P30)</f>
        <v>28853.0560278032</v>
      </c>
      <c r="Q31" s="3" t="s">
        <v>1219</v>
      </c>
      <c r="R31" s="3">
        <f ca="1">SUM(R6:R30)</f>
        <v>11205.3359660176</v>
      </c>
    </row>
    <row r="32" spans="1:18">
      <c r="A32" s="50"/>
      <c r="B32" s="50" t="s">
        <v>1221</v>
      </c>
      <c r="C32" s="51"/>
      <c r="D32" s="51"/>
      <c r="E32" s="51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3"/>
      <c r="Q32" s="3"/>
      <c r="R32" s="3"/>
    </row>
    <row r="33" spans="1:18">
      <c r="A33" s="50"/>
      <c r="B33" s="50"/>
      <c r="C33" s="51"/>
      <c r="D33" s="51"/>
      <c r="E33" s="51"/>
      <c r="F33" s="50"/>
      <c r="G33" s="50"/>
      <c r="H33" s="50"/>
      <c r="I33" s="50"/>
      <c r="J33" s="50"/>
      <c r="K33" s="50"/>
      <c r="L33" s="50"/>
      <c r="M33" s="50"/>
      <c r="N33" s="50"/>
      <c r="O33" s="50" t="s">
        <v>1377</v>
      </c>
      <c r="P33" s="3">
        <f ca="1">P31+R31</f>
        <v>40058.3919938208</v>
      </c>
      <c r="Q33" s="3"/>
      <c r="R33" s="3"/>
    </row>
    <row r="34" spans="1:18">
      <c r="A34" s="50"/>
      <c r="B34" s="52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0"/>
      <c r="O34" s="50" t="s">
        <v>14</v>
      </c>
      <c r="P34" s="3">
        <f ca="1">P33/E2</f>
        <v>267.055946625472</v>
      </c>
      <c r="Q34" s="3"/>
      <c r="R34" s="3"/>
    </row>
  </sheetData>
  <mergeCells count="12">
    <mergeCell ref="A1:N1"/>
    <mergeCell ref="A2:C2"/>
    <mergeCell ref="F2:N2"/>
    <mergeCell ref="A3:B3"/>
    <mergeCell ref="H3:M3"/>
    <mergeCell ref="A4:F4"/>
    <mergeCell ref="G4:H4"/>
    <mergeCell ref="I4:M4"/>
    <mergeCell ref="A6:A15"/>
    <mergeCell ref="A16:A23"/>
    <mergeCell ref="A24:A26"/>
    <mergeCell ref="A27:A30"/>
  </mergeCells>
  <dataValidations count="3">
    <dataValidation type="list" allowBlank="1" showInputMessage="1" showErrorMessage="1" sqref="B24">
      <formula1>"顶布[白]{全新},顶布[白]{A类},顶布[白]{B类},顶布[白]{C类},顶布[白]{D类}"</formula1>
    </dataValidation>
    <dataValidation type="list" allowBlank="1" showInputMessage="1" showErrorMessage="1" sqref="B25">
      <formula1>"山尖布[白]{全新},山尖布[白]{A类},山尖布[白]{B类},山尖布[白]{C类},山尖布[白]{D类}"</formula1>
    </dataValidation>
    <dataValidation type="list" allowBlank="1" showInputMessage="1" showErrorMessage="1" sqref="B26">
      <formula1>"围布[白]{全新},围布[白]{A类},围布[白]{B类},围布[白]{C类},围布[白]{D类},透光窗围布[白]{全新},透光窗围布[白]{A类},透光窗围布[白]{B类},透光窗围布[白]{C类},透光窗围布[白]{D类}"</formula1>
    </dataValidation>
  </dataValidations>
  <pageMargins left="0.75" right="0.75" top="1" bottom="1" header="0.509027777777778" footer="0.509027777777778"/>
  <headerFooter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7030A0"/>
  </sheetPr>
  <dimension ref="A1:L27"/>
  <sheetViews>
    <sheetView showGridLines="0" workbookViewId="0">
      <selection activeCell="E31" sqref="E31"/>
    </sheetView>
  </sheetViews>
  <sheetFormatPr defaultColWidth="9" defaultRowHeight="14.25"/>
  <cols>
    <col min="1" max="1" width="21.125" style="1" customWidth="1"/>
    <col min="2" max="2" width="19.125" style="1" customWidth="1"/>
    <col min="3" max="3" width="15.5" style="1" customWidth="1"/>
    <col min="4" max="4" width="11.375" style="1" customWidth="1"/>
    <col min="5" max="5" width="10.5" style="1" customWidth="1"/>
    <col min="6" max="6" width="9" style="1"/>
    <col min="7" max="7" width="12.625" style="1" customWidth="1"/>
    <col min="8" max="16384" width="9" style="1"/>
  </cols>
  <sheetData>
    <row r="1" spans="1:4">
      <c r="A1" s="2" t="str">
        <f ca="1">'数据修改（批量）'!A1</f>
        <v>上海有色铝锭价格</v>
      </c>
      <c r="B1" s="2"/>
      <c r="C1" s="2"/>
      <c r="D1" s="3"/>
    </row>
    <row r="2" spans="1:7">
      <c r="A2" s="4">
        <f ca="1">'数据修改（批量）'!A2</f>
        <v>16200</v>
      </c>
      <c r="B2" s="2" t="str">
        <f ca="1">'数据修改（批量）'!B2</f>
        <v>项目</v>
      </c>
      <c r="C2" s="2" t="str">
        <f ca="1">'数据修改（批量）'!C2</f>
        <v>加工费</v>
      </c>
      <c r="D2" s="2" t="str">
        <f ca="1">'数据修改（批量）'!D2</f>
        <v>包装物</v>
      </c>
      <c r="E2" s="2" t="str">
        <f ca="1">'数据修改（批量）'!E2</f>
        <v>运费</v>
      </c>
      <c r="F2" s="2" t="str">
        <f ca="1">'数据修改（批量）'!F2</f>
        <v>单价</v>
      </c>
      <c r="G2" s="2" t="str">
        <f ca="1">'数据修改（批量）'!G2</f>
        <v>每公斤价格</v>
      </c>
    </row>
    <row r="3" spans="1:7">
      <c r="A3" s="2"/>
      <c r="B3" s="2" t="str">
        <f ca="1">'数据修改（批量）'!B3</f>
        <v>203料</v>
      </c>
      <c r="C3" s="2">
        <f ca="1">'数据修改（批量）'!C3</f>
        <v>5500</v>
      </c>
      <c r="D3" s="2">
        <f ca="1">'数据修改（批量）'!D3</f>
        <v>868</v>
      </c>
      <c r="E3" s="2">
        <f ca="1">'数据修改（批量）'!E3</f>
        <v>80</v>
      </c>
      <c r="F3" s="2">
        <f ca="1">'数据修改（批量）'!F3</f>
        <v>22648</v>
      </c>
      <c r="G3" s="2">
        <f ca="1">'数据修改（批量）'!G3</f>
        <v>22.648</v>
      </c>
    </row>
    <row r="4" spans="1:7">
      <c r="A4" s="2"/>
      <c r="B4" s="2" t="str">
        <f ca="1">'数据修改（批量）'!B4</f>
        <v>203料氧化</v>
      </c>
      <c r="C4" s="2">
        <f ca="1">'数据修改（批量）'!C4</f>
        <v>6000</v>
      </c>
      <c r="D4" s="2">
        <f ca="1">'数据修改（批量）'!D4</f>
        <v>888</v>
      </c>
      <c r="E4" s="2">
        <f ca="1">'数据修改（批量）'!E4</f>
        <v>80</v>
      </c>
      <c r="F4" s="2">
        <f ca="1">'数据修改（批量）'!F4</f>
        <v>23168</v>
      </c>
      <c r="G4" s="2">
        <f ca="1">'数据修改（批量）'!G4</f>
        <v>23.168</v>
      </c>
    </row>
    <row r="5" spans="2:7">
      <c r="B5" s="2" t="str">
        <f ca="1">'数据修改（批量）'!B5</f>
        <v>小料加工费</v>
      </c>
      <c r="C5" s="2">
        <f ca="1">'数据修改（批量）'!C5</f>
        <v>4500</v>
      </c>
      <c r="D5" s="2">
        <f ca="1">'数据修改（批量）'!D5</f>
        <v>828</v>
      </c>
      <c r="E5" s="2">
        <f ca="1">'数据修改（批量）'!E5</f>
        <v>80</v>
      </c>
      <c r="F5" s="2">
        <f ca="1">'数据修改（批量）'!F5</f>
        <v>21608</v>
      </c>
      <c r="G5" s="2">
        <f ca="1">'数据修改（批量）'!G5</f>
        <v>21.608</v>
      </c>
    </row>
    <row r="6" spans="1:4">
      <c r="A6" s="2" t="str">
        <f ca="1">'数据修改（批量）'!A6</f>
        <v>南海有色铝锭价格</v>
      </c>
      <c r="D6" s="5"/>
    </row>
    <row r="7" spans="1:1">
      <c r="A7" s="4">
        <f ca="1">'数据修改（批量）'!A7</f>
        <v>16600</v>
      </c>
    </row>
    <row r="8" spans="2:7">
      <c r="B8" s="2" t="str">
        <f ca="1">'数据修改（批量）'!B8</f>
        <v>项目</v>
      </c>
      <c r="C8" s="2" t="str">
        <f ca="1">'数据修改（批量）'!C8</f>
        <v>加工费</v>
      </c>
      <c r="D8" s="2" t="str">
        <f ca="1">'数据修改（批量）'!D8</f>
        <v>包装物</v>
      </c>
      <c r="E8" s="2" t="str">
        <f ca="1">'数据修改（批量）'!E8</f>
        <v>运费</v>
      </c>
      <c r="F8" s="2" t="str">
        <f ca="1">'数据修改（批量）'!F8</f>
        <v>单价</v>
      </c>
      <c r="G8" s="2" t="str">
        <f ca="1">'数据修改（批量）'!G8</f>
        <v>每公斤价格</v>
      </c>
    </row>
    <row r="9" spans="2:7">
      <c r="B9" s="2" t="str">
        <f ca="1">'数据修改（批量）'!B9</f>
        <v>300/350料8米以上</v>
      </c>
      <c r="C9" s="2">
        <f ca="1">'数据修改（批量）'!C9</f>
        <v>7800</v>
      </c>
      <c r="D9" s="2">
        <f ca="1">'数据修改（批量）'!D9</f>
        <v>976</v>
      </c>
      <c r="E9" s="2">
        <f ca="1">'数据修改（批量）'!E9</f>
        <v>1000</v>
      </c>
      <c r="F9" s="2">
        <f ca="1">'数据修改（批量）'!F9</f>
        <v>26376</v>
      </c>
      <c r="G9" s="2">
        <f ca="1">'数据修改（批量）'!G9</f>
        <v>26.376</v>
      </c>
    </row>
    <row r="10" spans="2:7">
      <c r="B10" s="2" t="str">
        <f ca="1">'数据修改（批量）'!B10</f>
        <v>300/350料8米以下</v>
      </c>
      <c r="C10" s="2">
        <f ca="1">'数据修改（批量）'!C10</f>
        <v>7100</v>
      </c>
      <c r="D10" s="2">
        <f ca="1">'数据修改（批量）'!D10</f>
        <v>948</v>
      </c>
      <c r="E10" s="2">
        <f ca="1">'数据修改（批量）'!E10</f>
        <v>1000</v>
      </c>
      <c r="F10" s="2">
        <f ca="1">'数据修改（批量）'!F10</f>
        <v>25648</v>
      </c>
      <c r="G10" s="2">
        <f ca="1">'数据修改（批量）'!G10</f>
        <v>25.648</v>
      </c>
    </row>
    <row r="12" spans="1:4">
      <c r="A12" s="2" t="str">
        <f ca="1">'数据修改（批量）'!A12</f>
        <v>篷布</v>
      </c>
      <c r="B12" s="2"/>
      <c r="C12" s="2"/>
      <c r="D12" s="3"/>
    </row>
    <row r="13" spans="1:7">
      <c r="A13" s="2"/>
      <c r="B13" s="2" t="str">
        <f ca="1">'数据修改（批量）'!B13</f>
        <v>项目</v>
      </c>
      <c r="C13" s="2" t="str">
        <f ca="1">'数据修改（批量）'!C13</f>
        <v>运费</v>
      </c>
      <c r="D13" s="2" t="str">
        <f ca="1">'数据修改（批量）'!D13</f>
        <v>单价</v>
      </c>
      <c r="E13" s="2" t="str">
        <f ca="1">'数据修改（批量）'!E13</f>
        <v>每平价格</v>
      </c>
      <c r="F13" s="2"/>
      <c r="G13" s="2"/>
    </row>
    <row r="14" spans="1:7">
      <c r="A14" s="2"/>
      <c r="B14" s="2">
        <f ca="1">'数据修改（批量）'!B14</f>
        <v>650</v>
      </c>
      <c r="C14" s="2">
        <f ca="1">'数据修改（批量）'!C14</f>
        <v>0.5</v>
      </c>
      <c r="D14" s="4">
        <f ca="1">'数据修改（批量）'!D14</f>
        <v>13.8</v>
      </c>
      <c r="E14" s="2">
        <f ca="1">'数据修改（批量）'!E14</f>
        <v>14.3</v>
      </c>
      <c r="F14" s="2"/>
      <c r="G14" s="2"/>
    </row>
    <row r="15" spans="1:7">
      <c r="A15" s="2"/>
      <c r="B15" s="2">
        <f ca="1">'数据修改（批量）'!B15</f>
        <v>780</v>
      </c>
      <c r="C15" s="2">
        <f ca="1">'数据修改（批量）'!C15</f>
        <v>0.5</v>
      </c>
      <c r="D15" s="4">
        <f ca="1">'数据修改（批量）'!D15</f>
        <v>16.8</v>
      </c>
      <c r="E15" s="2">
        <f ca="1">'数据修改（批量）'!E15</f>
        <v>17.3</v>
      </c>
      <c r="F15" s="2"/>
      <c r="G15" s="2"/>
    </row>
    <row r="16" spans="2:7">
      <c r="B16" s="2">
        <f ca="1">'数据修改（批量）'!B16</f>
        <v>850</v>
      </c>
      <c r="C16" s="2">
        <f ca="1">'数据修改（批量）'!C16</f>
        <v>0.5</v>
      </c>
      <c r="D16" s="4">
        <f ca="1">'数据修改（批量）'!D16</f>
        <v>18</v>
      </c>
      <c r="E16" s="2">
        <f ca="1">'数据修改（批量）'!E16</f>
        <v>18.5</v>
      </c>
      <c r="F16" s="2"/>
      <c r="G16" s="2"/>
    </row>
    <row r="21" spans="1:7">
      <c r="A21" s="6" t="str">
        <f ca="1">'数据修改（批量）'!A21</f>
        <v>说明：黄色部分可以根据价格修改</v>
      </c>
      <c r="B21" s="6"/>
      <c r="C21" s="6"/>
      <c r="D21" s="6"/>
      <c r="E21" s="6"/>
      <c r="F21" s="6"/>
      <c r="G21" s="6"/>
    </row>
    <row r="27" spans="12:12">
      <c r="L27" s="1">
        <f>20*0.08</f>
        <v>1.6</v>
      </c>
    </row>
  </sheetData>
  <mergeCells count="1">
    <mergeCell ref="A21:G21"/>
  </mergeCells>
  <pageMargins left="0.75" right="0.75" top="1" bottom="1" header="0.509027777777778" footer="0.509027777777778"/>
  <headerFooter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FF0000"/>
  </sheetPr>
  <dimension ref="A1:X48"/>
  <sheetViews>
    <sheetView showGridLines="0" workbookViewId="0">
      <selection activeCell="F12" sqref="F12"/>
    </sheetView>
  </sheetViews>
  <sheetFormatPr defaultColWidth="9" defaultRowHeight="14.25"/>
  <cols>
    <col min="1" max="1" width="2.875" style="50" customWidth="1"/>
    <col min="2" max="2" width="16.5" style="50" customWidth="1"/>
    <col min="3" max="4" width="11.125" style="51" customWidth="1"/>
    <col min="5" max="5" width="11.125" style="50" customWidth="1"/>
    <col min="6" max="6" width="8.25" style="50" customWidth="1"/>
    <col min="7" max="7" width="9.75" style="50" customWidth="1"/>
    <col min="8" max="8" width="11.125" style="50" customWidth="1"/>
    <col min="9" max="9" width="14.125" style="50" customWidth="1"/>
    <col min="10" max="10" width="14.625" style="50" customWidth="1"/>
    <col min="11" max="11" width="9.875" style="50" customWidth="1"/>
    <col min="12" max="12" width="15.375" style="50" customWidth="1"/>
    <col min="13" max="13" width="10.5" style="50" customWidth="1"/>
    <col min="14" max="14" width="66.75" style="50" customWidth="1"/>
    <col min="15" max="15" width="8.375" style="50" customWidth="1"/>
    <col min="16" max="18" width="9" style="3" hidden="1" customWidth="1"/>
    <col min="19" max="19" width="16.75" style="3" customWidth="1"/>
    <col min="20" max="20" width="9" style="3"/>
    <col min="21" max="21" width="14" style="3" customWidth="1"/>
    <col min="22" max="22" width="11.125" style="3" hidden="1" customWidth="1"/>
    <col min="23" max="23" width="7.125" style="3" hidden="1" customWidth="1"/>
    <col min="24" max="24" width="9" style="3"/>
    <col min="25" max="16384" width="9" style="1"/>
  </cols>
  <sheetData>
    <row r="1" ht="15.95" customHeight="1" spans="1:15">
      <c r="A1" s="7" t="s">
        <v>1429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161"/>
    </row>
    <row r="2" ht="15.95" customHeight="1" spans="1:24">
      <c r="A2" s="141" t="s">
        <v>1246</v>
      </c>
      <c r="B2" s="141"/>
      <c r="C2" s="141"/>
      <c r="D2" s="9" t="s">
        <v>1198</v>
      </c>
      <c r="E2" s="10">
        <f>A3*5*18</f>
        <v>180</v>
      </c>
      <c r="F2" s="11"/>
      <c r="G2" s="11"/>
      <c r="H2" s="11"/>
      <c r="I2" s="11"/>
      <c r="J2" s="11"/>
      <c r="K2" s="11"/>
      <c r="L2" s="11"/>
      <c r="M2" s="11"/>
      <c r="N2" s="11"/>
      <c r="O2" s="162"/>
      <c r="Q2" s="55"/>
      <c r="R2" s="55"/>
      <c r="S2" s="55"/>
      <c r="T2" s="55"/>
      <c r="U2" s="55"/>
      <c r="W2" s="1"/>
      <c r="X2" s="1"/>
    </row>
    <row r="3" ht="15.95" customHeight="1" spans="1:24">
      <c r="A3" s="177">
        <v>2</v>
      </c>
      <c r="B3" s="177"/>
      <c r="C3" s="178" t="s">
        <v>1247</v>
      </c>
      <c r="D3" s="179">
        <v>3</v>
      </c>
      <c r="E3" s="189" t="s">
        <v>1248</v>
      </c>
      <c r="F3" s="12">
        <v>2</v>
      </c>
      <c r="G3" s="11" t="s">
        <v>1249</v>
      </c>
      <c r="H3" s="12"/>
      <c r="I3" s="12"/>
      <c r="J3" s="12"/>
      <c r="K3" s="12"/>
      <c r="L3" s="12"/>
      <c r="M3" s="12"/>
      <c r="N3" s="131"/>
      <c r="Q3" s="55"/>
      <c r="R3" s="55"/>
      <c r="S3" s="55"/>
      <c r="T3" s="55"/>
      <c r="U3" s="55"/>
      <c r="W3" s="1"/>
      <c r="X3" s="1"/>
    </row>
    <row r="4" ht="15.95" customHeight="1" spans="1:23">
      <c r="A4" s="146" t="s">
        <v>1200</v>
      </c>
      <c r="B4" s="146" t="s">
        <v>1201</v>
      </c>
      <c r="C4" s="146" t="s">
        <v>1250</v>
      </c>
      <c r="D4" s="146" t="s">
        <v>22</v>
      </c>
      <c r="E4" s="146" t="s">
        <v>23</v>
      </c>
      <c r="F4" s="75" t="s">
        <v>1204</v>
      </c>
      <c r="G4" s="19" t="s">
        <v>1205</v>
      </c>
      <c r="H4" s="17" t="s">
        <v>1253</v>
      </c>
      <c r="I4" s="17" t="s">
        <v>1254</v>
      </c>
      <c r="J4" s="17" t="s">
        <v>1255</v>
      </c>
      <c r="K4" s="17" t="s">
        <v>1209</v>
      </c>
      <c r="L4" s="17" t="s">
        <v>1347</v>
      </c>
      <c r="M4" s="17" t="s">
        <v>1211</v>
      </c>
      <c r="N4" s="75" t="s">
        <v>1257</v>
      </c>
      <c r="O4" s="216" t="s">
        <v>1430</v>
      </c>
      <c r="P4" s="146" t="s">
        <v>1213</v>
      </c>
      <c r="R4" s="226" t="s">
        <v>1396</v>
      </c>
      <c r="S4" s="75" t="s">
        <v>1213</v>
      </c>
      <c r="T4" s="222" t="s">
        <v>1431</v>
      </c>
      <c r="U4" s="75" t="s">
        <v>1213</v>
      </c>
      <c r="V4" s="75" t="s">
        <v>1432</v>
      </c>
      <c r="W4" s="76" t="s">
        <v>1213</v>
      </c>
    </row>
    <row r="5" ht="15" customHeight="1" spans="1:23">
      <c r="A5" s="20" t="s">
        <v>1215</v>
      </c>
      <c r="B5" s="91" t="s">
        <v>1224</v>
      </c>
      <c r="C5" s="23"/>
      <c r="D5" s="23" t="s">
        <v>28</v>
      </c>
      <c r="E5" s="24">
        <f>D3*2</f>
        <v>6</v>
      </c>
      <c r="F5" s="93">
        <f ca="1" t="shared" ref="F5:F11" si="0">I5+J5+K5+L5+M5</f>
        <v>613.1654672</v>
      </c>
      <c r="G5" s="94">
        <f>7.16/2</f>
        <v>3.58</v>
      </c>
      <c r="H5" s="94">
        <v>5.3</v>
      </c>
      <c r="I5" s="93">
        <f ca="1">G5*H5*'15变18（人字150料）参数 '!G3*1.1</f>
        <v>472.6954672</v>
      </c>
      <c r="J5" s="93">
        <v>75.88</v>
      </c>
      <c r="K5" s="93">
        <v>42.69</v>
      </c>
      <c r="L5" s="93">
        <f>2.55*4</f>
        <v>10.2</v>
      </c>
      <c r="M5" s="93">
        <f>18*0.65</f>
        <v>11.7</v>
      </c>
      <c r="N5" s="166" t="s">
        <v>1433</v>
      </c>
      <c r="O5" s="167">
        <v>4</v>
      </c>
      <c r="Q5" s="227">
        <v>36.2</v>
      </c>
      <c r="S5" s="217">
        <f ca="1" t="shared" ref="S5:S38" si="1">F5*O5</f>
        <v>2452.6618688</v>
      </c>
      <c r="T5" s="67">
        <f>E5-O5</f>
        <v>2</v>
      </c>
      <c r="U5" s="67">
        <f ca="1" t="shared" ref="U5:U38" si="2">F5*T5</f>
        <v>1226.3309344</v>
      </c>
      <c r="V5" s="60">
        <v>0</v>
      </c>
      <c r="W5" s="67">
        <f ca="1">F5*V5</f>
        <v>0</v>
      </c>
    </row>
    <row r="6" ht="15" customHeight="1" spans="1:23">
      <c r="A6" s="20"/>
      <c r="B6" s="91" t="s">
        <v>1308</v>
      </c>
      <c r="C6" s="23"/>
      <c r="D6" s="23" t="s">
        <v>28</v>
      </c>
      <c r="E6" s="24">
        <f>F3*2</f>
        <v>4</v>
      </c>
      <c r="F6" s="101">
        <f ca="1">G6+H6+I6+J6+K6+L6+M6</f>
        <v>771.4092</v>
      </c>
      <c r="G6" s="148">
        <v>5</v>
      </c>
      <c r="H6" s="148">
        <v>5.3</v>
      </c>
      <c r="I6" s="101">
        <f ca="1">G6*H6*'15变18（人字150料）参数 '!G3*1.1</f>
        <v>660.1892</v>
      </c>
      <c r="J6" s="101"/>
      <c r="K6" s="101">
        <f>49.51+41.21</f>
        <v>90.72</v>
      </c>
      <c r="L6" s="101">
        <f>2.55*4</f>
        <v>10.2</v>
      </c>
      <c r="M6" s="101"/>
      <c r="N6" s="166" t="s">
        <v>1434</v>
      </c>
      <c r="O6" s="167">
        <v>4</v>
      </c>
      <c r="Q6" s="227">
        <v>39.3</v>
      </c>
      <c r="S6" s="217">
        <f ca="1" t="shared" si="1"/>
        <v>3085.6368</v>
      </c>
      <c r="T6" s="67">
        <f>E6-O6</f>
        <v>0</v>
      </c>
      <c r="U6" s="67">
        <f ca="1" t="shared" si="2"/>
        <v>0</v>
      </c>
      <c r="V6" s="60">
        <f>E6-O6</f>
        <v>0</v>
      </c>
      <c r="W6" s="67">
        <f ca="1">F6*V6</f>
        <v>0</v>
      </c>
    </row>
    <row r="7" ht="15" customHeight="1" spans="1:23">
      <c r="A7" s="20"/>
      <c r="B7" s="91" t="s">
        <v>1435</v>
      </c>
      <c r="C7" s="23"/>
      <c r="D7" s="23" t="s">
        <v>28</v>
      </c>
      <c r="E7" s="24">
        <f>F3</f>
        <v>2</v>
      </c>
      <c r="F7" s="101">
        <f ca="1">G7+H7+I7+J7+K7+L7+M7</f>
        <v>931.054608</v>
      </c>
      <c r="G7" s="148">
        <v>6.2</v>
      </c>
      <c r="H7" s="148">
        <v>5.3</v>
      </c>
      <c r="I7" s="101">
        <f ca="1">G7*H7*'15变18（人字150料）参数 '!G3*1.1</f>
        <v>818.634608</v>
      </c>
      <c r="J7" s="101"/>
      <c r="K7" s="101">
        <f>49.51+41.21</f>
        <v>90.72</v>
      </c>
      <c r="L7" s="101">
        <f>2.55*4</f>
        <v>10.2</v>
      </c>
      <c r="M7" s="101"/>
      <c r="N7" s="166" t="s">
        <v>1436</v>
      </c>
      <c r="O7" s="167">
        <v>2</v>
      </c>
      <c r="Q7" s="227"/>
      <c r="S7" s="217">
        <f ca="1" t="shared" si="1"/>
        <v>1862.109216</v>
      </c>
      <c r="T7" s="67">
        <f>E7-O7</f>
        <v>0</v>
      </c>
      <c r="U7" s="67">
        <f ca="1" t="shared" si="2"/>
        <v>0</v>
      </c>
      <c r="V7" s="60"/>
      <c r="W7" s="67"/>
    </row>
    <row r="8" ht="15" customHeight="1" spans="1:23">
      <c r="A8" s="20"/>
      <c r="B8" s="91" t="s">
        <v>1350</v>
      </c>
      <c r="C8" s="23"/>
      <c r="D8" s="23" t="s">
        <v>28</v>
      </c>
      <c r="E8" s="24">
        <f>D3*2</f>
        <v>6</v>
      </c>
      <c r="F8" s="61">
        <f ca="1">I8+J8+K8+L8+M8</f>
        <v>1107.908396</v>
      </c>
      <c r="G8" s="95">
        <v>8.15</v>
      </c>
      <c r="H8" s="95">
        <v>5.3</v>
      </c>
      <c r="I8" s="61">
        <f ca="1">G8*H8*'15变18（人字150料）参数 '!G3*1.1</f>
        <v>1076.108396</v>
      </c>
      <c r="J8" s="61">
        <f ca="1">2.5*6</f>
        <v>15</v>
      </c>
      <c r="K8" s="61">
        <v>10.8</v>
      </c>
      <c r="L8" s="61">
        <f>1*6</f>
        <v>6</v>
      </c>
      <c r="M8" s="61"/>
      <c r="N8" s="116" t="s">
        <v>1437</v>
      </c>
      <c r="O8" s="167">
        <v>4</v>
      </c>
      <c r="Q8" s="227">
        <v>29.9</v>
      </c>
      <c r="S8" s="217">
        <f ca="1" t="shared" si="1"/>
        <v>4431.633584</v>
      </c>
      <c r="T8" s="67">
        <f>E8-O8</f>
        <v>2</v>
      </c>
      <c r="U8" s="67">
        <f ca="1" t="shared" si="2"/>
        <v>2215.816792</v>
      </c>
      <c r="V8" s="60">
        <v>0</v>
      </c>
      <c r="W8" s="67">
        <f ca="1">F8*V8</f>
        <v>0</v>
      </c>
    </row>
    <row r="9" ht="15" customHeight="1" spans="1:23">
      <c r="A9" s="20"/>
      <c r="B9" s="91" t="s">
        <v>1438</v>
      </c>
      <c r="C9" s="23"/>
      <c r="D9" s="23" t="s">
        <v>28</v>
      </c>
      <c r="E9" s="24">
        <f>D3*2</f>
        <v>6</v>
      </c>
      <c r="F9" s="61">
        <f ca="1">I9+J9+K9+L9+M9</f>
        <v>452.1054252</v>
      </c>
      <c r="G9" s="103">
        <v>1.55</v>
      </c>
      <c r="H9" s="103">
        <v>5.3</v>
      </c>
      <c r="I9" s="61">
        <f ca="1">G9*H9*'15变18（人字150料）参数 '!G3*1.1</f>
        <v>204.658652</v>
      </c>
      <c r="J9" s="61">
        <f ca="1">1.5*6.601*'15变18（人字150料）参数 '!G5*1.1</f>
        <v>235.3467732</v>
      </c>
      <c r="K9" s="61">
        <f>2*2.5</f>
        <v>5</v>
      </c>
      <c r="L9" s="61">
        <f>2*2.55</f>
        <v>5.1</v>
      </c>
      <c r="M9" s="61">
        <f>2*1</f>
        <v>2</v>
      </c>
      <c r="N9" s="116" t="s">
        <v>1439</v>
      </c>
      <c r="O9" s="167">
        <v>4</v>
      </c>
      <c r="Q9" s="227"/>
      <c r="S9" s="218">
        <f ca="1" t="shared" si="1"/>
        <v>1808.4217008</v>
      </c>
      <c r="T9" s="67">
        <v>2</v>
      </c>
      <c r="U9" s="223">
        <f ca="1" t="shared" si="2"/>
        <v>904.2108504</v>
      </c>
      <c r="V9" s="60"/>
      <c r="W9" s="67"/>
    </row>
    <row r="10" ht="15" customHeight="1" spans="1:23">
      <c r="A10" s="20"/>
      <c r="B10" s="91" t="s">
        <v>1226</v>
      </c>
      <c r="C10" s="23"/>
      <c r="D10" s="23" t="s">
        <v>28</v>
      </c>
      <c r="E10" s="24">
        <f>A3*6</f>
        <v>12</v>
      </c>
      <c r="F10" s="101">
        <f ca="1" t="shared" si="0"/>
        <v>195.0929650432</v>
      </c>
      <c r="G10" s="148">
        <v>4.882</v>
      </c>
      <c r="H10" s="148">
        <v>1.552</v>
      </c>
      <c r="I10" s="61">
        <f ca="1">G10*H10*'15变18（人字150料）参数 '!G5*1.1</f>
        <v>180.0929650432</v>
      </c>
      <c r="J10" s="101"/>
      <c r="K10" s="101"/>
      <c r="L10" s="101">
        <f>0.5*4</f>
        <v>2</v>
      </c>
      <c r="M10" s="101">
        <f>6.5*2</f>
        <v>13</v>
      </c>
      <c r="N10" s="120" t="s">
        <v>1440</v>
      </c>
      <c r="O10" s="169">
        <v>6</v>
      </c>
      <c r="Q10" s="227">
        <v>7.95</v>
      </c>
      <c r="S10" s="217">
        <f ca="1" t="shared" si="1"/>
        <v>1170.5577902592</v>
      </c>
      <c r="T10" s="67">
        <f t="shared" ref="T10:T38" si="3">E10-O10</f>
        <v>6</v>
      </c>
      <c r="U10" s="67">
        <f ca="1" t="shared" si="2"/>
        <v>1170.5577902592</v>
      </c>
      <c r="V10" s="60">
        <v>0</v>
      </c>
      <c r="W10" s="67">
        <f ca="1">F10*V10</f>
        <v>0</v>
      </c>
    </row>
    <row r="11" ht="15" customHeight="1" spans="1:23">
      <c r="A11" s="20"/>
      <c r="B11" s="91" t="s">
        <v>1264</v>
      </c>
      <c r="C11" s="23"/>
      <c r="D11" s="23" t="s">
        <v>28</v>
      </c>
      <c r="E11" s="24">
        <f>A3*3</f>
        <v>6</v>
      </c>
      <c r="F11" s="101">
        <f ca="1" t="shared" si="0"/>
        <v>336.5448493136</v>
      </c>
      <c r="G11" s="148">
        <v>4.882</v>
      </c>
      <c r="H11" s="148">
        <v>2.771</v>
      </c>
      <c r="I11" s="61">
        <f ca="1">G11*H11*'15变18（人字150料）参数 '!G5*1.1</f>
        <v>321.5448493136</v>
      </c>
      <c r="J11" s="101"/>
      <c r="K11" s="101"/>
      <c r="L11" s="101">
        <f>0.5*4</f>
        <v>2</v>
      </c>
      <c r="M11" s="101">
        <f>6.5*2</f>
        <v>13</v>
      </c>
      <c r="N11" s="120" t="s">
        <v>1353</v>
      </c>
      <c r="O11" s="169">
        <v>3</v>
      </c>
      <c r="Q11" s="227">
        <v>13.1</v>
      </c>
      <c r="S11" s="217">
        <f ca="1" t="shared" si="1"/>
        <v>1009.6345479408</v>
      </c>
      <c r="T11" s="67">
        <f t="shared" si="3"/>
        <v>3</v>
      </c>
      <c r="U11" s="67">
        <f ca="1" t="shared" si="2"/>
        <v>1009.6345479408</v>
      </c>
      <c r="V11" s="60">
        <f>E11-O11-T11</f>
        <v>0</v>
      </c>
      <c r="W11" s="67">
        <f ca="1">F11*V11</f>
        <v>0</v>
      </c>
    </row>
    <row r="12" ht="15" customHeight="1" spans="1:23">
      <c r="A12" s="20"/>
      <c r="B12" s="91" t="s">
        <v>1266</v>
      </c>
      <c r="C12" s="23"/>
      <c r="D12" s="23" t="s">
        <v>28</v>
      </c>
      <c r="E12" s="24">
        <f>A3*2+F3*2</f>
        <v>8</v>
      </c>
      <c r="F12" s="101">
        <f ca="1">'数据修改（批量）'!A28</f>
        <v>95</v>
      </c>
      <c r="G12" s="148">
        <v>4.86</v>
      </c>
      <c r="H12" s="148">
        <v>1.345</v>
      </c>
      <c r="I12" s="61">
        <f ca="1">G12*H12*'15变18（人字150料）参数 '!G5*1.1</f>
        <v>155.36951496</v>
      </c>
      <c r="J12" s="101"/>
      <c r="K12" s="101"/>
      <c r="L12" s="101"/>
      <c r="M12" s="101"/>
      <c r="N12" s="120" t="s">
        <v>1354</v>
      </c>
      <c r="O12" s="167">
        <v>6</v>
      </c>
      <c r="Q12" s="227">
        <v>5.65</v>
      </c>
      <c r="S12" s="217">
        <f ca="1" t="shared" si="1"/>
        <v>570</v>
      </c>
      <c r="T12" s="67">
        <f t="shared" si="3"/>
        <v>2</v>
      </c>
      <c r="U12" s="67">
        <f ca="1" t="shared" si="2"/>
        <v>190</v>
      </c>
      <c r="V12" s="60">
        <f t="shared" ref="V12:V17" si="4">E12-O12</f>
        <v>2</v>
      </c>
      <c r="W12" s="67">
        <f ca="1">F12*V12</f>
        <v>190</v>
      </c>
    </row>
    <row r="13" ht="15" customHeight="1" spans="1:23">
      <c r="A13" s="20"/>
      <c r="B13" s="91" t="s">
        <v>1272</v>
      </c>
      <c r="C13" s="23"/>
      <c r="D13" s="23" t="s">
        <v>28</v>
      </c>
      <c r="E13" s="30">
        <v>5</v>
      </c>
      <c r="F13" s="101">
        <f>(I13+J13+K13+L13+M13)*1.2</f>
        <v>131.4</v>
      </c>
      <c r="G13" s="148"/>
      <c r="H13" s="148"/>
      <c r="I13" s="101">
        <v>95</v>
      </c>
      <c r="J13" s="101">
        <v>6.5</v>
      </c>
      <c r="K13" s="101">
        <v>4</v>
      </c>
      <c r="L13" s="101">
        <v>3</v>
      </c>
      <c r="M13" s="101">
        <v>1</v>
      </c>
      <c r="N13" s="120" t="s">
        <v>1355</v>
      </c>
      <c r="O13" s="167">
        <v>4</v>
      </c>
      <c r="Q13" s="227">
        <v>36.35</v>
      </c>
      <c r="S13" s="217">
        <f ca="1" t="shared" si="1"/>
        <v>525.6</v>
      </c>
      <c r="T13" s="67">
        <f t="shared" si="3"/>
        <v>1</v>
      </c>
      <c r="U13" s="67">
        <f ca="1" t="shared" si="2"/>
        <v>131.4</v>
      </c>
      <c r="V13" s="60">
        <v>0</v>
      </c>
      <c r="W13" s="67">
        <f>F13*V13</f>
        <v>0</v>
      </c>
    </row>
    <row r="14" ht="15" customHeight="1" spans="1:23">
      <c r="A14" s="20"/>
      <c r="B14" s="91" t="s">
        <v>1356</v>
      </c>
      <c r="C14" s="23"/>
      <c r="D14" s="23" t="s">
        <v>28</v>
      </c>
      <c r="E14" s="24">
        <f>F3</f>
        <v>2</v>
      </c>
      <c r="F14" s="101">
        <f ca="1">I14</f>
        <v>75.628</v>
      </c>
      <c r="G14" s="154">
        <v>3.5</v>
      </c>
      <c r="H14" s="154">
        <v>1</v>
      </c>
      <c r="I14" s="101">
        <f ca="1">G14*H14*'15变18（人字150料）参数 '!G5</f>
        <v>75.628</v>
      </c>
      <c r="J14" s="101"/>
      <c r="K14" s="101"/>
      <c r="L14" s="101"/>
      <c r="M14" s="101"/>
      <c r="N14" s="170" t="s">
        <v>1441</v>
      </c>
      <c r="O14" s="167">
        <v>2</v>
      </c>
      <c r="Q14" s="227"/>
      <c r="S14" s="217">
        <f ca="1" t="shared" si="1"/>
        <v>151.256</v>
      </c>
      <c r="T14" s="67">
        <f t="shared" si="3"/>
        <v>0</v>
      </c>
      <c r="U14" s="67">
        <f ca="1" t="shared" si="2"/>
        <v>0</v>
      </c>
      <c r="V14" s="60">
        <f t="shared" si="4"/>
        <v>0</v>
      </c>
      <c r="W14" s="67">
        <f ca="1">F14*V14</f>
        <v>0</v>
      </c>
    </row>
    <row r="15" ht="15" customHeight="1" spans="1:23">
      <c r="A15" s="20"/>
      <c r="B15" s="91" t="s">
        <v>1442</v>
      </c>
      <c r="C15" s="23"/>
      <c r="D15" s="23" t="s">
        <v>28</v>
      </c>
      <c r="E15" s="24">
        <f>F3*2</f>
        <v>4</v>
      </c>
      <c r="F15" s="101">
        <f ca="1">I15+J15+K15+L15+M15</f>
        <v>270.57387748</v>
      </c>
      <c r="G15" s="154">
        <v>3.85</v>
      </c>
      <c r="H15" s="154">
        <v>2.771</v>
      </c>
      <c r="I15" s="101">
        <f ca="1">G15*H15*'15变18（人字150料）参数 '!G5*1.1</f>
        <v>253.57387748</v>
      </c>
      <c r="J15" s="101"/>
      <c r="K15" s="101"/>
      <c r="L15" s="101">
        <f>2*2</f>
        <v>4</v>
      </c>
      <c r="M15" s="101">
        <f>2*6.5</f>
        <v>13</v>
      </c>
      <c r="N15" s="120" t="s">
        <v>1443</v>
      </c>
      <c r="O15" s="167">
        <v>4</v>
      </c>
      <c r="Q15" s="227"/>
      <c r="S15" s="217">
        <f ca="1" t="shared" si="1"/>
        <v>1082.29550992</v>
      </c>
      <c r="T15" s="67">
        <f t="shared" si="3"/>
        <v>0</v>
      </c>
      <c r="U15" s="67">
        <f ca="1" t="shared" si="2"/>
        <v>0</v>
      </c>
      <c r="V15" s="60"/>
      <c r="W15" s="67"/>
    </row>
    <row r="16" ht="15" customHeight="1" spans="1:23">
      <c r="A16" s="20"/>
      <c r="B16" s="91" t="s">
        <v>1444</v>
      </c>
      <c r="C16" s="23"/>
      <c r="D16" s="23" t="s">
        <v>28</v>
      </c>
      <c r="E16" s="24">
        <f>F3*2</f>
        <v>4</v>
      </c>
      <c r="F16" s="101">
        <f ca="1">I16+J16+K16+L16+M16</f>
        <v>123.40047896</v>
      </c>
      <c r="G16" s="154">
        <v>3.86</v>
      </c>
      <c r="H16" s="154">
        <v>1.345</v>
      </c>
      <c r="I16" s="101">
        <f ca="1">G16*H16*'15变18（人字150料）参数 '!G5*1.1</f>
        <v>123.40047896</v>
      </c>
      <c r="J16" s="101"/>
      <c r="K16" s="101"/>
      <c r="L16" s="101"/>
      <c r="M16" s="101"/>
      <c r="N16" s="120" t="s">
        <v>1445</v>
      </c>
      <c r="O16" s="167">
        <v>4</v>
      </c>
      <c r="Q16" s="227"/>
      <c r="S16" s="217">
        <f ca="1" t="shared" si="1"/>
        <v>493.60191584</v>
      </c>
      <c r="T16" s="67">
        <f t="shared" si="3"/>
        <v>0</v>
      </c>
      <c r="U16" s="67">
        <f ca="1" t="shared" si="2"/>
        <v>0</v>
      </c>
      <c r="V16" s="60"/>
      <c r="W16" s="67"/>
    </row>
    <row r="17" ht="15" customHeight="1" spans="1:23">
      <c r="A17" s="20"/>
      <c r="B17" s="91" t="s">
        <v>1276</v>
      </c>
      <c r="C17" s="23"/>
      <c r="D17" s="23" t="s">
        <v>28</v>
      </c>
      <c r="E17" s="28">
        <f>F3*2</f>
        <v>4</v>
      </c>
      <c r="F17" s="101">
        <f ca="1">I17+J17+K17+L17+M17</f>
        <v>348.2448493136</v>
      </c>
      <c r="G17" s="95">
        <v>4.882</v>
      </c>
      <c r="H17" s="95">
        <v>2.771</v>
      </c>
      <c r="I17" s="61">
        <f ca="1">G17*H17*'15变18（人字150料）参数 '!G5*1.1</f>
        <v>321.5448493136</v>
      </c>
      <c r="J17" s="61"/>
      <c r="K17" s="61">
        <v>15</v>
      </c>
      <c r="L17" s="61">
        <f>8*0.65</f>
        <v>5.2</v>
      </c>
      <c r="M17" s="61">
        <v>6.5</v>
      </c>
      <c r="N17" s="120" t="s">
        <v>1358</v>
      </c>
      <c r="O17" s="167">
        <v>4</v>
      </c>
      <c r="Q17" s="227">
        <v>13.75</v>
      </c>
      <c r="S17" s="217">
        <f ca="1" t="shared" si="1"/>
        <v>1392.9793972544</v>
      </c>
      <c r="T17" s="67">
        <f t="shared" si="3"/>
        <v>0</v>
      </c>
      <c r="U17" s="67">
        <f ca="1" t="shared" si="2"/>
        <v>0</v>
      </c>
      <c r="V17" s="60">
        <f t="shared" si="4"/>
        <v>0</v>
      </c>
      <c r="W17" s="67">
        <f ca="1" t="shared" ref="W17:W31" si="5">F17*V17</f>
        <v>0</v>
      </c>
    </row>
    <row r="18" ht="15" customHeight="1" spans="1:23">
      <c r="A18" s="31"/>
      <c r="B18" s="152" t="s">
        <v>1446</v>
      </c>
      <c r="C18" s="43"/>
      <c r="D18" s="23" t="s">
        <v>28</v>
      </c>
      <c r="E18" s="44">
        <f>(D3-2)</f>
        <v>1</v>
      </c>
      <c r="F18" s="195">
        <f>(G18+H18+I18+J18+K18+L18+M18)*1.1</f>
        <v>189.2</v>
      </c>
      <c r="G18" s="224"/>
      <c r="H18" s="224"/>
      <c r="I18" s="225">
        <v>128</v>
      </c>
      <c r="J18" s="225"/>
      <c r="K18" s="225">
        <f>2*17</f>
        <v>34</v>
      </c>
      <c r="L18" s="225">
        <f>2*5</f>
        <v>10</v>
      </c>
      <c r="M18" s="225"/>
      <c r="N18" s="168" t="s">
        <v>1447</v>
      </c>
      <c r="O18" s="172">
        <v>0</v>
      </c>
      <c r="Q18" s="227"/>
      <c r="S18" s="217">
        <f ca="1" t="shared" si="1"/>
        <v>0</v>
      </c>
      <c r="T18" s="67">
        <f t="shared" si="3"/>
        <v>1</v>
      </c>
      <c r="U18" s="67">
        <f ca="1" t="shared" si="2"/>
        <v>189.2</v>
      </c>
      <c r="V18" s="60"/>
      <c r="W18" s="67"/>
    </row>
    <row r="19" ht="15" customHeight="1" spans="1:23">
      <c r="A19" s="31"/>
      <c r="B19" s="152" t="s">
        <v>1448</v>
      </c>
      <c r="C19" s="43"/>
      <c r="D19" s="23" t="s">
        <v>28</v>
      </c>
      <c r="E19" s="44">
        <f>E18*2</f>
        <v>2</v>
      </c>
      <c r="F19" s="195">
        <f>(G19+H19+I19+J19+K19+L19+M19)*1.1</f>
        <v>189.2</v>
      </c>
      <c r="G19" s="196"/>
      <c r="H19" s="196"/>
      <c r="I19" s="203">
        <v>128</v>
      </c>
      <c r="J19" s="203"/>
      <c r="K19" s="203">
        <v>34</v>
      </c>
      <c r="L19" s="203">
        <v>10</v>
      </c>
      <c r="M19" s="203"/>
      <c r="N19" s="168" t="s">
        <v>1447</v>
      </c>
      <c r="O19" s="172">
        <v>0</v>
      </c>
      <c r="Q19" s="227"/>
      <c r="S19" s="217">
        <f ca="1" t="shared" si="1"/>
        <v>0</v>
      </c>
      <c r="T19" s="67">
        <f t="shared" si="3"/>
        <v>2</v>
      </c>
      <c r="U19" s="67">
        <f ca="1" t="shared" si="2"/>
        <v>378.4</v>
      </c>
      <c r="V19" s="60"/>
      <c r="W19" s="67"/>
    </row>
    <row r="20" ht="15" customHeight="1" spans="1:23">
      <c r="A20" s="31"/>
      <c r="B20" s="152" t="s">
        <v>1274</v>
      </c>
      <c r="C20" s="43"/>
      <c r="D20" s="43" t="s">
        <v>28</v>
      </c>
      <c r="E20" s="150">
        <f>E31+E33</f>
        <v>8</v>
      </c>
      <c r="F20" s="195">
        <f>(G20+H20+I20+J20+K20+L20+M20)*1.1</f>
        <v>24.2</v>
      </c>
      <c r="G20" s="160"/>
      <c r="H20" s="160"/>
      <c r="I20" s="39">
        <v>16</v>
      </c>
      <c r="J20" s="39"/>
      <c r="K20" s="39">
        <f>2*3</f>
        <v>6</v>
      </c>
      <c r="L20" s="39"/>
      <c r="M20" s="39"/>
      <c r="N20" s="171" t="s">
        <v>1449</v>
      </c>
      <c r="O20" s="172">
        <v>6</v>
      </c>
      <c r="Q20" s="227">
        <v>3</v>
      </c>
      <c r="S20" s="217">
        <f ca="1" t="shared" si="1"/>
        <v>145.2</v>
      </c>
      <c r="T20" s="67">
        <f t="shared" si="3"/>
        <v>2</v>
      </c>
      <c r="U20" s="67">
        <f ca="1" t="shared" si="2"/>
        <v>48.4</v>
      </c>
      <c r="V20" s="60">
        <f t="shared" ref="V20:V25" si="6">E20-O20</f>
        <v>2</v>
      </c>
      <c r="W20" s="67">
        <f ca="1" t="shared" si="5"/>
        <v>48.4</v>
      </c>
    </row>
    <row r="21" ht="15" customHeight="1" spans="1:23">
      <c r="A21" s="20" t="s">
        <v>1278</v>
      </c>
      <c r="B21" s="91" t="s">
        <v>1304</v>
      </c>
      <c r="C21" s="23"/>
      <c r="D21" s="23" t="s">
        <v>434</v>
      </c>
      <c r="E21" s="24">
        <f>D3</f>
        <v>3</v>
      </c>
      <c r="F21" s="101">
        <v>168</v>
      </c>
      <c r="G21" s="154"/>
      <c r="H21" s="154"/>
      <c r="I21" s="101"/>
      <c r="J21" s="101"/>
      <c r="K21" s="101"/>
      <c r="L21" s="101"/>
      <c r="M21" s="101"/>
      <c r="N21" s="120" t="s">
        <v>1361</v>
      </c>
      <c r="O21" s="167">
        <v>2</v>
      </c>
      <c r="Q21" s="227">
        <v>16.3</v>
      </c>
      <c r="S21" s="217">
        <f ca="1" t="shared" si="1"/>
        <v>336</v>
      </c>
      <c r="T21" s="67">
        <f t="shared" si="3"/>
        <v>1</v>
      </c>
      <c r="U21" s="67">
        <f ca="1" t="shared" si="2"/>
        <v>168</v>
      </c>
      <c r="V21" s="60">
        <v>0</v>
      </c>
      <c r="W21" s="67">
        <f ca="1" t="shared" si="5"/>
        <v>0</v>
      </c>
    </row>
    <row r="22" ht="15" customHeight="1" spans="1:23">
      <c r="A22" s="20"/>
      <c r="B22" s="91" t="s">
        <v>1310</v>
      </c>
      <c r="C22" s="23"/>
      <c r="D22" s="23" t="s">
        <v>434</v>
      </c>
      <c r="E22" s="24">
        <f>E6+E7</f>
        <v>6</v>
      </c>
      <c r="F22" s="101">
        <v>74.28</v>
      </c>
      <c r="G22" s="154"/>
      <c r="H22" s="154"/>
      <c r="I22" s="101"/>
      <c r="J22" s="101"/>
      <c r="K22" s="101"/>
      <c r="L22" s="101"/>
      <c r="M22" s="101"/>
      <c r="N22" s="120" t="s">
        <v>1450</v>
      </c>
      <c r="O22" s="167">
        <v>6</v>
      </c>
      <c r="Q22" s="227">
        <v>10.3</v>
      </c>
      <c r="S22" s="217">
        <f ca="1" t="shared" si="1"/>
        <v>445.68</v>
      </c>
      <c r="T22" s="67">
        <f t="shared" si="3"/>
        <v>0</v>
      </c>
      <c r="U22" s="67">
        <f ca="1" t="shared" si="2"/>
        <v>0</v>
      </c>
      <c r="V22" s="60">
        <f t="shared" si="6"/>
        <v>0</v>
      </c>
      <c r="W22" s="67">
        <f ca="1" t="shared" si="5"/>
        <v>0</v>
      </c>
    </row>
    <row r="23" ht="15" customHeight="1" spans="1:23">
      <c r="A23" s="20"/>
      <c r="B23" s="91" t="s">
        <v>1280</v>
      </c>
      <c r="C23" s="23"/>
      <c r="D23" s="23" t="s">
        <v>434</v>
      </c>
      <c r="E23" s="28">
        <f>E5</f>
        <v>6</v>
      </c>
      <c r="F23" s="101">
        <v>76.4</v>
      </c>
      <c r="G23" s="103"/>
      <c r="H23" s="103"/>
      <c r="I23" s="61"/>
      <c r="J23" s="61"/>
      <c r="K23" s="61"/>
      <c r="L23" s="61"/>
      <c r="M23" s="61"/>
      <c r="N23" s="173" t="s">
        <v>1451</v>
      </c>
      <c r="O23" s="167">
        <v>4</v>
      </c>
      <c r="Q23" s="227">
        <v>11.1</v>
      </c>
      <c r="S23" s="217">
        <f ca="1" t="shared" si="1"/>
        <v>305.6</v>
      </c>
      <c r="T23" s="67">
        <f t="shared" si="3"/>
        <v>2</v>
      </c>
      <c r="U23" s="67">
        <f ca="1" t="shared" si="2"/>
        <v>152.8</v>
      </c>
      <c r="V23" s="60">
        <v>0</v>
      </c>
      <c r="W23" s="67">
        <f ca="1" t="shared" si="5"/>
        <v>0</v>
      </c>
    </row>
    <row r="24" ht="15" customHeight="1" spans="1:23">
      <c r="A24" s="20"/>
      <c r="B24" s="91" t="s">
        <v>1339</v>
      </c>
      <c r="C24" s="23"/>
      <c r="D24" s="23" t="s">
        <v>28</v>
      </c>
      <c r="E24" s="32">
        <f>E13</f>
        <v>5</v>
      </c>
      <c r="F24" s="61">
        <v>91.3</v>
      </c>
      <c r="G24" s="154"/>
      <c r="H24" s="154"/>
      <c r="I24" s="101"/>
      <c r="J24" s="101"/>
      <c r="K24" s="101"/>
      <c r="L24" s="101"/>
      <c r="M24" s="101"/>
      <c r="N24" s="120" t="s">
        <v>1452</v>
      </c>
      <c r="O24" s="167">
        <v>4</v>
      </c>
      <c r="Q24" s="227">
        <v>7.25</v>
      </c>
      <c r="S24" s="217">
        <f ca="1" t="shared" si="1"/>
        <v>365.2</v>
      </c>
      <c r="T24" s="67">
        <f t="shared" si="3"/>
        <v>1</v>
      </c>
      <c r="U24" s="67">
        <f ca="1" t="shared" si="2"/>
        <v>91.3</v>
      </c>
      <c r="V24" s="60">
        <v>0</v>
      </c>
      <c r="W24" s="67">
        <f ca="1" t="shared" si="5"/>
        <v>0</v>
      </c>
    </row>
    <row r="25" ht="15" customHeight="1" spans="1:23">
      <c r="A25" s="20"/>
      <c r="B25" s="91" t="s">
        <v>1282</v>
      </c>
      <c r="C25" s="23"/>
      <c r="D25" s="23" t="s">
        <v>434</v>
      </c>
      <c r="E25" s="24">
        <f>D3*2+F3*2</f>
        <v>10</v>
      </c>
      <c r="F25" s="101">
        <v>4.45</v>
      </c>
      <c r="G25" s="154"/>
      <c r="H25" s="154"/>
      <c r="I25" s="101"/>
      <c r="J25" s="101"/>
      <c r="K25" s="101"/>
      <c r="L25" s="101"/>
      <c r="M25" s="101"/>
      <c r="N25" s="120" t="s">
        <v>1453</v>
      </c>
      <c r="O25" s="167">
        <v>8</v>
      </c>
      <c r="Q25" s="227">
        <v>0.75</v>
      </c>
      <c r="S25" s="217">
        <f ca="1" t="shared" si="1"/>
        <v>35.6</v>
      </c>
      <c r="T25" s="67">
        <f t="shared" si="3"/>
        <v>2</v>
      </c>
      <c r="U25" s="67">
        <f ca="1" t="shared" si="2"/>
        <v>8.9</v>
      </c>
      <c r="V25" s="60">
        <f t="shared" si="6"/>
        <v>2</v>
      </c>
      <c r="W25" s="67">
        <f ca="1" t="shared" si="5"/>
        <v>8.9</v>
      </c>
    </row>
    <row r="26" ht="15" customHeight="1" spans="1:23">
      <c r="A26" s="20"/>
      <c r="B26" s="91" t="s">
        <v>1284</v>
      </c>
      <c r="C26" s="23"/>
      <c r="D26" s="23" t="s">
        <v>434</v>
      </c>
      <c r="E26" s="24">
        <f>D3*2</f>
        <v>6</v>
      </c>
      <c r="F26" s="101">
        <v>6.51</v>
      </c>
      <c r="G26" s="154"/>
      <c r="H26" s="154"/>
      <c r="I26" s="101"/>
      <c r="J26" s="101"/>
      <c r="K26" s="101"/>
      <c r="L26" s="101"/>
      <c r="M26" s="101"/>
      <c r="N26" s="120" t="s">
        <v>1454</v>
      </c>
      <c r="O26" s="167">
        <v>4</v>
      </c>
      <c r="Q26" s="227">
        <v>1.65</v>
      </c>
      <c r="S26" s="217">
        <f ca="1" t="shared" si="1"/>
        <v>26.04</v>
      </c>
      <c r="T26" s="67">
        <f t="shared" si="3"/>
        <v>2</v>
      </c>
      <c r="U26" s="67">
        <f ca="1" t="shared" si="2"/>
        <v>13.02</v>
      </c>
      <c r="V26" s="60">
        <v>0</v>
      </c>
      <c r="W26" s="67">
        <f ca="1" t="shared" si="5"/>
        <v>0</v>
      </c>
    </row>
    <row r="27" ht="15" customHeight="1" spans="1:23">
      <c r="A27" s="20"/>
      <c r="B27" s="91" t="s">
        <v>519</v>
      </c>
      <c r="C27" s="23"/>
      <c r="D27" s="23" t="s">
        <v>434</v>
      </c>
      <c r="E27" s="24">
        <f>F3*2</f>
        <v>4</v>
      </c>
      <c r="F27" s="101">
        <v>5.95</v>
      </c>
      <c r="G27" s="160"/>
      <c r="H27" s="160"/>
      <c r="I27" s="39"/>
      <c r="J27" s="39"/>
      <c r="K27" s="39"/>
      <c r="L27" s="39"/>
      <c r="M27" s="39"/>
      <c r="N27" s="171" t="s">
        <v>1455</v>
      </c>
      <c r="O27" s="167">
        <v>4</v>
      </c>
      <c r="Q27" s="227">
        <v>1.4</v>
      </c>
      <c r="S27" s="217">
        <f ca="1" t="shared" si="1"/>
        <v>23.8</v>
      </c>
      <c r="T27" s="67">
        <f t="shared" si="3"/>
        <v>0</v>
      </c>
      <c r="U27" s="67">
        <f ca="1" t="shared" si="2"/>
        <v>0</v>
      </c>
      <c r="V27" s="60">
        <f>E27-O27</f>
        <v>0</v>
      </c>
      <c r="W27" s="67">
        <f ca="1" t="shared" si="5"/>
        <v>0</v>
      </c>
    </row>
    <row r="28" ht="15" customHeight="1" spans="1:23">
      <c r="A28" s="31"/>
      <c r="B28" s="152" t="s">
        <v>551</v>
      </c>
      <c r="C28" s="43"/>
      <c r="D28" s="43" t="s">
        <v>434</v>
      </c>
      <c r="E28" s="150">
        <f>F3*2</f>
        <v>4</v>
      </c>
      <c r="F28" s="122">
        <v>15.5</v>
      </c>
      <c r="G28" s="154"/>
      <c r="H28" s="154"/>
      <c r="I28" s="101"/>
      <c r="J28" s="101"/>
      <c r="K28" s="101"/>
      <c r="L28" s="101"/>
      <c r="M28" s="101"/>
      <c r="N28" s="219" t="s">
        <v>1456</v>
      </c>
      <c r="O28" s="175">
        <v>4</v>
      </c>
      <c r="Q28" s="227"/>
      <c r="S28" s="217">
        <f ca="1" t="shared" si="1"/>
        <v>62</v>
      </c>
      <c r="T28" s="67">
        <f t="shared" si="3"/>
        <v>0</v>
      </c>
      <c r="U28" s="67">
        <f ca="1" t="shared" si="2"/>
        <v>0</v>
      </c>
      <c r="V28" s="60">
        <f>E28-O28</f>
        <v>0</v>
      </c>
      <c r="W28" s="67">
        <f ca="1" t="shared" si="5"/>
        <v>0</v>
      </c>
    </row>
    <row r="29" ht="15" customHeight="1" spans="1:23">
      <c r="A29" s="153" t="s">
        <v>1216</v>
      </c>
      <c r="B29" s="91" t="s">
        <v>1457</v>
      </c>
      <c r="C29" s="23"/>
      <c r="D29" s="23" t="s">
        <v>612</v>
      </c>
      <c r="E29" s="24">
        <f>A3</f>
        <v>2</v>
      </c>
      <c r="F29" s="41">
        <f ca="1">I29+J29+K29+L29+M29</f>
        <v>2094.48</v>
      </c>
      <c r="G29" s="154">
        <v>20.4</v>
      </c>
      <c r="H29" s="154">
        <v>5</v>
      </c>
      <c r="I29" s="101">
        <f ca="1">G29*H29*'15变18（人字150料）参数 '!D15*1.1</f>
        <v>1884.96</v>
      </c>
      <c r="J29" s="101">
        <f>20.4*2*4*1.1</f>
        <v>179.52</v>
      </c>
      <c r="K29" s="101"/>
      <c r="L29" s="101">
        <v>30</v>
      </c>
      <c r="M29" s="101"/>
      <c r="N29" s="51" t="s">
        <v>1458</v>
      </c>
      <c r="O29" s="167">
        <v>1</v>
      </c>
      <c r="Q29" s="227">
        <v>71.65</v>
      </c>
      <c r="S29" s="217">
        <f ca="1" t="shared" si="1"/>
        <v>2094.48</v>
      </c>
      <c r="T29" s="67">
        <f t="shared" si="3"/>
        <v>1</v>
      </c>
      <c r="U29" s="67">
        <f ca="1" t="shared" si="2"/>
        <v>2094.48</v>
      </c>
      <c r="V29" s="60">
        <v>0</v>
      </c>
      <c r="W29" s="67">
        <f ca="1" t="shared" si="5"/>
        <v>0</v>
      </c>
    </row>
    <row r="30" ht="15" customHeight="1" spans="1:23">
      <c r="A30" s="153"/>
      <c r="B30" s="91" t="s">
        <v>1459</v>
      </c>
      <c r="C30" s="23"/>
      <c r="D30" s="23" t="s">
        <v>664</v>
      </c>
      <c r="E30" s="24">
        <f>F3</f>
        <v>2</v>
      </c>
      <c r="F30" s="41">
        <f ca="1">I30+J30+K30+L30+M30</f>
        <v>658.5444</v>
      </c>
      <c r="G30" s="157">
        <v>9.35</v>
      </c>
      <c r="H30" s="157">
        <v>3.48</v>
      </c>
      <c r="I30" s="71">
        <f ca="1">G30*H30*'15变18（人字150料）参数 '!D14</f>
        <v>449.0244</v>
      </c>
      <c r="J30" s="71">
        <f>20.4*2*4*1.1</f>
        <v>179.52</v>
      </c>
      <c r="K30" s="71"/>
      <c r="L30" s="71">
        <v>30</v>
      </c>
      <c r="M30" s="71"/>
      <c r="N30" s="120" t="s">
        <v>1460</v>
      </c>
      <c r="O30" s="167">
        <v>2</v>
      </c>
      <c r="Q30" s="227">
        <v>21.35</v>
      </c>
      <c r="S30" s="217">
        <f ca="1" t="shared" si="1"/>
        <v>1317.0888</v>
      </c>
      <c r="T30" s="67">
        <f t="shared" si="3"/>
        <v>0</v>
      </c>
      <c r="U30" s="67">
        <f ca="1" t="shared" si="2"/>
        <v>0</v>
      </c>
      <c r="V30" s="60">
        <f>E30-O30</f>
        <v>0</v>
      </c>
      <c r="W30" s="67">
        <f ca="1" t="shared" si="5"/>
        <v>0</v>
      </c>
    </row>
    <row r="31" ht="15" customHeight="1" spans="1:23">
      <c r="A31" s="153"/>
      <c r="B31" s="91" t="s">
        <v>1461</v>
      </c>
      <c r="C31" s="23"/>
      <c r="D31" s="23" t="s">
        <v>664</v>
      </c>
      <c r="E31" s="24">
        <f>A3*2</f>
        <v>4</v>
      </c>
      <c r="F31" s="122">
        <f ca="1">I31+J31+K31+L31+M31</f>
        <v>350.13592</v>
      </c>
      <c r="G31" s="148">
        <v>5.2</v>
      </c>
      <c r="H31" s="154">
        <v>3.97</v>
      </c>
      <c r="I31" s="101">
        <f ca="1">G31*H31*'15变18（人字150料）参数 '!D14*1.1</f>
        <v>313.37592</v>
      </c>
      <c r="J31" s="101">
        <f>4*2</f>
        <v>8</v>
      </c>
      <c r="K31" s="101">
        <f>0.5*10</f>
        <v>5</v>
      </c>
      <c r="L31" s="101">
        <f>0.32*18</f>
        <v>5.76</v>
      </c>
      <c r="M31" s="101">
        <f>18*1</f>
        <v>18</v>
      </c>
      <c r="N31" s="219" t="s">
        <v>1371</v>
      </c>
      <c r="O31" s="167">
        <v>2</v>
      </c>
      <c r="Q31" s="227">
        <v>14.15</v>
      </c>
      <c r="S31" s="217">
        <f ca="1" t="shared" si="1"/>
        <v>700.27184</v>
      </c>
      <c r="T31" s="67">
        <f t="shared" si="3"/>
        <v>2</v>
      </c>
      <c r="U31" s="67">
        <f ca="1" t="shared" si="2"/>
        <v>700.27184</v>
      </c>
      <c r="V31" s="60">
        <f>E31-O31</f>
        <v>2</v>
      </c>
      <c r="W31" s="67">
        <f ca="1" t="shared" si="5"/>
        <v>700.27184</v>
      </c>
    </row>
    <row r="32" ht="15" customHeight="1" spans="1:23">
      <c r="A32" s="155"/>
      <c r="B32" s="152" t="s">
        <v>1462</v>
      </c>
      <c r="C32" s="43"/>
      <c r="D32" s="43" t="s">
        <v>664</v>
      </c>
      <c r="E32" s="150">
        <f>F3*2</f>
        <v>4</v>
      </c>
      <c r="F32" s="122">
        <f ca="1">I32+J32+K32+L32+M32</f>
        <v>270.586648</v>
      </c>
      <c r="G32" s="154">
        <v>3.88</v>
      </c>
      <c r="H32" s="154">
        <v>3.97</v>
      </c>
      <c r="I32" s="101">
        <f ca="1">G32*H32*'15变18（人字150料）参数 '!D14*1.1</f>
        <v>233.826648</v>
      </c>
      <c r="J32" s="101">
        <f>J33</f>
        <v>8</v>
      </c>
      <c r="K32" s="101">
        <f>K33</f>
        <v>5</v>
      </c>
      <c r="L32" s="101">
        <f>L33</f>
        <v>5.76</v>
      </c>
      <c r="M32" s="101">
        <f>M33</f>
        <v>18</v>
      </c>
      <c r="N32" s="51" t="s">
        <v>1463</v>
      </c>
      <c r="O32" s="172">
        <v>4</v>
      </c>
      <c r="Q32" s="227"/>
      <c r="S32" s="217">
        <f ca="1" t="shared" si="1"/>
        <v>1082.346592</v>
      </c>
      <c r="T32" s="67">
        <f t="shared" si="3"/>
        <v>0</v>
      </c>
      <c r="U32" s="67">
        <f ca="1" t="shared" si="2"/>
        <v>0</v>
      </c>
      <c r="V32" s="60"/>
      <c r="W32" s="67"/>
    </row>
    <row r="33" ht="15" customHeight="1" spans="1:23">
      <c r="A33" s="155"/>
      <c r="B33" s="152" t="s">
        <v>1464</v>
      </c>
      <c r="C33" s="43"/>
      <c r="D33" s="43" t="s">
        <v>664</v>
      </c>
      <c r="E33" s="150">
        <f>F3*2</f>
        <v>4</v>
      </c>
      <c r="F33" s="122">
        <f ca="1">I33+J33+K33+L33+M33</f>
        <v>350.13592</v>
      </c>
      <c r="G33" s="148">
        <v>5.2</v>
      </c>
      <c r="H33" s="154">
        <v>3.97</v>
      </c>
      <c r="I33" s="101">
        <f ca="1">G33*H33*'15变18（人字150料）参数 '!D14*1.1</f>
        <v>313.37592</v>
      </c>
      <c r="J33" s="101">
        <f>4*2</f>
        <v>8</v>
      </c>
      <c r="K33" s="101">
        <f>0.5*10</f>
        <v>5</v>
      </c>
      <c r="L33" s="101">
        <f>0.32*18</f>
        <v>5.76</v>
      </c>
      <c r="M33" s="101">
        <f>18*1</f>
        <v>18</v>
      </c>
      <c r="N33" s="219" t="s">
        <v>1371</v>
      </c>
      <c r="O33" s="172">
        <v>4</v>
      </c>
      <c r="Q33" s="227">
        <v>14.15</v>
      </c>
      <c r="S33" s="217">
        <f ca="1" t="shared" si="1"/>
        <v>1400.54368</v>
      </c>
      <c r="T33" s="67">
        <f t="shared" si="3"/>
        <v>0</v>
      </c>
      <c r="U33" s="67">
        <f ca="1" t="shared" si="2"/>
        <v>0</v>
      </c>
      <c r="V33" s="60">
        <f t="shared" ref="V33:V38" si="7">E33-O33</f>
        <v>0</v>
      </c>
      <c r="W33" s="67">
        <f ca="1" t="shared" ref="W33:W38" si="8">F33*V33</f>
        <v>0</v>
      </c>
    </row>
    <row r="34" ht="15" customHeight="1" spans="1:23">
      <c r="A34" s="20" t="s">
        <v>1217</v>
      </c>
      <c r="B34" s="21" t="s">
        <v>569</v>
      </c>
      <c r="C34" s="23"/>
      <c r="D34" s="23" t="s">
        <v>434</v>
      </c>
      <c r="E34" s="24">
        <f>F3*2</f>
        <v>4</v>
      </c>
      <c r="F34" s="101">
        <v>1.5</v>
      </c>
      <c r="G34" s="157"/>
      <c r="H34" s="157"/>
      <c r="I34" s="71"/>
      <c r="J34" s="71"/>
      <c r="K34" s="71"/>
      <c r="L34" s="71"/>
      <c r="M34" s="71"/>
      <c r="N34" s="120" t="s">
        <v>1465</v>
      </c>
      <c r="O34" s="167">
        <v>4</v>
      </c>
      <c r="Q34" s="227">
        <v>0.105</v>
      </c>
      <c r="S34" s="217">
        <f ca="1" t="shared" si="1"/>
        <v>6</v>
      </c>
      <c r="T34" s="67">
        <f t="shared" si="3"/>
        <v>0</v>
      </c>
      <c r="U34" s="67">
        <f ca="1" t="shared" si="2"/>
        <v>0</v>
      </c>
      <c r="V34" s="60">
        <f t="shared" si="7"/>
        <v>0</v>
      </c>
      <c r="W34" s="67">
        <f ca="1" t="shared" si="8"/>
        <v>0</v>
      </c>
    </row>
    <row r="35" ht="15" customHeight="1" spans="1:23">
      <c r="A35" s="20"/>
      <c r="B35" s="91" t="s">
        <v>1466</v>
      </c>
      <c r="C35" s="23"/>
      <c r="D35" s="23" t="s">
        <v>434</v>
      </c>
      <c r="E35" s="24">
        <f>A3*4</f>
        <v>8</v>
      </c>
      <c r="F35" s="101">
        <v>1.52</v>
      </c>
      <c r="G35" s="154"/>
      <c r="H35" s="154"/>
      <c r="I35" s="101"/>
      <c r="J35" s="101"/>
      <c r="K35" s="101"/>
      <c r="L35" s="101"/>
      <c r="M35" s="101"/>
      <c r="N35" s="120" t="s">
        <v>1467</v>
      </c>
      <c r="O35" s="167">
        <v>4</v>
      </c>
      <c r="Q35" s="227">
        <v>0.25</v>
      </c>
      <c r="S35" s="217">
        <f ca="1" t="shared" si="1"/>
        <v>6.08</v>
      </c>
      <c r="T35" s="67">
        <f t="shared" si="3"/>
        <v>4</v>
      </c>
      <c r="U35" s="67">
        <f ca="1" t="shared" si="2"/>
        <v>6.08</v>
      </c>
      <c r="V35" s="60">
        <v>0</v>
      </c>
      <c r="W35" s="67">
        <f ca="1" t="shared" si="8"/>
        <v>0</v>
      </c>
    </row>
    <row r="36" ht="15" customHeight="1" spans="1:23">
      <c r="A36" s="20"/>
      <c r="B36" s="91" t="s">
        <v>1468</v>
      </c>
      <c r="C36" s="23"/>
      <c r="D36" s="23" t="s">
        <v>434</v>
      </c>
      <c r="E36" s="28">
        <f>D3*8+E24*2</f>
        <v>34</v>
      </c>
      <c r="F36" s="101">
        <v>1.76</v>
      </c>
      <c r="G36" s="154"/>
      <c r="H36" s="154"/>
      <c r="I36" s="101"/>
      <c r="J36" s="101"/>
      <c r="K36" s="101"/>
      <c r="L36" s="101"/>
      <c r="M36" s="101"/>
      <c r="N36" s="120" t="s">
        <v>1469</v>
      </c>
      <c r="O36" s="167">
        <v>26</v>
      </c>
      <c r="Q36" s="227">
        <v>0.28</v>
      </c>
      <c r="S36" s="217">
        <f ca="1" t="shared" si="1"/>
        <v>45.76</v>
      </c>
      <c r="T36" s="67">
        <f t="shared" si="3"/>
        <v>8</v>
      </c>
      <c r="U36" s="67">
        <f ca="1" t="shared" si="2"/>
        <v>14.08</v>
      </c>
      <c r="V36" s="60">
        <v>0</v>
      </c>
      <c r="W36" s="67">
        <f ca="1" t="shared" si="8"/>
        <v>0</v>
      </c>
    </row>
    <row r="37" ht="15" customHeight="1" spans="1:23">
      <c r="A37" s="20"/>
      <c r="B37" s="91" t="s">
        <v>1470</v>
      </c>
      <c r="C37" s="23"/>
      <c r="D37" s="23" t="s">
        <v>434</v>
      </c>
      <c r="E37" s="28">
        <f>E13+E24</f>
        <v>10</v>
      </c>
      <c r="F37" s="101">
        <v>1.93</v>
      </c>
      <c r="G37" s="154"/>
      <c r="H37" s="154"/>
      <c r="I37" s="101"/>
      <c r="J37" s="101"/>
      <c r="K37" s="101"/>
      <c r="L37" s="101"/>
      <c r="M37" s="101"/>
      <c r="N37" s="120" t="s">
        <v>1471</v>
      </c>
      <c r="O37" s="167">
        <v>10</v>
      </c>
      <c r="Q37" s="227"/>
      <c r="S37" s="217">
        <f ca="1" t="shared" si="1"/>
        <v>19.3</v>
      </c>
      <c r="T37" s="67">
        <f t="shared" si="3"/>
        <v>0</v>
      </c>
      <c r="U37" s="67">
        <f ca="1" t="shared" si="2"/>
        <v>0</v>
      </c>
      <c r="V37" s="60">
        <v>0</v>
      </c>
      <c r="W37" s="67">
        <f ca="1" t="shared" si="8"/>
        <v>0</v>
      </c>
    </row>
    <row r="38" ht="15" customHeight="1" spans="1:23">
      <c r="A38" s="20"/>
      <c r="B38" s="91" t="s">
        <v>554</v>
      </c>
      <c r="C38" s="23"/>
      <c r="D38" s="23" t="s">
        <v>555</v>
      </c>
      <c r="E38" s="28">
        <f>E22+E23+E13</f>
        <v>17</v>
      </c>
      <c r="F38" s="101">
        <v>1.46</v>
      </c>
      <c r="G38" s="154"/>
      <c r="H38" s="154"/>
      <c r="I38" s="101"/>
      <c r="J38" s="101"/>
      <c r="K38" s="101"/>
      <c r="L38" s="101"/>
      <c r="M38" s="101"/>
      <c r="N38" s="120" t="s">
        <v>1472</v>
      </c>
      <c r="O38" s="169">
        <v>15</v>
      </c>
      <c r="Q38" s="227"/>
      <c r="S38" s="217">
        <f ca="1" t="shared" si="1"/>
        <v>21.9</v>
      </c>
      <c r="T38" s="67">
        <f t="shared" si="3"/>
        <v>2</v>
      </c>
      <c r="U38" s="67">
        <f ca="1" t="shared" si="2"/>
        <v>2.92</v>
      </c>
      <c r="V38" s="60">
        <f t="shared" si="7"/>
        <v>2</v>
      </c>
      <c r="W38" s="67">
        <f ca="1" t="shared" si="8"/>
        <v>2.92</v>
      </c>
    </row>
    <row r="39" spans="6:22">
      <c r="F39" s="214"/>
      <c r="G39" s="214"/>
      <c r="H39" s="214"/>
      <c r="I39" s="214"/>
      <c r="J39" s="214"/>
      <c r="K39" s="214"/>
      <c r="L39" s="214"/>
      <c r="M39" s="214"/>
      <c r="N39" s="214"/>
      <c r="O39" s="220" t="s">
        <v>1218</v>
      </c>
      <c r="P39" s="221"/>
      <c r="Q39" s="221"/>
      <c r="R39" s="221"/>
      <c r="S39" s="221">
        <f ca="1">SUM(S5:S38)</f>
        <v>28475.2792428144</v>
      </c>
      <c r="T39" s="3" t="s">
        <v>1219</v>
      </c>
      <c r="U39" s="221">
        <f ca="1">SUM(U5:U38)</f>
        <v>10715.802755</v>
      </c>
      <c r="V39" s="3">
        <f>11145.96+406.48</f>
        <v>11552.44</v>
      </c>
    </row>
    <row r="40" spans="2:21">
      <c r="B40" s="215" t="s">
        <v>1221</v>
      </c>
      <c r="F40" s="214"/>
      <c r="G40" s="214"/>
      <c r="H40" s="214"/>
      <c r="I40" s="214"/>
      <c r="J40" s="214"/>
      <c r="K40" s="214"/>
      <c r="L40" s="214"/>
      <c r="M40" s="214"/>
      <c r="N40" s="214"/>
      <c r="O40" s="220"/>
      <c r="P40" s="221"/>
      <c r="Q40" s="221"/>
      <c r="R40" s="221"/>
      <c r="S40" s="221"/>
      <c r="T40" s="221"/>
      <c r="U40" s="221"/>
    </row>
    <row r="41" spans="6:21">
      <c r="F41" s="214"/>
      <c r="G41" s="214"/>
      <c r="H41" s="214"/>
      <c r="I41" s="214"/>
      <c r="J41" s="214"/>
      <c r="K41" s="214"/>
      <c r="L41" s="214"/>
      <c r="M41" s="214"/>
      <c r="N41" s="214"/>
      <c r="O41" s="220" t="s">
        <v>1377</v>
      </c>
      <c r="P41" s="221"/>
      <c r="Q41" s="221"/>
      <c r="R41" s="221"/>
      <c r="S41" s="221">
        <f ca="1">S39+U39</f>
        <v>39191.0819978144</v>
      </c>
      <c r="T41" s="221"/>
      <c r="U41" s="221"/>
    </row>
    <row r="42" spans="2:21">
      <c r="B42" s="52" t="s">
        <v>1473</v>
      </c>
      <c r="C42" s="52"/>
      <c r="D42" s="52"/>
      <c r="E42" s="52"/>
      <c r="F42" s="52"/>
      <c r="G42" s="52"/>
      <c r="H42" s="52"/>
      <c r="I42" s="52"/>
      <c r="J42" s="52"/>
      <c r="K42" s="52"/>
      <c r="L42" s="52"/>
      <c r="M42" s="52"/>
      <c r="N42" s="214"/>
      <c r="O42" s="220" t="s">
        <v>1474</v>
      </c>
      <c r="P42" s="221"/>
      <c r="Q42" s="221"/>
      <c r="R42" s="221"/>
      <c r="S42" s="221">
        <f ca="1">S41/E2</f>
        <v>217.728233321191</v>
      </c>
      <c r="T42" s="221"/>
      <c r="U42" s="221"/>
    </row>
    <row r="43" spans="2:15">
      <c r="B43" s="53" t="s">
        <v>1475</v>
      </c>
      <c r="C43" s="53"/>
      <c r="D43" s="53"/>
      <c r="E43" s="53"/>
      <c r="F43" s="53"/>
      <c r="G43" s="53"/>
      <c r="H43" s="53"/>
      <c r="I43" s="53"/>
      <c r="J43" s="53"/>
      <c r="K43" s="53"/>
      <c r="L43" s="53"/>
      <c r="M43" s="53"/>
      <c r="O43" s="3"/>
    </row>
    <row r="44" spans="2:13">
      <c r="B44" s="53"/>
      <c r="C44" s="53"/>
      <c r="D44" s="53"/>
      <c r="E44" s="53"/>
      <c r="F44" s="53"/>
      <c r="G44" s="53"/>
      <c r="H44" s="53"/>
      <c r="I44" s="53"/>
      <c r="J44" s="53"/>
      <c r="K44" s="53"/>
      <c r="L44" s="53"/>
      <c r="M44" s="53"/>
    </row>
    <row r="45" spans="2:13">
      <c r="B45" s="53"/>
      <c r="C45" s="53"/>
      <c r="D45" s="53"/>
      <c r="E45" s="53"/>
      <c r="F45" s="53"/>
      <c r="G45" s="53"/>
      <c r="H45" s="53"/>
      <c r="I45" s="53"/>
      <c r="J45" s="53"/>
      <c r="K45" s="53"/>
      <c r="L45" s="53"/>
      <c r="M45" s="53"/>
    </row>
    <row r="46" spans="2:13">
      <c r="B46" s="53"/>
      <c r="C46" s="53"/>
      <c r="D46" s="53"/>
      <c r="E46" s="53"/>
      <c r="F46" s="53"/>
      <c r="G46" s="53"/>
      <c r="H46" s="53"/>
      <c r="I46" s="53"/>
      <c r="J46" s="53"/>
      <c r="K46" s="53"/>
      <c r="L46" s="53"/>
      <c r="M46" s="53"/>
    </row>
    <row r="47" spans="2:13">
      <c r="B47" s="53"/>
      <c r="C47" s="53"/>
      <c r="D47" s="53"/>
      <c r="E47" s="53"/>
      <c r="F47" s="53"/>
      <c r="G47" s="53"/>
      <c r="H47" s="53"/>
      <c r="I47" s="53"/>
      <c r="J47" s="53"/>
      <c r="K47" s="53"/>
      <c r="L47" s="53"/>
      <c r="M47" s="53"/>
    </row>
    <row r="48" spans="2:13">
      <c r="B48" s="53"/>
      <c r="C48" s="53"/>
      <c r="D48" s="53"/>
      <c r="E48" s="53"/>
      <c r="F48" s="53"/>
      <c r="G48" s="53"/>
      <c r="H48" s="53"/>
      <c r="I48" s="53"/>
      <c r="J48" s="53"/>
      <c r="K48" s="53"/>
      <c r="L48" s="53"/>
      <c r="M48" s="53"/>
    </row>
  </sheetData>
  <mergeCells count="10">
    <mergeCell ref="A1:N1"/>
    <mergeCell ref="A2:C2"/>
    <mergeCell ref="F2:N2"/>
    <mergeCell ref="A3:B3"/>
    <mergeCell ref="H3:M3"/>
    <mergeCell ref="A5:A20"/>
    <mergeCell ref="A21:A28"/>
    <mergeCell ref="A29:A33"/>
    <mergeCell ref="A34:A38"/>
    <mergeCell ref="B43:F48"/>
  </mergeCells>
  <dataValidations count="5">
    <dataValidation type="list" allowBlank="1" showInputMessage="1" showErrorMessage="1" sqref="B29">
      <formula1>"顶布[白]{全新},顶布[白]{A类},顶布[白]{B类},顶布[白]{C类},顶布[白]{D类}"</formula1>
    </dataValidation>
    <dataValidation type="list" allowBlank="1" showInputMessage="1" showErrorMessage="1" sqref="B30">
      <formula1>"山尖布[白]{全新},山尖布[白]{A类},山尖布[白]{B类},山尖布[白]{C类},山尖布[白]{D类}"</formula1>
    </dataValidation>
    <dataValidation type="list" allowBlank="1" showInputMessage="1" showErrorMessage="1" sqref="B31">
      <formula1>"围布[白]{全新},围布[白]{A类},围布[白]{B类},围布[白]{C类},围布[白]{D类},透光窗围布[白]{全新},透光窗围布[白]{A类},透光窗围布[白]{B类},透光窗围布[白]{C类},透光窗围布[白]{D类}"</formula1>
    </dataValidation>
    <dataValidation allowBlank="1" showInputMessage="1" showErrorMessage="1" sqref="B32 B35"/>
    <dataValidation type="list" allowBlank="1" showInputMessage="1" showErrorMessage="1" sqref="B33">
      <formula1>"端边围布[白]{全新},端边围布[白]{A类},端边围布[白]{B类},端边围布[白]{C类},端边围布[白]{D类},透光窗端边围布[白]{全新},透光窗端边围布[白]{A类},透光窗端边围布[白]{B类},透光窗端边围布[白]{C类},透光窗端边围布[白]{D类}"</formula1>
    </dataValidation>
  </dataValidations>
  <printOptions horizontalCentered="1"/>
  <pageMargins left="0.238888888888889" right="0.11875" top="0.159027777777778" bottom="0.259027777777778" header="0.159027777777778" footer="0.2"/>
  <pageSetup paperSize="9" orientation="landscape"/>
  <headerFooter alignWithMargins="0" scaleWithDoc="0">
    <oddFooter>&amp;L&amp;"SimSun"&amp;9&amp;C&amp;"SimSun"&amp;9第 &amp;P 页，共 &amp;N 页&amp;R&amp;"SimSun"&amp;9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20"/>
  <sheetViews>
    <sheetView showGridLines="0" workbookViewId="0">
      <selection activeCell="D6" sqref="D6"/>
    </sheetView>
  </sheetViews>
  <sheetFormatPr defaultColWidth="9" defaultRowHeight="15" customHeight="1" outlineLevelCol="5"/>
  <cols>
    <col min="1" max="1" width="10.625" style="323" customWidth="1"/>
    <col min="2" max="2" width="10.625" customWidth="1"/>
    <col min="3" max="3" width="16.9583333333333" customWidth="1"/>
    <col min="4" max="4" width="24" customWidth="1"/>
  </cols>
  <sheetData>
    <row r="1" customHeight="1" spans="1:6">
      <c r="A1" s="315" t="s">
        <v>17</v>
      </c>
      <c r="B1" s="316"/>
      <c r="C1" s="317"/>
      <c r="D1" s="317"/>
      <c r="E1" s="317"/>
      <c r="F1" s="318"/>
    </row>
    <row r="2" ht="16" customHeight="1" spans="1:6">
      <c r="A2" s="319" t="s">
        <v>18</v>
      </c>
      <c r="B2" s="319" t="s">
        <v>19</v>
      </c>
      <c r="C2" s="319" t="s">
        <v>20</v>
      </c>
      <c r="D2" s="319" t="s">
        <v>21</v>
      </c>
      <c r="E2" s="319" t="s">
        <v>22</v>
      </c>
      <c r="F2" s="320" t="s">
        <v>23</v>
      </c>
    </row>
    <row r="3" customHeight="1" spans="1:6">
      <c r="A3" s="330" t="s">
        <v>805</v>
      </c>
      <c r="B3" s="23" t="s">
        <v>806</v>
      </c>
      <c r="C3" s="296" t="s">
        <v>807</v>
      </c>
      <c r="D3" s="331" t="s">
        <v>808</v>
      </c>
      <c r="E3" s="23" t="s">
        <v>434</v>
      </c>
      <c r="F3" s="322">
        <v>1</v>
      </c>
    </row>
    <row r="4" customHeight="1" spans="1:6">
      <c r="A4" s="330"/>
      <c r="B4" s="23" t="s">
        <v>809</v>
      </c>
      <c r="C4" s="296" t="s">
        <v>810</v>
      </c>
      <c r="D4" s="331" t="s">
        <v>811</v>
      </c>
      <c r="E4" s="23" t="s">
        <v>434</v>
      </c>
      <c r="F4" s="322">
        <v>1</v>
      </c>
    </row>
    <row r="5" customHeight="1" spans="1:6">
      <c r="A5" s="330"/>
      <c r="B5" s="23" t="s">
        <v>812</v>
      </c>
      <c r="C5" s="296" t="s">
        <v>813</v>
      </c>
      <c r="D5" s="296"/>
      <c r="E5" s="23" t="s">
        <v>434</v>
      </c>
      <c r="F5" s="322">
        <v>1</v>
      </c>
    </row>
    <row r="6" customHeight="1" spans="1:6">
      <c r="A6" s="330"/>
      <c r="B6" s="23" t="s">
        <v>814</v>
      </c>
      <c r="C6" s="296" t="s">
        <v>815</v>
      </c>
      <c r="D6" s="296"/>
      <c r="E6" s="23" t="s">
        <v>434</v>
      </c>
      <c r="F6" s="322">
        <v>1</v>
      </c>
    </row>
    <row r="7" customHeight="1" spans="1:6">
      <c r="A7" s="330"/>
      <c r="B7" s="23" t="s">
        <v>816</v>
      </c>
      <c r="C7" s="296" t="s">
        <v>817</v>
      </c>
      <c r="D7" s="296"/>
      <c r="E7" s="23" t="s">
        <v>434</v>
      </c>
      <c r="F7" s="322">
        <v>1</v>
      </c>
    </row>
    <row r="8" customHeight="1" spans="1:6">
      <c r="A8" s="330"/>
      <c r="B8" s="23" t="s">
        <v>818</v>
      </c>
      <c r="C8" s="296" t="s">
        <v>819</v>
      </c>
      <c r="D8" s="296"/>
      <c r="E8" s="23" t="s">
        <v>434</v>
      </c>
      <c r="F8" s="322">
        <v>1</v>
      </c>
    </row>
    <row r="9" customHeight="1" spans="1:6">
      <c r="A9" s="330"/>
      <c r="B9" s="23" t="s">
        <v>820</v>
      </c>
      <c r="C9" s="296" t="s">
        <v>821</v>
      </c>
      <c r="D9" s="296"/>
      <c r="E9" s="23" t="s">
        <v>434</v>
      </c>
      <c r="F9" s="322">
        <v>1</v>
      </c>
    </row>
    <row r="10" customHeight="1" spans="1:6">
      <c r="A10" s="330"/>
      <c r="B10" s="23" t="s">
        <v>822</v>
      </c>
      <c r="C10" s="296" t="s">
        <v>823</v>
      </c>
      <c r="D10" s="296"/>
      <c r="E10" s="23" t="s">
        <v>434</v>
      </c>
      <c r="F10" s="322">
        <v>1</v>
      </c>
    </row>
    <row r="11" customHeight="1" spans="1:6">
      <c r="A11" s="330"/>
      <c r="B11" s="23" t="s">
        <v>824</v>
      </c>
      <c r="C11" s="296" t="s">
        <v>825</v>
      </c>
      <c r="D11" s="296"/>
      <c r="E11" s="23" t="s">
        <v>434</v>
      </c>
      <c r="F11" s="322">
        <v>1</v>
      </c>
    </row>
    <row r="12" customHeight="1" spans="1:6">
      <c r="A12" s="330"/>
      <c r="B12" s="23" t="s">
        <v>826</v>
      </c>
      <c r="C12" s="296" t="s">
        <v>827</v>
      </c>
      <c r="D12" s="296"/>
      <c r="E12" s="23" t="s">
        <v>434</v>
      </c>
      <c r="F12" s="322">
        <v>1</v>
      </c>
    </row>
    <row r="13" customHeight="1" spans="1:6">
      <c r="A13" s="330"/>
      <c r="B13" s="23" t="s">
        <v>828</v>
      </c>
      <c r="C13" s="296" t="s">
        <v>829</v>
      </c>
      <c r="D13" s="296"/>
      <c r="E13" s="23" t="s">
        <v>434</v>
      </c>
      <c r="F13" s="322">
        <v>1</v>
      </c>
    </row>
    <row r="14" customHeight="1" spans="1:6">
      <c r="A14" s="330"/>
      <c r="B14" s="23" t="s">
        <v>830</v>
      </c>
      <c r="C14" s="296" t="s">
        <v>831</v>
      </c>
      <c r="D14" s="296"/>
      <c r="E14" s="23" t="s">
        <v>434</v>
      </c>
      <c r="F14" s="322">
        <v>1</v>
      </c>
    </row>
    <row r="15" customHeight="1" spans="1:6">
      <c r="A15" s="330"/>
      <c r="B15" s="23" t="s">
        <v>832</v>
      </c>
      <c r="C15" s="296" t="s">
        <v>833</v>
      </c>
      <c r="D15" s="296"/>
      <c r="E15" s="23" t="s">
        <v>434</v>
      </c>
      <c r="F15" s="322">
        <v>1</v>
      </c>
    </row>
    <row r="16" customHeight="1" spans="1:6">
      <c r="A16" s="330"/>
      <c r="B16" s="23" t="s">
        <v>834</v>
      </c>
      <c r="C16" s="296" t="s">
        <v>835</v>
      </c>
      <c r="D16" s="296"/>
      <c r="E16" s="23" t="s">
        <v>434</v>
      </c>
      <c r="F16" s="322">
        <v>1</v>
      </c>
    </row>
    <row r="17" customHeight="1" spans="1:6">
      <c r="A17" s="330"/>
      <c r="B17" s="23" t="s">
        <v>836</v>
      </c>
      <c r="C17" s="296" t="s">
        <v>837</v>
      </c>
      <c r="D17" s="296"/>
      <c r="E17" s="23" t="s">
        <v>434</v>
      </c>
      <c r="F17" s="322">
        <v>1</v>
      </c>
    </row>
    <row r="18" customHeight="1" spans="1:6">
      <c r="A18" s="330"/>
      <c r="B18" s="23" t="s">
        <v>838</v>
      </c>
      <c r="C18" s="296" t="s">
        <v>839</v>
      </c>
      <c r="D18" s="296"/>
      <c r="E18" s="23" t="s">
        <v>434</v>
      </c>
      <c r="F18" s="322">
        <v>1</v>
      </c>
    </row>
    <row r="19" customHeight="1" spans="1:6">
      <c r="A19" s="330"/>
      <c r="B19" s="23" t="s">
        <v>840</v>
      </c>
      <c r="C19" s="296" t="s">
        <v>841</v>
      </c>
      <c r="D19" s="296"/>
      <c r="E19" s="23" t="s">
        <v>434</v>
      </c>
      <c r="F19" s="322">
        <v>1</v>
      </c>
    </row>
    <row r="20" customHeight="1" spans="1:6">
      <c r="A20" s="330"/>
      <c r="B20" s="23" t="s">
        <v>842</v>
      </c>
      <c r="C20" s="296" t="s">
        <v>843</v>
      </c>
      <c r="D20" s="296"/>
      <c r="E20" s="23" t="s">
        <v>434</v>
      </c>
      <c r="F20" s="322">
        <v>1</v>
      </c>
    </row>
  </sheetData>
  <mergeCells count="1">
    <mergeCell ref="A3:A20"/>
  </mergeCells>
  <conditionalFormatting sqref="B3:B20">
    <cfRule type="duplicateValues" dxfId="0" priority="1"/>
  </conditionalFormatting>
  <pageMargins left="0.75" right="0.75" top="1" bottom="1" header="0.511805555555556" footer="0.511805555555556"/>
  <headerFooter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FF0000"/>
  </sheetPr>
  <dimension ref="A1:R46"/>
  <sheetViews>
    <sheetView showGridLines="0" topLeftCell="A7" workbookViewId="0">
      <selection activeCell="F12" sqref="F12"/>
    </sheetView>
  </sheetViews>
  <sheetFormatPr defaultColWidth="9" defaultRowHeight="14.25"/>
  <cols>
    <col min="1" max="1" width="3.875" style="1" customWidth="1"/>
    <col min="2" max="2" width="16.125" style="1" customWidth="1"/>
    <col min="3" max="5" width="9" style="1"/>
    <col min="6" max="8" width="9" style="1" customWidth="1"/>
    <col min="9" max="9" width="11.375" style="1" customWidth="1"/>
    <col min="10" max="13" width="9" style="1" customWidth="1"/>
    <col min="14" max="14" width="55.375" style="1" customWidth="1"/>
    <col min="15" max="15" width="9" style="1"/>
    <col min="16" max="16" width="17.75" style="1" customWidth="1"/>
    <col min="17" max="17" width="9" style="1"/>
    <col min="18" max="18" width="13.625" style="1" customWidth="1"/>
    <col min="19" max="16384" width="9" style="1"/>
  </cols>
  <sheetData>
    <row r="1" ht="18.75" spans="1:18">
      <c r="A1" s="72" t="s">
        <v>1476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161"/>
      <c r="P1" s="3"/>
      <c r="Q1" s="3"/>
      <c r="R1" s="3"/>
    </row>
    <row r="2" spans="1:18">
      <c r="A2" s="141" t="s">
        <v>1246</v>
      </c>
      <c r="B2" s="141"/>
      <c r="C2" s="141"/>
      <c r="D2" s="9" t="s">
        <v>1198</v>
      </c>
      <c r="E2" s="10">
        <f>A3*5*18</f>
        <v>180</v>
      </c>
      <c r="F2" s="11"/>
      <c r="G2" s="11"/>
      <c r="H2" s="11"/>
      <c r="I2" s="11"/>
      <c r="J2" s="11"/>
      <c r="K2" s="11"/>
      <c r="L2" s="11"/>
      <c r="M2" s="11"/>
      <c r="N2" s="11"/>
      <c r="O2" s="162"/>
      <c r="P2" s="55"/>
      <c r="Q2" s="55"/>
      <c r="R2" s="55"/>
    </row>
    <row r="3" spans="1:18">
      <c r="A3" s="177">
        <v>2</v>
      </c>
      <c r="B3" s="177"/>
      <c r="C3" s="178" t="s">
        <v>1247</v>
      </c>
      <c r="D3" s="179">
        <v>3</v>
      </c>
      <c r="E3" s="189" t="s">
        <v>1248</v>
      </c>
      <c r="F3" s="188">
        <v>2</v>
      </c>
      <c r="G3" s="191" t="s">
        <v>1249</v>
      </c>
      <c r="H3" s="12"/>
      <c r="I3" s="12"/>
      <c r="J3" s="12"/>
      <c r="K3" s="12"/>
      <c r="L3" s="12"/>
      <c r="M3" s="12"/>
      <c r="N3" s="131"/>
      <c r="P3" s="55"/>
      <c r="Q3" s="55"/>
      <c r="R3" s="55"/>
    </row>
    <row r="4" ht="24" spans="1:18">
      <c r="A4" s="146" t="s">
        <v>1200</v>
      </c>
      <c r="B4" s="146" t="s">
        <v>1201</v>
      </c>
      <c r="C4" s="146" t="s">
        <v>1250</v>
      </c>
      <c r="D4" s="146" t="s">
        <v>22</v>
      </c>
      <c r="E4" s="146" t="s">
        <v>23</v>
      </c>
      <c r="F4" s="75" t="s">
        <v>1204</v>
      </c>
      <c r="G4" s="19" t="s">
        <v>1205</v>
      </c>
      <c r="H4" s="17" t="s">
        <v>1253</v>
      </c>
      <c r="I4" s="17" t="s">
        <v>1254</v>
      </c>
      <c r="J4" s="17" t="s">
        <v>1255</v>
      </c>
      <c r="K4" s="17" t="s">
        <v>1209</v>
      </c>
      <c r="L4" s="17" t="s">
        <v>1347</v>
      </c>
      <c r="M4" s="17" t="s">
        <v>1211</v>
      </c>
      <c r="N4" s="75" t="s">
        <v>1257</v>
      </c>
      <c r="O4" s="216" t="s">
        <v>1430</v>
      </c>
      <c r="P4" s="75" t="s">
        <v>1213</v>
      </c>
      <c r="Q4" s="222" t="s">
        <v>1431</v>
      </c>
      <c r="R4" s="75" t="s">
        <v>1213</v>
      </c>
    </row>
    <row r="5" ht="18" customHeight="1" spans="1:18">
      <c r="A5" s="20" t="s">
        <v>1215</v>
      </c>
      <c r="B5" s="91" t="s">
        <v>1224</v>
      </c>
      <c r="C5" s="23"/>
      <c r="D5" s="23" t="s">
        <v>28</v>
      </c>
      <c r="E5" s="24">
        <f>D3*2</f>
        <v>6</v>
      </c>
      <c r="F5" s="93">
        <f ca="1">I5+J5+K5+L5+M5</f>
        <v>1213.654612</v>
      </c>
      <c r="G5" s="94">
        <v>4.55</v>
      </c>
      <c r="H5" s="94">
        <v>5.3</v>
      </c>
      <c r="I5" s="93">
        <f ca="1">G5*H5*'15变18（人字150料）参数 '!G5*1.1</f>
        <v>573.184612</v>
      </c>
      <c r="J5" s="93">
        <v>75.88</v>
      </c>
      <c r="K5" s="93">
        <f>500+42.69</f>
        <v>542.69</v>
      </c>
      <c r="L5" s="93">
        <f>2.55*4</f>
        <v>10.2</v>
      </c>
      <c r="M5" s="93">
        <f>18*0.65</f>
        <v>11.7</v>
      </c>
      <c r="N5" s="166" t="s">
        <v>1477</v>
      </c>
      <c r="O5" s="167">
        <v>4</v>
      </c>
      <c r="P5" s="217">
        <f ca="1" t="shared" ref="P5:P36" si="0">F5*O5</f>
        <v>4854.618448</v>
      </c>
      <c r="Q5" s="67">
        <f t="shared" ref="Q5:Q36" si="1">E5-O5</f>
        <v>2</v>
      </c>
      <c r="R5" s="67">
        <f ca="1" t="shared" ref="R5:R36" si="2">F5*Q5</f>
        <v>2427.309224</v>
      </c>
    </row>
    <row r="6" ht="18" customHeight="1" spans="1:18">
      <c r="A6" s="20"/>
      <c r="B6" s="91" t="s">
        <v>1308</v>
      </c>
      <c r="C6" s="23"/>
      <c r="D6" s="23" t="s">
        <v>28</v>
      </c>
      <c r="E6" s="24">
        <f>F3*2</f>
        <v>4</v>
      </c>
      <c r="F6" s="101">
        <f ca="1">G6+H6+I6+J6+K6+L6+M6</f>
        <v>868.06784</v>
      </c>
      <c r="G6" s="148">
        <v>6</v>
      </c>
      <c r="H6" s="148">
        <v>5.3</v>
      </c>
      <c r="I6" s="93">
        <f ca="1">G6*H6*'15变18（人字150料）参数 '!G5*1.1</f>
        <v>755.84784</v>
      </c>
      <c r="J6" s="101"/>
      <c r="K6" s="101">
        <f>49.51+41.21</f>
        <v>90.72</v>
      </c>
      <c r="L6" s="101">
        <f>2.55*4</f>
        <v>10.2</v>
      </c>
      <c r="M6" s="101"/>
      <c r="N6" s="166" t="s">
        <v>1478</v>
      </c>
      <c r="O6" s="167">
        <v>4</v>
      </c>
      <c r="P6" s="217">
        <f ca="1" t="shared" si="0"/>
        <v>3472.27136</v>
      </c>
      <c r="Q6" s="67">
        <f t="shared" si="1"/>
        <v>0</v>
      </c>
      <c r="R6" s="67">
        <f ca="1" t="shared" si="2"/>
        <v>0</v>
      </c>
    </row>
    <row r="7" ht="18" customHeight="1" spans="1:18">
      <c r="A7" s="20"/>
      <c r="B7" s="91" t="s">
        <v>1435</v>
      </c>
      <c r="C7" s="23"/>
      <c r="D7" s="23" t="s">
        <v>28</v>
      </c>
      <c r="E7" s="24">
        <f>F3</f>
        <v>2</v>
      </c>
      <c r="F7" s="101">
        <f ca="1">G7+H7+I7+J7+K7+L7+M7</f>
        <v>1020.437408</v>
      </c>
      <c r="G7" s="148">
        <v>7.2</v>
      </c>
      <c r="H7" s="148">
        <v>5.3</v>
      </c>
      <c r="I7" s="93">
        <f ca="1">G7*H7*'15变18（人字150料）参数 '!G5*1.1</f>
        <v>907.017408</v>
      </c>
      <c r="J7" s="101"/>
      <c r="K7" s="101">
        <f>49.51+41.21</f>
        <v>90.72</v>
      </c>
      <c r="L7" s="101">
        <f>2.55*4</f>
        <v>10.2</v>
      </c>
      <c r="M7" s="101"/>
      <c r="N7" s="166" t="s">
        <v>1479</v>
      </c>
      <c r="O7" s="167">
        <v>2</v>
      </c>
      <c r="P7" s="217">
        <f ca="1" t="shared" si="0"/>
        <v>2040.874816</v>
      </c>
      <c r="Q7" s="67">
        <f t="shared" si="1"/>
        <v>0</v>
      </c>
      <c r="R7" s="67">
        <f ca="1" t="shared" si="2"/>
        <v>0</v>
      </c>
    </row>
    <row r="8" ht="18" customHeight="1" spans="1:18">
      <c r="A8" s="20"/>
      <c r="B8" s="91" t="s">
        <v>1350</v>
      </c>
      <c r="C8" s="23"/>
      <c r="D8" s="23" t="s">
        <v>28</v>
      </c>
      <c r="E8" s="24">
        <f>D3*2</f>
        <v>6</v>
      </c>
      <c r="F8" s="61">
        <f ca="1">I8+J8+K8+L8+M8</f>
        <v>1058.493316</v>
      </c>
      <c r="G8" s="95">
        <v>8.15</v>
      </c>
      <c r="H8" s="95">
        <v>5.3</v>
      </c>
      <c r="I8" s="93">
        <f ca="1">G8*H8*'15变18（人字150料）参数 '!G5*1.1</f>
        <v>1026.693316</v>
      </c>
      <c r="J8" s="61">
        <f ca="1">2.5*6</f>
        <v>15</v>
      </c>
      <c r="K8" s="61">
        <v>10.8</v>
      </c>
      <c r="L8" s="61">
        <f>1*6</f>
        <v>6</v>
      </c>
      <c r="M8" s="61"/>
      <c r="N8" s="116" t="s">
        <v>1437</v>
      </c>
      <c r="O8" s="167">
        <v>4</v>
      </c>
      <c r="P8" s="217">
        <f ca="1" t="shared" si="0"/>
        <v>4233.973264</v>
      </c>
      <c r="Q8" s="67">
        <f t="shared" si="1"/>
        <v>2</v>
      </c>
      <c r="R8" s="67">
        <f ca="1" t="shared" si="2"/>
        <v>2116.986632</v>
      </c>
    </row>
    <row r="9" ht="18" customHeight="1" spans="1:18">
      <c r="A9" s="20"/>
      <c r="B9" s="91" t="s">
        <v>1438</v>
      </c>
      <c r="C9" s="23"/>
      <c r="D9" s="23" t="s">
        <v>28</v>
      </c>
      <c r="E9" s="24">
        <f>D3*2</f>
        <v>6</v>
      </c>
      <c r="F9" s="61">
        <f ca="1">I9+J9+K9+L9+M9</f>
        <v>442.7074652</v>
      </c>
      <c r="G9" s="103">
        <v>1.55</v>
      </c>
      <c r="H9" s="103">
        <v>5.3</v>
      </c>
      <c r="I9" s="93">
        <f ca="1">G9*H9*'15变18（人字150料）参数 '!G5*1.1</f>
        <v>195.260692</v>
      </c>
      <c r="J9" s="61">
        <f ca="1">1.5*6.601*'15变18（人字150料）参数 '!G5*1.1</f>
        <v>235.3467732</v>
      </c>
      <c r="K9" s="61">
        <f>2*2.5</f>
        <v>5</v>
      </c>
      <c r="L9" s="61">
        <f>2*2.55</f>
        <v>5.1</v>
      </c>
      <c r="M9" s="61">
        <f>2*1</f>
        <v>2</v>
      </c>
      <c r="N9" s="116" t="s">
        <v>1439</v>
      </c>
      <c r="O9" s="167">
        <v>4</v>
      </c>
      <c r="P9" s="218">
        <f ca="1" t="shared" si="0"/>
        <v>1770.8298608</v>
      </c>
      <c r="Q9" s="67">
        <f t="shared" si="1"/>
        <v>2</v>
      </c>
      <c r="R9" s="223">
        <f ca="1" t="shared" si="2"/>
        <v>885.4149304</v>
      </c>
    </row>
    <row r="10" ht="18" customHeight="1" spans="1:18">
      <c r="A10" s="20"/>
      <c r="B10" s="91" t="s">
        <v>1226</v>
      </c>
      <c r="C10" s="23"/>
      <c r="D10" s="23" t="s">
        <v>28</v>
      </c>
      <c r="E10" s="24">
        <f>A3*6</f>
        <v>12</v>
      </c>
      <c r="F10" s="101">
        <f ca="1">I10+J10+K10+L10+M10</f>
        <v>195.0929650432</v>
      </c>
      <c r="G10" s="148">
        <v>4.882</v>
      </c>
      <c r="H10" s="148">
        <v>1.552</v>
      </c>
      <c r="I10" s="93">
        <f ca="1">G10*H10*'15变18（人字150料）参数 '!G5*1.1</f>
        <v>180.0929650432</v>
      </c>
      <c r="J10" s="101"/>
      <c r="K10" s="101"/>
      <c r="L10" s="101">
        <f>0.5*4</f>
        <v>2</v>
      </c>
      <c r="M10" s="101">
        <f>6.5*2</f>
        <v>13</v>
      </c>
      <c r="N10" s="120" t="s">
        <v>1440</v>
      </c>
      <c r="O10" s="169">
        <v>6</v>
      </c>
      <c r="P10" s="217">
        <f ca="1" t="shared" si="0"/>
        <v>1170.5577902592</v>
      </c>
      <c r="Q10" s="67">
        <f t="shared" si="1"/>
        <v>6</v>
      </c>
      <c r="R10" s="67">
        <f ca="1" t="shared" si="2"/>
        <v>1170.5577902592</v>
      </c>
    </row>
    <row r="11" ht="18" customHeight="1" spans="1:18">
      <c r="A11" s="20"/>
      <c r="B11" s="91" t="s">
        <v>1264</v>
      </c>
      <c r="C11" s="23"/>
      <c r="D11" s="23" t="s">
        <v>28</v>
      </c>
      <c r="E11" s="24">
        <f>A3*3</f>
        <v>6</v>
      </c>
      <c r="F11" s="101">
        <f ca="1">I11+J11+K11+L11+M11</f>
        <v>336.5448493136</v>
      </c>
      <c r="G11" s="148">
        <v>4.882</v>
      </c>
      <c r="H11" s="148">
        <v>2.771</v>
      </c>
      <c r="I11" s="93">
        <f ca="1">G11*H11*'15变18（人字150料）参数 '!G5*1.1</f>
        <v>321.5448493136</v>
      </c>
      <c r="J11" s="101"/>
      <c r="K11" s="101"/>
      <c r="L11" s="101">
        <f>0.5*4</f>
        <v>2</v>
      </c>
      <c r="M11" s="101">
        <f>6.5*2</f>
        <v>13</v>
      </c>
      <c r="N11" s="120" t="s">
        <v>1353</v>
      </c>
      <c r="O11" s="169">
        <v>3</v>
      </c>
      <c r="P11" s="217">
        <f ca="1" t="shared" si="0"/>
        <v>1009.6345479408</v>
      </c>
      <c r="Q11" s="67">
        <f t="shared" si="1"/>
        <v>3</v>
      </c>
      <c r="R11" s="67">
        <f ca="1" t="shared" si="2"/>
        <v>1009.6345479408</v>
      </c>
    </row>
    <row r="12" ht="18" customHeight="1" spans="1:18">
      <c r="A12" s="20"/>
      <c r="B12" s="91" t="s">
        <v>1266</v>
      </c>
      <c r="C12" s="23"/>
      <c r="D12" s="23" t="s">
        <v>28</v>
      </c>
      <c r="E12" s="24">
        <f>A3*2+F3*2</f>
        <v>8</v>
      </c>
      <c r="F12" s="101">
        <f ca="1">'数据修改（批量）'!A28</f>
        <v>95</v>
      </c>
      <c r="G12" s="148">
        <v>4.86</v>
      </c>
      <c r="H12" s="148">
        <v>1.345</v>
      </c>
      <c r="I12" s="93">
        <f ca="1">G12*H12*'15变18（人字150料）参数 '!G5*1.1</f>
        <v>155.36951496</v>
      </c>
      <c r="J12" s="101"/>
      <c r="K12" s="101"/>
      <c r="L12" s="101"/>
      <c r="M12" s="101"/>
      <c r="N12" s="120" t="s">
        <v>1354</v>
      </c>
      <c r="O12" s="167">
        <v>6</v>
      </c>
      <c r="P12" s="217">
        <f ca="1" t="shared" si="0"/>
        <v>570</v>
      </c>
      <c r="Q12" s="67">
        <f t="shared" si="1"/>
        <v>2</v>
      </c>
      <c r="R12" s="67">
        <f ca="1" t="shared" si="2"/>
        <v>190</v>
      </c>
    </row>
    <row r="13" ht="18" customHeight="1" spans="1:18">
      <c r="A13" s="20"/>
      <c r="B13" s="91" t="s">
        <v>1272</v>
      </c>
      <c r="C13" s="23"/>
      <c r="D13" s="23" t="s">
        <v>28</v>
      </c>
      <c r="E13" s="30">
        <v>5</v>
      </c>
      <c r="F13" s="101">
        <f>(I13+J13+K13+L13+M13)*1.2</f>
        <v>149.4</v>
      </c>
      <c r="G13" s="148"/>
      <c r="H13" s="148"/>
      <c r="I13" s="101">
        <v>110</v>
      </c>
      <c r="J13" s="101">
        <v>6.5</v>
      </c>
      <c r="K13" s="101">
        <v>4</v>
      </c>
      <c r="L13" s="101">
        <v>3</v>
      </c>
      <c r="M13" s="101">
        <v>1</v>
      </c>
      <c r="N13" s="120" t="s">
        <v>1355</v>
      </c>
      <c r="O13" s="167">
        <v>4</v>
      </c>
      <c r="P13" s="217">
        <f ca="1" t="shared" si="0"/>
        <v>597.6</v>
      </c>
      <c r="Q13" s="67">
        <f t="shared" si="1"/>
        <v>1</v>
      </c>
      <c r="R13" s="67">
        <f ca="1" t="shared" si="2"/>
        <v>149.4</v>
      </c>
    </row>
    <row r="14" ht="18" customHeight="1" spans="1:18">
      <c r="A14" s="20"/>
      <c r="B14" s="91" t="s">
        <v>1356</v>
      </c>
      <c r="C14" s="23"/>
      <c r="D14" s="23" t="s">
        <v>28</v>
      </c>
      <c r="E14" s="24">
        <f>F3</f>
        <v>2</v>
      </c>
      <c r="F14" s="101">
        <f ca="1">I14</f>
        <v>75.628</v>
      </c>
      <c r="G14" s="154">
        <v>3.5</v>
      </c>
      <c r="H14" s="154">
        <v>1</v>
      </c>
      <c r="I14" s="101">
        <f ca="1">G14*H14*'15变18（人字150料）参数 '!G5</f>
        <v>75.628</v>
      </c>
      <c r="J14" s="101"/>
      <c r="K14" s="101"/>
      <c r="L14" s="101"/>
      <c r="M14" s="101"/>
      <c r="N14" s="170" t="s">
        <v>1441</v>
      </c>
      <c r="O14" s="167">
        <v>2</v>
      </c>
      <c r="P14" s="217">
        <f ca="1" t="shared" si="0"/>
        <v>151.256</v>
      </c>
      <c r="Q14" s="67">
        <f t="shared" si="1"/>
        <v>0</v>
      </c>
      <c r="R14" s="67">
        <f ca="1" t="shared" si="2"/>
        <v>0</v>
      </c>
    </row>
    <row r="15" ht="18" customHeight="1" spans="1:18">
      <c r="A15" s="20"/>
      <c r="B15" s="91" t="s">
        <v>1442</v>
      </c>
      <c r="C15" s="23"/>
      <c r="D15" s="23" t="s">
        <v>28</v>
      </c>
      <c r="E15" s="24">
        <f>F3*2</f>
        <v>4</v>
      </c>
      <c r="F15" s="101">
        <f ca="1">I15+J15+K15+L15+M15</f>
        <v>270.57387748</v>
      </c>
      <c r="G15" s="154">
        <v>3.85</v>
      </c>
      <c r="H15" s="154">
        <v>2.771</v>
      </c>
      <c r="I15" s="101">
        <f ca="1">G15*H15*'15变18（人字150料）参数 '!G5*1.1</f>
        <v>253.57387748</v>
      </c>
      <c r="J15" s="101"/>
      <c r="K15" s="101"/>
      <c r="L15" s="101">
        <f>2*2</f>
        <v>4</v>
      </c>
      <c r="M15" s="101">
        <f>2*6.5</f>
        <v>13</v>
      </c>
      <c r="N15" s="120" t="s">
        <v>1443</v>
      </c>
      <c r="O15" s="167">
        <v>4</v>
      </c>
      <c r="P15" s="217">
        <f ca="1" t="shared" si="0"/>
        <v>1082.29550992</v>
      </c>
      <c r="Q15" s="67">
        <f t="shared" si="1"/>
        <v>0</v>
      </c>
      <c r="R15" s="67">
        <f ca="1" t="shared" si="2"/>
        <v>0</v>
      </c>
    </row>
    <row r="16" ht="18" customHeight="1" spans="1:18">
      <c r="A16" s="20"/>
      <c r="B16" s="91" t="s">
        <v>1444</v>
      </c>
      <c r="C16" s="23"/>
      <c r="D16" s="23" t="s">
        <v>28</v>
      </c>
      <c r="E16" s="24">
        <f>F3*2</f>
        <v>4</v>
      </c>
      <c r="F16" s="101">
        <f ca="1">I16+J16+K16+L16+M16</f>
        <v>123.40047896</v>
      </c>
      <c r="G16" s="154">
        <v>3.86</v>
      </c>
      <c r="H16" s="154">
        <v>1.345</v>
      </c>
      <c r="I16" s="101">
        <f ca="1">G16*H16*'15变18（人字150料）参数 '!G5*1.1</f>
        <v>123.40047896</v>
      </c>
      <c r="J16" s="101"/>
      <c r="K16" s="101"/>
      <c r="L16" s="101"/>
      <c r="M16" s="101"/>
      <c r="N16" s="120" t="s">
        <v>1445</v>
      </c>
      <c r="O16" s="167">
        <v>4</v>
      </c>
      <c r="P16" s="217">
        <f ca="1" t="shared" si="0"/>
        <v>493.60191584</v>
      </c>
      <c r="Q16" s="67">
        <f t="shared" si="1"/>
        <v>0</v>
      </c>
      <c r="R16" s="67">
        <f ca="1" t="shared" si="2"/>
        <v>0</v>
      </c>
    </row>
    <row r="17" ht="18" customHeight="1" spans="1:18">
      <c r="A17" s="20"/>
      <c r="B17" s="91" t="s">
        <v>1276</v>
      </c>
      <c r="C17" s="23"/>
      <c r="D17" s="23" t="s">
        <v>28</v>
      </c>
      <c r="E17" s="28">
        <f>F3*2</f>
        <v>4</v>
      </c>
      <c r="F17" s="101">
        <f ca="1">I17+J17+K17+L17+M17</f>
        <v>348.2448493136</v>
      </c>
      <c r="G17" s="95">
        <v>4.882</v>
      </c>
      <c r="H17" s="95">
        <v>2.771</v>
      </c>
      <c r="I17" s="61">
        <f ca="1">G17*H17*'15变18（人字150料）参数 '!G5*1.1</f>
        <v>321.5448493136</v>
      </c>
      <c r="J17" s="61"/>
      <c r="K17" s="61">
        <v>15</v>
      </c>
      <c r="L17" s="61">
        <f>8*0.65</f>
        <v>5.2</v>
      </c>
      <c r="M17" s="61">
        <v>6.5</v>
      </c>
      <c r="N17" s="120" t="s">
        <v>1358</v>
      </c>
      <c r="O17" s="167">
        <v>4</v>
      </c>
      <c r="P17" s="217">
        <f ca="1" t="shared" si="0"/>
        <v>1392.9793972544</v>
      </c>
      <c r="Q17" s="67">
        <f t="shared" si="1"/>
        <v>0</v>
      </c>
      <c r="R17" s="67">
        <f ca="1" t="shared" si="2"/>
        <v>0</v>
      </c>
    </row>
    <row r="18" ht="18" customHeight="1" spans="1:18">
      <c r="A18" s="31"/>
      <c r="B18" s="149" t="s">
        <v>1274</v>
      </c>
      <c r="C18" s="43"/>
      <c r="D18" s="43" t="s">
        <v>28</v>
      </c>
      <c r="E18" s="150">
        <f>E29+E31</f>
        <v>8</v>
      </c>
      <c r="F18" s="195">
        <f>(G18+H18+I18+J18+K18+L18+M18)*1.1</f>
        <v>24.2</v>
      </c>
      <c r="G18" s="160"/>
      <c r="H18" s="160"/>
      <c r="I18" s="39">
        <v>16</v>
      </c>
      <c r="J18" s="39"/>
      <c r="K18" s="39">
        <f>2*3</f>
        <v>6</v>
      </c>
      <c r="L18" s="39"/>
      <c r="M18" s="39"/>
      <c r="N18" s="171" t="s">
        <v>1449</v>
      </c>
      <c r="O18" s="172">
        <v>6</v>
      </c>
      <c r="P18" s="217">
        <f ca="1" t="shared" si="0"/>
        <v>145.2</v>
      </c>
      <c r="Q18" s="67">
        <f t="shared" si="1"/>
        <v>2</v>
      </c>
      <c r="R18" s="67">
        <f ca="1" t="shared" si="2"/>
        <v>48.4</v>
      </c>
    </row>
    <row r="19" ht="18" customHeight="1" spans="1:18">
      <c r="A19" s="20" t="s">
        <v>1278</v>
      </c>
      <c r="B19" s="91" t="s">
        <v>1304</v>
      </c>
      <c r="C19" s="23"/>
      <c r="D19" s="23" t="s">
        <v>434</v>
      </c>
      <c r="E19" s="24">
        <f>D3</f>
        <v>3</v>
      </c>
      <c r="F19" s="101">
        <v>168</v>
      </c>
      <c r="G19" s="154"/>
      <c r="H19" s="154"/>
      <c r="I19" s="101"/>
      <c r="J19" s="101"/>
      <c r="K19" s="101"/>
      <c r="L19" s="101"/>
      <c r="M19" s="101"/>
      <c r="N19" s="120" t="s">
        <v>1361</v>
      </c>
      <c r="O19" s="167">
        <v>2</v>
      </c>
      <c r="P19" s="217">
        <f ca="1" t="shared" si="0"/>
        <v>336</v>
      </c>
      <c r="Q19" s="67">
        <f t="shared" si="1"/>
        <v>1</v>
      </c>
      <c r="R19" s="67">
        <f ca="1" t="shared" si="2"/>
        <v>168</v>
      </c>
    </row>
    <row r="20" ht="18" customHeight="1" spans="1:18">
      <c r="A20" s="20"/>
      <c r="B20" s="91" t="s">
        <v>1310</v>
      </c>
      <c r="C20" s="23"/>
      <c r="D20" s="23" t="s">
        <v>434</v>
      </c>
      <c r="E20" s="24">
        <f>E6+E7</f>
        <v>6</v>
      </c>
      <c r="F20" s="101">
        <v>74.28</v>
      </c>
      <c r="G20" s="154"/>
      <c r="H20" s="154"/>
      <c r="I20" s="101"/>
      <c r="J20" s="101"/>
      <c r="K20" s="101"/>
      <c r="L20" s="101"/>
      <c r="M20" s="101"/>
      <c r="N20" s="120" t="s">
        <v>1450</v>
      </c>
      <c r="O20" s="167">
        <v>6</v>
      </c>
      <c r="P20" s="217">
        <f ca="1" t="shared" si="0"/>
        <v>445.68</v>
      </c>
      <c r="Q20" s="67">
        <f t="shared" si="1"/>
        <v>0</v>
      </c>
      <c r="R20" s="67">
        <f ca="1" t="shared" si="2"/>
        <v>0</v>
      </c>
    </row>
    <row r="21" ht="18" customHeight="1" spans="1:18">
      <c r="A21" s="20"/>
      <c r="B21" s="91" t="s">
        <v>1280</v>
      </c>
      <c r="C21" s="23"/>
      <c r="D21" s="23" t="s">
        <v>434</v>
      </c>
      <c r="E21" s="28">
        <f>E5</f>
        <v>6</v>
      </c>
      <c r="F21" s="101">
        <v>76.4</v>
      </c>
      <c r="G21" s="103"/>
      <c r="H21" s="103"/>
      <c r="I21" s="61"/>
      <c r="J21" s="61"/>
      <c r="K21" s="61"/>
      <c r="L21" s="61"/>
      <c r="M21" s="61"/>
      <c r="N21" s="173" t="s">
        <v>1451</v>
      </c>
      <c r="O21" s="167">
        <v>4</v>
      </c>
      <c r="P21" s="217">
        <f ca="1" t="shared" si="0"/>
        <v>305.6</v>
      </c>
      <c r="Q21" s="67">
        <f t="shared" si="1"/>
        <v>2</v>
      </c>
      <c r="R21" s="67">
        <f ca="1" t="shared" si="2"/>
        <v>152.8</v>
      </c>
    </row>
    <row r="22" ht="18" customHeight="1" spans="1:18">
      <c r="A22" s="20"/>
      <c r="B22" s="91" t="s">
        <v>1339</v>
      </c>
      <c r="C22" s="23"/>
      <c r="D22" s="23" t="s">
        <v>28</v>
      </c>
      <c r="E22" s="32">
        <f>E13</f>
        <v>5</v>
      </c>
      <c r="F22" s="61">
        <v>91.3</v>
      </c>
      <c r="G22" s="154"/>
      <c r="H22" s="154"/>
      <c r="I22" s="101"/>
      <c r="J22" s="101"/>
      <c r="K22" s="101"/>
      <c r="L22" s="101"/>
      <c r="M22" s="101"/>
      <c r="N22" s="120" t="s">
        <v>1452</v>
      </c>
      <c r="O22" s="167">
        <v>4</v>
      </c>
      <c r="P22" s="217">
        <f ca="1" t="shared" si="0"/>
        <v>365.2</v>
      </c>
      <c r="Q22" s="67">
        <f t="shared" si="1"/>
        <v>1</v>
      </c>
      <c r="R22" s="67">
        <f ca="1" t="shared" si="2"/>
        <v>91.3</v>
      </c>
    </row>
    <row r="23" ht="18" customHeight="1" spans="1:18">
      <c r="A23" s="20"/>
      <c r="B23" s="91" t="s">
        <v>1282</v>
      </c>
      <c r="C23" s="23"/>
      <c r="D23" s="23" t="s">
        <v>434</v>
      </c>
      <c r="E23" s="24">
        <f>D3*2+F3*2</f>
        <v>10</v>
      </c>
      <c r="F23" s="101">
        <v>4.45</v>
      </c>
      <c r="G23" s="154"/>
      <c r="H23" s="154"/>
      <c r="I23" s="101"/>
      <c r="J23" s="101"/>
      <c r="K23" s="101"/>
      <c r="L23" s="101"/>
      <c r="M23" s="101"/>
      <c r="N23" s="120" t="s">
        <v>1453</v>
      </c>
      <c r="O23" s="167">
        <v>8</v>
      </c>
      <c r="P23" s="217">
        <f ca="1" t="shared" si="0"/>
        <v>35.6</v>
      </c>
      <c r="Q23" s="67">
        <f t="shared" si="1"/>
        <v>2</v>
      </c>
      <c r="R23" s="67">
        <f ca="1" t="shared" si="2"/>
        <v>8.9</v>
      </c>
    </row>
    <row r="24" ht="18" customHeight="1" spans="1:18">
      <c r="A24" s="20"/>
      <c r="B24" s="91" t="s">
        <v>1284</v>
      </c>
      <c r="C24" s="23"/>
      <c r="D24" s="23" t="s">
        <v>434</v>
      </c>
      <c r="E24" s="24">
        <f>D3*2</f>
        <v>6</v>
      </c>
      <c r="F24" s="101">
        <v>6.51</v>
      </c>
      <c r="G24" s="154"/>
      <c r="H24" s="154"/>
      <c r="I24" s="101"/>
      <c r="J24" s="101"/>
      <c r="K24" s="101"/>
      <c r="L24" s="101"/>
      <c r="M24" s="101"/>
      <c r="N24" s="120" t="s">
        <v>1454</v>
      </c>
      <c r="O24" s="167">
        <v>4</v>
      </c>
      <c r="P24" s="217">
        <f ca="1" t="shared" si="0"/>
        <v>26.04</v>
      </c>
      <c r="Q24" s="67">
        <f t="shared" si="1"/>
        <v>2</v>
      </c>
      <c r="R24" s="67">
        <f ca="1" t="shared" si="2"/>
        <v>13.02</v>
      </c>
    </row>
    <row r="25" ht="18" customHeight="1" spans="1:18">
      <c r="A25" s="20"/>
      <c r="B25" s="91" t="s">
        <v>519</v>
      </c>
      <c r="C25" s="23"/>
      <c r="D25" s="23" t="s">
        <v>434</v>
      </c>
      <c r="E25" s="24">
        <f>F3*2</f>
        <v>4</v>
      </c>
      <c r="F25" s="101">
        <v>5.95</v>
      </c>
      <c r="G25" s="160"/>
      <c r="H25" s="160"/>
      <c r="I25" s="39"/>
      <c r="J25" s="39"/>
      <c r="K25" s="39"/>
      <c r="L25" s="39"/>
      <c r="M25" s="39"/>
      <c r="N25" s="171" t="s">
        <v>1455</v>
      </c>
      <c r="O25" s="167">
        <v>4</v>
      </c>
      <c r="P25" s="217">
        <f ca="1" t="shared" si="0"/>
        <v>23.8</v>
      </c>
      <c r="Q25" s="67">
        <f t="shared" si="1"/>
        <v>0</v>
      </c>
      <c r="R25" s="67">
        <f ca="1" t="shared" si="2"/>
        <v>0</v>
      </c>
    </row>
    <row r="26" ht="18" customHeight="1" spans="1:18">
      <c r="A26" s="31"/>
      <c r="B26" s="152" t="s">
        <v>551</v>
      </c>
      <c r="C26" s="43"/>
      <c r="D26" s="43" t="s">
        <v>434</v>
      </c>
      <c r="E26" s="150">
        <f>F3*2</f>
        <v>4</v>
      </c>
      <c r="F26" s="122">
        <v>15.5</v>
      </c>
      <c r="G26" s="154"/>
      <c r="H26" s="154"/>
      <c r="I26" s="101"/>
      <c r="J26" s="101"/>
      <c r="K26" s="101"/>
      <c r="L26" s="101"/>
      <c r="M26" s="101"/>
      <c r="N26" s="219" t="s">
        <v>1456</v>
      </c>
      <c r="O26" s="175">
        <v>4</v>
      </c>
      <c r="P26" s="217">
        <f ca="1" t="shared" si="0"/>
        <v>62</v>
      </c>
      <c r="Q26" s="67">
        <f t="shared" si="1"/>
        <v>0</v>
      </c>
      <c r="R26" s="67">
        <f ca="1" t="shared" si="2"/>
        <v>0</v>
      </c>
    </row>
    <row r="27" ht="18" customHeight="1" spans="1:18">
      <c r="A27" s="153" t="s">
        <v>1216</v>
      </c>
      <c r="B27" s="91" t="s">
        <v>1457</v>
      </c>
      <c r="C27" s="23"/>
      <c r="D27" s="23" t="s">
        <v>612</v>
      </c>
      <c r="E27" s="24">
        <f>A3</f>
        <v>2</v>
      </c>
      <c r="F27" s="41">
        <f ca="1">I27+J27+K27+L27+M27</f>
        <v>2094.48</v>
      </c>
      <c r="G27" s="154">
        <v>20.4</v>
      </c>
      <c r="H27" s="154">
        <v>5</v>
      </c>
      <c r="I27" s="101">
        <f ca="1">G27*H27*'15变18（人字150料）参数 '!D15*1.1</f>
        <v>1884.96</v>
      </c>
      <c r="J27" s="101">
        <f>20.4*2*4*1.1</f>
        <v>179.52</v>
      </c>
      <c r="K27" s="101"/>
      <c r="L27" s="101">
        <v>30</v>
      </c>
      <c r="M27" s="101"/>
      <c r="N27" s="51" t="s">
        <v>1458</v>
      </c>
      <c r="O27" s="167">
        <v>1</v>
      </c>
      <c r="P27" s="217">
        <f ca="1" t="shared" si="0"/>
        <v>2094.48</v>
      </c>
      <c r="Q27" s="67">
        <f t="shared" si="1"/>
        <v>1</v>
      </c>
      <c r="R27" s="67">
        <f ca="1" t="shared" si="2"/>
        <v>2094.48</v>
      </c>
    </row>
    <row r="28" ht="18" customHeight="1" spans="1:18">
      <c r="A28" s="153"/>
      <c r="B28" s="91" t="s">
        <v>1459</v>
      </c>
      <c r="C28" s="23"/>
      <c r="D28" s="23" t="s">
        <v>664</v>
      </c>
      <c r="E28" s="24">
        <f>F3</f>
        <v>2</v>
      </c>
      <c r="F28" s="41">
        <f ca="1">I28+J28+K28+L28+M28</f>
        <v>703.44684</v>
      </c>
      <c r="G28" s="157">
        <v>9.35</v>
      </c>
      <c r="H28" s="157">
        <v>3.48</v>
      </c>
      <c r="I28" s="71">
        <f ca="1">G28*H28*'15变18（人字150料）参数 '!D14*1.1</f>
        <v>493.92684</v>
      </c>
      <c r="J28" s="71">
        <f>20.4*2*4*1.1</f>
        <v>179.52</v>
      </c>
      <c r="K28" s="71"/>
      <c r="L28" s="71">
        <v>30</v>
      </c>
      <c r="M28" s="71"/>
      <c r="N28" s="120" t="s">
        <v>1460</v>
      </c>
      <c r="O28" s="167">
        <v>2</v>
      </c>
      <c r="P28" s="217">
        <f ca="1" t="shared" si="0"/>
        <v>1406.89368</v>
      </c>
      <c r="Q28" s="67">
        <f t="shared" si="1"/>
        <v>0</v>
      </c>
      <c r="R28" s="67">
        <f ca="1" t="shared" si="2"/>
        <v>0</v>
      </c>
    </row>
    <row r="29" ht="18" customHeight="1" spans="1:18">
      <c r="A29" s="153"/>
      <c r="B29" s="91" t="s">
        <v>1461</v>
      </c>
      <c r="C29" s="23"/>
      <c r="D29" s="23" t="s">
        <v>664</v>
      </c>
      <c r="E29" s="24">
        <f>A3*2</f>
        <v>4</v>
      </c>
      <c r="F29" s="122">
        <f ca="1">I29+J29+K29+L29+M29</f>
        <v>429.07192</v>
      </c>
      <c r="G29" s="148">
        <v>5.2</v>
      </c>
      <c r="H29" s="154">
        <v>4.97</v>
      </c>
      <c r="I29" s="101">
        <f ca="1">G29*H29*'15变18（人字150料）参数 '!D14*1.1</f>
        <v>392.31192</v>
      </c>
      <c r="J29" s="101">
        <f>4*2</f>
        <v>8</v>
      </c>
      <c r="K29" s="101">
        <f>0.5*10</f>
        <v>5</v>
      </c>
      <c r="L29" s="101">
        <f>0.32*18</f>
        <v>5.76</v>
      </c>
      <c r="M29" s="101">
        <f>18*1</f>
        <v>18</v>
      </c>
      <c r="N29" s="219" t="s">
        <v>1394</v>
      </c>
      <c r="O29" s="167">
        <v>2</v>
      </c>
      <c r="P29" s="217">
        <f ca="1" t="shared" si="0"/>
        <v>858.14384</v>
      </c>
      <c r="Q29" s="67">
        <f t="shared" si="1"/>
        <v>2</v>
      </c>
      <c r="R29" s="67">
        <f ca="1" t="shared" si="2"/>
        <v>858.14384</v>
      </c>
    </row>
    <row r="30" ht="18" customHeight="1" spans="1:18">
      <c r="A30" s="155"/>
      <c r="B30" s="152" t="s">
        <v>1462</v>
      </c>
      <c r="C30" s="43"/>
      <c r="D30" s="43" t="s">
        <v>664</v>
      </c>
      <c r="E30" s="150">
        <f>F3*2</f>
        <v>4</v>
      </c>
      <c r="F30" s="122">
        <f ca="1">I30+J30+K30+L30+M30</f>
        <v>329.485048</v>
      </c>
      <c r="G30" s="154">
        <v>3.88</v>
      </c>
      <c r="H30" s="154">
        <v>4.97</v>
      </c>
      <c r="I30" s="101">
        <f ca="1">G30*H30*'15变18（人字150料）参数 '!D14*1.1</f>
        <v>292.725048</v>
      </c>
      <c r="J30" s="101">
        <f>J31</f>
        <v>8</v>
      </c>
      <c r="K30" s="101">
        <f>K31</f>
        <v>5</v>
      </c>
      <c r="L30" s="101">
        <f>L31</f>
        <v>5.76</v>
      </c>
      <c r="M30" s="101">
        <f>M31</f>
        <v>18</v>
      </c>
      <c r="N30" s="51" t="s">
        <v>1480</v>
      </c>
      <c r="O30" s="172">
        <v>4</v>
      </c>
      <c r="P30" s="217">
        <f ca="1" t="shared" si="0"/>
        <v>1317.940192</v>
      </c>
      <c r="Q30" s="67">
        <f t="shared" si="1"/>
        <v>0</v>
      </c>
      <c r="R30" s="67">
        <f ca="1" t="shared" si="2"/>
        <v>0</v>
      </c>
    </row>
    <row r="31" ht="18" customHeight="1" spans="1:18">
      <c r="A31" s="155"/>
      <c r="B31" s="152" t="s">
        <v>1464</v>
      </c>
      <c r="C31" s="43"/>
      <c r="D31" s="43" t="s">
        <v>664</v>
      </c>
      <c r="E31" s="150">
        <f>F3*2</f>
        <v>4</v>
      </c>
      <c r="F31" s="122">
        <f ca="1">I31+J31+K31+L31+M31</f>
        <v>429.07192</v>
      </c>
      <c r="G31" s="148">
        <v>5.2</v>
      </c>
      <c r="H31" s="154">
        <v>4.97</v>
      </c>
      <c r="I31" s="101">
        <f ca="1">G31*H31*'15变18（人字150料）参数 '!D14*1.1</f>
        <v>392.31192</v>
      </c>
      <c r="J31" s="101">
        <f>4*2</f>
        <v>8</v>
      </c>
      <c r="K31" s="101">
        <f>0.5*10</f>
        <v>5</v>
      </c>
      <c r="L31" s="101">
        <f>0.32*18</f>
        <v>5.76</v>
      </c>
      <c r="M31" s="101">
        <f>18*1</f>
        <v>18</v>
      </c>
      <c r="N31" s="219" t="s">
        <v>1394</v>
      </c>
      <c r="O31" s="172">
        <v>4</v>
      </c>
      <c r="P31" s="217">
        <f ca="1" t="shared" si="0"/>
        <v>1716.28768</v>
      </c>
      <c r="Q31" s="67">
        <f t="shared" si="1"/>
        <v>0</v>
      </c>
      <c r="R31" s="67">
        <f ca="1" t="shared" si="2"/>
        <v>0</v>
      </c>
    </row>
    <row r="32" ht="18" customHeight="1" spans="1:18">
      <c r="A32" s="20" t="s">
        <v>1217</v>
      </c>
      <c r="B32" s="38" t="s">
        <v>569</v>
      </c>
      <c r="C32" s="23"/>
      <c r="D32" s="23" t="s">
        <v>434</v>
      </c>
      <c r="E32" s="24">
        <f>F3*2</f>
        <v>4</v>
      </c>
      <c r="F32" s="101">
        <v>1.5</v>
      </c>
      <c r="G32" s="157"/>
      <c r="H32" s="157"/>
      <c r="I32" s="71"/>
      <c r="J32" s="71"/>
      <c r="K32" s="71"/>
      <c r="L32" s="71"/>
      <c r="M32" s="71"/>
      <c r="N32" s="120" t="s">
        <v>1465</v>
      </c>
      <c r="O32" s="167">
        <v>4</v>
      </c>
      <c r="P32" s="217">
        <f ca="1" t="shared" si="0"/>
        <v>6</v>
      </c>
      <c r="Q32" s="67">
        <f t="shared" si="1"/>
        <v>0</v>
      </c>
      <c r="R32" s="67">
        <f ca="1" t="shared" si="2"/>
        <v>0</v>
      </c>
    </row>
    <row r="33" ht="18" customHeight="1" spans="1:18">
      <c r="A33" s="20"/>
      <c r="B33" s="91" t="s">
        <v>1466</v>
      </c>
      <c r="C33" s="23"/>
      <c r="D33" s="23" t="s">
        <v>434</v>
      </c>
      <c r="E33" s="24">
        <f>A3*4</f>
        <v>8</v>
      </c>
      <c r="F33" s="101">
        <v>1.52</v>
      </c>
      <c r="G33" s="154"/>
      <c r="H33" s="154"/>
      <c r="I33" s="101"/>
      <c r="J33" s="101"/>
      <c r="K33" s="101"/>
      <c r="L33" s="101"/>
      <c r="M33" s="101"/>
      <c r="N33" s="120" t="s">
        <v>1467</v>
      </c>
      <c r="O33" s="167">
        <v>4</v>
      </c>
      <c r="P33" s="217">
        <f ca="1" t="shared" si="0"/>
        <v>6.08</v>
      </c>
      <c r="Q33" s="67">
        <f t="shared" si="1"/>
        <v>4</v>
      </c>
      <c r="R33" s="67">
        <f ca="1" t="shared" si="2"/>
        <v>6.08</v>
      </c>
    </row>
    <row r="34" ht="18" customHeight="1" spans="1:18">
      <c r="A34" s="20"/>
      <c r="B34" s="91" t="s">
        <v>1468</v>
      </c>
      <c r="C34" s="23"/>
      <c r="D34" s="23" t="s">
        <v>434</v>
      </c>
      <c r="E34" s="28">
        <f>D3*8+E22*2</f>
        <v>34</v>
      </c>
      <c r="F34" s="101">
        <v>1.76</v>
      </c>
      <c r="G34" s="154"/>
      <c r="H34" s="154"/>
      <c r="I34" s="101"/>
      <c r="J34" s="101"/>
      <c r="K34" s="101"/>
      <c r="L34" s="101"/>
      <c r="M34" s="101"/>
      <c r="N34" s="120" t="s">
        <v>1469</v>
      </c>
      <c r="O34" s="167">
        <v>26</v>
      </c>
      <c r="P34" s="217">
        <f ca="1" t="shared" si="0"/>
        <v>45.76</v>
      </c>
      <c r="Q34" s="67">
        <f t="shared" si="1"/>
        <v>8</v>
      </c>
      <c r="R34" s="67">
        <f ca="1" t="shared" si="2"/>
        <v>14.08</v>
      </c>
    </row>
    <row r="35" ht="18" customHeight="1" spans="1:18">
      <c r="A35" s="20"/>
      <c r="B35" s="91" t="s">
        <v>1470</v>
      </c>
      <c r="C35" s="23"/>
      <c r="D35" s="23" t="s">
        <v>434</v>
      </c>
      <c r="E35" s="28">
        <f>E13+E22</f>
        <v>10</v>
      </c>
      <c r="F35" s="101">
        <v>1.93</v>
      </c>
      <c r="G35" s="154"/>
      <c r="H35" s="154"/>
      <c r="I35" s="101"/>
      <c r="J35" s="101"/>
      <c r="K35" s="101"/>
      <c r="L35" s="101"/>
      <c r="M35" s="101"/>
      <c r="N35" s="120" t="s">
        <v>1471</v>
      </c>
      <c r="O35" s="167">
        <v>10</v>
      </c>
      <c r="P35" s="217">
        <f ca="1" t="shared" si="0"/>
        <v>19.3</v>
      </c>
      <c r="Q35" s="67">
        <f t="shared" si="1"/>
        <v>0</v>
      </c>
      <c r="R35" s="67">
        <f ca="1" t="shared" si="2"/>
        <v>0</v>
      </c>
    </row>
    <row r="36" ht="18" customHeight="1" spans="1:18">
      <c r="A36" s="20"/>
      <c r="B36" s="91" t="s">
        <v>554</v>
      </c>
      <c r="C36" s="23"/>
      <c r="D36" s="23" t="s">
        <v>555</v>
      </c>
      <c r="E36" s="28">
        <f>E20+E21+E13</f>
        <v>17</v>
      </c>
      <c r="F36" s="101">
        <v>1.46</v>
      </c>
      <c r="G36" s="154"/>
      <c r="H36" s="154"/>
      <c r="I36" s="101"/>
      <c r="J36" s="101"/>
      <c r="K36" s="101"/>
      <c r="L36" s="101"/>
      <c r="M36" s="101"/>
      <c r="N36" s="120" t="s">
        <v>1472</v>
      </c>
      <c r="O36" s="169">
        <v>15</v>
      </c>
      <c r="P36" s="217">
        <f ca="1" t="shared" si="0"/>
        <v>21.9</v>
      </c>
      <c r="Q36" s="67">
        <f t="shared" si="1"/>
        <v>2</v>
      </c>
      <c r="R36" s="67">
        <f ca="1" t="shared" si="2"/>
        <v>2.92</v>
      </c>
    </row>
    <row r="37" spans="1:18">
      <c r="A37" s="50"/>
      <c r="B37" s="50"/>
      <c r="C37" s="51"/>
      <c r="D37" s="51"/>
      <c r="E37" s="50"/>
      <c r="F37" s="214"/>
      <c r="G37" s="214"/>
      <c r="H37" s="214"/>
      <c r="I37" s="214"/>
      <c r="J37" s="214"/>
      <c r="K37" s="214"/>
      <c r="L37" s="214"/>
      <c r="M37" s="214"/>
      <c r="N37" s="214"/>
      <c r="O37" s="220" t="s">
        <v>1218</v>
      </c>
      <c r="P37" s="221">
        <f ca="1">SUM(P5:P36)</f>
        <v>32078.3983020144</v>
      </c>
      <c r="Q37" s="3" t="s">
        <v>1219</v>
      </c>
      <c r="R37" s="221">
        <f ca="1">SUM(R5:R36)</f>
        <v>11407.4269646</v>
      </c>
    </row>
    <row r="38" spans="1:18">
      <c r="A38" s="50"/>
      <c r="B38" s="215" t="s">
        <v>1221</v>
      </c>
      <c r="C38" s="51"/>
      <c r="D38" s="51"/>
      <c r="E38" s="50"/>
      <c r="F38" s="214"/>
      <c r="G38" s="214"/>
      <c r="H38" s="214"/>
      <c r="I38" s="214"/>
      <c r="J38" s="214"/>
      <c r="K38" s="214"/>
      <c r="L38" s="214"/>
      <c r="M38" s="214"/>
      <c r="N38" s="214"/>
      <c r="O38" s="220"/>
      <c r="P38" s="221"/>
      <c r="Q38" s="221"/>
      <c r="R38" s="221"/>
    </row>
    <row r="39" spans="1:18">
      <c r="A39" s="50"/>
      <c r="B39" s="50"/>
      <c r="C39" s="51"/>
      <c r="D39" s="51"/>
      <c r="E39" s="50"/>
      <c r="F39" s="214"/>
      <c r="G39" s="214"/>
      <c r="H39" s="214"/>
      <c r="I39" s="214"/>
      <c r="J39" s="214"/>
      <c r="K39" s="214"/>
      <c r="L39" s="214"/>
      <c r="M39" s="214"/>
      <c r="N39" s="214"/>
      <c r="O39" s="220" t="s">
        <v>1377</v>
      </c>
      <c r="P39" s="221">
        <f ca="1">P37+R37</f>
        <v>43485.8252666144</v>
      </c>
      <c r="Q39" s="221"/>
      <c r="R39" s="221"/>
    </row>
    <row r="40" spans="1:18">
      <c r="A40" s="50"/>
      <c r="B40" s="52" t="s">
        <v>1473</v>
      </c>
      <c r="C40" s="52"/>
      <c r="D40" s="52"/>
      <c r="E40" s="52"/>
      <c r="F40" s="52"/>
      <c r="G40" s="52"/>
      <c r="H40" s="52"/>
      <c r="I40" s="52"/>
      <c r="J40" s="52"/>
      <c r="K40" s="52"/>
      <c r="L40" s="52"/>
      <c r="M40" s="52"/>
      <c r="N40" s="214"/>
      <c r="O40" s="220" t="s">
        <v>1474</v>
      </c>
      <c r="P40" s="221">
        <f ca="1">P39/E2</f>
        <v>241.587918147858</v>
      </c>
      <c r="Q40" s="221"/>
      <c r="R40" s="221"/>
    </row>
    <row r="41" spans="1:18">
      <c r="A41" s="50"/>
      <c r="B41" s="53" t="s">
        <v>1475</v>
      </c>
      <c r="C41" s="53"/>
      <c r="D41" s="53"/>
      <c r="E41" s="53"/>
      <c r="F41" s="53"/>
      <c r="G41" s="53"/>
      <c r="H41" s="53"/>
      <c r="I41" s="53"/>
      <c r="J41" s="53"/>
      <c r="K41" s="53"/>
      <c r="L41" s="53"/>
      <c r="M41" s="53"/>
      <c r="N41" s="50"/>
      <c r="O41" s="3"/>
      <c r="P41" s="3"/>
      <c r="Q41" s="3"/>
      <c r="R41" s="3"/>
    </row>
    <row r="42" spans="1:18">
      <c r="A42" s="50"/>
      <c r="B42" s="53"/>
      <c r="C42" s="53"/>
      <c r="D42" s="53"/>
      <c r="E42" s="53"/>
      <c r="F42" s="53"/>
      <c r="G42" s="53"/>
      <c r="H42" s="53"/>
      <c r="I42" s="53"/>
      <c r="J42" s="53"/>
      <c r="K42" s="53"/>
      <c r="L42" s="53"/>
      <c r="M42" s="53"/>
      <c r="N42" s="50"/>
      <c r="O42" s="50"/>
      <c r="P42" s="3"/>
      <c r="Q42" s="3"/>
      <c r="R42" s="3"/>
    </row>
    <row r="43" spans="1:18">
      <c r="A43" s="50"/>
      <c r="B43" s="53"/>
      <c r="C43" s="53"/>
      <c r="D43" s="53"/>
      <c r="E43" s="53"/>
      <c r="F43" s="53"/>
      <c r="G43" s="53"/>
      <c r="H43" s="53"/>
      <c r="I43" s="53"/>
      <c r="J43" s="53"/>
      <c r="K43" s="53"/>
      <c r="L43" s="53"/>
      <c r="M43" s="53"/>
      <c r="N43" s="50"/>
      <c r="O43" s="50"/>
      <c r="P43" s="3"/>
      <c r="Q43" s="3"/>
      <c r="R43" s="3"/>
    </row>
    <row r="44" spans="1:18">
      <c r="A44" s="50"/>
      <c r="B44" s="53"/>
      <c r="C44" s="53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0"/>
      <c r="O44" s="50"/>
      <c r="P44" s="3"/>
      <c r="Q44" s="3"/>
      <c r="R44" s="3"/>
    </row>
    <row r="45" spans="1:18">
      <c r="A45" s="50"/>
      <c r="B45" s="53"/>
      <c r="C45" s="53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0"/>
      <c r="O45" s="50"/>
      <c r="P45" s="3"/>
      <c r="Q45" s="3"/>
      <c r="R45" s="3"/>
    </row>
    <row r="46" spans="1:18">
      <c r="A46" s="50"/>
      <c r="B46" s="53"/>
      <c r="C46" s="53"/>
      <c r="D46" s="53"/>
      <c r="E46" s="53"/>
      <c r="F46" s="53"/>
      <c r="G46" s="53"/>
      <c r="H46" s="53"/>
      <c r="I46" s="53"/>
      <c r="J46" s="53"/>
      <c r="K46" s="53"/>
      <c r="L46" s="53"/>
      <c r="M46" s="53"/>
      <c r="N46" s="50"/>
      <c r="O46" s="50"/>
      <c r="P46" s="3"/>
      <c r="Q46" s="3"/>
      <c r="R46" s="3"/>
    </row>
  </sheetData>
  <mergeCells count="10">
    <mergeCell ref="A1:N1"/>
    <mergeCell ref="A2:C2"/>
    <mergeCell ref="F2:N2"/>
    <mergeCell ref="A3:B3"/>
    <mergeCell ref="H3:M3"/>
    <mergeCell ref="A5:A18"/>
    <mergeCell ref="A19:A26"/>
    <mergeCell ref="A27:A31"/>
    <mergeCell ref="A32:A36"/>
    <mergeCell ref="B41:F46"/>
  </mergeCells>
  <dataValidations count="5">
    <dataValidation type="list" allowBlank="1" showInputMessage="1" showErrorMessage="1" sqref="B27">
      <formula1>"顶布[白]{全新},顶布[白]{A类},顶布[白]{B类},顶布[白]{C类},顶布[白]{D类}"</formula1>
    </dataValidation>
    <dataValidation type="list" allowBlank="1" showInputMessage="1" showErrorMessage="1" sqref="B28">
      <formula1>"山尖布[白]{全新},山尖布[白]{A类},山尖布[白]{B类},山尖布[白]{C类},山尖布[白]{D类}"</formula1>
    </dataValidation>
    <dataValidation type="list" allowBlank="1" showInputMessage="1" showErrorMessage="1" sqref="B29">
      <formula1>"围布[白]{全新},围布[白]{A类},围布[白]{B类},围布[白]{C类},围布[白]{D类},透光窗围布[白]{全新},透光窗围布[白]{A类},透光窗围布[白]{B类},透光窗围布[白]{C类},透光窗围布[白]{D类}"</formula1>
    </dataValidation>
    <dataValidation allowBlank="1" showInputMessage="1" showErrorMessage="1" sqref="B30 B33"/>
    <dataValidation type="list" allowBlank="1" showInputMessage="1" showErrorMessage="1" sqref="B31">
      <formula1>"端边围布[白]{全新},端边围布[白]{A类},端边围布[白]{B类},端边围布[白]{C类},端边围布[白]{D类},透光窗端边围布[白]{全新},透光窗端边围布[白]{A类},透光窗端边围布[白]{B类},透光窗端边围布[白]{C类},透光窗端边围布[白]{D类}"</formula1>
    </dataValidation>
  </dataValidations>
  <pageMargins left="0.75" right="0.75" top="1" bottom="1" header="0.509027777777778" footer="0.509027777777778"/>
  <headerFooter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7030A0"/>
  </sheetPr>
  <dimension ref="A1:L27"/>
  <sheetViews>
    <sheetView showGridLines="0" workbookViewId="0">
      <selection activeCell="E31" sqref="E31"/>
    </sheetView>
  </sheetViews>
  <sheetFormatPr defaultColWidth="9" defaultRowHeight="14.25"/>
  <cols>
    <col min="1" max="1" width="19" style="1" customWidth="1"/>
    <col min="2" max="2" width="20.5" style="1" customWidth="1"/>
    <col min="3" max="3" width="10.5" style="1" customWidth="1"/>
    <col min="4" max="6" width="9" style="1"/>
    <col min="7" max="7" width="12.75" style="1" customWidth="1"/>
    <col min="8" max="16384" width="9" style="1"/>
  </cols>
  <sheetData>
    <row r="1" spans="1:4">
      <c r="A1" s="2" t="str">
        <f ca="1">'数据修改（批量）'!A1</f>
        <v>上海有色铝锭价格</v>
      </c>
      <c r="B1" s="2"/>
      <c r="C1" s="2"/>
      <c r="D1" s="3"/>
    </row>
    <row r="2" spans="1:7">
      <c r="A2" s="4">
        <f ca="1">'数据修改（批量）'!A2</f>
        <v>16200</v>
      </c>
      <c r="B2" s="2" t="str">
        <f ca="1">'数据修改（批量）'!B2</f>
        <v>项目</v>
      </c>
      <c r="C2" s="2" t="str">
        <f ca="1">'数据修改（批量）'!C2</f>
        <v>加工费</v>
      </c>
      <c r="D2" s="2" t="str">
        <f ca="1">'数据修改（批量）'!D2</f>
        <v>包装物</v>
      </c>
      <c r="E2" s="2" t="str">
        <f ca="1">'数据修改（批量）'!E2</f>
        <v>运费</v>
      </c>
      <c r="F2" s="2" t="str">
        <f ca="1">'数据修改（批量）'!F2</f>
        <v>单价</v>
      </c>
      <c r="G2" s="2" t="str">
        <f ca="1">'数据修改（批量）'!G2</f>
        <v>每公斤价格</v>
      </c>
    </row>
    <row r="3" spans="1:7">
      <c r="A3" s="2"/>
      <c r="B3" s="2" t="str">
        <f ca="1">'数据修改（批量）'!B3</f>
        <v>203料</v>
      </c>
      <c r="C3" s="2">
        <f ca="1">'数据修改（批量）'!C3</f>
        <v>5500</v>
      </c>
      <c r="D3" s="2">
        <f ca="1">'数据修改（批量）'!D3</f>
        <v>868</v>
      </c>
      <c r="E3" s="2">
        <f ca="1">'数据修改（批量）'!E3</f>
        <v>80</v>
      </c>
      <c r="F3" s="2">
        <f ca="1">'数据修改（批量）'!F3</f>
        <v>22648</v>
      </c>
      <c r="G3" s="2">
        <f ca="1">'数据修改（批量）'!G3</f>
        <v>22.648</v>
      </c>
    </row>
    <row r="4" spans="1:7">
      <c r="A4" s="2"/>
      <c r="B4" s="2" t="str">
        <f ca="1">'数据修改（批量）'!B4</f>
        <v>203料氧化</v>
      </c>
      <c r="C4" s="2">
        <f ca="1">'数据修改（批量）'!C4</f>
        <v>6000</v>
      </c>
      <c r="D4" s="2">
        <f ca="1">'数据修改（批量）'!D4</f>
        <v>888</v>
      </c>
      <c r="E4" s="2">
        <f ca="1">'数据修改（批量）'!E4</f>
        <v>80</v>
      </c>
      <c r="F4" s="2">
        <f ca="1">'数据修改（批量）'!F4</f>
        <v>23168</v>
      </c>
      <c r="G4" s="2">
        <f ca="1">'数据修改（批量）'!G4</f>
        <v>23.168</v>
      </c>
    </row>
    <row r="5" spans="2:7">
      <c r="B5" s="2" t="str">
        <f ca="1">'数据修改（批量）'!B5</f>
        <v>小料加工费</v>
      </c>
      <c r="C5" s="2">
        <f ca="1">'数据修改（批量）'!C5</f>
        <v>4500</v>
      </c>
      <c r="D5" s="2">
        <f ca="1">'数据修改（批量）'!D5</f>
        <v>828</v>
      </c>
      <c r="E5" s="2">
        <f ca="1">'数据修改（批量）'!E5</f>
        <v>80</v>
      </c>
      <c r="F5" s="2">
        <f ca="1">'数据修改（批量）'!F5</f>
        <v>21608</v>
      </c>
      <c r="G5" s="2">
        <f ca="1">'数据修改（批量）'!G5</f>
        <v>21.608</v>
      </c>
    </row>
    <row r="6" spans="1:4">
      <c r="A6" s="2" t="str">
        <f ca="1">'数据修改（批量）'!A6</f>
        <v>南海有色铝锭价格</v>
      </c>
      <c r="D6" s="5"/>
    </row>
    <row r="7" spans="1:1">
      <c r="A7" s="4">
        <f ca="1">'数据修改（批量）'!A7</f>
        <v>16600</v>
      </c>
    </row>
    <row r="8" spans="2:7">
      <c r="B8" s="2" t="str">
        <f ca="1">'数据修改（批量）'!B8</f>
        <v>项目</v>
      </c>
      <c r="C8" s="2" t="str">
        <f ca="1">'数据修改（批量）'!C8</f>
        <v>加工费</v>
      </c>
      <c r="D8" s="2" t="str">
        <f ca="1">'数据修改（批量）'!D8</f>
        <v>包装物</v>
      </c>
      <c r="E8" s="2" t="str">
        <f ca="1">'数据修改（批量）'!E8</f>
        <v>运费</v>
      </c>
      <c r="F8" s="2" t="str">
        <f ca="1">'数据修改（批量）'!F8</f>
        <v>单价</v>
      </c>
      <c r="G8" s="2" t="str">
        <f ca="1">'数据修改（批量）'!G8</f>
        <v>每公斤价格</v>
      </c>
    </row>
    <row r="9" spans="2:7">
      <c r="B9" s="2" t="str">
        <f ca="1">'数据修改（批量）'!B9</f>
        <v>300/350料8米以上</v>
      </c>
      <c r="C9" s="2">
        <f ca="1">'数据修改（批量）'!C9</f>
        <v>7800</v>
      </c>
      <c r="D9" s="2">
        <f ca="1">'数据修改（批量）'!D9</f>
        <v>976</v>
      </c>
      <c r="E9" s="2">
        <f ca="1">'数据修改（批量）'!E9</f>
        <v>1000</v>
      </c>
      <c r="F9" s="2">
        <f ca="1">'数据修改（批量）'!F9</f>
        <v>26376</v>
      </c>
      <c r="G9" s="2">
        <f ca="1">'数据修改（批量）'!G9</f>
        <v>26.376</v>
      </c>
    </row>
    <row r="10" spans="2:7">
      <c r="B10" s="2" t="str">
        <f ca="1">'数据修改（批量）'!B10</f>
        <v>300/350料8米以下</v>
      </c>
      <c r="C10" s="2">
        <f ca="1">'数据修改（批量）'!C10</f>
        <v>7100</v>
      </c>
      <c r="D10" s="2">
        <f ca="1">'数据修改（批量）'!D10</f>
        <v>948</v>
      </c>
      <c r="E10" s="2">
        <f ca="1">'数据修改（批量）'!E10</f>
        <v>1000</v>
      </c>
      <c r="F10" s="2">
        <f ca="1">'数据修改（批量）'!F10</f>
        <v>25648</v>
      </c>
      <c r="G10" s="2">
        <f ca="1">'数据修改（批量）'!G10</f>
        <v>25.648</v>
      </c>
    </row>
    <row r="12" spans="1:4">
      <c r="A12" s="2" t="str">
        <f ca="1">'数据修改（批量）'!A12</f>
        <v>篷布</v>
      </c>
      <c r="B12" s="2"/>
      <c r="C12" s="2"/>
      <c r="D12" s="3"/>
    </row>
    <row r="13" spans="1:7">
      <c r="A13" s="2"/>
      <c r="B13" s="2" t="str">
        <f ca="1">'数据修改（批量）'!B13</f>
        <v>项目</v>
      </c>
      <c r="C13" s="2" t="str">
        <f ca="1">'数据修改（批量）'!C13</f>
        <v>运费</v>
      </c>
      <c r="D13" s="2" t="str">
        <f ca="1">'数据修改（批量）'!D13</f>
        <v>单价</v>
      </c>
      <c r="E13" s="2" t="str">
        <f ca="1">'数据修改（批量）'!E13</f>
        <v>每平价格</v>
      </c>
      <c r="F13" s="2"/>
      <c r="G13" s="2"/>
    </row>
    <row r="14" spans="1:7">
      <c r="A14" s="2"/>
      <c r="B14" s="2">
        <f ca="1">'数据修改（批量）'!B14</f>
        <v>650</v>
      </c>
      <c r="C14" s="2">
        <f ca="1">'数据修改（批量）'!C14</f>
        <v>0.5</v>
      </c>
      <c r="D14" s="4">
        <f ca="1">'数据修改（批量）'!D14</f>
        <v>13.8</v>
      </c>
      <c r="E14" s="2">
        <f ca="1">'数据修改（批量）'!E14</f>
        <v>14.3</v>
      </c>
      <c r="F14" s="2"/>
      <c r="G14" s="2"/>
    </row>
    <row r="15" spans="1:7">
      <c r="A15" s="2"/>
      <c r="B15" s="2">
        <f ca="1">'数据修改（批量）'!B15</f>
        <v>780</v>
      </c>
      <c r="C15" s="2">
        <f ca="1">'数据修改（批量）'!C15</f>
        <v>0.5</v>
      </c>
      <c r="D15" s="4">
        <f ca="1">'数据修改（批量）'!D15</f>
        <v>16.8</v>
      </c>
      <c r="E15" s="2">
        <f ca="1">'数据修改（批量）'!E15</f>
        <v>17.3</v>
      </c>
      <c r="F15" s="2"/>
      <c r="G15" s="2"/>
    </row>
    <row r="16" spans="2:7">
      <c r="B16" s="2">
        <f ca="1">'数据修改（批量）'!B16</f>
        <v>850</v>
      </c>
      <c r="C16" s="2">
        <f ca="1">'数据修改（批量）'!C16</f>
        <v>0.5</v>
      </c>
      <c r="D16" s="4">
        <f ca="1">'数据修改（批量）'!D16</f>
        <v>18</v>
      </c>
      <c r="E16" s="2">
        <f ca="1">'数据修改（批量）'!E16</f>
        <v>18.5</v>
      </c>
      <c r="F16" s="2"/>
      <c r="G16" s="2"/>
    </row>
    <row r="21" spans="1:7">
      <c r="A21" s="6" t="str">
        <f ca="1">'数据修改（批量）'!A21</f>
        <v>说明：黄色部分可以根据价格修改</v>
      </c>
      <c r="B21" s="6"/>
      <c r="C21" s="6"/>
      <c r="D21" s="6"/>
      <c r="E21" s="6"/>
      <c r="F21" s="6"/>
      <c r="G21" s="6"/>
    </row>
    <row r="27" spans="12:12">
      <c r="L27" s="1">
        <f>20*0.08</f>
        <v>1.6</v>
      </c>
    </row>
  </sheetData>
  <mergeCells count="1">
    <mergeCell ref="A21:G21"/>
  </mergeCells>
  <pageMargins left="0.75" right="0.75" top="1" bottom="1" header="0.509027777777778" footer="0.509027777777778"/>
  <headerFooter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FFFF00"/>
  </sheetPr>
  <dimension ref="A1:V40"/>
  <sheetViews>
    <sheetView showGridLines="0" workbookViewId="0">
      <selection activeCell="F13" sqref="F13"/>
    </sheetView>
  </sheetViews>
  <sheetFormatPr defaultColWidth="9" defaultRowHeight="14.25"/>
  <cols>
    <col min="1" max="1" width="2.875" style="50" customWidth="1"/>
    <col min="2" max="2" width="15.25" style="50" customWidth="1"/>
    <col min="3" max="5" width="9.875" style="51" customWidth="1"/>
    <col min="6" max="6" width="12.625" style="50" customWidth="1"/>
    <col min="7" max="13" width="11.875" style="50" customWidth="1"/>
    <col min="14" max="14" width="72.75" style="50" customWidth="1"/>
    <col min="15" max="15" width="11.125" style="50" customWidth="1"/>
    <col min="16" max="16" width="14" style="3" customWidth="1"/>
    <col min="17" max="17" width="9" style="3" hidden="1" customWidth="1"/>
    <col min="18" max="18" width="9" style="3"/>
    <col min="19" max="19" width="16.125" style="3" customWidth="1"/>
    <col min="20" max="22" width="9" style="3"/>
    <col min="23" max="16384" width="9" style="1"/>
  </cols>
  <sheetData>
    <row r="1" ht="15.95" customHeight="1" spans="1:15">
      <c r="A1" s="213" t="s">
        <v>1481</v>
      </c>
      <c r="B1" s="213"/>
      <c r="C1" s="213"/>
      <c r="D1" s="213"/>
      <c r="E1" s="213"/>
      <c r="F1" s="213"/>
      <c r="G1" s="213"/>
      <c r="H1" s="213"/>
      <c r="I1" s="213"/>
      <c r="J1" s="213"/>
      <c r="K1" s="213"/>
      <c r="L1" s="213"/>
      <c r="M1" s="213"/>
      <c r="N1" s="213"/>
      <c r="O1" s="161"/>
    </row>
    <row r="2" ht="15.95" customHeight="1" spans="1:22">
      <c r="A2" s="141" t="s">
        <v>1246</v>
      </c>
      <c r="B2" s="142"/>
      <c r="C2" s="142"/>
      <c r="D2" s="9" t="s">
        <v>1198</v>
      </c>
      <c r="E2" s="10">
        <f>A3*5*18</f>
        <v>180</v>
      </c>
      <c r="F2" s="11"/>
      <c r="G2" s="11"/>
      <c r="H2" s="11"/>
      <c r="I2" s="11"/>
      <c r="J2" s="11"/>
      <c r="K2" s="11"/>
      <c r="L2" s="11"/>
      <c r="M2" s="11"/>
      <c r="N2" s="11"/>
      <c r="O2" s="162"/>
      <c r="Q2" s="55"/>
      <c r="R2" s="55"/>
      <c r="S2" s="55"/>
      <c r="U2" s="1"/>
      <c r="V2" s="1"/>
    </row>
    <row r="3" ht="15.95" customHeight="1" spans="1:22">
      <c r="A3" s="12">
        <v>2</v>
      </c>
      <c r="B3" s="12"/>
      <c r="C3" s="9" t="s">
        <v>1247</v>
      </c>
      <c r="D3" s="13">
        <v>3</v>
      </c>
      <c r="E3" s="11" t="s">
        <v>1248</v>
      </c>
      <c r="F3" s="12">
        <v>2</v>
      </c>
      <c r="G3" s="11" t="s">
        <v>1249</v>
      </c>
      <c r="H3" s="12"/>
      <c r="I3" s="12"/>
      <c r="J3" s="12"/>
      <c r="K3" s="12"/>
      <c r="L3" s="12"/>
      <c r="M3" s="12"/>
      <c r="N3" s="12"/>
      <c r="O3" s="162"/>
      <c r="Q3" s="55"/>
      <c r="R3" s="55"/>
      <c r="S3" s="55"/>
      <c r="U3" s="1"/>
      <c r="V3" s="1"/>
    </row>
    <row r="4" ht="15.95" customHeight="1" spans="1:22">
      <c r="A4" s="12"/>
      <c r="B4" s="12"/>
      <c r="C4" s="12"/>
      <c r="D4" s="12"/>
      <c r="E4" s="12"/>
      <c r="F4" s="12"/>
      <c r="G4" s="11" t="s">
        <v>1345</v>
      </c>
      <c r="H4" s="11"/>
      <c r="I4" s="9" t="s">
        <v>1346</v>
      </c>
      <c r="J4" s="9"/>
      <c r="K4" s="9"/>
      <c r="L4" s="9"/>
      <c r="M4" s="9"/>
      <c r="N4" s="12"/>
      <c r="O4" s="162"/>
      <c r="Q4" s="55"/>
      <c r="R4" s="55"/>
      <c r="S4" s="55"/>
      <c r="U4" s="1"/>
      <c r="V4" s="1"/>
    </row>
    <row r="5" ht="15" customHeight="1" spans="1:19">
      <c r="A5" s="146" t="s">
        <v>1200</v>
      </c>
      <c r="B5" s="146" t="s">
        <v>1201</v>
      </c>
      <c r="C5" s="146" t="s">
        <v>1250</v>
      </c>
      <c r="D5" s="146" t="s">
        <v>22</v>
      </c>
      <c r="E5" s="147" t="s">
        <v>1251</v>
      </c>
      <c r="F5" s="75" t="s">
        <v>1204</v>
      </c>
      <c r="G5" s="19" t="s">
        <v>1205</v>
      </c>
      <c r="H5" s="17" t="s">
        <v>1253</v>
      </c>
      <c r="I5" s="17" t="s">
        <v>1254</v>
      </c>
      <c r="J5" s="17" t="s">
        <v>1255</v>
      </c>
      <c r="K5" s="17" t="s">
        <v>1209</v>
      </c>
      <c r="L5" s="17" t="s">
        <v>1420</v>
      </c>
      <c r="M5" s="17" t="s">
        <v>1211</v>
      </c>
      <c r="N5" s="163" t="s">
        <v>1257</v>
      </c>
      <c r="O5" s="164" t="s">
        <v>1212</v>
      </c>
      <c r="P5" s="165" t="s">
        <v>1213</v>
      </c>
      <c r="Q5" s="75" t="s">
        <v>1396</v>
      </c>
      <c r="R5" s="165" t="s">
        <v>1214</v>
      </c>
      <c r="S5" s="75" t="s">
        <v>1213</v>
      </c>
    </row>
    <row r="6" ht="12" customHeight="1" spans="1:19">
      <c r="A6" s="20" t="s">
        <v>1215</v>
      </c>
      <c r="B6" s="91" t="s">
        <v>1224</v>
      </c>
      <c r="C6" s="23"/>
      <c r="D6" s="23" t="s">
        <v>28</v>
      </c>
      <c r="E6" s="24">
        <f>D3*2</f>
        <v>6</v>
      </c>
      <c r="F6" s="93">
        <f ca="1">I6+J6+K6+L6+M6</f>
        <v>899.193354992</v>
      </c>
      <c r="G6" s="94">
        <f>7.16/2</f>
        <v>3.58</v>
      </c>
      <c r="H6" s="94">
        <v>8.233</v>
      </c>
      <c r="I6" s="93">
        <f ca="1">G6*H6*'15变18（人字203料）参数'!G3*1.1</f>
        <v>734.283354992</v>
      </c>
      <c r="J6" s="93">
        <f ca="1">48.55*2</f>
        <v>97.1</v>
      </c>
      <c r="K6" s="93">
        <v>45.91</v>
      </c>
      <c r="L6" s="93">
        <f>2.55*4</f>
        <v>10.2</v>
      </c>
      <c r="M6" s="93">
        <f>18*0.65</f>
        <v>11.7</v>
      </c>
      <c r="N6" s="166" t="s">
        <v>1421</v>
      </c>
      <c r="O6" s="167">
        <v>4</v>
      </c>
      <c r="P6" s="67">
        <f ca="1" t="shared" ref="P6:P36" si="0">F6*O6</f>
        <v>3596.773419968</v>
      </c>
      <c r="Q6" s="27">
        <v>36.2</v>
      </c>
      <c r="R6" s="67">
        <f t="shared" ref="R6:R36" si="1">E6-O6</f>
        <v>2</v>
      </c>
      <c r="S6" s="67">
        <f ca="1" t="shared" ref="S6:S36" si="2">F6*R6</f>
        <v>1798.386709984</v>
      </c>
    </row>
    <row r="7" ht="12" customHeight="1" spans="1:19">
      <c r="A7" s="20"/>
      <c r="B7" s="91" t="s">
        <v>1308</v>
      </c>
      <c r="C7" s="23"/>
      <c r="D7" s="23" t="s">
        <v>28</v>
      </c>
      <c r="E7" s="24">
        <f>F3*2</f>
        <v>4</v>
      </c>
      <c r="F7" s="101">
        <f ca="1">G7+H7+I7+J7+K7+L7+M7</f>
        <v>771.4092</v>
      </c>
      <c r="G7" s="148">
        <v>5</v>
      </c>
      <c r="H7" s="148">
        <v>5.3</v>
      </c>
      <c r="I7" s="101">
        <f ca="1">G7*H7*'15变18（人字203料）参数'!G3*1.1</f>
        <v>660.1892</v>
      </c>
      <c r="J7" s="101"/>
      <c r="K7" s="101">
        <f ca="1">49.51+41.21</f>
        <v>90.72</v>
      </c>
      <c r="L7" s="101">
        <f>2.55*4</f>
        <v>10.2</v>
      </c>
      <c r="M7" s="101"/>
      <c r="N7" s="166" t="s">
        <v>1406</v>
      </c>
      <c r="O7" s="167">
        <v>4</v>
      </c>
      <c r="P7" s="67">
        <f ca="1" t="shared" si="0"/>
        <v>3085.6368</v>
      </c>
      <c r="Q7" s="27">
        <v>39.3</v>
      </c>
      <c r="R7" s="67">
        <f t="shared" si="1"/>
        <v>0</v>
      </c>
      <c r="S7" s="67">
        <f ca="1" t="shared" si="2"/>
        <v>0</v>
      </c>
    </row>
    <row r="8" ht="12" customHeight="1" spans="1:19">
      <c r="A8" s="20"/>
      <c r="B8" s="91" t="s">
        <v>1435</v>
      </c>
      <c r="C8" s="23"/>
      <c r="D8" s="23" t="s">
        <v>28</v>
      </c>
      <c r="E8" s="24">
        <f>F3</f>
        <v>2</v>
      </c>
      <c r="F8" s="101">
        <f ca="1">G8+H8+I8+J8+K8+L8+M8</f>
        <v>931.054608</v>
      </c>
      <c r="G8" s="148">
        <v>6.2</v>
      </c>
      <c r="H8" s="148">
        <v>5.3</v>
      </c>
      <c r="I8" s="101">
        <f ca="1">G8*H8*'15变18（人字203料）参数'!G3*1.1</f>
        <v>818.634608</v>
      </c>
      <c r="J8" s="101"/>
      <c r="K8" s="101">
        <f ca="1">49.51+41.21</f>
        <v>90.72</v>
      </c>
      <c r="L8" s="101">
        <f>2.55*4</f>
        <v>10.2</v>
      </c>
      <c r="M8" s="101"/>
      <c r="N8" s="166" t="s">
        <v>1482</v>
      </c>
      <c r="O8" s="167">
        <v>2</v>
      </c>
      <c r="P8" s="67">
        <f ca="1" t="shared" si="0"/>
        <v>1862.109216</v>
      </c>
      <c r="Q8" s="27"/>
      <c r="R8" s="67">
        <f t="shared" si="1"/>
        <v>0</v>
      </c>
      <c r="S8" s="67">
        <f ca="1" t="shared" si="2"/>
        <v>0</v>
      </c>
    </row>
    <row r="9" ht="12" customHeight="1" spans="1:19">
      <c r="A9" s="20"/>
      <c r="B9" s="91" t="s">
        <v>1350</v>
      </c>
      <c r="C9" s="23"/>
      <c r="D9" s="23" t="s">
        <v>28</v>
      </c>
      <c r="E9" s="24">
        <f>D3*2</f>
        <v>6</v>
      </c>
      <c r="F9" s="61">
        <f ca="1">I9+J9+K9+L9+M9</f>
        <v>1704.47272156</v>
      </c>
      <c r="G9" s="95">
        <v>8.15</v>
      </c>
      <c r="H9" s="95">
        <v>8.233</v>
      </c>
      <c r="I9" s="61">
        <f ca="1">G9*H9*'15变18（人字203料）参数'!G3*1.1</f>
        <v>1671.62272156</v>
      </c>
      <c r="J9" s="61">
        <f ca="1">2.5*6</f>
        <v>15</v>
      </c>
      <c r="K9" s="61">
        <v>11.85</v>
      </c>
      <c r="L9" s="61">
        <f>1*6</f>
        <v>6</v>
      </c>
      <c r="M9" s="61"/>
      <c r="N9" s="116" t="s">
        <v>1422</v>
      </c>
      <c r="O9" s="167">
        <v>4</v>
      </c>
      <c r="P9" s="67">
        <f ca="1" t="shared" si="0"/>
        <v>6817.89088624</v>
      </c>
      <c r="Q9" s="27">
        <v>29.9</v>
      </c>
      <c r="R9" s="67">
        <f t="shared" si="1"/>
        <v>2</v>
      </c>
      <c r="S9" s="67">
        <f ca="1" t="shared" si="2"/>
        <v>3408.94544312</v>
      </c>
    </row>
    <row r="10" ht="12" customHeight="1" spans="1:19">
      <c r="A10" s="20"/>
      <c r="B10" s="91" t="s">
        <v>1438</v>
      </c>
      <c r="C10" s="23"/>
      <c r="D10" s="23" t="s">
        <v>28</v>
      </c>
      <c r="E10" s="24">
        <f>D3*2</f>
        <v>6</v>
      </c>
      <c r="F10" s="61">
        <f ca="1">I10+J10+K10+L10+M10</f>
        <v>573.670884688</v>
      </c>
      <c r="G10" s="95">
        <v>1.62</v>
      </c>
      <c r="H10" s="95">
        <v>8.233</v>
      </c>
      <c r="I10" s="61">
        <f ca="1">G10*H10*'15变18（人字203料）参数'!G3*1.1</f>
        <v>332.273473488</v>
      </c>
      <c r="J10" s="61">
        <f ca="1">2.5*2</f>
        <v>5</v>
      </c>
      <c r="K10" s="61">
        <f ca="1">1.2*7.67*'15变18（人字203料）参数'!G3*1.1</f>
        <v>229.2974112</v>
      </c>
      <c r="L10" s="61">
        <f>1*2+2.55*2</f>
        <v>7.1</v>
      </c>
      <c r="M10" s="61"/>
      <c r="N10" s="116" t="s">
        <v>1483</v>
      </c>
      <c r="O10" s="167">
        <v>4</v>
      </c>
      <c r="P10" s="67">
        <f ca="1" t="shared" si="0"/>
        <v>2294.683538752</v>
      </c>
      <c r="Q10" s="27"/>
      <c r="R10" s="67">
        <f t="shared" si="1"/>
        <v>2</v>
      </c>
      <c r="S10" s="67">
        <f ca="1" t="shared" si="2"/>
        <v>1147.341769376</v>
      </c>
    </row>
    <row r="11" ht="12" customHeight="1" spans="1:19">
      <c r="A11" s="20"/>
      <c r="B11" s="91" t="s">
        <v>1226</v>
      </c>
      <c r="C11" s="23"/>
      <c r="D11" s="23" t="s">
        <v>28</v>
      </c>
      <c r="E11" s="24">
        <f>A3*6</f>
        <v>12</v>
      </c>
      <c r="F11" s="101">
        <f ca="1">I11+J11+K11+L11+M11</f>
        <v>195.0929650432</v>
      </c>
      <c r="G11" s="148">
        <v>4.882</v>
      </c>
      <c r="H11" s="148">
        <v>1.552</v>
      </c>
      <c r="I11" s="101">
        <f ca="1">G11*H11*'15变18（人字203料）参数'!G5*1.1</f>
        <v>180.0929650432</v>
      </c>
      <c r="J11" s="101"/>
      <c r="K11" s="101"/>
      <c r="L11" s="101">
        <f>0.5*4</f>
        <v>2</v>
      </c>
      <c r="M11" s="101">
        <f>6.5*2</f>
        <v>13</v>
      </c>
      <c r="N11" s="120" t="s">
        <v>1352</v>
      </c>
      <c r="O11" s="167">
        <v>6</v>
      </c>
      <c r="P11" s="67">
        <f ca="1" t="shared" si="0"/>
        <v>1170.5577902592</v>
      </c>
      <c r="Q11" s="27">
        <v>7.95</v>
      </c>
      <c r="R11" s="67">
        <f t="shared" si="1"/>
        <v>6</v>
      </c>
      <c r="S11" s="67">
        <f ca="1" t="shared" si="2"/>
        <v>1170.5577902592</v>
      </c>
    </row>
    <row r="12" ht="12" customHeight="1" spans="1:19">
      <c r="A12" s="20"/>
      <c r="B12" s="91" t="s">
        <v>1264</v>
      </c>
      <c r="C12" s="23"/>
      <c r="D12" s="23" t="s">
        <v>28</v>
      </c>
      <c r="E12" s="24">
        <f>A3*3</f>
        <v>6</v>
      </c>
      <c r="F12" s="101">
        <f ca="1">I12+J12+K12+L12+M12</f>
        <v>336.5448493136</v>
      </c>
      <c r="G12" s="148">
        <v>4.882</v>
      </c>
      <c r="H12" s="148">
        <v>2.771</v>
      </c>
      <c r="I12" s="101">
        <f ca="1">G12*H12*'15变18（人字203料）参数'!G5*1.1</f>
        <v>321.5448493136</v>
      </c>
      <c r="J12" s="101"/>
      <c r="K12" s="101"/>
      <c r="L12" s="101">
        <f>0.5*4</f>
        <v>2</v>
      </c>
      <c r="M12" s="101">
        <f>6.5*2</f>
        <v>13</v>
      </c>
      <c r="N12" s="120" t="s">
        <v>1353</v>
      </c>
      <c r="O12" s="167">
        <v>3</v>
      </c>
      <c r="P12" s="67">
        <f ca="1" t="shared" si="0"/>
        <v>1009.6345479408</v>
      </c>
      <c r="Q12" s="27">
        <v>13.1</v>
      </c>
      <c r="R12" s="67">
        <f t="shared" si="1"/>
        <v>3</v>
      </c>
      <c r="S12" s="67">
        <f ca="1" t="shared" si="2"/>
        <v>1009.6345479408</v>
      </c>
    </row>
    <row r="13" ht="12" customHeight="1" spans="1:19">
      <c r="A13" s="20"/>
      <c r="B13" s="91" t="s">
        <v>1266</v>
      </c>
      <c r="C13" s="23"/>
      <c r="D13" s="23" t="s">
        <v>28</v>
      </c>
      <c r="E13" s="209">
        <f>A3*2+F3*2</f>
        <v>8</v>
      </c>
      <c r="F13" s="101">
        <f ca="1">'数据修改（批量）'!A28</f>
        <v>95</v>
      </c>
      <c r="G13" s="148">
        <v>4.86</v>
      </c>
      <c r="H13" s="148">
        <v>1.345</v>
      </c>
      <c r="I13" s="101">
        <f ca="1">G13*H13*'15变18（人字203料）参数'!G5*1.1</f>
        <v>155.36951496</v>
      </c>
      <c r="J13" s="101"/>
      <c r="K13" s="101"/>
      <c r="L13" s="101"/>
      <c r="M13" s="101"/>
      <c r="N13" s="120" t="s">
        <v>1354</v>
      </c>
      <c r="O13" s="169">
        <v>6</v>
      </c>
      <c r="P13" s="67">
        <f ca="1" t="shared" si="0"/>
        <v>570</v>
      </c>
      <c r="Q13" s="27">
        <v>5.65</v>
      </c>
      <c r="R13" s="67">
        <f t="shared" si="1"/>
        <v>2</v>
      </c>
      <c r="S13" s="67">
        <f ca="1" t="shared" si="2"/>
        <v>190</v>
      </c>
    </row>
    <row r="14" ht="12" customHeight="1" spans="1:19">
      <c r="A14" s="20"/>
      <c r="B14" s="91" t="s">
        <v>1442</v>
      </c>
      <c r="C14" s="23"/>
      <c r="D14" s="23" t="s">
        <v>28</v>
      </c>
      <c r="E14" s="24">
        <f>F3*2</f>
        <v>4</v>
      </c>
      <c r="F14" s="101">
        <f ca="1">I14+J14+K14+L14+M14</f>
        <v>270.6815045136</v>
      </c>
      <c r="G14" s="192">
        <v>3.882</v>
      </c>
      <c r="H14" s="148">
        <v>2.771</v>
      </c>
      <c r="I14" s="202">
        <f ca="1">G14*H14*'15变18（人字203料）参数'!G5*1.1</f>
        <v>255.6815045136</v>
      </c>
      <c r="J14" s="101"/>
      <c r="K14" s="101"/>
      <c r="L14" s="101">
        <f>0.5*4</f>
        <v>2</v>
      </c>
      <c r="M14" s="101">
        <f>6.5*2</f>
        <v>13</v>
      </c>
      <c r="N14" s="120" t="s">
        <v>1443</v>
      </c>
      <c r="O14" s="167">
        <v>4</v>
      </c>
      <c r="P14" s="67">
        <f ca="1" t="shared" si="0"/>
        <v>1082.7260180544</v>
      </c>
      <c r="Q14" s="27"/>
      <c r="R14" s="67">
        <f t="shared" si="1"/>
        <v>0</v>
      </c>
      <c r="S14" s="67">
        <f ca="1" t="shared" si="2"/>
        <v>0</v>
      </c>
    </row>
    <row r="15" ht="12" customHeight="1" spans="1:19">
      <c r="A15" s="20"/>
      <c r="B15" s="91" t="s">
        <v>1444</v>
      </c>
      <c r="C15" s="23"/>
      <c r="D15" s="23" t="s">
        <v>28</v>
      </c>
      <c r="E15" s="24">
        <f>F3*2</f>
        <v>4</v>
      </c>
      <c r="F15" s="101">
        <v>76</v>
      </c>
      <c r="G15" s="192">
        <v>3.86</v>
      </c>
      <c r="H15" s="148">
        <v>1.345</v>
      </c>
      <c r="I15" s="101">
        <f ca="1">G15*H15*'15变18（人字203料）参数'!G5*1.1</f>
        <v>123.40047896</v>
      </c>
      <c r="J15" s="101"/>
      <c r="K15" s="101"/>
      <c r="L15" s="101"/>
      <c r="M15" s="101"/>
      <c r="N15" s="120" t="s">
        <v>1484</v>
      </c>
      <c r="O15" s="167">
        <v>4</v>
      </c>
      <c r="P15" s="67">
        <f ca="1" t="shared" si="0"/>
        <v>304</v>
      </c>
      <c r="Q15" s="27"/>
      <c r="R15" s="67">
        <f t="shared" si="1"/>
        <v>0</v>
      </c>
      <c r="S15" s="67">
        <f ca="1" t="shared" si="2"/>
        <v>0</v>
      </c>
    </row>
    <row r="16" ht="12" customHeight="1" spans="1:19">
      <c r="A16" s="20"/>
      <c r="B16" s="91" t="s">
        <v>1272</v>
      </c>
      <c r="C16" s="23"/>
      <c r="D16" s="23" t="s">
        <v>28</v>
      </c>
      <c r="E16" s="30">
        <v>5</v>
      </c>
      <c r="F16" s="101">
        <f>I16+J16+K16+L16+M16</f>
        <v>109.5</v>
      </c>
      <c r="G16" s="148"/>
      <c r="H16" s="148"/>
      <c r="I16" s="101">
        <v>95</v>
      </c>
      <c r="J16" s="101">
        <v>6.5</v>
      </c>
      <c r="K16" s="101">
        <v>4</v>
      </c>
      <c r="L16" s="101">
        <v>3</v>
      </c>
      <c r="M16" s="101">
        <v>1</v>
      </c>
      <c r="N16" s="120" t="s">
        <v>1355</v>
      </c>
      <c r="O16" s="167">
        <v>4</v>
      </c>
      <c r="P16" s="67">
        <f ca="1" t="shared" si="0"/>
        <v>438</v>
      </c>
      <c r="Q16" s="27">
        <v>36.35</v>
      </c>
      <c r="R16" s="67">
        <f t="shared" si="1"/>
        <v>1</v>
      </c>
      <c r="S16" s="67">
        <f ca="1" t="shared" si="2"/>
        <v>109.5</v>
      </c>
    </row>
    <row r="17" ht="12" customHeight="1" spans="1:19">
      <c r="A17" s="20"/>
      <c r="B17" s="91" t="s">
        <v>1356</v>
      </c>
      <c r="C17" s="23"/>
      <c r="D17" s="23" t="s">
        <v>28</v>
      </c>
      <c r="E17" s="24">
        <f>F3</f>
        <v>2</v>
      </c>
      <c r="F17" s="101">
        <f ca="1">I17+J17+K17+L17+M17</f>
        <v>90.133</v>
      </c>
      <c r="G17" s="148">
        <v>3.75</v>
      </c>
      <c r="H17" s="148">
        <v>1</v>
      </c>
      <c r="I17" s="101">
        <f ca="1">G17*H17*'15变18（人字203料）参数'!G5*1.1</f>
        <v>89.133</v>
      </c>
      <c r="J17" s="101"/>
      <c r="K17" s="101"/>
      <c r="L17" s="101">
        <f>0.5*2</f>
        <v>1</v>
      </c>
      <c r="M17" s="101"/>
      <c r="N17" s="170" t="s">
        <v>1357</v>
      </c>
      <c r="O17" s="167">
        <v>2</v>
      </c>
      <c r="P17" s="67">
        <f ca="1" t="shared" si="0"/>
        <v>180.266</v>
      </c>
      <c r="Q17" s="27"/>
      <c r="R17" s="67">
        <f t="shared" si="1"/>
        <v>0</v>
      </c>
      <c r="S17" s="67">
        <f ca="1" t="shared" si="2"/>
        <v>0</v>
      </c>
    </row>
    <row r="18" ht="12" customHeight="1" spans="1:19">
      <c r="A18" s="20"/>
      <c r="B18" s="91" t="s">
        <v>1276</v>
      </c>
      <c r="C18" s="23"/>
      <c r="D18" s="23" t="s">
        <v>28</v>
      </c>
      <c r="E18" s="28">
        <f>F3*2</f>
        <v>4</v>
      </c>
      <c r="F18" s="101">
        <f ca="1">I18+J18+K18+L18+M18</f>
        <v>348.2448493136</v>
      </c>
      <c r="G18" s="95">
        <v>4.882</v>
      </c>
      <c r="H18" s="95">
        <v>2.771</v>
      </c>
      <c r="I18" s="61">
        <f ca="1">G18*H18*'15变18（人字203料）参数'!G5*1.1</f>
        <v>321.5448493136</v>
      </c>
      <c r="J18" s="61"/>
      <c r="K18" s="61">
        <v>15</v>
      </c>
      <c r="L18" s="61">
        <f>8*0.65</f>
        <v>5.2</v>
      </c>
      <c r="M18" s="61">
        <v>6.5</v>
      </c>
      <c r="N18" s="120" t="s">
        <v>1358</v>
      </c>
      <c r="O18" s="167">
        <v>4</v>
      </c>
      <c r="P18" s="67">
        <f ca="1" t="shared" si="0"/>
        <v>1392.9793972544</v>
      </c>
      <c r="Q18" s="27">
        <v>13.75</v>
      </c>
      <c r="R18" s="67">
        <f t="shared" si="1"/>
        <v>0</v>
      </c>
      <c r="S18" s="67">
        <f ca="1" t="shared" si="2"/>
        <v>0</v>
      </c>
    </row>
    <row r="19" ht="12" customHeight="1" spans="1:19">
      <c r="A19" s="31"/>
      <c r="B19" s="193" t="s">
        <v>1485</v>
      </c>
      <c r="C19" s="43"/>
      <c r="D19" s="23" t="s">
        <v>28</v>
      </c>
      <c r="E19" s="44">
        <f>E31</f>
        <v>4</v>
      </c>
      <c r="F19" s="101">
        <f>I19+J19+K19+L19+M19</f>
        <v>17</v>
      </c>
      <c r="G19" s="194"/>
      <c r="H19" s="194"/>
      <c r="I19" s="203">
        <v>17</v>
      </c>
      <c r="J19" s="203"/>
      <c r="K19" s="203"/>
      <c r="L19" s="203"/>
      <c r="M19" s="203"/>
      <c r="N19" s="171"/>
      <c r="O19" s="167">
        <v>4</v>
      </c>
      <c r="P19" s="67">
        <f ca="1" t="shared" si="0"/>
        <v>68</v>
      </c>
      <c r="Q19" s="27"/>
      <c r="R19" s="67">
        <f t="shared" si="1"/>
        <v>0</v>
      </c>
      <c r="S19" s="67">
        <f ca="1" t="shared" si="2"/>
        <v>0</v>
      </c>
    </row>
    <row r="20" ht="12" customHeight="1" spans="1:19">
      <c r="A20" s="31"/>
      <c r="B20" s="152" t="s">
        <v>1274</v>
      </c>
      <c r="C20" s="43"/>
      <c r="D20" s="43" t="s">
        <v>28</v>
      </c>
      <c r="E20" s="150">
        <f>A3*2+F3*2</f>
        <v>8</v>
      </c>
      <c r="F20" s="101">
        <f>(I20+J20+K20+L20+M20)</f>
        <v>20.4</v>
      </c>
      <c r="G20" s="151"/>
      <c r="H20" s="151"/>
      <c r="I20" s="39">
        <f>17*1.2</f>
        <v>20.4</v>
      </c>
      <c r="J20" s="39"/>
      <c r="K20" s="39"/>
      <c r="L20" s="39"/>
      <c r="M20" s="39"/>
      <c r="N20" s="171" t="s">
        <v>1359</v>
      </c>
      <c r="O20" s="169">
        <v>6</v>
      </c>
      <c r="P20" s="67">
        <f ca="1" t="shared" si="0"/>
        <v>122.4</v>
      </c>
      <c r="Q20" s="27">
        <v>3</v>
      </c>
      <c r="R20" s="67">
        <f t="shared" si="1"/>
        <v>2</v>
      </c>
      <c r="S20" s="67">
        <f ca="1" t="shared" si="2"/>
        <v>40.8</v>
      </c>
    </row>
    <row r="21" ht="12" customHeight="1" spans="1:19">
      <c r="A21" s="20" t="s">
        <v>1278</v>
      </c>
      <c r="B21" s="91" t="s">
        <v>1304</v>
      </c>
      <c r="C21" s="23"/>
      <c r="D21" s="23" t="s">
        <v>434</v>
      </c>
      <c r="E21" s="24">
        <f>D3</f>
        <v>3</v>
      </c>
      <c r="F21" s="101">
        <v>180.62</v>
      </c>
      <c r="G21" s="151"/>
      <c r="H21" s="151"/>
      <c r="I21" s="39"/>
      <c r="J21" s="39"/>
      <c r="K21" s="39"/>
      <c r="L21" s="39"/>
      <c r="M21" s="39"/>
      <c r="N21" s="171" t="s">
        <v>1360</v>
      </c>
      <c r="O21" s="172">
        <v>2</v>
      </c>
      <c r="P21" s="67">
        <f ca="1" t="shared" si="0"/>
        <v>361.24</v>
      </c>
      <c r="Q21" s="27">
        <v>16.3</v>
      </c>
      <c r="R21" s="67">
        <f t="shared" si="1"/>
        <v>1</v>
      </c>
      <c r="S21" s="67">
        <f ca="1" t="shared" si="2"/>
        <v>180.62</v>
      </c>
    </row>
    <row r="22" ht="12" customHeight="1" spans="1:19">
      <c r="A22" s="20"/>
      <c r="B22" s="91" t="s">
        <v>1310</v>
      </c>
      <c r="C22" s="23"/>
      <c r="D22" s="23" t="s">
        <v>434</v>
      </c>
      <c r="E22" s="24">
        <f>E7+E8</f>
        <v>6</v>
      </c>
      <c r="F22" s="101">
        <v>76.4</v>
      </c>
      <c r="G22" s="148"/>
      <c r="H22" s="148"/>
      <c r="I22" s="101"/>
      <c r="J22" s="101"/>
      <c r="K22" s="101"/>
      <c r="L22" s="101"/>
      <c r="M22" s="101"/>
      <c r="N22" s="120" t="s">
        <v>1361</v>
      </c>
      <c r="O22" s="167">
        <v>6</v>
      </c>
      <c r="P22" s="67">
        <f ca="1" t="shared" si="0"/>
        <v>458.4</v>
      </c>
      <c r="Q22" s="27">
        <v>10.3</v>
      </c>
      <c r="R22" s="67">
        <f t="shared" si="1"/>
        <v>0</v>
      </c>
      <c r="S22" s="67">
        <f ca="1" t="shared" si="2"/>
        <v>0</v>
      </c>
    </row>
    <row r="23" ht="12" customHeight="1" spans="1:19">
      <c r="A23" s="20"/>
      <c r="B23" s="91" t="s">
        <v>1280</v>
      </c>
      <c r="C23" s="23"/>
      <c r="D23" s="23" t="s">
        <v>434</v>
      </c>
      <c r="E23" s="28">
        <f>E6</f>
        <v>6</v>
      </c>
      <c r="F23" s="61">
        <v>85.93</v>
      </c>
      <c r="G23" s="95"/>
      <c r="H23" s="95"/>
      <c r="I23" s="61"/>
      <c r="J23" s="61"/>
      <c r="K23" s="61"/>
      <c r="L23" s="61"/>
      <c r="M23" s="61"/>
      <c r="N23" s="173" t="s">
        <v>1361</v>
      </c>
      <c r="O23" s="167">
        <v>4</v>
      </c>
      <c r="P23" s="67">
        <f ca="1" t="shared" si="0"/>
        <v>343.72</v>
      </c>
      <c r="Q23" s="27">
        <v>11.1</v>
      </c>
      <c r="R23" s="67">
        <f t="shared" si="1"/>
        <v>2</v>
      </c>
      <c r="S23" s="67">
        <f ca="1" t="shared" si="2"/>
        <v>171.86</v>
      </c>
    </row>
    <row r="24" ht="12" customHeight="1" spans="1:19">
      <c r="A24" s="20"/>
      <c r="B24" s="91" t="s">
        <v>1339</v>
      </c>
      <c r="C24" s="23"/>
      <c r="D24" s="23" t="s">
        <v>28</v>
      </c>
      <c r="E24" s="32">
        <f>E16</f>
        <v>5</v>
      </c>
      <c r="F24" s="101">
        <v>91.3</v>
      </c>
      <c r="G24" s="148"/>
      <c r="H24" s="148"/>
      <c r="I24" s="101"/>
      <c r="J24" s="101"/>
      <c r="K24" s="101"/>
      <c r="L24" s="101"/>
      <c r="M24" s="101"/>
      <c r="N24" s="120" t="s">
        <v>1362</v>
      </c>
      <c r="O24" s="167">
        <v>4</v>
      </c>
      <c r="P24" s="67">
        <f ca="1" t="shared" si="0"/>
        <v>365.2</v>
      </c>
      <c r="Q24" s="27">
        <v>7.25</v>
      </c>
      <c r="R24" s="67">
        <f t="shared" si="1"/>
        <v>1</v>
      </c>
      <c r="S24" s="67">
        <f ca="1" t="shared" si="2"/>
        <v>91.3</v>
      </c>
    </row>
    <row r="25" ht="12" customHeight="1" spans="1:19">
      <c r="A25" s="20"/>
      <c r="B25" s="91" t="s">
        <v>1282</v>
      </c>
      <c r="C25" s="23"/>
      <c r="D25" s="23" t="s">
        <v>434</v>
      </c>
      <c r="E25" s="24">
        <f>D3*2+F3*3</f>
        <v>12</v>
      </c>
      <c r="F25" s="101">
        <v>4.45</v>
      </c>
      <c r="G25" s="148"/>
      <c r="H25" s="148"/>
      <c r="I25" s="101"/>
      <c r="J25" s="101"/>
      <c r="K25" s="101"/>
      <c r="L25" s="101"/>
      <c r="M25" s="101"/>
      <c r="N25" s="120" t="s">
        <v>1363</v>
      </c>
      <c r="O25" s="169">
        <v>10</v>
      </c>
      <c r="P25" s="67">
        <f ca="1" t="shared" si="0"/>
        <v>44.5</v>
      </c>
      <c r="Q25" s="27">
        <v>0.75</v>
      </c>
      <c r="R25" s="67">
        <f t="shared" si="1"/>
        <v>2</v>
      </c>
      <c r="S25" s="67">
        <f ca="1" t="shared" si="2"/>
        <v>8.9</v>
      </c>
    </row>
    <row r="26" ht="12" customHeight="1" spans="1:19">
      <c r="A26" s="20"/>
      <c r="B26" s="91" t="s">
        <v>1284</v>
      </c>
      <c r="C26" s="23"/>
      <c r="D26" s="23" t="s">
        <v>434</v>
      </c>
      <c r="E26" s="24">
        <f>D3*2</f>
        <v>6</v>
      </c>
      <c r="F26" s="101">
        <v>6.51</v>
      </c>
      <c r="G26" s="148"/>
      <c r="H26" s="148"/>
      <c r="I26" s="101"/>
      <c r="J26" s="101"/>
      <c r="K26" s="101"/>
      <c r="L26" s="101"/>
      <c r="M26" s="101"/>
      <c r="N26" s="120" t="s">
        <v>1364</v>
      </c>
      <c r="O26" s="167">
        <v>4</v>
      </c>
      <c r="P26" s="67">
        <f ca="1" t="shared" si="0"/>
        <v>26.04</v>
      </c>
      <c r="Q26" s="27">
        <v>1.65</v>
      </c>
      <c r="R26" s="67">
        <f t="shared" si="1"/>
        <v>2</v>
      </c>
      <c r="S26" s="67">
        <f ca="1" t="shared" si="2"/>
        <v>13.02</v>
      </c>
    </row>
    <row r="27" ht="12" customHeight="1" spans="1:19">
      <c r="A27" s="20"/>
      <c r="B27" s="91" t="s">
        <v>519</v>
      </c>
      <c r="C27" s="23"/>
      <c r="D27" s="23" t="s">
        <v>434</v>
      </c>
      <c r="E27" s="24">
        <f>F3*2</f>
        <v>4</v>
      </c>
      <c r="F27" s="101">
        <v>13</v>
      </c>
      <c r="G27" s="151"/>
      <c r="H27" s="151"/>
      <c r="I27" s="39"/>
      <c r="J27" s="39"/>
      <c r="K27" s="39"/>
      <c r="L27" s="39"/>
      <c r="M27" s="39"/>
      <c r="N27" s="120" t="s">
        <v>1365</v>
      </c>
      <c r="O27" s="167">
        <v>4</v>
      </c>
      <c r="P27" s="67">
        <f ca="1" t="shared" si="0"/>
        <v>52</v>
      </c>
      <c r="Q27" s="27">
        <v>1.4</v>
      </c>
      <c r="R27" s="67">
        <f t="shared" si="1"/>
        <v>0</v>
      </c>
      <c r="S27" s="67">
        <f ca="1" t="shared" si="2"/>
        <v>0</v>
      </c>
    </row>
    <row r="28" ht="12" customHeight="1" spans="1:19">
      <c r="A28" s="31"/>
      <c r="B28" s="152" t="s">
        <v>551</v>
      </c>
      <c r="C28" s="43"/>
      <c r="D28" s="43" t="s">
        <v>434</v>
      </c>
      <c r="E28" s="150">
        <f>F3*2</f>
        <v>4</v>
      </c>
      <c r="F28" s="41">
        <v>15.5</v>
      </c>
      <c r="G28" s="99"/>
      <c r="H28" s="99"/>
      <c r="I28" s="41"/>
      <c r="J28" s="41"/>
      <c r="K28" s="41"/>
      <c r="L28" s="41"/>
      <c r="M28" s="41"/>
      <c r="N28" s="173" t="s">
        <v>1361</v>
      </c>
      <c r="O28" s="174">
        <v>4</v>
      </c>
      <c r="P28" s="67">
        <f ca="1" t="shared" si="0"/>
        <v>62</v>
      </c>
      <c r="Q28" s="27"/>
      <c r="R28" s="67">
        <f t="shared" si="1"/>
        <v>0</v>
      </c>
      <c r="S28" s="67">
        <f ca="1" t="shared" si="2"/>
        <v>0</v>
      </c>
    </row>
    <row r="29" ht="12" customHeight="1" spans="1:19">
      <c r="A29" s="153" t="s">
        <v>1216</v>
      </c>
      <c r="B29" s="91" t="s">
        <v>1366</v>
      </c>
      <c r="C29" s="23"/>
      <c r="D29" s="23" t="s">
        <v>612</v>
      </c>
      <c r="E29" s="24">
        <f>A3</f>
        <v>2</v>
      </c>
      <c r="F29" s="122">
        <f ca="1">(I29+J29)*1.1+30</f>
        <v>2344.686</v>
      </c>
      <c r="G29" s="99">
        <v>20.4</v>
      </c>
      <c r="H29" s="99">
        <v>5</v>
      </c>
      <c r="I29" s="41">
        <f ca="1">G29*H29*'15变18（人字203料）参数'!E15*1.1</f>
        <v>1941.06</v>
      </c>
      <c r="J29" s="41">
        <f>20.4*2*4</f>
        <v>163.2</v>
      </c>
      <c r="K29" s="41">
        <v>30</v>
      </c>
      <c r="L29" s="41"/>
      <c r="M29" s="41"/>
      <c r="N29" s="167" t="s">
        <v>1486</v>
      </c>
      <c r="O29" s="175">
        <v>1</v>
      </c>
      <c r="P29" s="67">
        <f ca="1" t="shared" si="0"/>
        <v>2344.686</v>
      </c>
      <c r="Q29" s="27">
        <v>71.65</v>
      </c>
      <c r="R29" s="67">
        <f t="shared" si="1"/>
        <v>1</v>
      </c>
      <c r="S29" s="67">
        <f ca="1" t="shared" si="2"/>
        <v>2344.686</v>
      </c>
    </row>
    <row r="30" ht="12" customHeight="1" spans="1:19">
      <c r="A30" s="153"/>
      <c r="B30" s="91" t="s">
        <v>1368</v>
      </c>
      <c r="C30" s="23"/>
      <c r="D30" s="23" t="s">
        <v>664</v>
      </c>
      <c r="E30" s="24">
        <f>F3</f>
        <v>2</v>
      </c>
      <c r="F30" s="122">
        <f ca="1">(I30+J30)*1.1+15</f>
        <v>709.70698</v>
      </c>
      <c r="G30" s="148">
        <v>9.35</v>
      </c>
      <c r="H30" s="154">
        <v>3.6</v>
      </c>
      <c r="I30" s="101">
        <f ca="1">G30*H30*'15变18（人字203料）参数'!E14*1.1</f>
        <v>529.4718</v>
      </c>
      <c r="J30" s="101">
        <f>12.76*2*4</f>
        <v>102.08</v>
      </c>
      <c r="K30" s="101">
        <v>15</v>
      </c>
      <c r="L30" s="101"/>
      <c r="M30" s="101"/>
      <c r="N30" s="51" t="s">
        <v>1487</v>
      </c>
      <c r="O30" s="167">
        <v>2</v>
      </c>
      <c r="P30" s="67">
        <f ca="1" t="shared" si="0"/>
        <v>1419.41396</v>
      </c>
      <c r="Q30" s="27">
        <v>21.35</v>
      </c>
      <c r="R30" s="67">
        <f t="shared" si="1"/>
        <v>0</v>
      </c>
      <c r="S30" s="67">
        <f ca="1" t="shared" si="2"/>
        <v>0</v>
      </c>
    </row>
    <row r="31" ht="12" customHeight="1" spans="1:19">
      <c r="A31" s="155"/>
      <c r="B31" s="91" t="s">
        <v>1462</v>
      </c>
      <c r="C31" s="23"/>
      <c r="D31" s="23" t="s">
        <v>664</v>
      </c>
      <c r="E31" s="24">
        <f>F3*2</f>
        <v>4</v>
      </c>
      <c r="F31" s="122">
        <f ca="1">(I31+J31)*1.1+15</f>
        <v>299.1284908</v>
      </c>
      <c r="G31" s="156">
        <v>3.97</v>
      </c>
      <c r="H31" s="157">
        <v>3.88</v>
      </c>
      <c r="I31" s="101">
        <f ca="1">G31*H31*'15变18（人字203料）参数'!E14*1.1</f>
        <v>242.298628</v>
      </c>
      <c r="J31" s="71">
        <f>4*2*2</f>
        <v>16</v>
      </c>
      <c r="K31" s="71">
        <f>0.5*10</f>
        <v>5</v>
      </c>
      <c r="L31" s="71">
        <f>0.32*18</f>
        <v>5.76</v>
      </c>
      <c r="M31" s="71">
        <f>18*1</f>
        <v>18</v>
      </c>
      <c r="N31" s="120" t="s">
        <v>1488</v>
      </c>
      <c r="O31" s="167">
        <v>4</v>
      </c>
      <c r="P31" s="67">
        <f ca="1" t="shared" si="0"/>
        <v>1196.5139632</v>
      </c>
      <c r="Q31" s="27"/>
      <c r="R31" s="67">
        <f t="shared" si="1"/>
        <v>0</v>
      </c>
      <c r="S31" s="67">
        <f ca="1" t="shared" si="2"/>
        <v>0</v>
      </c>
    </row>
    <row r="32" ht="12" customHeight="1" spans="1:19">
      <c r="A32" s="155"/>
      <c r="B32" s="91" t="s">
        <v>1370</v>
      </c>
      <c r="C32" s="23"/>
      <c r="D32" s="23" t="s">
        <v>664</v>
      </c>
      <c r="E32" s="209">
        <f>A3*2+F3*2</f>
        <v>8</v>
      </c>
      <c r="F32" s="101">
        <f ca="1">I32+J32+K31+L32+M32</f>
        <v>384.49012</v>
      </c>
      <c r="G32" s="156">
        <v>5.2</v>
      </c>
      <c r="H32" s="157">
        <v>3.97</v>
      </c>
      <c r="I32" s="101">
        <f ca="1">G32*H32*'15变18（人字203料）参数'!E14*1.1+15</f>
        <v>339.73012</v>
      </c>
      <c r="J32" s="71">
        <f>4*2*2</f>
        <v>16</v>
      </c>
      <c r="K32" s="71">
        <f>0.5*10</f>
        <v>5</v>
      </c>
      <c r="L32" s="71">
        <f>0.32*18</f>
        <v>5.76</v>
      </c>
      <c r="M32" s="71">
        <f>18*1</f>
        <v>18</v>
      </c>
      <c r="N32" s="120" t="s">
        <v>1371</v>
      </c>
      <c r="O32" s="169">
        <v>6</v>
      </c>
      <c r="P32" s="67">
        <f ca="1" t="shared" si="0"/>
        <v>2306.94072</v>
      </c>
      <c r="Q32" s="27"/>
      <c r="R32" s="67">
        <f t="shared" si="1"/>
        <v>2</v>
      </c>
      <c r="S32" s="67">
        <f ca="1" t="shared" si="2"/>
        <v>768.98024</v>
      </c>
    </row>
    <row r="33" ht="12" customHeight="1" spans="1:19">
      <c r="A33" s="20" t="s">
        <v>1235</v>
      </c>
      <c r="B33" s="138" t="s">
        <v>589</v>
      </c>
      <c r="C33" s="23"/>
      <c r="D33" s="23" t="s">
        <v>434</v>
      </c>
      <c r="E33" s="24">
        <f>D3*10+F3*2+E24*2</f>
        <v>44</v>
      </c>
      <c r="F33" s="101">
        <v>2.15</v>
      </c>
      <c r="G33" s="154"/>
      <c r="H33" s="154"/>
      <c r="I33" s="101"/>
      <c r="J33" s="101"/>
      <c r="K33" s="101"/>
      <c r="L33" s="101"/>
      <c r="M33" s="101"/>
      <c r="N33" s="120" t="s">
        <v>1372</v>
      </c>
      <c r="O33" s="167">
        <v>34</v>
      </c>
      <c r="P33" s="67">
        <f ca="1" t="shared" si="0"/>
        <v>73.1</v>
      </c>
      <c r="Q33" s="27">
        <v>0.105</v>
      </c>
      <c r="R33" s="67">
        <f t="shared" si="1"/>
        <v>10</v>
      </c>
      <c r="S33" s="67">
        <f ca="1" t="shared" si="2"/>
        <v>21.5</v>
      </c>
    </row>
    <row r="34" ht="12" customHeight="1" spans="1:19">
      <c r="A34" s="20"/>
      <c r="B34" s="109" t="s">
        <v>591</v>
      </c>
      <c r="C34" s="23"/>
      <c r="D34" s="23" t="s">
        <v>434</v>
      </c>
      <c r="E34" s="24">
        <f>D3*2+E24+E16</f>
        <v>16</v>
      </c>
      <c r="F34" s="101">
        <v>2.55</v>
      </c>
      <c r="G34" s="154"/>
      <c r="H34" s="154"/>
      <c r="I34" s="101"/>
      <c r="J34" s="101"/>
      <c r="K34" s="101"/>
      <c r="L34" s="101"/>
      <c r="M34" s="101"/>
      <c r="N34" s="120" t="s">
        <v>1373</v>
      </c>
      <c r="O34" s="172">
        <v>14</v>
      </c>
      <c r="P34" s="67">
        <f ca="1" t="shared" si="0"/>
        <v>35.7</v>
      </c>
      <c r="Q34" s="27">
        <v>0.25</v>
      </c>
      <c r="R34" s="67">
        <f t="shared" si="1"/>
        <v>2</v>
      </c>
      <c r="S34" s="67">
        <f ca="1" t="shared" si="2"/>
        <v>5.1</v>
      </c>
    </row>
    <row r="35" ht="12" customHeight="1" spans="1:19">
      <c r="A35" s="20"/>
      <c r="B35" s="159" t="s">
        <v>1423</v>
      </c>
      <c r="C35" s="43"/>
      <c r="D35" s="43" t="s">
        <v>434</v>
      </c>
      <c r="E35" s="44">
        <f>D3*2+4</f>
        <v>10</v>
      </c>
      <c r="F35" s="39">
        <v>1.95</v>
      </c>
      <c r="G35" s="160"/>
      <c r="H35" s="160"/>
      <c r="I35" s="39"/>
      <c r="J35" s="39"/>
      <c r="K35" s="39"/>
      <c r="L35" s="39"/>
      <c r="M35" s="39"/>
      <c r="N35" s="120" t="s">
        <v>1375</v>
      </c>
      <c r="O35" s="167">
        <v>8</v>
      </c>
      <c r="P35" s="67">
        <f ca="1" t="shared" si="0"/>
        <v>15.6</v>
      </c>
      <c r="Q35" s="27">
        <v>0.28</v>
      </c>
      <c r="R35" s="67">
        <f t="shared" si="1"/>
        <v>2</v>
      </c>
      <c r="S35" s="67">
        <f ca="1" t="shared" si="2"/>
        <v>3.9</v>
      </c>
    </row>
    <row r="36" ht="12" customHeight="1" spans="1:19">
      <c r="A36" s="20"/>
      <c r="B36" s="109" t="s">
        <v>554</v>
      </c>
      <c r="C36" s="23"/>
      <c r="D36" s="23" t="s">
        <v>555</v>
      </c>
      <c r="E36" s="28">
        <f>E22+E23+E16</f>
        <v>17</v>
      </c>
      <c r="F36" s="101">
        <v>1.46</v>
      </c>
      <c r="G36" s="154"/>
      <c r="H36" s="154"/>
      <c r="I36" s="101"/>
      <c r="J36" s="101"/>
      <c r="K36" s="101"/>
      <c r="L36" s="101"/>
      <c r="M36" s="101"/>
      <c r="N36" s="120" t="s">
        <v>1376</v>
      </c>
      <c r="O36" s="167">
        <v>15</v>
      </c>
      <c r="P36" s="67">
        <f ca="1" t="shared" si="0"/>
        <v>21.9</v>
      </c>
      <c r="Q36" s="27"/>
      <c r="R36" s="67">
        <f t="shared" si="1"/>
        <v>2</v>
      </c>
      <c r="S36" s="67">
        <f ca="1" t="shared" si="2"/>
        <v>2.92</v>
      </c>
    </row>
    <row r="37" spans="15:19">
      <c r="O37" s="84" t="s">
        <v>1218</v>
      </c>
      <c r="P37" s="3">
        <f ca="1">SUM(P6:P36)</f>
        <v>33122.6122576688</v>
      </c>
      <c r="R37" s="3" t="s">
        <v>1219</v>
      </c>
      <c r="S37" s="3">
        <f ca="1">SUM(S6:S36)</f>
        <v>12487.95250068</v>
      </c>
    </row>
    <row r="38" spans="2:2">
      <c r="B38" s="50" t="s">
        <v>1221</v>
      </c>
    </row>
    <row r="39" spans="15:16">
      <c r="O39" s="50" t="s">
        <v>1377</v>
      </c>
      <c r="P39" s="3">
        <f ca="1">P37+S37</f>
        <v>45610.5647583488</v>
      </c>
    </row>
    <row r="40" spans="2:16">
      <c r="B40" s="52"/>
      <c r="C40" s="52"/>
      <c r="D40" s="52"/>
      <c r="E40" s="52"/>
      <c r="F40" s="52"/>
      <c r="G40" s="52"/>
      <c r="H40" s="52"/>
      <c r="I40" s="52"/>
      <c r="J40" s="52"/>
      <c r="K40" s="52"/>
      <c r="L40" s="52"/>
      <c r="M40" s="52"/>
      <c r="O40" s="50" t="s">
        <v>14</v>
      </c>
      <c r="P40" s="3">
        <f ca="1">P39/E2</f>
        <v>253.392026435271</v>
      </c>
    </row>
  </sheetData>
  <mergeCells count="12">
    <mergeCell ref="A1:N1"/>
    <mergeCell ref="A2:C2"/>
    <mergeCell ref="F2:N2"/>
    <mergeCell ref="A3:B3"/>
    <mergeCell ref="H3:M3"/>
    <mergeCell ref="A4:F4"/>
    <mergeCell ref="G4:H4"/>
    <mergeCell ref="I4:M4"/>
    <mergeCell ref="A6:A20"/>
    <mergeCell ref="A21:A28"/>
    <mergeCell ref="A29:A32"/>
    <mergeCell ref="A33:A36"/>
  </mergeCells>
  <dataValidations count="4">
    <dataValidation type="list" allowBlank="1" showInputMessage="1" showErrorMessage="1" sqref="B29">
      <formula1>"顶布[白]{全新},顶布[白]{A类},顶布[白]{B类},顶布[白]{C类},顶布[白]{D类}"</formula1>
    </dataValidation>
    <dataValidation type="list" allowBlank="1" showInputMessage="1" showErrorMessage="1" sqref="B30">
      <formula1>"山尖布[白]{全新},山尖布[白]{A类},山尖布[白]{B类},山尖布[白]{C类},山尖布[白]{D类}"</formula1>
    </dataValidation>
    <dataValidation allowBlank="1" showInputMessage="1" showErrorMessage="1" sqref="B31"/>
    <dataValidation type="list" allowBlank="1" showInputMessage="1" showErrorMessage="1" sqref="B32">
      <formula1>"围布[白]{全新},围布[白]{A类},围布[白]{B类},围布[白]{C类},围布[白]{D类},透光窗围布[白]{全新},透光窗围布[白]{A类},透光窗围布[白]{B类},透光窗围布[白]{C类},透光窗围布[白]{D类}"</formula1>
    </dataValidation>
  </dataValidations>
  <printOptions horizontalCentered="1"/>
  <pageMargins left="0.238888888888889" right="0.11875" top="0.159027777777778" bottom="0.259027777777778" header="0.159027777777778" footer="0.2"/>
  <pageSetup paperSize="9" orientation="portrait"/>
  <headerFooter alignWithMargins="0" scaleWithDoc="0">
    <oddFooter>&amp;L&amp;"SimSun"&amp;9&amp;C&amp;"SimSun"&amp;9第 &amp;P 页，共 &amp;N 页&amp;R&amp;"SimSun"&amp;9</oddFooter>
  </headerFooter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FFFF00"/>
  </sheetPr>
  <dimension ref="A1:R47"/>
  <sheetViews>
    <sheetView showGridLines="0" workbookViewId="0">
      <selection activeCell="F13" sqref="F13"/>
    </sheetView>
  </sheetViews>
  <sheetFormatPr defaultColWidth="9" defaultRowHeight="14.25"/>
  <cols>
    <col min="1" max="1" width="3.25" style="1" customWidth="1"/>
    <col min="2" max="2" width="14.5" style="1" customWidth="1"/>
    <col min="3" max="5" width="9" style="1"/>
    <col min="6" max="13" width="9" style="1" customWidth="1"/>
    <col min="14" max="14" width="64.125" style="1" customWidth="1"/>
    <col min="15" max="15" width="9" style="1"/>
    <col min="16" max="16" width="14.875" style="1" customWidth="1"/>
    <col min="17" max="17" width="9" style="1"/>
    <col min="18" max="18" width="16.625" style="1" customWidth="1"/>
    <col min="19" max="16384" width="9" style="1"/>
  </cols>
  <sheetData>
    <row r="1" ht="18.75" spans="1:18">
      <c r="A1" s="72" t="s">
        <v>1489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161"/>
      <c r="P1" s="3"/>
      <c r="Q1" s="3"/>
      <c r="R1" s="3"/>
    </row>
    <row r="2" spans="1:18">
      <c r="A2" s="141" t="s">
        <v>1246</v>
      </c>
      <c r="B2" s="142"/>
      <c r="C2" s="142"/>
      <c r="D2" s="9" t="s">
        <v>1198</v>
      </c>
      <c r="E2" s="176">
        <f>A3*5*18</f>
        <v>180</v>
      </c>
      <c r="F2" s="186"/>
      <c r="G2" s="187"/>
      <c r="H2" s="187"/>
      <c r="I2" s="187"/>
      <c r="J2" s="187"/>
      <c r="K2" s="187"/>
      <c r="L2" s="187"/>
      <c r="M2" s="187"/>
      <c r="N2" s="197"/>
      <c r="O2" s="162"/>
      <c r="P2" s="3"/>
      <c r="Q2" s="55"/>
      <c r="R2" s="55"/>
    </row>
    <row r="3" spans="1:18">
      <c r="A3" s="177">
        <v>2</v>
      </c>
      <c r="B3" s="177"/>
      <c r="C3" s="178" t="s">
        <v>1247</v>
      </c>
      <c r="D3" s="179">
        <v>3</v>
      </c>
      <c r="E3" s="180" t="s">
        <v>1248</v>
      </c>
      <c r="F3" s="188">
        <v>2</v>
      </c>
      <c r="G3" s="189" t="s">
        <v>1249</v>
      </c>
      <c r="H3" s="143"/>
      <c r="I3" s="144"/>
      <c r="J3" s="144"/>
      <c r="K3" s="144"/>
      <c r="L3" s="144"/>
      <c r="M3" s="145"/>
      <c r="N3" s="12"/>
      <c r="O3" s="162"/>
      <c r="P3" s="3"/>
      <c r="Q3" s="55"/>
      <c r="R3" s="55"/>
    </row>
    <row r="4" spans="1:18">
      <c r="A4" s="190"/>
      <c r="B4" s="128"/>
      <c r="C4" s="128"/>
      <c r="D4" s="128"/>
      <c r="E4" s="128"/>
      <c r="F4" s="128"/>
      <c r="G4" s="180" t="s">
        <v>1345</v>
      </c>
      <c r="H4" s="191"/>
      <c r="I4" s="198" t="s">
        <v>1346</v>
      </c>
      <c r="J4" s="199"/>
      <c r="K4" s="199"/>
      <c r="L4" s="199"/>
      <c r="M4" s="200"/>
      <c r="N4" s="201"/>
      <c r="O4" s="162"/>
      <c r="P4" s="3"/>
      <c r="Q4" s="55"/>
      <c r="R4" s="55"/>
    </row>
    <row r="5" ht="24" spans="1:18">
      <c r="A5" s="146" t="s">
        <v>1200</v>
      </c>
      <c r="B5" s="146" t="s">
        <v>1201</v>
      </c>
      <c r="C5" s="146" t="s">
        <v>1250</v>
      </c>
      <c r="D5" s="146" t="s">
        <v>22</v>
      </c>
      <c r="E5" s="147" t="s">
        <v>1251</v>
      </c>
      <c r="F5" s="75" t="s">
        <v>1204</v>
      </c>
      <c r="G5" s="19" t="s">
        <v>1205</v>
      </c>
      <c r="H5" s="17" t="s">
        <v>1253</v>
      </c>
      <c r="I5" s="17" t="s">
        <v>1254</v>
      </c>
      <c r="J5" s="17" t="s">
        <v>1255</v>
      </c>
      <c r="K5" s="17" t="s">
        <v>1209</v>
      </c>
      <c r="L5" s="17" t="s">
        <v>1420</v>
      </c>
      <c r="M5" s="17" t="s">
        <v>1211</v>
      </c>
      <c r="N5" s="163" t="s">
        <v>1257</v>
      </c>
      <c r="O5" s="164" t="s">
        <v>1212</v>
      </c>
      <c r="P5" s="165" t="s">
        <v>1213</v>
      </c>
      <c r="Q5" s="165" t="s">
        <v>1214</v>
      </c>
      <c r="R5" s="75" t="s">
        <v>1213</v>
      </c>
    </row>
    <row r="6" ht="12.95" customHeight="1" spans="1:18">
      <c r="A6" s="20" t="s">
        <v>1215</v>
      </c>
      <c r="B6" s="91" t="s">
        <v>1224</v>
      </c>
      <c r="C6" s="23"/>
      <c r="D6" s="23" t="s">
        <v>28</v>
      </c>
      <c r="E6" s="24">
        <f>D3*2</f>
        <v>6</v>
      </c>
      <c r="F6" s="93">
        <f ca="1">I6+J6+K6+L6+M6</f>
        <v>1104.300437392</v>
      </c>
      <c r="G6" s="94">
        <v>4.58</v>
      </c>
      <c r="H6" s="94">
        <v>8.233</v>
      </c>
      <c r="I6" s="93">
        <f ca="1">G6*H6*'15变18（人字203料）参数'!G3*1.1</f>
        <v>939.390437392</v>
      </c>
      <c r="J6" s="93">
        <f ca="1">48.55*2</f>
        <v>97.1</v>
      </c>
      <c r="K6" s="93">
        <v>45.91</v>
      </c>
      <c r="L6" s="93">
        <f>2.55*4</f>
        <v>10.2</v>
      </c>
      <c r="M6" s="93">
        <f>18*0.65</f>
        <v>11.7</v>
      </c>
      <c r="N6" s="166" t="s">
        <v>1421</v>
      </c>
      <c r="O6" s="167">
        <v>4</v>
      </c>
      <c r="P6" s="67">
        <f ca="1" t="shared" ref="P6:P36" si="0">F6*O6</f>
        <v>4417.201749568</v>
      </c>
      <c r="Q6" s="67">
        <f t="shared" ref="Q6:Q36" si="1">E6-O6</f>
        <v>2</v>
      </c>
      <c r="R6" s="67">
        <f ca="1" t="shared" ref="R6:R36" si="2">F6*Q6</f>
        <v>2208.600874784</v>
      </c>
    </row>
    <row r="7" ht="12.95" customHeight="1" spans="1:18">
      <c r="A7" s="20"/>
      <c r="B7" s="91" t="s">
        <v>1308</v>
      </c>
      <c r="C7" s="23"/>
      <c r="D7" s="23" t="s">
        <v>28</v>
      </c>
      <c r="E7" s="24">
        <f>F3*2</f>
        <v>4</v>
      </c>
      <c r="F7" s="101">
        <f ca="1">G7+H7+I7+J7+K7+L7+M7</f>
        <v>904.44704</v>
      </c>
      <c r="G7" s="148">
        <v>6</v>
      </c>
      <c r="H7" s="148">
        <v>5.3</v>
      </c>
      <c r="I7" s="101">
        <f ca="1">G7*H7*'15变18（人字203料）参数'!G3*1.1</f>
        <v>792.22704</v>
      </c>
      <c r="J7" s="101"/>
      <c r="K7" s="101">
        <f ca="1">49.51+41.21</f>
        <v>90.72</v>
      </c>
      <c r="L7" s="101">
        <f>2.55*4</f>
        <v>10.2</v>
      </c>
      <c r="M7" s="101"/>
      <c r="N7" s="166" t="s">
        <v>1427</v>
      </c>
      <c r="O7" s="167">
        <v>4</v>
      </c>
      <c r="P7" s="67">
        <f ca="1" t="shared" si="0"/>
        <v>3617.78816</v>
      </c>
      <c r="Q7" s="67">
        <f t="shared" si="1"/>
        <v>0</v>
      </c>
      <c r="R7" s="67">
        <f ca="1" t="shared" si="2"/>
        <v>0</v>
      </c>
    </row>
    <row r="8" ht="12.95" customHeight="1" spans="1:18">
      <c r="A8" s="20"/>
      <c r="B8" s="91" t="s">
        <v>1435</v>
      </c>
      <c r="C8" s="23"/>
      <c r="D8" s="23" t="s">
        <v>28</v>
      </c>
      <c r="E8" s="24">
        <f>F3</f>
        <v>2</v>
      </c>
      <c r="F8" s="101">
        <f ca="1">G8+H8+I8+J8+K8+L8+M8</f>
        <v>1064.092448</v>
      </c>
      <c r="G8" s="148">
        <v>7.2</v>
      </c>
      <c r="H8" s="148">
        <v>5.3</v>
      </c>
      <c r="I8" s="101">
        <f ca="1">G8*H8*'15变18（人字203料）参数'!G3*1.1</f>
        <v>950.672448</v>
      </c>
      <c r="J8" s="101"/>
      <c r="K8" s="101">
        <f ca="1">49.51+41.21</f>
        <v>90.72</v>
      </c>
      <c r="L8" s="101">
        <f>2.55*4</f>
        <v>10.2</v>
      </c>
      <c r="M8" s="101"/>
      <c r="N8" s="166" t="s">
        <v>1490</v>
      </c>
      <c r="O8" s="167">
        <v>2</v>
      </c>
      <c r="P8" s="67">
        <f ca="1" t="shared" si="0"/>
        <v>2128.184896</v>
      </c>
      <c r="Q8" s="67">
        <f t="shared" si="1"/>
        <v>0</v>
      </c>
      <c r="R8" s="67">
        <f ca="1" t="shared" si="2"/>
        <v>0</v>
      </c>
    </row>
    <row r="9" ht="12.95" customHeight="1" spans="1:18">
      <c r="A9" s="20"/>
      <c r="B9" s="91" t="s">
        <v>1350</v>
      </c>
      <c r="C9" s="23"/>
      <c r="D9" s="23" t="s">
        <v>28</v>
      </c>
      <c r="E9" s="24">
        <f>D3*2</f>
        <v>6</v>
      </c>
      <c r="F9" s="61">
        <f ca="1">I9+J9+K9+L9+M9</f>
        <v>1704.47272156</v>
      </c>
      <c r="G9" s="95">
        <v>8.15</v>
      </c>
      <c r="H9" s="95">
        <v>8.233</v>
      </c>
      <c r="I9" s="61">
        <f ca="1">G9*H9*'15变18（人字203料）参数'!G3*1.1</f>
        <v>1671.62272156</v>
      </c>
      <c r="J9" s="61">
        <f ca="1">2.5*6</f>
        <v>15</v>
      </c>
      <c r="K9" s="61">
        <v>11.85</v>
      </c>
      <c r="L9" s="61">
        <f>1*6</f>
        <v>6</v>
      </c>
      <c r="M9" s="61"/>
      <c r="N9" s="116" t="s">
        <v>1422</v>
      </c>
      <c r="O9" s="167">
        <v>4</v>
      </c>
      <c r="P9" s="67">
        <f ca="1" t="shared" si="0"/>
        <v>6817.89088624</v>
      </c>
      <c r="Q9" s="67">
        <f t="shared" si="1"/>
        <v>2</v>
      </c>
      <c r="R9" s="67">
        <f ca="1" t="shared" si="2"/>
        <v>3408.94544312</v>
      </c>
    </row>
    <row r="10" ht="12.95" customHeight="1" spans="1:18">
      <c r="A10" s="20"/>
      <c r="B10" s="91" t="s">
        <v>1438</v>
      </c>
      <c r="C10" s="23"/>
      <c r="D10" s="23" t="s">
        <v>28</v>
      </c>
      <c r="E10" s="24">
        <f>D3*2</f>
        <v>6</v>
      </c>
      <c r="F10" s="61">
        <f ca="1">I10+J10+K10+L10+M10</f>
        <v>573.670884688</v>
      </c>
      <c r="G10" s="95">
        <v>1.62</v>
      </c>
      <c r="H10" s="95">
        <v>8.233</v>
      </c>
      <c r="I10" s="61">
        <f ca="1">G10*H10*'15变18（人字203料）参数'!G3*1.1</f>
        <v>332.273473488</v>
      </c>
      <c r="J10" s="61">
        <f ca="1">2.5*2</f>
        <v>5</v>
      </c>
      <c r="K10" s="61">
        <f ca="1">1.2*7.67*'15变18（人字203料）参数'!G3*1.1</f>
        <v>229.2974112</v>
      </c>
      <c r="L10" s="61">
        <f>1*2+2.55*2</f>
        <v>7.1</v>
      </c>
      <c r="M10" s="61"/>
      <c r="N10" s="116" t="s">
        <v>1483</v>
      </c>
      <c r="O10" s="167">
        <v>4</v>
      </c>
      <c r="P10" s="67">
        <f ca="1" t="shared" si="0"/>
        <v>2294.683538752</v>
      </c>
      <c r="Q10" s="67">
        <f t="shared" si="1"/>
        <v>2</v>
      </c>
      <c r="R10" s="67">
        <f ca="1" t="shared" si="2"/>
        <v>1147.341769376</v>
      </c>
    </row>
    <row r="11" ht="12.95" customHeight="1" spans="1:18">
      <c r="A11" s="20"/>
      <c r="B11" s="91" t="s">
        <v>1226</v>
      </c>
      <c r="C11" s="23"/>
      <c r="D11" s="23" t="s">
        <v>28</v>
      </c>
      <c r="E11" s="24">
        <f>A3*6</f>
        <v>12</v>
      </c>
      <c r="F11" s="101">
        <f ca="1">I11+J11+K11+L11+M11</f>
        <v>195.0929650432</v>
      </c>
      <c r="G11" s="148">
        <v>4.882</v>
      </c>
      <c r="H11" s="148">
        <v>1.552</v>
      </c>
      <c r="I11" s="101">
        <f ca="1">G11*H11*'15变18（人字203料）参数'!G5*1.1</f>
        <v>180.0929650432</v>
      </c>
      <c r="J11" s="101"/>
      <c r="K11" s="101"/>
      <c r="L11" s="101">
        <f>0.5*4</f>
        <v>2</v>
      </c>
      <c r="M11" s="101">
        <f>6.5*2</f>
        <v>13</v>
      </c>
      <c r="N11" s="120" t="s">
        <v>1352</v>
      </c>
      <c r="O11" s="167">
        <v>6</v>
      </c>
      <c r="P11" s="67">
        <f ca="1" t="shared" si="0"/>
        <v>1170.5577902592</v>
      </c>
      <c r="Q11" s="67">
        <f t="shared" si="1"/>
        <v>6</v>
      </c>
      <c r="R11" s="67">
        <f ca="1" t="shared" si="2"/>
        <v>1170.5577902592</v>
      </c>
    </row>
    <row r="12" ht="12.95" customHeight="1" spans="1:18">
      <c r="A12" s="20"/>
      <c r="B12" s="91" t="s">
        <v>1264</v>
      </c>
      <c r="C12" s="23"/>
      <c r="D12" s="23" t="s">
        <v>28</v>
      </c>
      <c r="E12" s="24">
        <f>A3*3</f>
        <v>6</v>
      </c>
      <c r="F12" s="101">
        <f ca="1">I12+J12+K12+L12+M12</f>
        <v>336.5448493136</v>
      </c>
      <c r="G12" s="148">
        <v>4.882</v>
      </c>
      <c r="H12" s="148">
        <v>2.771</v>
      </c>
      <c r="I12" s="101">
        <f ca="1">G12*H12*'15变18（人字203料）参数'!G5*1.1</f>
        <v>321.5448493136</v>
      </c>
      <c r="J12" s="101"/>
      <c r="K12" s="101"/>
      <c r="L12" s="101">
        <f>0.5*4</f>
        <v>2</v>
      </c>
      <c r="M12" s="101">
        <f>6.5*2</f>
        <v>13</v>
      </c>
      <c r="N12" s="120" t="s">
        <v>1353</v>
      </c>
      <c r="O12" s="167">
        <v>3</v>
      </c>
      <c r="P12" s="67">
        <f ca="1" t="shared" si="0"/>
        <v>1009.6345479408</v>
      </c>
      <c r="Q12" s="67">
        <f t="shared" si="1"/>
        <v>3</v>
      </c>
      <c r="R12" s="67">
        <f ca="1" t="shared" si="2"/>
        <v>1009.6345479408</v>
      </c>
    </row>
    <row r="13" ht="12.95" customHeight="1" spans="1:18">
      <c r="A13" s="20"/>
      <c r="B13" s="91" t="s">
        <v>1266</v>
      </c>
      <c r="C13" s="23"/>
      <c r="D13" s="23" t="s">
        <v>28</v>
      </c>
      <c r="E13" s="24">
        <f>A3*2+F3*2</f>
        <v>8</v>
      </c>
      <c r="F13" s="101">
        <f ca="1">'数据修改（批量）'!A28</f>
        <v>95</v>
      </c>
      <c r="G13" s="148">
        <v>4.86</v>
      </c>
      <c r="H13" s="148">
        <v>1.345</v>
      </c>
      <c r="I13" s="101">
        <f ca="1">G13*H13*'15变18（人字203料）参数'!G5*1.1</f>
        <v>155.36951496</v>
      </c>
      <c r="J13" s="101"/>
      <c r="K13" s="101"/>
      <c r="L13" s="101"/>
      <c r="M13" s="101"/>
      <c r="N13" s="120" t="s">
        <v>1354</v>
      </c>
      <c r="O13" s="169">
        <v>6</v>
      </c>
      <c r="P13" s="67">
        <f ca="1" t="shared" si="0"/>
        <v>570</v>
      </c>
      <c r="Q13" s="67">
        <f t="shared" si="1"/>
        <v>2</v>
      </c>
      <c r="R13" s="67">
        <f ca="1" t="shared" si="2"/>
        <v>190</v>
      </c>
    </row>
    <row r="14" ht="12.95" customHeight="1" spans="1:18">
      <c r="A14" s="20"/>
      <c r="B14" s="91" t="s">
        <v>1442</v>
      </c>
      <c r="C14" s="23"/>
      <c r="D14" s="23" t="s">
        <v>28</v>
      </c>
      <c r="E14" s="24">
        <f>F3*2</f>
        <v>4</v>
      </c>
      <c r="F14" s="101">
        <f ca="1">I14+J14+K14+L14+M14</f>
        <v>270.6815045136</v>
      </c>
      <c r="G14" s="192">
        <v>3.882</v>
      </c>
      <c r="H14" s="148">
        <v>2.771</v>
      </c>
      <c r="I14" s="202">
        <f ca="1">G14*H14*'15变18（人字203料）参数'!G5*1.1</f>
        <v>255.6815045136</v>
      </c>
      <c r="J14" s="101"/>
      <c r="K14" s="101"/>
      <c r="L14" s="101">
        <f>0.5*4</f>
        <v>2</v>
      </c>
      <c r="M14" s="101">
        <f>6.5*2</f>
        <v>13</v>
      </c>
      <c r="N14" s="120" t="s">
        <v>1443</v>
      </c>
      <c r="O14" s="167">
        <v>4</v>
      </c>
      <c r="P14" s="67">
        <f ca="1" t="shared" si="0"/>
        <v>1082.7260180544</v>
      </c>
      <c r="Q14" s="67">
        <f t="shared" si="1"/>
        <v>0</v>
      </c>
      <c r="R14" s="67">
        <f ca="1" t="shared" si="2"/>
        <v>0</v>
      </c>
    </row>
    <row r="15" ht="12.95" customHeight="1" spans="1:18">
      <c r="A15" s="20"/>
      <c r="B15" s="91" t="s">
        <v>1444</v>
      </c>
      <c r="C15" s="23"/>
      <c r="D15" s="23" t="s">
        <v>28</v>
      </c>
      <c r="E15" s="24">
        <f>F3*2</f>
        <v>4</v>
      </c>
      <c r="F15" s="101">
        <v>76</v>
      </c>
      <c r="G15" s="192">
        <v>3.86</v>
      </c>
      <c r="H15" s="148">
        <v>1.345</v>
      </c>
      <c r="I15" s="101">
        <f ca="1">G15*H15*'15变18（人字203料）参数'!G5*1.1</f>
        <v>123.40047896</v>
      </c>
      <c r="J15" s="101"/>
      <c r="K15" s="101"/>
      <c r="L15" s="101"/>
      <c r="M15" s="101"/>
      <c r="N15" s="120" t="s">
        <v>1484</v>
      </c>
      <c r="O15" s="167">
        <v>4</v>
      </c>
      <c r="P15" s="67">
        <f ca="1" t="shared" si="0"/>
        <v>304</v>
      </c>
      <c r="Q15" s="67">
        <f t="shared" si="1"/>
        <v>0</v>
      </c>
      <c r="R15" s="67">
        <f ca="1" t="shared" si="2"/>
        <v>0</v>
      </c>
    </row>
    <row r="16" ht="12.95" customHeight="1" spans="1:18">
      <c r="A16" s="20"/>
      <c r="B16" s="91" t="s">
        <v>1272</v>
      </c>
      <c r="C16" s="23"/>
      <c r="D16" s="23" t="s">
        <v>28</v>
      </c>
      <c r="E16" s="30">
        <v>5</v>
      </c>
      <c r="F16" s="101">
        <f>I16+J16+K16+L16+M16</f>
        <v>125.3</v>
      </c>
      <c r="G16" s="148"/>
      <c r="H16" s="148"/>
      <c r="I16" s="101">
        <v>110.8</v>
      </c>
      <c r="J16" s="101">
        <v>6.5</v>
      </c>
      <c r="K16" s="101">
        <v>4</v>
      </c>
      <c r="L16" s="101">
        <v>3</v>
      </c>
      <c r="M16" s="101">
        <v>1</v>
      </c>
      <c r="N16" s="120" t="s">
        <v>1491</v>
      </c>
      <c r="O16" s="167">
        <v>4</v>
      </c>
      <c r="P16" s="67">
        <f ca="1" t="shared" si="0"/>
        <v>501.2</v>
      </c>
      <c r="Q16" s="67">
        <f t="shared" si="1"/>
        <v>1</v>
      </c>
      <c r="R16" s="67">
        <f ca="1" t="shared" si="2"/>
        <v>125.3</v>
      </c>
    </row>
    <row r="17" ht="12.95" customHeight="1" spans="1:18">
      <c r="A17" s="20"/>
      <c r="B17" s="91" t="s">
        <v>1356</v>
      </c>
      <c r="C17" s="23"/>
      <c r="D17" s="23" t="s">
        <v>28</v>
      </c>
      <c r="E17" s="24">
        <f>F3</f>
        <v>2</v>
      </c>
      <c r="F17" s="101">
        <f ca="1">I17+J17+K17+L17+M17</f>
        <v>90.133</v>
      </c>
      <c r="G17" s="148">
        <v>3.75</v>
      </c>
      <c r="H17" s="148">
        <v>1</v>
      </c>
      <c r="I17" s="101">
        <f ca="1">G17*H17*'15变18（人字203料）参数'!G5*1.1</f>
        <v>89.133</v>
      </c>
      <c r="J17" s="101"/>
      <c r="K17" s="101"/>
      <c r="L17" s="101">
        <f>0.5*2</f>
        <v>1</v>
      </c>
      <c r="M17" s="101"/>
      <c r="N17" s="170" t="s">
        <v>1357</v>
      </c>
      <c r="O17" s="167">
        <v>2</v>
      </c>
      <c r="P17" s="67">
        <f ca="1" t="shared" si="0"/>
        <v>180.266</v>
      </c>
      <c r="Q17" s="67">
        <f t="shared" si="1"/>
        <v>0</v>
      </c>
      <c r="R17" s="67">
        <f ca="1" t="shared" si="2"/>
        <v>0</v>
      </c>
    </row>
    <row r="18" ht="12.95" customHeight="1" spans="1:18">
      <c r="A18" s="20"/>
      <c r="B18" s="91" t="s">
        <v>1276</v>
      </c>
      <c r="C18" s="23"/>
      <c r="D18" s="23" t="s">
        <v>28</v>
      </c>
      <c r="E18" s="28">
        <f>F3*2</f>
        <v>4</v>
      </c>
      <c r="F18" s="101">
        <f ca="1">I18+J18+K18+L18+M18</f>
        <v>348.2448493136</v>
      </c>
      <c r="G18" s="95">
        <v>4.882</v>
      </c>
      <c r="H18" s="95">
        <v>2.771</v>
      </c>
      <c r="I18" s="61">
        <f ca="1">G18*H18*'15变18（人字203料）参数'!G5*1.1</f>
        <v>321.5448493136</v>
      </c>
      <c r="J18" s="61"/>
      <c r="K18" s="61">
        <v>15</v>
      </c>
      <c r="L18" s="61">
        <f>8*0.65</f>
        <v>5.2</v>
      </c>
      <c r="M18" s="61">
        <v>6.5</v>
      </c>
      <c r="N18" s="120" t="s">
        <v>1358</v>
      </c>
      <c r="O18" s="167">
        <v>4</v>
      </c>
      <c r="P18" s="67">
        <f ca="1" t="shared" si="0"/>
        <v>1392.9793972544</v>
      </c>
      <c r="Q18" s="67">
        <f t="shared" si="1"/>
        <v>0</v>
      </c>
      <c r="R18" s="67">
        <f ca="1" t="shared" si="2"/>
        <v>0</v>
      </c>
    </row>
    <row r="19" ht="12.95" customHeight="1" spans="1:18">
      <c r="A19" s="31"/>
      <c r="B19" s="193" t="s">
        <v>1485</v>
      </c>
      <c r="C19" s="43"/>
      <c r="D19" s="23" t="s">
        <v>28</v>
      </c>
      <c r="E19" s="44">
        <f>E31</f>
        <v>4</v>
      </c>
      <c r="F19" s="101">
        <f>I19+J19+K19+L19+M19</f>
        <v>17</v>
      </c>
      <c r="G19" s="194"/>
      <c r="H19" s="194"/>
      <c r="I19" s="203">
        <v>17</v>
      </c>
      <c r="J19" s="203"/>
      <c r="K19" s="203"/>
      <c r="L19" s="203"/>
      <c r="M19" s="203"/>
      <c r="N19" s="171"/>
      <c r="O19" s="167">
        <v>4</v>
      </c>
      <c r="P19" s="67">
        <f ca="1" t="shared" si="0"/>
        <v>68</v>
      </c>
      <c r="Q19" s="67">
        <f t="shared" si="1"/>
        <v>0</v>
      </c>
      <c r="R19" s="67">
        <f ca="1" t="shared" si="2"/>
        <v>0</v>
      </c>
    </row>
    <row r="20" ht="12.95" customHeight="1" spans="1:18">
      <c r="A20" s="31"/>
      <c r="B20" s="149" t="s">
        <v>1274</v>
      </c>
      <c r="C20" s="43"/>
      <c r="D20" s="43" t="s">
        <v>28</v>
      </c>
      <c r="E20" s="150">
        <f>A3*2+F3*2</f>
        <v>8</v>
      </c>
      <c r="F20" s="101">
        <f>(I20+J20+K20+L20+M20)</f>
        <v>20.4</v>
      </c>
      <c r="G20" s="151"/>
      <c r="H20" s="151"/>
      <c r="I20" s="39">
        <f>17*1.2</f>
        <v>20.4</v>
      </c>
      <c r="J20" s="39"/>
      <c r="K20" s="39"/>
      <c r="L20" s="39"/>
      <c r="M20" s="39"/>
      <c r="N20" s="171" t="s">
        <v>1359</v>
      </c>
      <c r="O20" s="169">
        <v>6</v>
      </c>
      <c r="P20" s="67">
        <f ca="1" t="shared" si="0"/>
        <v>122.4</v>
      </c>
      <c r="Q20" s="67">
        <f t="shared" si="1"/>
        <v>2</v>
      </c>
      <c r="R20" s="67">
        <f ca="1" t="shared" si="2"/>
        <v>40.8</v>
      </c>
    </row>
    <row r="21" ht="12.95" customHeight="1" spans="1:18">
      <c r="A21" s="20" t="s">
        <v>1278</v>
      </c>
      <c r="B21" s="91" t="s">
        <v>1304</v>
      </c>
      <c r="C21" s="23"/>
      <c r="D21" s="23" t="s">
        <v>434</v>
      </c>
      <c r="E21" s="24">
        <f>D3</f>
        <v>3</v>
      </c>
      <c r="F21" s="101">
        <v>180.62</v>
      </c>
      <c r="G21" s="151"/>
      <c r="H21" s="151"/>
      <c r="I21" s="39"/>
      <c r="J21" s="39"/>
      <c r="K21" s="39"/>
      <c r="L21" s="39"/>
      <c r="M21" s="39"/>
      <c r="N21" s="171" t="s">
        <v>1360</v>
      </c>
      <c r="O21" s="172">
        <v>2</v>
      </c>
      <c r="P21" s="67">
        <f ca="1" t="shared" si="0"/>
        <v>361.24</v>
      </c>
      <c r="Q21" s="67">
        <f t="shared" si="1"/>
        <v>1</v>
      </c>
      <c r="R21" s="67">
        <f ca="1" t="shared" si="2"/>
        <v>180.62</v>
      </c>
    </row>
    <row r="22" ht="12.95" customHeight="1" spans="1:18">
      <c r="A22" s="20"/>
      <c r="B22" s="91" t="s">
        <v>1310</v>
      </c>
      <c r="C22" s="23"/>
      <c r="D22" s="23" t="s">
        <v>434</v>
      </c>
      <c r="E22" s="24">
        <f>E7+E8</f>
        <v>6</v>
      </c>
      <c r="F22" s="101">
        <v>76.4</v>
      </c>
      <c r="G22" s="148"/>
      <c r="H22" s="148"/>
      <c r="I22" s="101"/>
      <c r="J22" s="101"/>
      <c r="K22" s="101"/>
      <c r="L22" s="101"/>
      <c r="M22" s="101"/>
      <c r="N22" s="120" t="s">
        <v>1361</v>
      </c>
      <c r="O22" s="167">
        <v>6</v>
      </c>
      <c r="P22" s="67">
        <f ca="1" t="shared" si="0"/>
        <v>458.4</v>
      </c>
      <c r="Q22" s="67">
        <f t="shared" si="1"/>
        <v>0</v>
      </c>
      <c r="R22" s="67">
        <f ca="1" t="shared" si="2"/>
        <v>0</v>
      </c>
    </row>
    <row r="23" ht="12.95" customHeight="1" spans="1:18">
      <c r="A23" s="20"/>
      <c r="B23" s="91" t="s">
        <v>1280</v>
      </c>
      <c r="C23" s="23"/>
      <c r="D23" s="23" t="s">
        <v>434</v>
      </c>
      <c r="E23" s="28">
        <f>E6</f>
        <v>6</v>
      </c>
      <c r="F23" s="61">
        <v>85.93</v>
      </c>
      <c r="G23" s="95"/>
      <c r="H23" s="95"/>
      <c r="I23" s="61"/>
      <c r="J23" s="61"/>
      <c r="K23" s="61"/>
      <c r="L23" s="61"/>
      <c r="M23" s="61"/>
      <c r="N23" s="173" t="s">
        <v>1361</v>
      </c>
      <c r="O23" s="167">
        <v>4</v>
      </c>
      <c r="P23" s="67">
        <f ca="1" t="shared" si="0"/>
        <v>343.72</v>
      </c>
      <c r="Q23" s="67">
        <f t="shared" si="1"/>
        <v>2</v>
      </c>
      <c r="R23" s="67">
        <f ca="1" t="shared" si="2"/>
        <v>171.86</v>
      </c>
    </row>
    <row r="24" ht="12.95" customHeight="1" spans="1:18">
      <c r="A24" s="20"/>
      <c r="B24" s="91" t="s">
        <v>1339</v>
      </c>
      <c r="C24" s="23"/>
      <c r="D24" s="23" t="s">
        <v>28</v>
      </c>
      <c r="E24" s="32">
        <f>E16</f>
        <v>5</v>
      </c>
      <c r="F24" s="101">
        <v>91.3</v>
      </c>
      <c r="G24" s="148"/>
      <c r="H24" s="148"/>
      <c r="I24" s="101"/>
      <c r="J24" s="101"/>
      <c r="K24" s="101"/>
      <c r="L24" s="101"/>
      <c r="M24" s="101"/>
      <c r="N24" s="120" t="s">
        <v>1362</v>
      </c>
      <c r="O24" s="167">
        <v>4</v>
      </c>
      <c r="P24" s="67">
        <f ca="1" t="shared" si="0"/>
        <v>365.2</v>
      </c>
      <c r="Q24" s="67">
        <f t="shared" si="1"/>
        <v>1</v>
      </c>
      <c r="R24" s="67">
        <f ca="1" t="shared" si="2"/>
        <v>91.3</v>
      </c>
    </row>
    <row r="25" ht="12.95" customHeight="1" spans="1:18">
      <c r="A25" s="20"/>
      <c r="B25" s="91" t="s">
        <v>1282</v>
      </c>
      <c r="C25" s="23"/>
      <c r="D25" s="23" t="s">
        <v>434</v>
      </c>
      <c r="E25" s="24">
        <f>D3*2+F3*3</f>
        <v>12</v>
      </c>
      <c r="F25" s="101">
        <v>4.45</v>
      </c>
      <c r="G25" s="148"/>
      <c r="H25" s="148"/>
      <c r="I25" s="101"/>
      <c r="J25" s="101"/>
      <c r="K25" s="101"/>
      <c r="L25" s="101"/>
      <c r="M25" s="101"/>
      <c r="N25" s="120" t="s">
        <v>1363</v>
      </c>
      <c r="O25" s="169">
        <v>10</v>
      </c>
      <c r="P25" s="67">
        <f ca="1" t="shared" si="0"/>
        <v>44.5</v>
      </c>
      <c r="Q25" s="67">
        <f t="shared" si="1"/>
        <v>2</v>
      </c>
      <c r="R25" s="67">
        <f ca="1" t="shared" si="2"/>
        <v>8.9</v>
      </c>
    </row>
    <row r="26" ht="12.95" customHeight="1" spans="1:18">
      <c r="A26" s="20"/>
      <c r="B26" s="91" t="s">
        <v>1284</v>
      </c>
      <c r="C26" s="23"/>
      <c r="D26" s="23" t="s">
        <v>434</v>
      </c>
      <c r="E26" s="24">
        <f>D3*2</f>
        <v>6</v>
      </c>
      <c r="F26" s="101">
        <v>6.51</v>
      </c>
      <c r="G26" s="148"/>
      <c r="H26" s="148"/>
      <c r="I26" s="101"/>
      <c r="J26" s="101"/>
      <c r="K26" s="101"/>
      <c r="L26" s="101"/>
      <c r="M26" s="101"/>
      <c r="N26" s="120" t="s">
        <v>1364</v>
      </c>
      <c r="O26" s="167">
        <v>4</v>
      </c>
      <c r="P26" s="67">
        <f ca="1" t="shared" si="0"/>
        <v>26.04</v>
      </c>
      <c r="Q26" s="67">
        <f t="shared" si="1"/>
        <v>2</v>
      </c>
      <c r="R26" s="67">
        <f ca="1" t="shared" si="2"/>
        <v>13.02</v>
      </c>
    </row>
    <row r="27" ht="12.95" customHeight="1" spans="1:18">
      <c r="A27" s="20"/>
      <c r="B27" s="91" t="s">
        <v>519</v>
      </c>
      <c r="C27" s="23"/>
      <c r="D27" s="23" t="s">
        <v>434</v>
      </c>
      <c r="E27" s="24">
        <f>F3*2</f>
        <v>4</v>
      </c>
      <c r="F27" s="101">
        <v>13</v>
      </c>
      <c r="G27" s="151"/>
      <c r="H27" s="151"/>
      <c r="I27" s="39"/>
      <c r="J27" s="39"/>
      <c r="K27" s="39"/>
      <c r="L27" s="39"/>
      <c r="M27" s="39"/>
      <c r="N27" s="120" t="s">
        <v>1365</v>
      </c>
      <c r="O27" s="167">
        <v>4</v>
      </c>
      <c r="P27" s="67">
        <f ca="1" t="shared" si="0"/>
        <v>52</v>
      </c>
      <c r="Q27" s="67">
        <f t="shared" si="1"/>
        <v>0</v>
      </c>
      <c r="R27" s="67">
        <f ca="1" t="shared" si="2"/>
        <v>0</v>
      </c>
    </row>
    <row r="28" ht="12.95" customHeight="1" spans="1:18">
      <c r="A28" s="31"/>
      <c r="B28" s="152" t="s">
        <v>551</v>
      </c>
      <c r="C28" s="43"/>
      <c r="D28" s="43" t="s">
        <v>434</v>
      </c>
      <c r="E28" s="150">
        <f>F3*2</f>
        <v>4</v>
      </c>
      <c r="F28" s="41">
        <v>15.5</v>
      </c>
      <c r="G28" s="99"/>
      <c r="H28" s="99"/>
      <c r="I28" s="41"/>
      <c r="J28" s="41"/>
      <c r="K28" s="41"/>
      <c r="L28" s="41"/>
      <c r="M28" s="41"/>
      <c r="N28" s="173" t="s">
        <v>1361</v>
      </c>
      <c r="O28" s="174">
        <v>4</v>
      </c>
      <c r="P28" s="67">
        <f ca="1" t="shared" si="0"/>
        <v>62</v>
      </c>
      <c r="Q28" s="67">
        <f t="shared" si="1"/>
        <v>0</v>
      </c>
      <c r="R28" s="67">
        <f ca="1" t="shared" si="2"/>
        <v>0</v>
      </c>
    </row>
    <row r="29" ht="12.95" customHeight="1" spans="1:18">
      <c r="A29" s="153" t="s">
        <v>1216</v>
      </c>
      <c r="B29" s="91" t="s">
        <v>1366</v>
      </c>
      <c r="C29" s="23"/>
      <c r="D29" s="23" t="s">
        <v>612</v>
      </c>
      <c r="E29" s="24">
        <f>A3</f>
        <v>2</v>
      </c>
      <c r="F29" s="122">
        <f ca="1">(I29+J29)*1.1+30</f>
        <v>2344.686</v>
      </c>
      <c r="G29" s="99">
        <v>20.4</v>
      </c>
      <c r="H29" s="99">
        <v>5</v>
      </c>
      <c r="I29" s="41">
        <f ca="1">G29*H29*'15变18（人字203料）参数'!E15*1.1</f>
        <v>1941.06</v>
      </c>
      <c r="J29" s="41">
        <f>20.4*2*4</f>
        <v>163.2</v>
      </c>
      <c r="K29" s="41">
        <v>30</v>
      </c>
      <c r="L29" s="41"/>
      <c r="M29" s="41"/>
      <c r="N29" s="167" t="s">
        <v>1486</v>
      </c>
      <c r="O29" s="175">
        <v>1</v>
      </c>
      <c r="P29" s="67">
        <f ca="1" t="shared" si="0"/>
        <v>2344.686</v>
      </c>
      <c r="Q29" s="67">
        <f t="shared" si="1"/>
        <v>1</v>
      </c>
      <c r="R29" s="67">
        <f ca="1" t="shared" si="2"/>
        <v>2344.686</v>
      </c>
    </row>
    <row r="30" ht="12.95" customHeight="1" spans="1:18">
      <c r="A30" s="153"/>
      <c r="B30" s="91" t="s">
        <v>1368</v>
      </c>
      <c r="C30" s="23"/>
      <c r="D30" s="23" t="s">
        <v>664</v>
      </c>
      <c r="E30" s="24">
        <f>F3</f>
        <v>2</v>
      </c>
      <c r="F30" s="122">
        <f ca="1">(I30+J30)*1.1+15</f>
        <v>709.70698</v>
      </c>
      <c r="G30" s="148">
        <v>9.35</v>
      </c>
      <c r="H30" s="154">
        <v>3.6</v>
      </c>
      <c r="I30" s="101">
        <f ca="1">G30*H30*'15变18（人字203料）参数'!E14*1.1</f>
        <v>529.4718</v>
      </c>
      <c r="J30" s="101">
        <f>12.76*2*4</f>
        <v>102.08</v>
      </c>
      <c r="K30" s="101">
        <v>15</v>
      </c>
      <c r="L30" s="101"/>
      <c r="M30" s="101"/>
      <c r="N30" s="51" t="s">
        <v>1487</v>
      </c>
      <c r="O30" s="167">
        <v>2</v>
      </c>
      <c r="P30" s="67">
        <f ca="1" t="shared" si="0"/>
        <v>1419.41396</v>
      </c>
      <c r="Q30" s="67">
        <f t="shared" si="1"/>
        <v>0</v>
      </c>
      <c r="R30" s="67">
        <f ca="1" t="shared" si="2"/>
        <v>0</v>
      </c>
    </row>
    <row r="31" ht="12.95" customHeight="1" spans="1:18">
      <c r="A31" s="155"/>
      <c r="B31" s="91" t="s">
        <v>1462</v>
      </c>
      <c r="C31" s="23"/>
      <c r="D31" s="23" t="s">
        <v>664</v>
      </c>
      <c r="E31" s="24">
        <f>F3*2</f>
        <v>4</v>
      </c>
      <c r="F31" s="122">
        <f ca="1">(I31+J31)*1.1+15</f>
        <v>366.2641308</v>
      </c>
      <c r="G31" s="156">
        <v>4.97</v>
      </c>
      <c r="H31" s="157">
        <v>3.88</v>
      </c>
      <c r="I31" s="101">
        <f ca="1">G31*H31*'15变18（人字203料）参数'!E14*1.1</f>
        <v>303.331028</v>
      </c>
      <c r="J31" s="71">
        <f>4*2*2</f>
        <v>16</v>
      </c>
      <c r="K31" s="71">
        <f>0.5*10</f>
        <v>5</v>
      </c>
      <c r="L31" s="71">
        <f>0.32*18</f>
        <v>5.76</v>
      </c>
      <c r="M31" s="71">
        <f>18*1</f>
        <v>18</v>
      </c>
      <c r="N31" s="120" t="s">
        <v>1492</v>
      </c>
      <c r="O31" s="167">
        <v>4</v>
      </c>
      <c r="P31" s="67">
        <f ca="1" t="shared" si="0"/>
        <v>1465.0565232</v>
      </c>
      <c r="Q31" s="67">
        <f t="shared" si="1"/>
        <v>0</v>
      </c>
      <c r="R31" s="67">
        <f ca="1" t="shared" si="2"/>
        <v>0</v>
      </c>
    </row>
    <row r="32" ht="12.95" customHeight="1" spans="1:18">
      <c r="A32" s="155"/>
      <c r="B32" s="91" t="s">
        <v>1370</v>
      </c>
      <c r="C32" s="23"/>
      <c r="D32" s="23" t="s">
        <v>664</v>
      </c>
      <c r="E32" s="24">
        <f>A3*2+F3*2</f>
        <v>8</v>
      </c>
      <c r="F32" s="101">
        <f ca="1">I32+J32+K31+L32+M32</f>
        <v>466.28612</v>
      </c>
      <c r="G32" s="156">
        <v>5.2</v>
      </c>
      <c r="H32" s="157">
        <v>4.97</v>
      </c>
      <c r="I32" s="101">
        <f ca="1">G32*H32*'15变18（人字203料）参数'!E14*1.1+15</f>
        <v>421.52612</v>
      </c>
      <c r="J32" s="71">
        <f>4*2*2</f>
        <v>16</v>
      </c>
      <c r="K32" s="71">
        <f>0.5*10</f>
        <v>5</v>
      </c>
      <c r="L32" s="71">
        <f>0.32*18</f>
        <v>5.76</v>
      </c>
      <c r="M32" s="71">
        <f>18*1</f>
        <v>18</v>
      </c>
      <c r="N32" s="120" t="s">
        <v>1394</v>
      </c>
      <c r="O32" s="169">
        <v>6</v>
      </c>
      <c r="P32" s="67">
        <f ca="1" t="shared" si="0"/>
        <v>2797.71672</v>
      </c>
      <c r="Q32" s="67">
        <f t="shared" si="1"/>
        <v>2</v>
      </c>
      <c r="R32" s="67">
        <f ca="1" t="shared" si="2"/>
        <v>932.57224</v>
      </c>
    </row>
    <row r="33" ht="12.95" customHeight="1" spans="1:18">
      <c r="A33" s="20" t="s">
        <v>1235</v>
      </c>
      <c r="B33" s="158" t="s">
        <v>589</v>
      </c>
      <c r="C33" s="23"/>
      <c r="D33" s="23" t="s">
        <v>434</v>
      </c>
      <c r="E33" s="24">
        <f>D3*10+F3*2+E24*2</f>
        <v>44</v>
      </c>
      <c r="F33" s="101">
        <v>2.15</v>
      </c>
      <c r="G33" s="154"/>
      <c r="H33" s="154"/>
      <c r="I33" s="101"/>
      <c r="J33" s="101"/>
      <c r="K33" s="101"/>
      <c r="L33" s="101"/>
      <c r="M33" s="101"/>
      <c r="N33" s="120" t="s">
        <v>1372</v>
      </c>
      <c r="O33" s="167">
        <v>34</v>
      </c>
      <c r="P33" s="67">
        <f ca="1" t="shared" si="0"/>
        <v>73.1</v>
      </c>
      <c r="Q33" s="67">
        <f t="shared" si="1"/>
        <v>10</v>
      </c>
      <c r="R33" s="67">
        <f ca="1" t="shared" si="2"/>
        <v>21.5</v>
      </c>
    </row>
    <row r="34" ht="12.95" customHeight="1" spans="1:18">
      <c r="A34" s="20"/>
      <c r="B34" s="109" t="s">
        <v>591</v>
      </c>
      <c r="C34" s="23"/>
      <c r="D34" s="23" t="s">
        <v>434</v>
      </c>
      <c r="E34" s="24">
        <f>D3*2+E24+E16</f>
        <v>16</v>
      </c>
      <c r="F34" s="101">
        <v>2.55</v>
      </c>
      <c r="G34" s="154"/>
      <c r="H34" s="154"/>
      <c r="I34" s="101"/>
      <c r="J34" s="101"/>
      <c r="K34" s="101"/>
      <c r="L34" s="101"/>
      <c r="M34" s="101"/>
      <c r="N34" s="120" t="s">
        <v>1373</v>
      </c>
      <c r="O34" s="172">
        <v>14</v>
      </c>
      <c r="P34" s="67">
        <f ca="1" t="shared" si="0"/>
        <v>35.7</v>
      </c>
      <c r="Q34" s="67">
        <f t="shared" si="1"/>
        <v>2</v>
      </c>
      <c r="R34" s="67">
        <f ca="1" t="shared" si="2"/>
        <v>5.1</v>
      </c>
    </row>
    <row r="35" ht="12.95" customHeight="1" spans="1:18">
      <c r="A35" s="20"/>
      <c r="B35" s="159" t="s">
        <v>1423</v>
      </c>
      <c r="C35" s="43"/>
      <c r="D35" s="43" t="s">
        <v>434</v>
      </c>
      <c r="E35" s="44">
        <f>D3*2+4</f>
        <v>10</v>
      </c>
      <c r="F35" s="39">
        <v>1.95</v>
      </c>
      <c r="G35" s="160"/>
      <c r="H35" s="160"/>
      <c r="I35" s="39"/>
      <c r="J35" s="39"/>
      <c r="K35" s="39"/>
      <c r="L35" s="39"/>
      <c r="M35" s="39"/>
      <c r="N35" s="120" t="s">
        <v>1375</v>
      </c>
      <c r="O35" s="167">
        <v>8</v>
      </c>
      <c r="P35" s="67">
        <f ca="1" t="shared" si="0"/>
        <v>15.6</v>
      </c>
      <c r="Q35" s="67">
        <f t="shared" si="1"/>
        <v>2</v>
      </c>
      <c r="R35" s="67">
        <f ca="1" t="shared" si="2"/>
        <v>3.9</v>
      </c>
    </row>
    <row r="36" spans="1:18">
      <c r="A36" s="20"/>
      <c r="B36" s="109" t="s">
        <v>554</v>
      </c>
      <c r="C36" s="23"/>
      <c r="D36" s="23" t="s">
        <v>555</v>
      </c>
      <c r="E36" s="28">
        <f>E22+E23+E16</f>
        <v>17</v>
      </c>
      <c r="F36" s="101">
        <v>1.46</v>
      </c>
      <c r="G36" s="154"/>
      <c r="H36" s="154"/>
      <c r="I36" s="101"/>
      <c r="J36" s="101"/>
      <c r="K36" s="101"/>
      <c r="L36" s="101"/>
      <c r="M36" s="101"/>
      <c r="N36" s="120" t="s">
        <v>1376</v>
      </c>
      <c r="O36" s="167">
        <v>15</v>
      </c>
      <c r="P36" s="67">
        <f ca="1" t="shared" si="0"/>
        <v>21.9</v>
      </c>
      <c r="Q36" s="67">
        <f t="shared" si="1"/>
        <v>2</v>
      </c>
      <c r="R36" s="67">
        <f ca="1" t="shared" si="2"/>
        <v>2.92</v>
      </c>
    </row>
    <row r="37" spans="1:18">
      <c r="A37" s="50"/>
      <c r="B37" s="50" t="s">
        <v>1424</v>
      </c>
      <c r="C37" s="51"/>
      <c r="D37" s="51"/>
      <c r="E37" s="51"/>
      <c r="F37" s="50"/>
      <c r="G37" s="50"/>
      <c r="H37" s="50"/>
      <c r="I37" s="50"/>
      <c r="J37" s="50"/>
      <c r="K37" s="50"/>
      <c r="L37" s="50"/>
      <c r="M37" s="50"/>
      <c r="N37" s="50"/>
      <c r="O37" s="84" t="s">
        <v>1218</v>
      </c>
      <c r="P37" s="3">
        <f ca="1">SUM(P6:P36)</f>
        <v>35563.7861872688</v>
      </c>
      <c r="Q37" s="3" t="s">
        <v>1219</v>
      </c>
      <c r="R37" s="3">
        <f ca="1">SUM(R6:R36)</f>
        <v>13077.55866548</v>
      </c>
    </row>
    <row r="38" spans="1:18">
      <c r="A38" s="50"/>
      <c r="B38" s="50" t="s">
        <v>1221</v>
      </c>
      <c r="C38" s="51"/>
      <c r="D38" s="51"/>
      <c r="E38" s="51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3"/>
      <c r="Q38" s="3"/>
      <c r="R38" s="3"/>
    </row>
    <row r="39" spans="1:18">
      <c r="A39" s="50"/>
      <c r="B39" s="50"/>
      <c r="C39" s="51"/>
      <c r="D39" s="51"/>
      <c r="E39" s="51"/>
      <c r="F39" s="50"/>
      <c r="G39" s="50"/>
      <c r="H39" s="50"/>
      <c r="I39" s="50"/>
      <c r="J39" s="50"/>
      <c r="K39" s="50"/>
      <c r="L39" s="50"/>
      <c r="M39" s="50"/>
      <c r="N39" s="50"/>
      <c r="O39" s="50" t="s">
        <v>1377</v>
      </c>
      <c r="P39" s="3">
        <f ca="1">P37+R37</f>
        <v>48641.3448527488</v>
      </c>
      <c r="Q39" s="3"/>
      <c r="R39" s="3"/>
    </row>
    <row r="40" spans="1:18">
      <c r="A40" s="50"/>
      <c r="B40" s="52"/>
      <c r="C40" s="52"/>
      <c r="D40" s="52"/>
      <c r="E40" s="52"/>
      <c r="F40" s="52"/>
      <c r="G40" s="52"/>
      <c r="H40" s="52"/>
      <c r="I40" s="52"/>
      <c r="J40" s="52"/>
      <c r="K40" s="52"/>
      <c r="L40" s="52"/>
      <c r="M40" s="52"/>
      <c r="N40" s="50"/>
      <c r="O40" s="50" t="s">
        <v>14</v>
      </c>
      <c r="P40" s="3">
        <f ca="1">P39/E2</f>
        <v>270.229693626382</v>
      </c>
      <c r="Q40" s="3"/>
      <c r="R40" s="3"/>
    </row>
    <row r="41" spans="1:18">
      <c r="A41" s="50"/>
      <c r="B41" s="50"/>
      <c r="C41" s="51"/>
      <c r="D41" s="51"/>
      <c r="E41" s="51"/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3"/>
      <c r="Q41" s="3"/>
      <c r="R41" s="3"/>
    </row>
    <row r="42" spans="1:18">
      <c r="A42" s="50"/>
      <c r="B42" s="50"/>
      <c r="C42" s="51"/>
      <c r="D42" s="51"/>
      <c r="E42" s="51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3"/>
      <c r="Q42" s="3"/>
      <c r="R42" s="3"/>
    </row>
    <row r="43" spans="1:18">
      <c r="A43" s="50"/>
      <c r="B43" s="50"/>
      <c r="C43" s="51"/>
      <c r="D43" s="51"/>
      <c r="E43" s="51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3"/>
      <c r="Q43" s="3"/>
      <c r="R43" s="3"/>
    </row>
    <row r="44" spans="1:18">
      <c r="A44" s="50"/>
      <c r="B44" s="50"/>
      <c r="C44" s="51"/>
      <c r="D44" s="51"/>
      <c r="E44" s="51"/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3"/>
      <c r="Q44" s="3"/>
      <c r="R44" s="3"/>
    </row>
    <row r="45" spans="1:18">
      <c r="A45" s="50"/>
      <c r="B45" s="50"/>
      <c r="C45" s="51"/>
      <c r="D45" s="51"/>
      <c r="E45" s="51"/>
      <c r="F45" s="50"/>
      <c r="G45" s="50"/>
      <c r="H45" s="50"/>
      <c r="I45" s="50"/>
      <c r="J45" s="50"/>
      <c r="K45" s="50"/>
      <c r="L45" s="50"/>
      <c r="M45" s="50"/>
      <c r="N45" s="50"/>
      <c r="O45" s="50"/>
      <c r="P45" s="3"/>
      <c r="Q45" s="3"/>
      <c r="R45" s="3"/>
    </row>
    <row r="46" spans="1:18">
      <c r="A46" s="50"/>
      <c r="B46" s="50"/>
      <c r="C46" s="51"/>
      <c r="D46" s="51"/>
      <c r="E46" s="51"/>
      <c r="F46" s="50"/>
      <c r="G46" s="50"/>
      <c r="H46" s="50"/>
      <c r="I46" s="50"/>
      <c r="J46" s="50"/>
      <c r="K46" s="50"/>
      <c r="L46" s="50"/>
      <c r="M46" s="50"/>
      <c r="N46" s="50"/>
      <c r="O46" s="50"/>
      <c r="P46" s="3"/>
      <c r="Q46" s="3"/>
      <c r="R46" s="3"/>
    </row>
    <row r="47" spans="1:18">
      <c r="A47" s="50"/>
      <c r="B47" s="50"/>
      <c r="C47" s="51"/>
      <c r="D47" s="51"/>
      <c r="E47" s="51"/>
      <c r="F47" s="50"/>
      <c r="G47" s="50"/>
      <c r="H47" s="50"/>
      <c r="I47" s="50"/>
      <c r="J47" s="50"/>
      <c r="K47" s="50"/>
      <c r="L47" s="50"/>
      <c r="M47" s="50"/>
      <c r="N47" s="50"/>
      <c r="O47" s="50"/>
      <c r="P47" s="3"/>
      <c r="Q47" s="3"/>
      <c r="R47" s="3"/>
    </row>
  </sheetData>
  <mergeCells count="12">
    <mergeCell ref="A1:N1"/>
    <mergeCell ref="A2:C2"/>
    <mergeCell ref="F2:N2"/>
    <mergeCell ref="A3:B3"/>
    <mergeCell ref="H3:M3"/>
    <mergeCell ref="A4:F4"/>
    <mergeCell ref="G4:H4"/>
    <mergeCell ref="I4:M4"/>
    <mergeCell ref="A6:A20"/>
    <mergeCell ref="A21:A28"/>
    <mergeCell ref="A29:A32"/>
    <mergeCell ref="A33:A36"/>
  </mergeCells>
  <dataValidations count="4">
    <dataValidation type="list" allowBlank="1" showInputMessage="1" showErrorMessage="1" sqref="B29">
      <formula1>"顶布[白]{全新},顶布[白]{A类},顶布[白]{B类},顶布[白]{C类},顶布[白]{D类}"</formula1>
    </dataValidation>
    <dataValidation type="list" allowBlank="1" showInputMessage="1" showErrorMessage="1" sqref="B30">
      <formula1>"山尖布[白]{全新},山尖布[白]{A类},山尖布[白]{B类},山尖布[白]{C类},山尖布[白]{D类}"</formula1>
    </dataValidation>
    <dataValidation allowBlank="1" showInputMessage="1" showErrorMessage="1" sqref="B31"/>
    <dataValidation type="list" allowBlank="1" showInputMessage="1" showErrorMessage="1" sqref="B32">
      <formula1>"围布[白]{全新},围布[白]{A类},围布[白]{B类},围布[白]{C类},围布[白]{D类},透光窗围布[白]{全新},透光窗围布[白]{A类},透光窗围布[白]{B类},透光窗围布[白]{C类},透光窗围布[白]{D类}"</formula1>
    </dataValidation>
  </dataValidations>
  <pageMargins left="0.75" right="0.75" top="1" bottom="1" header="0.509027777777778" footer="0.509027777777778"/>
  <headerFooter/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FFFF00"/>
  </sheetPr>
  <dimension ref="A1:R40"/>
  <sheetViews>
    <sheetView showGridLines="0" topLeftCell="A4" workbookViewId="0">
      <selection activeCell="F13" sqref="F13"/>
    </sheetView>
  </sheetViews>
  <sheetFormatPr defaultColWidth="9" defaultRowHeight="14.25"/>
  <cols>
    <col min="1" max="1" width="3" style="1" customWidth="1"/>
    <col min="2" max="2" width="14" style="1" customWidth="1"/>
    <col min="3" max="5" width="9" style="1"/>
    <col min="6" max="13" width="9" style="1" customWidth="1"/>
    <col min="14" max="14" width="54.25" style="1" customWidth="1"/>
    <col min="15" max="15" width="9" style="1"/>
    <col min="16" max="16" width="12.75" style="1" customWidth="1"/>
    <col min="17" max="17" width="9" style="1"/>
    <col min="18" max="18" width="15" style="1" customWidth="1"/>
    <col min="19" max="16384" width="9" style="1"/>
  </cols>
  <sheetData>
    <row r="1" ht="18.75" spans="1:18">
      <c r="A1" s="72" t="s">
        <v>1493</v>
      </c>
      <c r="B1" s="210"/>
      <c r="C1" s="210"/>
      <c r="D1" s="210"/>
      <c r="E1" s="210"/>
      <c r="F1" s="210"/>
      <c r="G1" s="210"/>
      <c r="H1" s="210"/>
      <c r="I1" s="210"/>
      <c r="J1" s="210"/>
      <c r="K1" s="210"/>
      <c r="L1" s="210"/>
      <c r="M1" s="210"/>
      <c r="N1" s="210"/>
      <c r="O1" s="210"/>
      <c r="P1" s="3"/>
      <c r="Q1" s="3"/>
      <c r="R1" s="3"/>
    </row>
    <row r="2" spans="1:18">
      <c r="A2" s="141" t="s">
        <v>1246</v>
      </c>
      <c r="B2" s="142"/>
      <c r="C2" s="142"/>
      <c r="D2" s="9" t="s">
        <v>1198</v>
      </c>
      <c r="E2" s="176">
        <f>A3*5*18</f>
        <v>180</v>
      </c>
      <c r="F2" s="186"/>
      <c r="G2" s="187"/>
      <c r="H2" s="187"/>
      <c r="I2" s="187"/>
      <c r="J2" s="187"/>
      <c r="K2" s="187"/>
      <c r="L2" s="187"/>
      <c r="M2" s="187"/>
      <c r="N2" s="197"/>
      <c r="O2" s="162"/>
      <c r="P2" s="3"/>
      <c r="Q2" s="55"/>
      <c r="R2" s="55"/>
    </row>
    <row r="3" spans="1:18">
      <c r="A3" s="177">
        <v>2</v>
      </c>
      <c r="B3" s="177"/>
      <c r="C3" s="178" t="s">
        <v>1247</v>
      </c>
      <c r="D3" s="179">
        <v>3</v>
      </c>
      <c r="E3" s="180" t="s">
        <v>1248</v>
      </c>
      <c r="F3" s="188">
        <v>2</v>
      </c>
      <c r="G3" s="189" t="s">
        <v>1249</v>
      </c>
      <c r="H3" s="143"/>
      <c r="I3" s="144"/>
      <c r="J3" s="144"/>
      <c r="K3" s="144"/>
      <c r="L3" s="144"/>
      <c r="M3" s="144"/>
      <c r="N3" s="145"/>
      <c r="O3" s="162"/>
      <c r="P3" s="3"/>
      <c r="Q3" s="55"/>
      <c r="R3" s="55"/>
    </row>
    <row r="4" spans="1:18">
      <c r="A4" s="190"/>
      <c r="B4" s="128"/>
      <c r="C4" s="128"/>
      <c r="D4" s="128"/>
      <c r="E4" s="128"/>
      <c r="F4" s="128"/>
      <c r="G4" s="180" t="s">
        <v>1345</v>
      </c>
      <c r="H4" s="191"/>
      <c r="I4" s="198" t="s">
        <v>1346</v>
      </c>
      <c r="J4" s="199"/>
      <c r="K4" s="199"/>
      <c r="L4" s="199"/>
      <c r="M4" s="200"/>
      <c r="N4" s="201"/>
      <c r="O4" s="162"/>
      <c r="P4" s="3"/>
      <c r="Q4" s="55"/>
      <c r="R4" s="55"/>
    </row>
    <row r="5" ht="24" spans="1:18">
      <c r="A5" s="146" t="s">
        <v>1200</v>
      </c>
      <c r="B5" s="146" t="s">
        <v>1201</v>
      </c>
      <c r="C5" s="146" t="s">
        <v>1250</v>
      </c>
      <c r="D5" s="146" t="s">
        <v>22</v>
      </c>
      <c r="E5" s="147" t="s">
        <v>1251</v>
      </c>
      <c r="F5" s="75" t="s">
        <v>1204</v>
      </c>
      <c r="G5" s="19" t="s">
        <v>1205</v>
      </c>
      <c r="H5" s="17" t="s">
        <v>1253</v>
      </c>
      <c r="I5" s="17" t="s">
        <v>1254</v>
      </c>
      <c r="J5" s="17" t="s">
        <v>1255</v>
      </c>
      <c r="K5" s="17" t="s">
        <v>1209</v>
      </c>
      <c r="L5" s="17" t="s">
        <v>1420</v>
      </c>
      <c r="M5" s="17" t="s">
        <v>1211</v>
      </c>
      <c r="N5" s="163" t="s">
        <v>1257</v>
      </c>
      <c r="O5" s="164" t="s">
        <v>1212</v>
      </c>
      <c r="P5" s="165" t="s">
        <v>1213</v>
      </c>
      <c r="Q5" s="165" t="s">
        <v>1214</v>
      </c>
      <c r="R5" s="75" t="s">
        <v>1213</v>
      </c>
    </row>
    <row r="6" ht="12" customHeight="1" spans="1:18">
      <c r="A6" s="20" t="s">
        <v>1215</v>
      </c>
      <c r="B6" s="91" t="s">
        <v>1224</v>
      </c>
      <c r="C6" s="23"/>
      <c r="D6" s="23" t="s">
        <v>28</v>
      </c>
      <c r="E6" s="24">
        <f>D3*2</f>
        <v>6</v>
      </c>
      <c r="F6" s="93">
        <f ca="1">I6+J6+K6+L6+M6</f>
        <v>1309.407519792</v>
      </c>
      <c r="G6" s="94">
        <v>5.58</v>
      </c>
      <c r="H6" s="94">
        <v>8.233</v>
      </c>
      <c r="I6" s="93">
        <f ca="1">G6*H6*'15变18（人字203料）参数'!G3*1.1</f>
        <v>1144.497519792</v>
      </c>
      <c r="J6" s="93">
        <f ca="1">48.55*2</f>
        <v>97.1</v>
      </c>
      <c r="K6" s="93">
        <v>45.91</v>
      </c>
      <c r="L6" s="93">
        <f>2.55*4</f>
        <v>10.2</v>
      </c>
      <c r="M6" s="93">
        <f>18*0.65</f>
        <v>11.7</v>
      </c>
      <c r="N6" s="166" t="s">
        <v>1494</v>
      </c>
      <c r="O6" s="167">
        <v>4</v>
      </c>
      <c r="P6" s="67">
        <f ca="1" t="shared" ref="P6:P36" si="0">F6*O6</f>
        <v>5237.630079168</v>
      </c>
      <c r="Q6" s="67">
        <f t="shared" ref="Q6:Q36" si="1">E6-O6</f>
        <v>2</v>
      </c>
      <c r="R6" s="67">
        <f ca="1" t="shared" ref="R6:R36" si="2">F6*Q6</f>
        <v>2618.815039584</v>
      </c>
    </row>
    <row r="7" ht="12" customHeight="1" spans="1:18">
      <c r="A7" s="20"/>
      <c r="B7" s="91" t="s">
        <v>1308</v>
      </c>
      <c r="C7" s="23"/>
      <c r="D7" s="23" t="s">
        <v>28</v>
      </c>
      <c r="E7" s="24">
        <f>F3*2</f>
        <v>4</v>
      </c>
      <c r="F7" s="101">
        <f ca="1">G7+H7+I7+J7+K7+L7+M7</f>
        <v>1037.48488</v>
      </c>
      <c r="G7" s="148">
        <v>7</v>
      </c>
      <c r="H7" s="148">
        <v>5.3</v>
      </c>
      <c r="I7" s="101">
        <f ca="1">G7*H7*'15变18（人字203料）参数'!G3*1.1</f>
        <v>924.26488</v>
      </c>
      <c r="J7" s="101"/>
      <c r="K7" s="101">
        <f ca="1">49.51+41.21</f>
        <v>90.72</v>
      </c>
      <c r="L7" s="101">
        <f>2.55*4</f>
        <v>10.2</v>
      </c>
      <c r="M7" s="101"/>
      <c r="N7" s="166" t="s">
        <v>1495</v>
      </c>
      <c r="O7" s="167">
        <v>4</v>
      </c>
      <c r="P7" s="67">
        <f ca="1" t="shared" si="0"/>
        <v>4149.93952</v>
      </c>
      <c r="Q7" s="67">
        <f t="shared" si="1"/>
        <v>0</v>
      </c>
      <c r="R7" s="67">
        <f ca="1" t="shared" si="2"/>
        <v>0</v>
      </c>
    </row>
    <row r="8" ht="12" customHeight="1" spans="1:18">
      <c r="A8" s="20"/>
      <c r="B8" s="91" t="s">
        <v>1435</v>
      </c>
      <c r="C8" s="23"/>
      <c r="D8" s="23" t="s">
        <v>28</v>
      </c>
      <c r="E8" s="24">
        <f>F3</f>
        <v>2</v>
      </c>
      <c r="F8" s="101">
        <f ca="1">G8+H8+I8+J8+K8+L8+M8</f>
        <v>1197.130288</v>
      </c>
      <c r="G8" s="148">
        <v>8.2</v>
      </c>
      <c r="H8" s="148">
        <v>5.3</v>
      </c>
      <c r="I8" s="101">
        <f ca="1">G8*H8*'15变18（人字203料）参数'!G3*1.1</f>
        <v>1082.710288</v>
      </c>
      <c r="J8" s="101"/>
      <c r="K8" s="101">
        <f ca="1">49.51+41.21</f>
        <v>90.72</v>
      </c>
      <c r="L8" s="101">
        <f>2.55*4</f>
        <v>10.2</v>
      </c>
      <c r="M8" s="101"/>
      <c r="N8" s="166" t="s">
        <v>1496</v>
      </c>
      <c r="O8" s="167">
        <v>2</v>
      </c>
      <c r="P8" s="67">
        <f ca="1" t="shared" si="0"/>
        <v>2394.260576</v>
      </c>
      <c r="Q8" s="67">
        <f t="shared" si="1"/>
        <v>0</v>
      </c>
      <c r="R8" s="67">
        <f ca="1" t="shared" si="2"/>
        <v>0</v>
      </c>
    </row>
    <row r="9" ht="12" customHeight="1" spans="1:18">
      <c r="A9" s="20"/>
      <c r="B9" s="91" t="s">
        <v>1350</v>
      </c>
      <c r="C9" s="23"/>
      <c r="D9" s="23" t="s">
        <v>28</v>
      </c>
      <c r="E9" s="24">
        <f>D3*2</f>
        <v>6</v>
      </c>
      <c r="F9" s="61">
        <f ca="1">I9+J9+K9+L9+M9</f>
        <v>1704.47272156</v>
      </c>
      <c r="G9" s="95">
        <v>8.15</v>
      </c>
      <c r="H9" s="95">
        <v>8.233</v>
      </c>
      <c r="I9" s="61">
        <f ca="1">G9*H9*'15变18（人字203料）参数'!G3*1.1</f>
        <v>1671.62272156</v>
      </c>
      <c r="J9" s="61">
        <f ca="1">2.5*6</f>
        <v>15</v>
      </c>
      <c r="K9" s="61">
        <v>11.85</v>
      </c>
      <c r="L9" s="61">
        <f>1*6</f>
        <v>6</v>
      </c>
      <c r="M9" s="61"/>
      <c r="N9" s="116" t="s">
        <v>1422</v>
      </c>
      <c r="O9" s="167">
        <v>4</v>
      </c>
      <c r="P9" s="67">
        <f ca="1" t="shared" si="0"/>
        <v>6817.89088624</v>
      </c>
      <c r="Q9" s="67">
        <f t="shared" si="1"/>
        <v>2</v>
      </c>
      <c r="R9" s="67">
        <f ca="1" t="shared" si="2"/>
        <v>3408.94544312</v>
      </c>
    </row>
    <row r="10" ht="12" customHeight="1" spans="1:18">
      <c r="A10" s="20"/>
      <c r="B10" s="91" t="s">
        <v>1438</v>
      </c>
      <c r="C10" s="23"/>
      <c r="D10" s="23" t="s">
        <v>28</v>
      </c>
      <c r="E10" s="24">
        <f>D3*2</f>
        <v>6</v>
      </c>
      <c r="F10" s="61">
        <f ca="1">I10+J10+K10+L10+M10</f>
        <v>573.670884688</v>
      </c>
      <c r="G10" s="95">
        <v>1.62</v>
      </c>
      <c r="H10" s="95">
        <v>8.233</v>
      </c>
      <c r="I10" s="61">
        <f ca="1">G10*H10*'15变18（人字203料）参数'!G3*1.1</f>
        <v>332.273473488</v>
      </c>
      <c r="J10" s="61">
        <f ca="1">2.5*2</f>
        <v>5</v>
      </c>
      <c r="K10" s="61">
        <f ca="1">1.2*7.67*'15变18（人字203料）参数'!G3*1.1</f>
        <v>229.2974112</v>
      </c>
      <c r="L10" s="61">
        <f>1*2+2.55*2</f>
        <v>7.1</v>
      </c>
      <c r="M10" s="61"/>
      <c r="N10" s="116" t="s">
        <v>1483</v>
      </c>
      <c r="O10" s="167">
        <v>4</v>
      </c>
      <c r="P10" s="67">
        <f ca="1" t="shared" si="0"/>
        <v>2294.683538752</v>
      </c>
      <c r="Q10" s="67">
        <f t="shared" si="1"/>
        <v>2</v>
      </c>
      <c r="R10" s="67">
        <f ca="1" t="shared" si="2"/>
        <v>1147.341769376</v>
      </c>
    </row>
    <row r="11" ht="12" customHeight="1" spans="1:18">
      <c r="A11" s="20"/>
      <c r="B11" s="91" t="s">
        <v>1226</v>
      </c>
      <c r="C11" s="23"/>
      <c r="D11" s="23" t="s">
        <v>28</v>
      </c>
      <c r="E11" s="24">
        <f>A3*6</f>
        <v>12</v>
      </c>
      <c r="F11" s="101">
        <f ca="1">I11+J11+K11+L11+M11</f>
        <v>195.0929650432</v>
      </c>
      <c r="G11" s="148">
        <v>4.882</v>
      </c>
      <c r="H11" s="148">
        <v>1.552</v>
      </c>
      <c r="I11" s="101">
        <f ca="1">G11*H11*'15变18（人字203料）参数'!G5*1.1</f>
        <v>180.0929650432</v>
      </c>
      <c r="J11" s="101"/>
      <c r="K11" s="101"/>
      <c r="L11" s="101">
        <f>0.5*4</f>
        <v>2</v>
      </c>
      <c r="M11" s="101">
        <f>6.5*2</f>
        <v>13</v>
      </c>
      <c r="N11" s="120" t="s">
        <v>1352</v>
      </c>
      <c r="O11" s="167">
        <v>6</v>
      </c>
      <c r="P11" s="67">
        <f ca="1" t="shared" si="0"/>
        <v>1170.5577902592</v>
      </c>
      <c r="Q11" s="67">
        <f t="shared" si="1"/>
        <v>6</v>
      </c>
      <c r="R11" s="67">
        <f ca="1" t="shared" si="2"/>
        <v>1170.5577902592</v>
      </c>
    </row>
    <row r="12" ht="12" customHeight="1" spans="1:18">
      <c r="A12" s="20"/>
      <c r="B12" s="91" t="s">
        <v>1264</v>
      </c>
      <c r="C12" s="23"/>
      <c r="D12" s="23" t="s">
        <v>28</v>
      </c>
      <c r="E12" s="24">
        <f>A3*3</f>
        <v>6</v>
      </c>
      <c r="F12" s="101">
        <f ca="1">I12+J12+K12+L12+M12</f>
        <v>336.5448493136</v>
      </c>
      <c r="G12" s="148">
        <v>4.882</v>
      </c>
      <c r="H12" s="148">
        <v>2.771</v>
      </c>
      <c r="I12" s="101">
        <f ca="1">G12*H12*'15变18（人字203料）参数'!G5*1.1</f>
        <v>321.5448493136</v>
      </c>
      <c r="J12" s="101"/>
      <c r="K12" s="101"/>
      <c r="L12" s="101">
        <f>0.5*4</f>
        <v>2</v>
      </c>
      <c r="M12" s="101">
        <f>6.5*2</f>
        <v>13</v>
      </c>
      <c r="N12" s="120" t="s">
        <v>1353</v>
      </c>
      <c r="O12" s="167">
        <v>3</v>
      </c>
      <c r="P12" s="67">
        <f ca="1" t="shared" si="0"/>
        <v>1009.6345479408</v>
      </c>
      <c r="Q12" s="67">
        <f t="shared" si="1"/>
        <v>3</v>
      </c>
      <c r="R12" s="67">
        <f ca="1" t="shared" si="2"/>
        <v>1009.6345479408</v>
      </c>
    </row>
    <row r="13" ht="12" customHeight="1" spans="1:18">
      <c r="A13" s="20"/>
      <c r="B13" s="91" t="s">
        <v>1266</v>
      </c>
      <c r="C13" s="23"/>
      <c r="D13" s="23" t="s">
        <v>28</v>
      </c>
      <c r="E13" s="24">
        <f>A3*2+F3*2</f>
        <v>8</v>
      </c>
      <c r="F13" s="101">
        <f ca="1">'数据修改（批量）'!A28</f>
        <v>95</v>
      </c>
      <c r="G13" s="148">
        <v>4.86</v>
      </c>
      <c r="H13" s="148">
        <v>1.345</v>
      </c>
      <c r="I13" s="101">
        <f ca="1">G13*H13*'15变18（人字203料）参数'!G5*1.1</f>
        <v>155.36951496</v>
      </c>
      <c r="J13" s="101"/>
      <c r="K13" s="101"/>
      <c r="L13" s="101"/>
      <c r="M13" s="101"/>
      <c r="N13" s="120" t="s">
        <v>1354</v>
      </c>
      <c r="O13" s="169">
        <v>6</v>
      </c>
      <c r="P13" s="67">
        <f ca="1" t="shared" si="0"/>
        <v>570</v>
      </c>
      <c r="Q13" s="67">
        <f t="shared" si="1"/>
        <v>2</v>
      </c>
      <c r="R13" s="67">
        <f ca="1" t="shared" si="2"/>
        <v>190</v>
      </c>
    </row>
    <row r="14" ht="12" customHeight="1" spans="1:18">
      <c r="A14" s="20"/>
      <c r="B14" s="91" t="s">
        <v>1442</v>
      </c>
      <c r="C14" s="23"/>
      <c r="D14" s="23" t="s">
        <v>28</v>
      </c>
      <c r="E14" s="24">
        <f>F3*2</f>
        <v>4</v>
      </c>
      <c r="F14" s="101">
        <f ca="1">I14+J14+K14+L14+M14</f>
        <v>270.6815045136</v>
      </c>
      <c r="G14" s="192">
        <v>3.882</v>
      </c>
      <c r="H14" s="148">
        <v>2.771</v>
      </c>
      <c r="I14" s="202">
        <f ca="1">G14*H14*'15变18（人字203料）参数'!G5*1.1</f>
        <v>255.6815045136</v>
      </c>
      <c r="J14" s="101"/>
      <c r="K14" s="101"/>
      <c r="L14" s="101">
        <f>0.5*4</f>
        <v>2</v>
      </c>
      <c r="M14" s="101">
        <f>6.5*2</f>
        <v>13</v>
      </c>
      <c r="N14" s="120" t="s">
        <v>1443</v>
      </c>
      <c r="O14" s="167">
        <v>4</v>
      </c>
      <c r="P14" s="67">
        <f ca="1" t="shared" si="0"/>
        <v>1082.7260180544</v>
      </c>
      <c r="Q14" s="67">
        <f t="shared" si="1"/>
        <v>0</v>
      </c>
      <c r="R14" s="67">
        <f ca="1" t="shared" si="2"/>
        <v>0</v>
      </c>
    </row>
    <row r="15" ht="12" customHeight="1" spans="1:18">
      <c r="A15" s="20"/>
      <c r="B15" s="91" t="s">
        <v>1444</v>
      </c>
      <c r="C15" s="23"/>
      <c r="D15" s="23" t="s">
        <v>28</v>
      </c>
      <c r="E15" s="24">
        <f>F3*2</f>
        <v>4</v>
      </c>
      <c r="F15" s="101">
        <v>76</v>
      </c>
      <c r="G15" s="192">
        <v>3.86</v>
      </c>
      <c r="H15" s="148">
        <v>1.345</v>
      </c>
      <c r="I15" s="101">
        <f ca="1">G15*H15*'15变18（人字203料）参数'!G5*1.1</f>
        <v>123.40047896</v>
      </c>
      <c r="J15" s="101"/>
      <c r="K15" s="101"/>
      <c r="L15" s="101"/>
      <c r="M15" s="101"/>
      <c r="N15" s="120" t="s">
        <v>1484</v>
      </c>
      <c r="O15" s="167">
        <v>4</v>
      </c>
      <c r="P15" s="67">
        <f ca="1" t="shared" si="0"/>
        <v>304</v>
      </c>
      <c r="Q15" s="67">
        <f t="shared" si="1"/>
        <v>0</v>
      </c>
      <c r="R15" s="67">
        <f ca="1" t="shared" si="2"/>
        <v>0</v>
      </c>
    </row>
    <row r="16" ht="12" customHeight="1" spans="1:18">
      <c r="A16" s="20"/>
      <c r="B16" s="91" t="s">
        <v>1272</v>
      </c>
      <c r="C16" s="23"/>
      <c r="D16" s="23" t="s">
        <v>28</v>
      </c>
      <c r="E16" s="30">
        <v>5</v>
      </c>
      <c r="F16" s="101">
        <f>I16+J16+K16+L16+M16</f>
        <v>135.3</v>
      </c>
      <c r="G16" s="148"/>
      <c r="H16" s="148"/>
      <c r="I16" s="101">
        <v>120.8</v>
      </c>
      <c r="J16" s="101">
        <v>6.5</v>
      </c>
      <c r="K16" s="101">
        <v>4</v>
      </c>
      <c r="L16" s="101">
        <v>3</v>
      </c>
      <c r="M16" s="101">
        <v>1</v>
      </c>
      <c r="N16" s="120" t="s">
        <v>1491</v>
      </c>
      <c r="O16" s="167">
        <v>4</v>
      </c>
      <c r="P16" s="67">
        <f ca="1" t="shared" si="0"/>
        <v>541.2</v>
      </c>
      <c r="Q16" s="67">
        <f t="shared" si="1"/>
        <v>1</v>
      </c>
      <c r="R16" s="67">
        <f ca="1" t="shared" si="2"/>
        <v>135.3</v>
      </c>
    </row>
    <row r="17" ht="12" customHeight="1" spans="1:18">
      <c r="A17" s="20"/>
      <c r="B17" s="91" t="s">
        <v>1356</v>
      </c>
      <c r="C17" s="23"/>
      <c r="D17" s="23" t="s">
        <v>28</v>
      </c>
      <c r="E17" s="24">
        <f>F3</f>
        <v>2</v>
      </c>
      <c r="F17" s="101">
        <f ca="1">I17+J17+K17+L17+M17</f>
        <v>90.133</v>
      </c>
      <c r="G17" s="148">
        <v>3.75</v>
      </c>
      <c r="H17" s="148">
        <v>1</v>
      </c>
      <c r="I17" s="101">
        <f ca="1">G17*H17*'15变18（人字203料）参数'!G5*1.1</f>
        <v>89.133</v>
      </c>
      <c r="J17" s="101"/>
      <c r="K17" s="101"/>
      <c r="L17" s="101">
        <f>0.5*2</f>
        <v>1</v>
      </c>
      <c r="M17" s="101"/>
      <c r="N17" s="170" t="s">
        <v>1357</v>
      </c>
      <c r="O17" s="167">
        <v>2</v>
      </c>
      <c r="P17" s="67">
        <f ca="1" t="shared" si="0"/>
        <v>180.266</v>
      </c>
      <c r="Q17" s="67">
        <f t="shared" si="1"/>
        <v>0</v>
      </c>
      <c r="R17" s="67">
        <f ca="1" t="shared" si="2"/>
        <v>0</v>
      </c>
    </row>
    <row r="18" ht="12" customHeight="1" spans="1:18">
      <c r="A18" s="20"/>
      <c r="B18" s="91" t="s">
        <v>1276</v>
      </c>
      <c r="C18" s="23"/>
      <c r="D18" s="23" t="s">
        <v>28</v>
      </c>
      <c r="E18" s="28">
        <f>F3*2</f>
        <v>4</v>
      </c>
      <c r="F18" s="101">
        <f ca="1">I18+J18+K18+L18+M18</f>
        <v>348.2448493136</v>
      </c>
      <c r="G18" s="95">
        <v>4.882</v>
      </c>
      <c r="H18" s="95">
        <v>2.771</v>
      </c>
      <c r="I18" s="61">
        <f ca="1">G18*H18*'15变18（人字203料）参数'!G5*1.1</f>
        <v>321.5448493136</v>
      </c>
      <c r="J18" s="61"/>
      <c r="K18" s="61">
        <v>15</v>
      </c>
      <c r="L18" s="61">
        <f>8*0.65</f>
        <v>5.2</v>
      </c>
      <c r="M18" s="61">
        <v>6.5</v>
      </c>
      <c r="N18" s="120" t="s">
        <v>1358</v>
      </c>
      <c r="O18" s="167">
        <v>4</v>
      </c>
      <c r="P18" s="67">
        <f ca="1" t="shared" si="0"/>
        <v>1392.9793972544</v>
      </c>
      <c r="Q18" s="67">
        <f t="shared" si="1"/>
        <v>0</v>
      </c>
      <c r="R18" s="67">
        <f ca="1" t="shared" si="2"/>
        <v>0</v>
      </c>
    </row>
    <row r="19" ht="12" customHeight="1" spans="1:18">
      <c r="A19" s="31"/>
      <c r="B19" s="193" t="s">
        <v>1485</v>
      </c>
      <c r="C19" s="43"/>
      <c r="D19" s="23" t="s">
        <v>28</v>
      </c>
      <c r="E19" s="44">
        <f>E31</f>
        <v>4</v>
      </c>
      <c r="F19" s="101">
        <f>I19+J19+K19+L19+M19</f>
        <v>17</v>
      </c>
      <c r="G19" s="194"/>
      <c r="H19" s="194"/>
      <c r="I19" s="203">
        <v>17</v>
      </c>
      <c r="J19" s="203"/>
      <c r="K19" s="203"/>
      <c r="L19" s="203"/>
      <c r="M19" s="203"/>
      <c r="N19" s="171"/>
      <c r="O19" s="167">
        <v>4</v>
      </c>
      <c r="P19" s="67">
        <f ca="1" t="shared" si="0"/>
        <v>68</v>
      </c>
      <c r="Q19" s="67">
        <f t="shared" si="1"/>
        <v>0</v>
      </c>
      <c r="R19" s="67">
        <f ca="1" t="shared" si="2"/>
        <v>0</v>
      </c>
    </row>
    <row r="20" ht="12" customHeight="1" spans="1:18">
      <c r="A20" s="31"/>
      <c r="B20" s="152" t="s">
        <v>1274</v>
      </c>
      <c r="C20" s="43"/>
      <c r="D20" s="43" t="s">
        <v>28</v>
      </c>
      <c r="E20" s="150">
        <f>A3*2+F3*2</f>
        <v>8</v>
      </c>
      <c r="F20" s="101">
        <f>(I20+J20+K20+L20+M20)</f>
        <v>20.4</v>
      </c>
      <c r="G20" s="151"/>
      <c r="H20" s="151"/>
      <c r="I20" s="39">
        <f>17*1.2</f>
        <v>20.4</v>
      </c>
      <c r="J20" s="39"/>
      <c r="K20" s="39"/>
      <c r="L20" s="39"/>
      <c r="M20" s="39"/>
      <c r="N20" s="171" t="s">
        <v>1359</v>
      </c>
      <c r="O20" s="169">
        <v>6</v>
      </c>
      <c r="P20" s="67">
        <f ca="1" t="shared" si="0"/>
        <v>122.4</v>
      </c>
      <c r="Q20" s="67">
        <f t="shared" si="1"/>
        <v>2</v>
      </c>
      <c r="R20" s="67">
        <f ca="1" t="shared" si="2"/>
        <v>40.8</v>
      </c>
    </row>
    <row r="21" ht="12" customHeight="1" spans="1:18">
      <c r="A21" s="20" t="s">
        <v>1278</v>
      </c>
      <c r="B21" s="91" t="s">
        <v>1304</v>
      </c>
      <c r="C21" s="23"/>
      <c r="D21" s="23" t="s">
        <v>434</v>
      </c>
      <c r="E21" s="24">
        <f>D3</f>
        <v>3</v>
      </c>
      <c r="F21" s="101">
        <v>180.62</v>
      </c>
      <c r="G21" s="151"/>
      <c r="H21" s="151"/>
      <c r="I21" s="39"/>
      <c r="J21" s="39"/>
      <c r="K21" s="39"/>
      <c r="L21" s="39"/>
      <c r="M21" s="39"/>
      <c r="N21" s="171" t="s">
        <v>1360</v>
      </c>
      <c r="O21" s="172">
        <v>2</v>
      </c>
      <c r="P21" s="67">
        <f ca="1" t="shared" si="0"/>
        <v>361.24</v>
      </c>
      <c r="Q21" s="67">
        <f t="shared" si="1"/>
        <v>1</v>
      </c>
      <c r="R21" s="67">
        <f ca="1" t="shared" si="2"/>
        <v>180.62</v>
      </c>
    </row>
    <row r="22" ht="12" customHeight="1" spans="1:18">
      <c r="A22" s="20"/>
      <c r="B22" s="91" t="s">
        <v>1310</v>
      </c>
      <c r="C22" s="23"/>
      <c r="D22" s="23" t="s">
        <v>434</v>
      </c>
      <c r="E22" s="24">
        <f>E7+E8</f>
        <v>6</v>
      </c>
      <c r="F22" s="101">
        <v>76.4</v>
      </c>
      <c r="G22" s="148"/>
      <c r="H22" s="148"/>
      <c r="I22" s="101"/>
      <c r="J22" s="101"/>
      <c r="K22" s="101"/>
      <c r="L22" s="101"/>
      <c r="M22" s="101"/>
      <c r="N22" s="120" t="s">
        <v>1361</v>
      </c>
      <c r="O22" s="167">
        <v>6</v>
      </c>
      <c r="P22" s="67">
        <f ca="1" t="shared" si="0"/>
        <v>458.4</v>
      </c>
      <c r="Q22" s="67">
        <f t="shared" si="1"/>
        <v>0</v>
      </c>
      <c r="R22" s="67">
        <f ca="1" t="shared" si="2"/>
        <v>0</v>
      </c>
    </row>
    <row r="23" ht="12" customHeight="1" spans="1:18">
      <c r="A23" s="20"/>
      <c r="B23" s="91" t="s">
        <v>1280</v>
      </c>
      <c r="C23" s="23"/>
      <c r="D23" s="23" t="s">
        <v>434</v>
      </c>
      <c r="E23" s="28">
        <f>E6</f>
        <v>6</v>
      </c>
      <c r="F23" s="61">
        <v>85.93</v>
      </c>
      <c r="G23" s="95"/>
      <c r="H23" s="95"/>
      <c r="I23" s="61"/>
      <c r="J23" s="61"/>
      <c r="K23" s="61"/>
      <c r="L23" s="61"/>
      <c r="M23" s="61"/>
      <c r="N23" s="173" t="s">
        <v>1361</v>
      </c>
      <c r="O23" s="167">
        <v>4</v>
      </c>
      <c r="P23" s="67">
        <f ca="1" t="shared" si="0"/>
        <v>343.72</v>
      </c>
      <c r="Q23" s="67">
        <f t="shared" si="1"/>
        <v>2</v>
      </c>
      <c r="R23" s="67">
        <f ca="1" t="shared" si="2"/>
        <v>171.86</v>
      </c>
    </row>
    <row r="24" ht="12" customHeight="1" spans="1:18">
      <c r="A24" s="20"/>
      <c r="B24" s="91" t="s">
        <v>1339</v>
      </c>
      <c r="C24" s="23"/>
      <c r="D24" s="23" t="s">
        <v>28</v>
      </c>
      <c r="E24" s="32">
        <f>E16</f>
        <v>5</v>
      </c>
      <c r="F24" s="101">
        <v>91.3</v>
      </c>
      <c r="G24" s="148"/>
      <c r="H24" s="148"/>
      <c r="I24" s="101"/>
      <c r="J24" s="101"/>
      <c r="K24" s="101"/>
      <c r="L24" s="101"/>
      <c r="M24" s="101"/>
      <c r="N24" s="120" t="s">
        <v>1362</v>
      </c>
      <c r="O24" s="167">
        <v>4</v>
      </c>
      <c r="P24" s="67">
        <f ca="1" t="shared" si="0"/>
        <v>365.2</v>
      </c>
      <c r="Q24" s="67">
        <f t="shared" si="1"/>
        <v>1</v>
      </c>
      <c r="R24" s="67">
        <f ca="1" t="shared" si="2"/>
        <v>91.3</v>
      </c>
    </row>
    <row r="25" ht="12" customHeight="1" spans="1:18">
      <c r="A25" s="20"/>
      <c r="B25" s="91" t="s">
        <v>1282</v>
      </c>
      <c r="C25" s="23"/>
      <c r="D25" s="23" t="s">
        <v>434</v>
      </c>
      <c r="E25" s="24">
        <f>D3*2+F3*3</f>
        <v>12</v>
      </c>
      <c r="F25" s="101">
        <v>4.45</v>
      </c>
      <c r="G25" s="148"/>
      <c r="H25" s="148"/>
      <c r="I25" s="101"/>
      <c r="J25" s="101"/>
      <c r="K25" s="101"/>
      <c r="L25" s="101"/>
      <c r="M25" s="101"/>
      <c r="N25" s="120" t="s">
        <v>1363</v>
      </c>
      <c r="O25" s="169">
        <v>10</v>
      </c>
      <c r="P25" s="67">
        <f ca="1" t="shared" si="0"/>
        <v>44.5</v>
      </c>
      <c r="Q25" s="67">
        <f t="shared" si="1"/>
        <v>2</v>
      </c>
      <c r="R25" s="67">
        <f ca="1" t="shared" si="2"/>
        <v>8.9</v>
      </c>
    </row>
    <row r="26" ht="12" customHeight="1" spans="1:18">
      <c r="A26" s="20"/>
      <c r="B26" s="91" t="s">
        <v>1284</v>
      </c>
      <c r="C26" s="23"/>
      <c r="D26" s="23" t="s">
        <v>434</v>
      </c>
      <c r="E26" s="24">
        <f>D3*2</f>
        <v>6</v>
      </c>
      <c r="F26" s="101">
        <v>6.51</v>
      </c>
      <c r="G26" s="148"/>
      <c r="H26" s="148"/>
      <c r="I26" s="101"/>
      <c r="J26" s="101"/>
      <c r="K26" s="101"/>
      <c r="L26" s="101"/>
      <c r="M26" s="101"/>
      <c r="N26" s="120" t="s">
        <v>1364</v>
      </c>
      <c r="O26" s="167">
        <v>4</v>
      </c>
      <c r="P26" s="67">
        <f ca="1" t="shared" si="0"/>
        <v>26.04</v>
      </c>
      <c r="Q26" s="67">
        <f t="shared" si="1"/>
        <v>2</v>
      </c>
      <c r="R26" s="67">
        <f ca="1" t="shared" si="2"/>
        <v>13.02</v>
      </c>
    </row>
    <row r="27" ht="12" customHeight="1" spans="1:18">
      <c r="A27" s="20"/>
      <c r="B27" s="91" t="s">
        <v>519</v>
      </c>
      <c r="C27" s="23"/>
      <c r="D27" s="23" t="s">
        <v>434</v>
      </c>
      <c r="E27" s="24">
        <f>F3*2</f>
        <v>4</v>
      </c>
      <c r="F27" s="101">
        <v>13</v>
      </c>
      <c r="G27" s="151"/>
      <c r="H27" s="151"/>
      <c r="I27" s="39"/>
      <c r="J27" s="39"/>
      <c r="K27" s="39"/>
      <c r="L27" s="39"/>
      <c r="M27" s="39"/>
      <c r="N27" s="120" t="s">
        <v>1365</v>
      </c>
      <c r="O27" s="167">
        <v>4</v>
      </c>
      <c r="P27" s="67">
        <f ca="1" t="shared" si="0"/>
        <v>52</v>
      </c>
      <c r="Q27" s="67">
        <f t="shared" si="1"/>
        <v>0</v>
      </c>
      <c r="R27" s="67">
        <f ca="1" t="shared" si="2"/>
        <v>0</v>
      </c>
    </row>
    <row r="28" ht="12" customHeight="1" spans="1:18">
      <c r="A28" s="31"/>
      <c r="B28" s="152" t="s">
        <v>551</v>
      </c>
      <c r="C28" s="43"/>
      <c r="D28" s="43" t="s">
        <v>434</v>
      </c>
      <c r="E28" s="150">
        <f>F3*2</f>
        <v>4</v>
      </c>
      <c r="F28" s="41">
        <v>15.5</v>
      </c>
      <c r="G28" s="99"/>
      <c r="H28" s="99"/>
      <c r="I28" s="41"/>
      <c r="J28" s="41"/>
      <c r="K28" s="41"/>
      <c r="L28" s="41"/>
      <c r="M28" s="41"/>
      <c r="N28" s="173" t="s">
        <v>1361</v>
      </c>
      <c r="O28" s="174">
        <v>4</v>
      </c>
      <c r="P28" s="67">
        <f ca="1" t="shared" si="0"/>
        <v>62</v>
      </c>
      <c r="Q28" s="67">
        <f t="shared" si="1"/>
        <v>0</v>
      </c>
      <c r="R28" s="67">
        <f ca="1" t="shared" si="2"/>
        <v>0</v>
      </c>
    </row>
    <row r="29" ht="12" customHeight="1" spans="1:18">
      <c r="A29" s="153" t="s">
        <v>1216</v>
      </c>
      <c r="B29" s="91" t="s">
        <v>1366</v>
      </c>
      <c r="C29" s="23"/>
      <c r="D29" s="23" t="s">
        <v>612</v>
      </c>
      <c r="E29" s="24">
        <f>A3</f>
        <v>2</v>
      </c>
      <c r="F29" s="122">
        <f ca="1">(I29+J29)*1.1+30</f>
        <v>2344.686</v>
      </c>
      <c r="G29" s="99">
        <v>20.4</v>
      </c>
      <c r="H29" s="99">
        <v>5</v>
      </c>
      <c r="I29" s="41">
        <f ca="1">G29*H29*'15变18（人字203料）参数'!E15*1.1</f>
        <v>1941.06</v>
      </c>
      <c r="J29" s="41">
        <f>20.4*2*4</f>
        <v>163.2</v>
      </c>
      <c r="K29" s="41">
        <v>30</v>
      </c>
      <c r="L29" s="41"/>
      <c r="M29" s="41"/>
      <c r="N29" s="167" t="s">
        <v>1486</v>
      </c>
      <c r="O29" s="175">
        <v>1</v>
      </c>
      <c r="P29" s="67">
        <f ca="1" t="shared" si="0"/>
        <v>2344.686</v>
      </c>
      <c r="Q29" s="67">
        <f t="shared" si="1"/>
        <v>1</v>
      </c>
      <c r="R29" s="67">
        <f ca="1" t="shared" si="2"/>
        <v>2344.686</v>
      </c>
    </row>
    <row r="30" ht="12" customHeight="1" spans="1:18">
      <c r="A30" s="153"/>
      <c r="B30" s="91" t="s">
        <v>1368</v>
      </c>
      <c r="C30" s="23"/>
      <c r="D30" s="23" t="s">
        <v>664</v>
      </c>
      <c r="E30" s="24">
        <f>F3</f>
        <v>2</v>
      </c>
      <c r="F30" s="122">
        <f ca="1">(I30+J30)*1.1+15</f>
        <v>709.70698</v>
      </c>
      <c r="G30" s="148">
        <v>9.35</v>
      </c>
      <c r="H30" s="154">
        <v>3.6</v>
      </c>
      <c r="I30" s="101">
        <f ca="1">G30*H30*'15变18（人字203料）参数'!E14*1.1</f>
        <v>529.4718</v>
      </c>
      <c r="J30" s="101">
        <f>12.76*2*4</f>
        <v>102.08</v>
      </c>
      <c r="K30" s="101">
        <v>15</v>
      </c>
      <c r="L30" s="101"/>
      <c r="M30" s="101"/>
      <c r="N30" s="51" t="s">
        <v>1487</v>
      </c>
      <c r="O30" s="167">
        <v>2</v>
      </c>
      <c r="P30" s="67">
        <f ca="1" t="shared" si="0"/>
        <v>1419.41396</v>
      </c>
      <c r="Q30" s="67">
        <f t="shared" si="1"/>
        <v>0</v>
      </c>
      <c r="R30" s="67">
        <f ca="1" t="shared" si="2"/>
        <v>0</v>
      </c>
    </row>
    <row r="31" ht="12" customHeight="1" spans="1:18">
      <c r="A31" s="155"/>
      <c r="B31" s="91" t="s">
        <v>1462</v>
      </c>
      <c r="C31" s="23"/>
      <c r="D31" s="23" t="s">
        <v>664</v>
      </c>
      <c r="E31" s="24">
        <f>F3*2</f>
        <v>4</v>
      </c>
      <c r="F31" s="122">
        <f ca="1">(I31+J31)*1.1+15</f>
        <v>433.3997708</v>
      </c>
      <c r="G31" s="156">
        <v>5.97</v>
      </c>
      <c r="H31" s="157">
        <v>3.88</v>
      </c>
      <c r="I31" s="101">
        <f ca="1">G31*H31*'15变18（人字203料）参数'!E14*1.1</f>
        <v>364.363428</v>
      </c>
      <c r="J31" s="71">
        <f>4*2*2</f>
        <v>16</v>
      </c>
      <c r="K31" s="71">
        <f>0.5*10</f>
        <v>5</v>
      </c>
      <c r="L31" s="71">
        <f>0.32*18</f>
        <v>5.76</v>
      </c>
      <c r="M31" s="71">
        <f>18*1</f>
        <v>18</v>
      </c>
      <c r="N31" s="120" t="s">
        <v>1497</v>
      </c>
      <c r="O31" s="167">
        <v>4</v>
      </c>
      <c r="P31" s="67">
        <f ca="1" t="shared" si="0"/>
        <v>1733.5990832</v>
      </c>
      <c r="Q31" s="67">
        <f t="shared" si="1"/>
        <v>0</v>
      </c>
      <c r="R31" s="67">
        <f ca="1" t="shared" si="2"/>
        <v>0</v>
      </c>
    </row>
    <row r="32" ht="12" customHeight="1" spans="1:18">
      <c r="A32" s="155"/>
      <c r="B32" s="91" t="s">
        <v>1370</v>
      </c>
      <c r="C32" s="23"/>
      <c r="D32" s="23" t="s">
        <v>664</v>
      </c>
      <c r="E32" s="24">
        <f>A3*2+F3*2</f>
        <v>8</v>
      </c>
      <c r="F32" s="101">
        <f ca="1">I32+J32+K31+L32+M32</f>
        <v>548.08212</v>
      </c>
      <c r="G32" s="156">
        <v>5.2</v>
      </c>
      <c r="H32" s="157">
        <v>5.97</v>
      </c>
      <c r="I32" s="101">
        <f ca="1">G32*H32*'15变18（人字203料）参数'!E14*1.1+15</f>
        <v>503.32212</v>
      </c>
      <c r="J32" s="71">
        <f>4*2*2</f>
        <v>16</v>
      </c>
      <c r="K32" s="71">
        <f>0.5*10</f>
        <v>5</v>
      </c>
      <c r="L32" s="71">
        <f>0.32*18</f>
        <v>5.76</v>
      </c>
      <c r="M32" s="71">
        <f>18*1</f>
        <v>18</v>
      </c>
      <c r="N32" s="120" t="s">
        <v>1498</v>
      </c>
      <c r="O32" s="169">
        <v>6</v>
      </c>
      <c r="P32" s="67">
        <f ca="1" t="shared" si="0"/>
        <v>3288.49272</v>
      </c>
      <c r="Q32" s="67">
        <f t="shared" si="1"/>
        <v>2</v>
      </c>
      <c r="R32" s="67">
        <f ca="1" t="shared" si="2"/>
        <v>1096.16424</v>
      </c>
    </row>
    <row r="33" ht="12" customHeight="1" spans="1:18">
      <c r="A33" s="20" t="s">
        <v>1235</v>
      </c>
      <c r="B33" s="138" t="s">
        <v>589</v>
      </c>
      <c r="C33" s="23"/>
      <c r="D33" s="23" t="s">
        <v>434</v>
      </c>
      <c r="E33" s="24">
        <f>D3*10+F3*2+E24*2</f>
        <v>44</v>
      </c>
      <c r="F33" s="101">
        <v>2.15</v>
      </c>
      <c r="G33" s="154"/>
      <c r="H33" s="154"/>
      <c r="I33" s="101"/>
      <c r="J33" s="101"/>
      <c r="K33" s="101"/>
      <c r="L33" s="101"/>
      <c r="M33" s="101"/>
      <c r="N33" s="120" t="s">
        <v>1372</v>
      </c>
      <c r="O33" s="167">
        <v>34</v>
      </c>
      <c r="P33" s="67">
        <f ca="1" t="shared" si="0"/>
        <v>73.1</v>
      </c>
      <c r="Q33" s="67">
        <f t="shared" si="1"/>
        <v>10</v>
      </c>
      <c r="R33" s="67">
        <f ca="1" t="shared" si="2"/>
        <v>21.5</v>
      </c>
    </row>
    <row r="34" ht="12" customHeight="1" spans="1:18">
      <c r="A34" s="20"/>
      <c r="B34" s="109" t="s">
        <v>591</v>
      </c>
      <c r="C34" s="23"/>
      <c r="D34" s="23" t="s">
        <v>434</v>
      </c>
      <c r="E34" s="24">
        <f>D3*2+E24+E16</f>
        <v>16</v>
      </c>
      <c r="F34" s="101">
        <v>2.55</v>
      </c>
      <c r="G34" s="154"/>
      <c r="H34" s="154"/>
      <c r="I34" s="101"/>
      <c r="J34" s="101"/>
      <c r="K34" s="101"/>
      <c r="L34" s="101"/>
      <c r="M34" s="101"/>
      <c r="N34" s="120" t="s">
        <v>1373</v>
      </c>
      <c r="O34" s="172">
        <v>14</v>
      </c>
      <c r="P34" s="67">
        <f ca="1" t="shared" si="0"/>
        <v>35.7</v>
      </c>
      <c r="Q34" s="67">
        <f t="shared" si="1"/>
        <v>2</v>
      </c>
      <c r="R34" s="67">
        <f ca="1" t="shared" si="2"/>
        <v>5.1</v>
      </c>
    </row>
    <row r="35" ht="12" customHeight="1" spans="1:18">
      <c r="A35" s="20"/>
      <c r="B35" s="159" t="s">
        <v>1423</v>
      </c>
      <c r="C35" s="43"/>
      <c r="D35" s="43" t="s">
        <v>434</v>
      </c>
      <c r="E35" s="44">
        <f>D3*2+4</f>
        <v>10</v>
      </c>
      <c r="F35" s="39">
        <v>1.95</v>
      </c>
      <c r="G35" s="160"/>
      <c r="H35" s="160"/>
      <c r="I35" s="39"/>
      <c r="J35" s="39"/>
      <c r="K35" s="39"/>
      <c r="L35" s="39"/>
      <c r="M35" s="39"/>
      <c r="N35" s="120" t="s">
        <v>1375</v>
      </c>
      <c r="O35" s="167">
        <v>8</v>
      </c>
      <c r="P35" s="67">
        <f ca="1" t="shared" si="0"/>
        <v>15.6</v>
      </c>
      <c r="Q35" s="67">
        <f t="shared" si="1"/>
        <v>2</v>
      </c>
      <c r="R35" s="67">
        <f ca="1" t="shared" si="2"/>
        <v>3.9</v>
      </c>
    </row>
    <row r="36" ht="12" customHeight="1" spans="1:18">
      <c r="A36" s="20"/>
      <c r="B36" s="109" t="s">
        <v>554</v>
      </c>
      <c r="C36" s="23"/>
      <c r="D36" s="23" t="s">
        <v>555</v>
      </c>
      <c r="E36" s="28">
        <f>E22+E23+E16</f>
        <v>17</v>
      </c>
      <c r="F36" s="101">
        <v>1.46</v>
      </c>
      <c r="G36" s="154"/>
      <c r="H36" s="154"/>
      <c r="I36" s="101"/>
      <c r="J36" s="101"/>
      <c r="K36" s="101"/>
      <c r="L36" s="101"/>
      <c r="M36" s="101"/>
      <c r="N36" s="120" t="s">
        <v>1376</v>
      </c>
      <c r="O36" s="167">
        <v>15</v>
      </c>
      <c r="P36" s="67">
        <f ca="1" t="shared" si="0"/>
        <v>21.9</v>
      </c>
      <c r="Q36" s="67">
        <f t="shared" si="1"/>
        <v>2</v>
      </c>
      <c r="R36" s="67">
        <f ca="1" t="shared" si="2"/>
        <v>2.92</v>
      </c>
    </row>
    <row r="37" spans="1:18">
      <c r="A37" s="50"/>
      <c r="B37" s="50"/>
      <c r="C37" s="51"/>
      <c r="D37" s="51"/>
      <c r="E37" s="51"/>
      <c r="F37" s="50"/>
      <c r="G37" s="50"/>
      <c r="H37" s="50"/>
      <c r="I37" s="50"/>
      <c r="J37" s="50"/>
      <c r="K37" s="50"/>
      <c r="L37" s="50"/>
      <c r="M37" s="50"/>
      <c r="N37" s="50"/>
      <c r="O37" s="84" t="s">
        <v>1218</v>
      </c>
      <c r="P37" s="3">
        <f ca="1">SUM(P6:P36)</f>
        <v>37981.7601168688</v>
      </c>
      <c r="Q37" s="3" t="s">
        <v>1219</v>
      </c>
      <c r="R37" s="3">
        <f ca="1">SUM(R6:R36)</f>
        <v>13661.36483028</v>
      </c>
    </row>
    <row r="38" spans="1:18">
      <c r="A38" s="50"/>
      <c r="B38" s="50" t="s">
        <v>1221</v>
      </c>
      <c r="C38" s="51"/>
      <c r="D38" s="51"/>
      <c r="E38" s="51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3"/>
      <c r="Q38" s="3"/>
      <c r="R38" s="3"/>
    </row>
    <row r="39" spans="1:18">
      <c r="A39" s="50"/>
      <c r="B39" s="50"/>
      <c r="C39" s="51"/>
      <c r="D39" s="51"/>
      <c r="E39" s="51"/>
      <c r="F39" s="50"/>
      <c r="G39" s="50"/>
      <c r="H39" s="50"/>
      <c r="I39" s="50"/>
      <c r="J39" s="50"/>
      <c r="K39" s="50"/>
      <c r="L39" s="50"/>
      <c r="M39" s="50"/>
      <c r="N39" s="50"/>
      <c r="O39" s="50" t="s">
        <v>1377</v>
      </c>
      <c r="P39" s="3">
        <f ca="1">P37+R37</f>
        <v>51643.1249471488</v>
      </c>
      <c r="Q39" s="3"/>
      <c r="R39" s="3"/>
    </row>
    <row r="40" spans="1:18">
      <c r="A40" s="50"/>
      <c r="B40" s="52"/>
      <c r="C40" s="52"/>
      <c r="D40" s="52"/>
      <c r="E40" s="52"/>
      <c r="F40" s="52"/>
      <c r="G40" s="52"/>
      <c r="H40" s="52"/>
      <c r="I40" s="52"/>
      <c r="J40" s="52"/>
      <c r="K40" s="52"/>
      <c r="L40" s="52"/>
      <c r="M40" s="52"/>
      <c r="N40" s="50"/>
      <c r="O40" s="50" t="s">
        <v>14</v>
      </c>
      <c r="P40" s="3">
        <f ca="1">P39/E2</f>
        <v>286.906249706382</v>
      </c>
      <c r="Q40" s="3"/>
      <c r="R40" s="3"/>
    </row>
  </sheetData>
  <mergeCells count="12">
    <mergeCell ref="A1:O1"/>
    <mergeCell ref="A2:C2"/>
    <mergeCell ref="F2:N2"/>
    <mergeCell ref="A3:B3"/>
    <mergeCell ref="H3:N3"/>
    <mergeCell ref="A4:F4"/>
    <mergeCell ref="G4:H4"/>
    <mergeCell ref="I4:M4"/>
    <mergeCell ref="A6:A20"/>
    <mergeCell ref="A21:A28"/>
    <mergeCell ref="A29:A32"/>
    <mergeCell ref="A33:A36"/>
  </mergeCells>
  <dataValidations count="4">
    <dataValidation type="list" allowBlank="1" showInputMessage="1" showErrorMessage="1" sqref="B29">
      <formula1>"顶布[白]{全新},顶布[白]{A类},顶布[白]{B类},顶布[白]{C类},顶布[白]{D类}"</formula1>
    </dataValidation>
    <dataValidation type="list" allowBlank="1" showInputMessage="1" showErrorMessage="1" sqref="B30">
      <formula1>"山尖布[白]{全新},山尖布[白]{A类},山尖布[白]{B类},山尖布[白]{C类},山尖布[白]{D类}"</formula1>
    </dataValidation>
    <dataValidation allowBlank="1" showInputMessage="1" showErrorMessage="1" sqref="B31"/>
    <dataValidation type="list" allowBlank="1" showInputMessage="1" showErrorMessage="1" sqref="B32">
      <formula1>"围布[白]{全新},围布[白]{A类},围布[白]{B类},围布[白]{C类},围布[白]{D类},透光窗围布[白]{全新},透光窗围布[白]{A类},透光窗围布[白]{B类},透光窗围布[白]{C类},透光窗围布[白]{D类}"</formula1>
    </dataValidation>
  </dataValidations>
  <pageMargins left="0.75" right="0.75" top="1" bottom="1" header="0.509027777777778" footer="0.509027777777778"/>
  <pageSetup paperSize="9" orientation="portrait"/>
  <headerFooter/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7030A0"/>
  </sheetPr>
  <dimension ref="A1:G21"/>
  <sheetViews>
    <sheetView showGridLines="0" workbookViewId="0">
      <selection activeCell="E31" sqref="E31"/>
    </sheetView>
  </sheetViews>
  <sheetFormatPr defaultColWidth="9" defaultRowHeight="14.25" outlineLevelCol="6"/>
  <cols>
    <col min="1" max="1" width="21.125" style="1" customWidth="1"/>
    <col min="2" max="2" width="19.125" style="1" customWidth="1"/>
    <col min="3" max="3" width="15.5" style="1" customWidth="1"/>
    <col min="4" max="4" width="11.375" style="1" customWidth="1"/>
    <col min="5" max="5" width="10.5" style="1" customWidth="1"/>
    <col min="6" max="6" width="9" style="1"/>
    <col min="7" max="7" width="12.625" style="1" customWidth="1"/>
    <col min="8" max="16384" width="9" style="1"/>
  </cols>
  <sheetData>
    <row r="1" spans="1:4">
      <c r="A1" s="2" t="str">
        <f ca="1">'数据修改（批量）'!A1</f>
        <v>上海有色铝锭价格</v>
      </c>
      <c r="B1" s="2"/>
      <c r="C1" s="2"/>
      <c r="D1" s="3"/>
    </row>
    <row r="2" spans="1:7">
      <c r="A2" s="4">
        <f ca="1">'数据修改（批量）'!A2</f>
        <v>16200</v>
      </c>
      <c r="B2" s="2" t="str">
        <f ca="1">'数据修改（批量）'!B2</f>
        <v>项目</v>
      </c>
      <c r="C2" s="2" t="str">
        <f ca="1">'数据修改（批量）'!C2</f>
        <v>加工费</v>
      </c>
      <c r="D2" s="2" t="str">
        <f ca="1">'数据修改（批量）'!D2</f>
        <v>包装物</v>
      </c>
      <c r="E2" s="2" t="str">
        <f ca="1">'数据修改（批量）'!E2</f>
        <v>运费</v>
      </c>
      <c r="F2" s="2" t="str">
        <f ca="1">'数据修改（批量）'!F2</f>
        <v>单价</v>
      </c>
      <c r="G2" s="2" t="str">
        <f ca="1">'数据修改（批量）'!G2</f>
        <v>每公斤价格</v>
      </c>
    </row>
    <row r="3" spans="1:7">
      <c r="A3" s="2"/>
      <c r="B3" s="2" t="str">
        <f ca="1">'数据修改（批量）'!B3</f>
        <v>203料</v>
      </c>
      <c r="C3" s="2">
        <f ca="1">'数据修改（批量）'!C3</f>
        <v>5500</v>
      </c>
      <c r="D3" s="2">
        <f ca="1">'数据修改（批量）'!D3</f>
        <v>868</v>
      </c>
      <c r="E3" s="2">
        <f ca="1">'数据修改（批量）'!E3</f>
        <v>80</v>
      </c>
      <c r="F3" s="2">
        <f ca="1">'数据修改（批量）'!F3</f>
        <v>22648</v>
      </c>
      <c r="G3" s="2">
        <f ca="1">'数据修改（批量）'!G3</f>
        <v>22.648</v>
      </c>
    </row>
    <row r="4" spans="1:7">
      <c r="A4" s="2"/>
      <c r="B4" s="2" t="str">
        <f ca="1">'数据修改（批量）'!B4</f>
        <v>203料氧化</v>
      </c>
      <c r="C4" s="2">
        <f ca="1">'数据修改（批量）'!C4</f>
        <v>6000</v>
      </c>
      <c r="D4" s="2">
        <f ca="1">'数据修改（批量）'!D4</f>
        <v>888</v>
      </c>
      <c r="E4" s="2">
        <f ca="1">'数据修改（批量）'!E4</f>
        <v>80</v>
      </c>
      <c r="F4" s="2">
        <f ca="1">'数据修改（批量）'!F4</f>
        <v>23168</v>
      </c>
      <c r="G4" s="2">
        <f ca="1">'数据修改（批量）'!G4</f>
        <v>23.168</v>
      </c>
    </row>
    <row r="5" spans="2:7">
      <c r="B5" s="2" t="str">
        <f ca="1">'数据修改（批量）'!B5</f>
        <v>小料加工费</v>
      </c>
      <c r="C5" s="2">
        <f ca="1">'数据修改（批量）'!C5</f>
        <v>4500</v>
      </c>
      <c r="D5" s="2">
        <f ca="1">'数据修改（批量）'!D5</f>
        <v>828</v>
      </c>
      <c r="E5" s="2">
        <f ca="1">'数据修改（批量）'!E5</f>
        <v>80</v>
      </c>
      <c r="F5" s="2">
        <f ca="1">'数据修改（批量）'!F5</f>
        <v>21608</v>
      </c>
      <c r="G5" s="2">
        <f ca="1">'数据修改（批量）'!G5</f>
        <v>21.608</v>
      </c>
    </row>
    <row r="6" spans="1:4">
      <c r="A6" s="2" t="str">
        <f ca="1">'数据修改（批量）'!A6</f>
        <v>南海有色铝锭价格</v>
      </c>
      <c r="D6" s="5"/>
    </row>
    <row r="7" spans="1:1">
      <c r="A7" s="4">
        <f ca="1">'数据修改（批量）'!A7</f>
        <v>16600</v>
      </c>
    </row>
    <row r="8" spans="2:7">
      <c r="B8" s="2" t="str">
        <f ca="1">'数据修改（批量）'!B8</f>
        <v>项目</v>
      </c>
      <c r="C8" s="2" t="str">
        <f ca="1">'数据修改（批量）'!C8</f>
        <v>加工费</v>
      </c>
      <c r="D8" s="2" t="str">
        <f ca="1">'数据修改（批量）'!D8</f>
        <v>包装物</v>
      </c>
      <c r="E8" s="2" t="str">
        <f ca="1">'数据修改（批量）'!E8</f>
        <v>运费</v>
      </c>
      <c r="F8" s="2" t="str">
        <f ca="1">'数据修改（批量）'!F8</f>
        <v>单价</v>
      </c>
      <c r="G8" s="2" t="str">
        <f ca="1">'数据修改（批量）'!G8</f>
        <v>每公斤价格</v>
      </c>
    </row>
    <row r="9" spans="2:7">
      <c r="B9" s="2" t="str">
        <f ca="1">'数据修改（批量）'!B9</f>
        <v>300/350料8米以上</v>
      </c>
      <c r="C9" s="2">
        <f ca="1">'数据修改（批量）'!C9</f>
        <v>7800</v>
      </c>
      <c r="D9" s="2">
        <f ca="1">'数据修改（批量）'!D9</f>
        <v>976</v>
      </c>
      <c r="E9" s="2">
        <f ca="1">'数据修改（批量）'!E9</f>
        <v>1000</v>
      </c>
      <c r="F9" s="2">
        <f ca="1">'数据修改（批量）'!F9</f>
        <v>26376</v>
      </c>
      <c r="G9" s="2">
        <f ca="1">'数据修改（批量）'!G9</f>
        <v>26.376</v>
      </c>
    </row>
    <row r="10" spans="2:7">
      <c r="B10" s="2" t="str">
        <f ca="1">'数据修改（批量）'!B10</f>
        <v>300/350料8米以下</v>
      </c>
      <c r="C10" s="2">
        <f ca="1">'数据修改（批量）'!C10</f>
        <v>7100</v>
      </c>
      <c r="D10" s="2">
        <f ca="1">'数据修改（批量）'!D10</f>
        <v>948</v>
      </c>
      <c r="E10" s="2">
        <f ca="1">'数据修改（批量）'!E10</f>
        <v>1000</v>
      </c>
      <c r="F10" s="2">
        <f ca="1">'数据修改（批量）'!F10</f>
        <v>25648</v>
      </c>
      <c r="G10" s="2">
        <f ca="1">'数据修改（批量）'!G10</f>
        <v>25.648</v>
      </c>
    </row>
    <row r="12" spans="1:4">
      <c r="A12" s="2" t="str">
        <f ca="1">'数据修改（批量）'!A12</f>
        <v>篷布</v>
      </c>
      <c r="B12" s="2"/>
      <c r="C12" s="2"/>
      <c r="D12" s="3"/>
    </row>
    <row r="13" spans="1:7">
      <c r="A13" s="2"/>
      <c r="B13" s="2" t="str">
        <f ca="1">'数据修改（批量）'!B13</f>
        <v>项目</v>
      </c>
      <c r="C13" s="2" t="str">
        <f ca="1">'数据修改（批量）'!C13</f>
        <v>运费</v>
      </c>
      <c r="D13" s="2" t="str">
        <f ca="1">'数据修改（批量）'!D13</f>
        <v>单价</v>
      </c>
      <c r="E13" s="2" t="str">
        <f ca="1">'数据修改（批量）'!E13</f>
        <v>每平价格</v>
      </c>
      <c r="F13" s="2"/>
      <c r="G13" s="2"/>
    </row>
    <row r="14" spans="1:7">
      <c r="A14" s="2"/>
      <c r="B14" s="2">
        <f ca="1">'数据修改（批量）'!B14</f>
        <v>650</v>
      </c>
      <c r="C14" s="2">
        <f ca="1">'数据修改（批量）'!C14</f>
        <v>0.5</v>
      </c>
      <c r="D14" s="4">
        <f ca="1">'数据修改（批量）'!D14</f>
        <v>13.8</v>
      </c>
      <c r="E14" s="2">
        <f ca="1">'数据修改（批量）'!E14</f>
        <v>14.3</v>
      </c>
      <c r="F14" s="2"/>
      <c r="G14" s="2"/>
    </row>
    <row r="15" spans="1:7">
      <c r="A15" s="2"/>
      <c r="B15" s="2">
        <f ca="1">'数据修改（批量）'!B15</f>
        <v>780</v>
      </c>
      <c r="C15" s="2">
        <f ca="1">'数据修改（批量）'!C15</f>
        <v>0.5</v>
      </c>
      <c r="D15" s="4">
        <f ca="1">'数据修改（批量）'!D15</f>
        <v>16.8</v>
      </c>
      <c r="E15" s="2">
        <f ca="1">'数据修改（批量）'!E15</f>
        <v>17.3</v>
      </c>
      <c r="F15" s="2"/>
      <c r="G15" s="2"/>
    </row>
    <row r="16" spans="2:7">
      <c r="B16" s="2">
        <f ca="1">'数据修改（批量）'!B16</f>
        <v>850</v>
      </c>
      <c r="C16" s="2">
        <f ca="1">'数据修改（批量）'!C16</f>
        <v>0.5</v>
      </c>
      <c r="D16" s="4">
        <f ca="1">'数据修改（批量）'!D16</f>
        <v>18</v>
      </c>
      <c r="E16" s="2">
        <f ca="1">'数据修改（批量）'!E16</f>
        <v>18.5</v>
      </c>
      <c r="F16" s="2"/>
      <c r="G16" s="2"/>
    </row>
    <row r="21" spans="1:7">
      <c r="A21" s="6" t="str">
        <f ca="1">'数据修改（批量）'!A21</f>
        <v>说明：黄色部分可以根据价格修改</v>
      </c>
      <c r="B21" s="6"/>
      <c r="C21" s="6"/>
      <c r="D21" s="6"/>
      <c r="E21" s="6"/>
      <c r="F21" s="6"/>
      <c r="G21" s="6"/>
    </row>
  </sheetData>
  <mergeCells count="1">
    <mergeCell ref="A21:G21"/>
  </mergeCells>
  <pageMargins left="0.75" right="0.75" top="1" bottom="1" header="0.509027777777778" footer="0.509027777777778"/>
  <pageSetup paperSize="9" orientation="portrait"/>
  <headerFooter/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FF0000"/>
  </sheetPr>
  <dimension ref="A1:T45"/>
  <sheetViews>
    <sheetView showGridLines="0" topLeftCell="A4" workbookViewId="0">
      <selection activeCell="F12" sqref="F12"/>
    </sheetView>
  </sheetViews>
  <sheetFormatPr defaultColWidth="9" defaultRowHeight="14.25"/>
  <cols>
    <col min="1" max="1" width="2.875" style="50" customWidth="1"/>
    <col min="2" max="2" width="15.25" style="50" customWidth="1"/>
    <col min="3" max="5" width="11" style="51" customWidth="1"/>
    <col min="6" max="13" width="13" style="50" customWidth="1"/>
    <col min="14" max="14" width="72.75" style="50" customWidth="1"/>
    <col min="15" max="15" width="11.125" style="50" customWidth="1"/>
    <col min="16" max="16" width="14.125" style="3" customWidth="1"/>
    <col min="17" max="17" width="9" style="3" customWidth="1"/>
    <col min="18" max="18" width="14.375" style="3" customWidth="1"/>
    <col min="19" max="20" width="9" style="3"/>
    <col min="21" max="16384" width="9" style="1"/>
  </cols>
  <sheetData>
    <row r="1" ht="17.1" customHeight="1" spans="1:15">
      <c r="A1" s="72" t="s">
        <v>1499</v>
      </c>
      <c r="B1" s="210"/>
      <c r="C1" s="210"/>
      <c r="D1" s="210"/>
      <c r="E1" s="210"/>
      <c r="F1" s="210"/>
      <c r="G1" s="210"/>
      <c r="H1" s="210"/>
      <c r="I1" s="210"/>
      <c r="J1" s="210"/>
      <c r="K1" s="210"/>
      <c r="L1" s="210"/>
      <c r="M1" s="210"/>
      <c r="N1" s="210"/>
      <c r="O1" s="210"/>
    </row>
    <row r="2" ht="17.1" customHeight="1" spans="1:20">
      <c r="A2" s="141" t="s">
        <v>1246</v>
      </c>
      <c r="B2" s="142"/>
      <c r="C2" s="142"/>
      <c r="D2" s="9" t="s">
        <v>1198</v>
      </c>
      <c r="E2" s="176">
        <f>A3*5*18</f>
        <v>180</v>
      </c>
      <c r="F2" s="186"/>
      <c r="G2" s="187"/>
      <c r="H2" s="187"/>
      <c r="I2" s="187"/>
      <c r="J2" s="187"/>
      <c r="K2" s="187"/>
      <c r="L2" s="187"/>
      <c r="M2" s="187"/>
      <c r="N2" s="197"/>
      <c r="O2" s="162"/>
      <c r="Q2" s="55"/>
      <c r="R2" s="55"/>
      <c r="S2" s="1"/>
      <c r="T2" s="1"/>
    </row>
    <row r="3" ht="17.1" customHeight="1" spans="1:20">
      <c r="A3" s="177">
        <v>2</v>
      </c>
      <c r="B3" s="177"/>
      <c r="C3" s="178" t="s">
        <v>1247</v>
      </c>
      <c r="D3" s="179">
        <v>3</v>
      </c>
      <c r="E3" s="180" t="s">
        <v>1248</v>
      </c>
      <c r="F3" s="188">
        <v>2</v>
      </c>
      <c r="G3" s="189" t="s">
        <v>1249</v>
      </c>
      <c r="H3" s="143"/>
      <c r="I3" s="144"/>
      <c r="J3" s="144"/>
      <c r="K3" s="144"/>
      <c r="L3" s="144"/>
      <c r="M3" s="144"/>
      <c r="N3" s="145"/>
      <c r="O3" s="162"/>
      <c r="Q3" s="55"/>
      <c r="R3" s="55"/>
      <c r="S3" s="1"/>
      <c r="T3" s="1"/>
    </row>
    <row r="4" ht="17.1" customHeight="1" spans="1:20">
      <c r="A4" s="190"/>
      <c r="B4" s="128"/>
      <c r="C4" s="128"/>
      <c r="D4" s="128"/>
      <c r="E4" s="128"/>
      <c r="F4" s="128"/>
      <c r="G4" s="180" t="s">
        <v>1345</v>
      </c>
      <c r="H4" s="191"/>
      <c r="I4" s="198" t="s">
        <v>1346</v>
      </c>
      <c r="J4" s="199"/>
      <c r="K4" s="199"/>
      <c r="L4" s="199"/>
      <c r="M4" s="200"/>
      <c r="N4" s="12"/>
      <c r="O4" s="162"/>
      <c r="Q4" s="55"/>
      <c r="R4" s="55"/>
      <c r="S4" s="1"/>
      <c r="T4" s="1"/>
    </row>
    <row r="5" ht="24" spans="1:18">
      <c r="A5" s="146" t="s">
        <v>1200</v>
      </c>
      <c r="B5" s="146" t="s">
        <v>1201</v>
      </c>
      <c r="C5" s="146" t="s">
        <v>1250</v>
      </c>
      <c r="D5" s="146" t="s">
        <v>22</v>
      </c>
      <c r="E5" s="147" t="s">
        <v>1251</v>
      </c>
      <c r="F5" s="75" t="s">
        <v>1204</v>
      </c>
      <c r="G5" s="19" t="s">
        <v>1205</v>
      </c>
      <c r="H5" s="17" t="s">
        <v>1253</v>
      </c>
      <c r="I5" s="17" t="s">
        <v>1254</v>
      </c>
      <c r="J5" s="17" t="s">
        <v>1255</v>
      </c>
      <c r="K5" s="17" t="s">
        <v>1209</v>
      </c>
      <c r="L5" s="17" t="s">
        <v>1420</v>
      </c>
      <c r="M5" s="17" t="s">
        <v>1211</v>
      </c>
      <c r="N5" s="163" t="s">
        <v>1257</v>
      </c>
      <c r="O5" s="164" t="s">
        <v>1212</v>
      </c>
      <c r="P5" s="165" t="s">
        <v>1213</v>
      </c>
      <c r="Q5" s="165" t="s">
        <v>1214</v>
      </c>
      <c r="R5" s="75" t="s">
        <v>1213</v>
      </c>
    </row>
    <row r="6" ht="15" customHeight="1" spans="1:18">
      <c r="A6" s="20" t="s">
        <v>1215</v>
      </c>
      <c r="B6" s="91" t="s">
        <v>1224</v>
      </c>
      <c r="C6" s="23"/>
      <c r="D6" s="23" t="s">
        <v>28</v>
      </c>
      <c r="E6" s="24">
        <f>D3*2</f>
        <v>6</v>
      </c>
      <c r="F6" s="93">
        <f ca="1">I6+J6+K6+L6+M6</f>
        <v>899.193354992</v>
      </c>
      <c r="G6" s="94">
        <f>7.16/2</f>
        <v>3.58</v>
      </c>
      <c r="H6" s="94">
        <v>8.233</v>
      </c>
      <c r="I6" s="93">
        <f ca="1">G6*H6*'18米（人字203料）参数'!G3*1.1</f>
        <v>734.283354992</v>
      </c>
      <c r="J6" s="93">
        <f>48.55*2</f>
        <v>97.1</v>
      </c>
      <c r="K6" s="93">
        <v>45.91</v>
      </c>
      <c r="L6" s="93">
        <f>2.55*4</f>
        <v>10.2</v>
      </c>
      <c r="M6" s="93">
        <f>18*0.65</f>
        <v>11.7</v>
      </c>
      <c r="N6" s="166" t="s">
        <v>1421</v>
      </c>
      <c r="O6" s="167">
        <v>4</v>
      </c>
      <c r="P6" s="67">
        <f ca="1" t="shared" ref="P6:P35" si="0">F6*O6</f>
        <v>3596.773419968</v>
      </c>
      <c r="Q6" s="67">
        <f t="shared" ref="Q6:Q35" si="1">E6-O6</f>
        <v>2</v>
      </c>
      <c r="R6" s="67">
        <f ca="1" t="shared" ref="R6:R35" si="2">F6*Q6</f>
        <v>1798.386709984</v>
      </c>
    </row>
    <row r="7" ht="15" customHeight="1" spans="1:18">
      <c r="A7" s="20"/>
      <c r="B7" s="91" t="s">
        <v>1308</v>
      </c>
      <c r="C7" s="23"/>
      <c r="D7" s="23" t="s">
        <v>28</v>
      </c>
      <c r="E7" s="24">
        <f>F3*2</f>
        <v>4</v>
      </c>
      <c r="F7" s="101">
        <f ca="1">G7+H7+I7+J7+K7+L7+M7</f>
        <v>771.4092</v>
      </c>
      <c r="G7" s="148">
        <v>5</v>
      </c>
      <c r="H7" s="148">
        <v>5.3</v>
      </c>
      <c r="I7" s="101">
        <f ca="1">G7*H7*'18米（人字203料）参数'!G3*1.1</f>
        <v>660.1892</v>
      </c>
      <c r="J7" s="101"/>
      <c r="K7" s="101">
        <f>49.51+41.21</f>
        <v>90.72</v>
      </c>
      <c r="L7" s="101">
        <f>2.55*4</f>
        <v>10.2</v>
      </c>
      <c r="M7" s="101"/>
      <c r="N7" s="166" t="s">
        <v>1406</v>
      </c>
      <c r="O7" s="167">
        <v>4</v>
      </c>
      <c r="P7" s="67">
        <f ca="1" t="shared" si="0"/>
        <v>3085.6368</v>
      </c>
      <c r="Q7" s="67">
        <f t="shared" si="1"/>
        <v>0</v>
      </c>
      <c r="R7" s="67">
        <f ca="1" t="shared" si="2"/>
        <v>0</v>
      </c>
    </row>
    <row r="8" ht="15" customHeight="1" spans="1:18">
      <c r="A8" s="20"/>
      <c r="B8" s="91" t="s">
        <v>1435</v>
      </c>
      <c r="C8" s="23"/>
      <c r="D8" s="23" t="s">
        <v>28</v>
      </c>
      <c r="E8" s="24">
        <f>F3</f>
        <v>2</v>
      </c>
      <c r="F8" s="101">
        <f ca="1">G8+H8+I8+J8+K8+L8+M8</f>
        <v>931.054608</v>
      </c>
      <c r="G8" s="148">
        <v>6.2</v>
      </c>
      <c r="H8" s="148">
        <v>5.3</v>
      </c>
      <c r="I8" s="101">
        <f ca="1">G8*H8*'18米（人字203料）参数'!G3*1.1</f>
        <v>818.634608</v>
      </c>
      <c r="J8" s="101"/>
      <c r="K8" s="101">
        <f>49.51+41.21</f>
        <v>90.72</v>
      </c>
      <c r="L8" s="101">
        <f>2.55*4</f>
        <v>10.2</v>
      </c>
      <c r="M8" s="101"/>
      <c r="N8" s="166" t="s">
        <v>1482</v>
      </c>
      <c r="O8" s="167">
        <v>2</v>
      </c>
      <c r="P8" s="67">
        <f ca="1" t="shared" si="0"/>
        <v>1862.109216</v>
      </c>
      <c r="Q8" s="67">
        <f t="shared" si="1"/>
        <v>0</v>
      </c>
      <c r="R8" s="67">
        <f ca="1" t="shared" si="2"/>
        <v>0</v>
      </c>
    </row>
    <row r="9" ht="15" customHeight="1" spans="1:18">
      <c r="A9" s="20"/>
      <c r="B9" s="91" t="s">
        <v>1350</v>
      </c>
      <c r="C9" s="23"/>
      <c r="D9" s="23" t="s">
        <v>28</v>
      </c>
      <c r="E9" s="24">
        <f>D3*2</f>
        <v>6</v>
      </c>
      <c r="F9" s="61">
        <f ca="1">I9+J9+K9+L9+M9</f>
        <v>2018.286557632</v>
      </c>
      <c r="G9" s="95">
        <v>9.68</v>
      </c>
      <c r="H9" s="95">
        <v>8.233</v>
      </c>
      <c r="I9" s="61">
        <f ca="1">G9*H9*'18米（人字203料）参数'!G3*1.1</f>
        <v>1985.436557632</v>
      </c>
      <c r="J9" s="61">
        <f>2.5*6</f>
        <v>15</v>
      </c>
      <c r="K9" s="61">
        <v>11.85</v>
      </c>
      <c r="L9" s="61">
        <f>1*6</f>
        <v>6</v>
      </c>
      <c r="M9" s="61"/>
      <c r="N9" s="116" t="s">
        <v>1500</v>
      </c>
      <c r="O9" s="167">
        <v>4</v>
      </c>
      <c r="P9" s="67">
        <f ca="1" t="shared" si="0"/>
        <v>8073.146230528</v>
      </c>
      <c r="Q9" s="67">
        <f t="shared" si="1"/>
        <v>2</v>
      </c>
      <c r="R9" s="67">
        <f ca="1" t="shared" si="2"/>
        <v>4036.573115264</v>
      </c>
    </row>
    <row r="10" ht="15" customHeight="1" spans="1:18">
      <c r="A10" s="20"/>
      <c r="B10" s="91" t="s">
        <v>1226</v>
      </c>
      <c r="C10" s="23"/>
      <c r="D10" s="23" t="s">
        <v>28</v>
      </c>
      <c r="E10" s="24">
        <f>A3*6</f>
        <v>12</v>
      </c>
      <c r="F10" s="101">
        <f ca="1">I10+J10+K10+L10+M10</f>
        <v>195.0929650432</v>
      </c>
      <c r="G10" s="148">
        <v>4.882</v>
      </c>
      <c r="H10" s="148">
        <v>1.552</v>
      </c>
      <c r="I10" s="101">
        <f ca="1">G10*H10*'18米（人字203料）参数'!G5*1.1</f>
        <v>180.0929650432</v>
      </c>
      <c r="J10" s="101"/>
      <c r="K10" s="101"/>
      <c r="L10" s="101">
        <f>0.5*4</f>
        <v>2</v>
      </c>
      <c r="M10" s="101">
        <f>6.5*2</f>
        <v>13</v>
      </c>
      <c r="N10" s="120" t="s">
        <v>1352</v>
      </c>
      <c r="O10" s="167">
        <v>6</v>
      </c>
      <c r="P10" s="67">
        <f ca="1" t="shared" si="0"/>
        <v>1170.5577902592</v>
      </c>
      <c r="Q10" s="67">
        <f t="shared" si="1"/>
        <v>6</v>
      </c>
      <c r="R10" s="67">
        <f ca="1" t="shared" si="2"/>
        <v>1170.5577902592</v>
      </c>
    </row>
    <row r="11" ht="15" customHeight="1" spans="1:18">
      <c r="A11" s="20"/>
      <c r="B11" s="91" t="s">
        <v>1264</v>
      </c>
      <c r="C11" s="23"/>
      <c r="D11" s="23" t="s">
        <v>28</v>
      </c>
      <c r="E11" s="24">
        <f>A3*3</f>
        <v>6</v>
      </c>
      <c r="F11" s="101">
        <f ca="1">I11+J11+K11+L11+M11</f>
        <v>336.5448493136</v>
      </c>
      <c r="G11" s="148">
        <v>4.882</v>
      </c>
      <c r="H11" s="148">
        <v>2.771</v>
      </c>
      <c r="I11" s="101">
        <f ca="1">G11*H11*'18米（人字203料）参数'!G5*1.1</f>
        <v>321.5448493136</v>
      </c>
      <c r="J11" s="101"/>
      <c r="K11" s="101"/>
      <c r="L11" s="101">
        <f>0.5*4</f>
        <v>2</v>
      </c>
      <c r="M11" s="101">
        <f>6.5*2</f>
        <v>13</v>
      </c>
      <c r="N11" s="120" t="s">
        <v>1353</v>
      </c>
      <c r="O11" s="169">
        <v>3</v>
      </c>
      <c r="P11" s="67">
        <f ca="1" t="shared" si="0"/>
        <v>1009.6345479408</v>
      </c>
      <c r="Q11" s="67">
        <f t="shared" si="1"/>
        <v>3</v>
      </c>
      <c r="R11" s="67">
        <f ca="1" t="shared" si="2"/>
        <v>1009.6345479408</v>
      </c>
    </row>
    <row r="12" ht="15" customHeight="1" spans="1:18">
      <c r="A12" s="20"/>
      <c r="B12" s="91" t="s">
        <v>1266</v>
      </c>
      <c r="C12" s="23"/>
      <c r="D12" s="23" t="s">
        <v>28</v>
      </c>
      <c r="E12" s="24">
        <f>A3*2+F3*2</f>
        <v>8</v>
      </c>
      <c r="F12" s="101">
        <f ca="1">'数据修改（批量）'!A28</f>
        <v>95</v>
      </c>
      <c r="G12" s="148">
        <v>4.86</v>
      </c>
      <c r="H12" s="148">
        <v>1.345</v>
      </c>
      <c r="I12" s="101">
        <f ca="1">G12*H12*'18米（人字203料）参数'!G5*1.1</f>
        <v>155.36951496</v>
      </c>
      <c r="J12" s="101"/>
      <c r="K12" s="101"/>
      <c r="L12" s="101"/>
      <c r="M12" s="101"/>
      <c r="N12" s="120" t="s">
        <v>1354</v>
      </c>
      <c r="O12" s="167">
        <v>6</v>
      </c>
      <c r="P12" s="67">
        <f ca="1" t="shared" si="0"/>
        <v>570</v>
      </c>
      <c r="Q12" s="67">
        <f t="shared" si="1"/>
        <v>2</v>
      </c>
      <c r="R12" s="67">
        <f ca="1" t="shared" si="2"/>
        <v>190</v>
      </c>
    </row>
    <row r="13" ht="15" customHeight="1" spans="1:18">
      <c r="A13" s="20"/>
      <c r="B13" s="91" t="s">
        <v>1442</v>
      </c>
      <c r="C13" s="23"/>
      <c r="D13" s="23" t="s">
        <v>28</v>
      </c>
      <c r="E13" s="24">
        <f>F3*2</f>
        <v>4</v>
      </c>
      <c r="F13" s="101">
        <f ca="1">I13+J13+K13+L13+M13</f>
        <v>270.6815045136</v>
      </c>
      <c r="G13" s="192">
        <v>3.882</v>
      </c>
      <c r="H13" s="148">
        <v>2.771</v>
      </c>
      <c r="I13" s="202">
        <f ca="1">G13*H13*'18米（人字203料）参数'!G5*1.1</f>
        <v>255.6815045136</v>
      </c>
      <c r="J13" s="101"/>
      <c r="K13" s="101"/>
      <c r="L13" s="101">
        <f>0.5*4</f>
        <v>2</v>
      </c>
      <c r="M13" s="101">
        <f>6.5*2</f>
        <v>13</v>
      </c>
      <c r="N13" s="120" t="s">
        <v>1443</v>
      </c>
      <c r="O13" s="167">
        <v>4</v>
      </c>
      <c r="P13" s="67">
        <f ca="1" t="shared" si="0"/>
        <v>1082.7260180544</v>
      </c>
      <c r="Q13" s="67">
        <f t="shared" si="1"/>
        <v>0</v>
      </c>
      <c r="R13" s="67">
        <f ca="1" t="shared" si="2"/>
        <v>0</v>
      </c>
    </row>
    <row r="14" ht="15" customHeight="1" spans="1:18">
      <c r="A14" s="20"/>
      <c r="B14" s="91" t="s">
        <v>1444</v>
      </c>
      <c r="C14" s="23"/>
      <c r="D14" s="23" t="s">
        <v>28</v>
      </c>
      <c r="E14" s="24">
        <f>F3*2</f>
        <v>4</v>
      </c>
      <c r="F14" s="101">
        <v>73.72</v>
      </c>
      <c r="G14" s="192">
        <v>3.86</v>
      </c>
      <c r="H14" s="148">
        <v>1.345</v>
      </c>
      <c r="I14" s="101">
        <f ca="1">G14*H14*'18米（人字203料）参数'!G5*1.1</f>
        <v>123.40047896</v>
      </c>
      <c r="J14" s="101"/>
      <c r="K14" s="101"/>
      <c r="L14" s="101"/>
      <c r="M14" s="101"/>
      <c r="N14" s="120" t="s">
        <v>1484</v>
      </c>
      <c r="O14" s="167">
        <v>4</v>
      </c>
      <c r="P14" s="67">
        <f ca="1" t="shared" si="0"/>
        <v>294.88</v>
      </c>
      <c r="Q14" s="67">
        <f t="shared" si="1"/>
        <v>0</v>
      </c>
      <c r="R14" s="67">
        <f ca="1" t="shared" si="2"/>
        <v>0</v>
      </c>
    </row>
    <row r="15" ht="15" customHeight="1" spans="1:18">
      <c r="A15" s="20"/>
      <c r="B15" s="91" t="s">
        <v>1272</v>
      </c>
      <c r="C15" s="23"/>
      <c r="D15" s="23" t="s">
        <v>28</v>
      </c>
      <c r="E15" s="30">
        <v>5</v>
      </c>
      <c r="F15" s="101">
        <f>I15+J15+K15+L15+M15</f>
        <v>109.5</v>
      </c>
      <c r="G15" s="148"/>
      <c r="H15" s="148"/>
      <c r="I15" s="101">
        <v>95</v>
      </c>
      <c r="J15" s="101">
        <v>6.5</v>
      </c>
      <c r="K15" s="101">
        <v>4</v>
      </c>
      <c r="L15" s="101">
        <v>3</v>
      </c>
      <c r="M15" s="101">
        <v>1</v>
      </c>
      <c r="N15" s="120" t="s">
        <v>1355</v>
      </c>
      <c r="O15" s="167">
        <v>4</v>
      </c>
      <c r="P15" s="67">
        <f ca="1" t="shared" si="0"/>
        <v>438</v>
      </c>
      <c r="Q15" s="67">
        <f t="shared" si="1"/>
        <v>1</v>
      </c>
      <c r="R15" s="67">
        <f ca="1" t="shared" si="2"/>
        <v>109.5</v>
      </c>
    </row>
    <row r="16" ht="15" customHeight="1" spans="1:18">
      <c r="A16" s="20"/>
      <c r="B16" s="91" t="s">
        <v>1356</v>
      </c>
      <c r="C16" s="23"/>
      <c r="D16" s="23" t="s">
        <v>28</v>
      </c>
      <c r="E16" s="24">
        <f>F3</f>
        <v>2</v>
      </c>
      <c r="F16" s="101">
        <f ca="1">I16+J16+K16+L16+M16</f>
        <v>90.133</v>
      </c>
      <c r="G16" s="148">
        <v>3.75</v>
      </c>
      <c r="H16" s="148">
        <v>1</v>
      </c>
      <c r="I16" s="101">
        <f ca="1">G16*H16*'18米（人字203料）参数'!G5*1.1</f>
        <v>89.133</v>
      </c>
      <c r="J16" s="101"/>
      <c r="K16" s="101"/>
      <c r="L16" s="101">
        <f>0.5*2</f>
        <v>1</v>
      </c>
      <c r="M16" s="101"/>
      <c r="N16" s="170" t="s">
        <v>1357</v>
      </c>
      <c r="O16" s="167">
        <v>2</v>
      </c>
      <c r="P16" s="67">
        <f ca="1" t="shared" si="0"/>
        <v>180.266</v>
      </c>
      <c r="Q16" s="67">
        <f t="shared" si="1"/>
        <v>0</v>
      </c>
      <c r="R16" s="67">
        <f ca="1" t="shared" si="2"/>
        <v>0</v>
      </c>
    </row>
    <row r="17" ht="15" customHeight="1" spans="1:18">
      <c r="A17" s="20"/>
      <c r="B17" s="91" t="s">
        <v>1276</v>
      </c>
      <c r="C17" s="23"/>
      <c r="D17" s="23" t="s">
        <v>28</v>
      </c>
      <c r="E17" s="28">
        <f>F3*2</f>
        <v>4</v>
      </c>
      <c r="F17" s="101">
        <f ca="1">I17+J17+K17+L17+M17</f>
        <v>348.2448493136</v>
      </c>
      <c r="G17" s="95">
        <v>4.882</v>
      </c>
      <c r="H17" s="95">
        <v>2.771</v>
      </c>
      <c r="I17" s="61">
        <f ca="1">G17*H17*'18米（人字203料）参数'!G5*1.1</f>
        <v>321.5448493136</v>
      </c>
      <c r="J17" s="61"/>
      <c r="K17" s="61">
        <v>15</v>
      </c>
      <c r="L17" s="61">
        <f>8*0.65</f>
        <v>5.2</v>
      </c>
      <c r="M17" s="61">
        <v>6.5</v>
      </c>
      <c r="N17" s="120" t="s">
        <v>1358</v>
      </c>
      <c r="O17" s="167">
        <v>4</v>
      </c>
      <c r="P17" s="67">
        <f ca="1" t="shared" si="0"/>
        <v>1392.9793972544</v>
      </c>
      <c r="Q17" s="67">
        <f t="shared" si="1"/>
        <v>0</v>
      </c>
      <c r="R17" s="67">
        <f ca="1" t="shared" si="2"/>
        <v>0</v>
      </c>
    </row>
    <row r="18" ht="15" customHeight="1" spans="1:18">
      <c r="A18" s="31"/>
      <c r="B18" s="193" t="s">
        <v>1485</v>
      </c>
      <c r="C18" s="43"/>
      <c r="D18" s="23" t="s">
        <v>28</v>
      </c>
      <c r="E18" s="44">
        <f>E30</f>
        <v>4</v>
      </c>
      <c r="F18" s="101">
        <f>I18+J18+K18+L18+M18</f>
        <v>17</v>
      </c>
      <c r="G18" s="194"/>
      <c r="H18" s="194"/>
      <c r="I18" s="203">
        <v>17</v>
      </c>
      <c r="J18" s="203"/>
      <c r="K18" s="203"/>
      <c r="L18" s="203"/>
      <c r="M18" s="203"/>
      <c r="N18" s="171"/>
      <c r="O18" s="167">
        <v>4</v>
      </c>
      <c r="P18" s="67">
        <f ca="1" t="shared" si="0"/>
        <v>68</v>
      </c>
      <c r="Q18" s="67">
        <f t="shared" si="1"/>
        <v>0</v>
      </c>
      <c r="R18" s="67">
        <f ca="1" t="shared" si="2"/>
        <v>0</v>
      </c>
    </row>
    <row r="19" ht="15" customHeight="1" spans="1:18">
      <c r="A19" s="31"/>
      <c r="B19" s="149" t="s">
        <v>1274</v>
      </c>
      <c r="C19" s="43"/>
      <c r="D19" s="43" t="s">
        <v>28</v>
      </c>
      <c r="E19" s="212">
        <f>A3*2+F3*2</f>
        <v>8</v>
      </c>
      <c r="F19" s="101">
        <f>(I19+J19+K19+L19+M19)</f>
        <v>20.4</v>
      </c>
      <c r="G19" s="151"/>
      <c r="H19" s="151"/>
      <c r="I19" s="39">
        <f>17*1.2</f>
        <v>20.4</v>
      </c>
      <c r="J19" s="39"/>
      <c r="K19" s="39"/>
      <c r="L19" s="39"/>
      <c r="M19" s="39"/>
      <c r="N19" s="171" t="s">
        <v>1359</v>
      </c>
      <c r="O19" s="167">
        <v>6</v>
      </c>
      <c r="P19" s="67">
        <f ca="1" t="shared" si="0"/>
        <v>122.4</v>
      </c>
      <c r="Q19" s="67">
        <f t="shared" si="1"/>
        <v>2</v>
      </c>
      <c r="R19" s="67">
        <f ca="1" t="shared" si="2"/>
        <v>40.8</v>
      </c>
    </row>
    <row r="20" ht="15" customHeight="1" spans="1:18">
      <c r="A20" s="20" t="s">
        <v>1278</v>
      </c>
      <c r="B20" s="91" t="s">
        <v>1304</v>
      </c>
      <c r="C20" s="23"/>
      <c r="D20" s="23" t="s">
        <v>434</v>
      </c>
      <c r="E20" s="24">
        <f>D3</f>
        <v>3</v>
      </c>
      <c r="F20" s="101">
        <v>180.62</v>
      </c>
      <c r="G20" s="151"/>
      <c r="H20" s="151"/>
      <c r="I20" s="39"/>
      <c r="J20" s="39"/>
      <c r="K20" s="39"/>
      <c r="L20" s="39"/>
      <c r="M20" s="39"/>
      <c r="N20" s="171" t="s">
        <v>1360</v>
      </c>
      <c r="O20" s="172">
        <v>2</v>
      </c>
      <c r="P20" s="67">
        <f ca="1" t="shared" si="0"/>
        <v>361.24</v>
      </c>
      <c r="Q20" s="67">
        <f t="shared" si="1"/>
        <v>1</v>
      </c>
      <c r="R20" s="67">
        <f ca="1" t="shared" si="2"/>
        <v>180.62</v>
      </c>
    </row>
    <row r="21" ht="15" customHeight="1" spans="1:18">
      <c r="A21" s="20"/>
      <c r="B21" s="91" t="s">
        <v>1310</v>
      </c>
      <c r="C21" s="23"/>
      <c r="D21" s="23" t="s">
        <v>434</v>
      </c>
      <c r="E21" s="24">
        <f>E7+E8</f>
        <v>6</v>
      </c>
      <c r="F21" s="101">
        <v>76.4</v>
      </c>
      <c r="G21" s="148"/>
      <c r="H21" s="148"/>
      <c r="I21" s="101"/>
      <c r="J21" s="101"/>
      <c r="K21" s="101"/>
      <c r="L21" s="101"/>
      <c r="M21" s="101"/>
      <c r="N21" s="120" t="s">
        <v>1361</v>
      </c>
      <c r="O21" s="167">
        <v>6</v>
      </c>
      <c r="P21" s="67">
        <f ca="1" t="shared" si="0"/>
        <v>458.4</v>
      </c>
      <c r="Q21" s="67">
        <f t="shared" si="1"/>
        <v>0</v>
      </c>
      <c r="R21" s="67">
        <f ca="1" t="shared" si="2"/>
        <v>0</v>
      </c>
    </row>
    <row r="22" ht="15" customHeight="1" spans="1:18">
      <c r="A22" s="20"/>
      <c r="B22" s="91" t="s">
        <v>1280</v>
      </c>
      <c r="C22" s="23"/>
      <c r="D22" s="23" t="s">
        <v>434</v>
      </c>
      <c r="E22" s="28">
        <f>E6</f>
        <v>6</v>
      </c>
      <c r="F22" s="61">
        <v>85.93</v>
      </c>
      <c r="G22" s="95"/>
      <c r="H22" s="95"/>
      <c r="I22" s="61"/>
      <c r="J22" s="61"/>
      <c r="K22" s="61"/>
      <c r="L22" s="61"/>
      <c r="M22" s="61"/>
      <c r="N22" s="173" t="s">
        <v>1361</v>
      </c>
      <c r="O22" s="167">
        <v>4</v>
      </c>
      <c r="P22" s="67">
        <f ca="1" t="shared" si="0"/>
        <v>343.72</v>
      </c>
      <c r="Q22" s="67">
        <f t="shared" si="1"/>
        <v>2</v>
      </c>
      <c r="R22" s="67">
        <f ca="1" t="shared" si="2"/>
        <v>171.86</v>
      </c>
    </row>
    <row r="23" ht="15" customHeight="1" spans="1:18">
      <c r="A23" s="20"/>
      <c r="B23" s="91" t="s">
        <v>1339</v>
      </c>
      <c r="C23" s="23"/>
      <c r="D23" s="23" t="s">
        <v>28</v>
      </c>
      <c r="E23" s="32">
        <f>E15</f>
        <v>5</v>
      </c>
      <c r="F23" s="101">
        <v>91.3</v>
      </c>
      <c r="G23" s="148"/>
      <c r="H23" s="148"/>
      <c r="I23" s="101"/>
      <c r="J23" s="101"/>
      <c r="K23" s="101"/>
      <c r="L23" s="101"/>
      <c r="M23" s="101"/>
      <c r="N23" s="120" t="s">
        <v>1362</v>
      </c>
      <c r="O23" s="167">
        <v>4</v>
      </c>
      <c r="P23" s="67">
        <f ca="1" t="shared" si="0"/>
        <v>365.2</v>
      </c>
      <c r="Q23" s="67">
        <f t="shared" si="1"/>
        <v>1</v>
      </c>
      <c r="R23" s="67">
        <f ca="1" t="shared" si="2"/>
        <v>91.3</v>
      </c>
    </row>
    <row r="24" ht="15" customHeight="1" spans="1:18">
      <c r="A24" s="20"/>
      <c r="B24" s="91" t="s">
        <v>1282</v>
      </c>
      <c r="C24" s="23"/>
      <c r="D24" s="23" t="s">
        <v>434</v>
      </c>
      <c r="E24" s="209">
        <f>D3*2+F3*3</f>
        <v>12</v>
      </c>
      <c r="F24" s="101">
        <v>4.45</v>
      </c>
      <c r="G24" s="148"/>
      <c r="H24" s="148"/>
      <c r="I24" s="101"/>
      <c r="J24" s="101"/>
      <c r="K24" s="101"/>
      <c r="L24" s="101"/>
      <c r="M24" s="101"/>
      <c r="N24" s="120" t="s">
        <v>1363</v>
      </c>
      <c r="O24" s="167">
        <v>10</v>
      </c>
      <c r="P24" s="67">
        <f ca="1" t="shared" si="0"/>
        <v>44.5</v>
      </c>
      <c r="Q24" s="67">
        <f t="shared" si="1"/>
        <v>2</v>
      </c>
      <c r="R24" s="67">
        <f ca="1" t="shared" si="2"/>
        <v>8.9</v>
      </c>
    </row>
    <row r="25" ht="15" customHeight="1" spans="1:18">
      <c r="A25" s="20"/>
      <c r="B25" s="91" t="s">
        <v>1284</v>
      </c>
      <c r="C25" s="23"/>
      <c r="D25" s="23" t="s">
        <v>434</v>
      </c>
      <c r="E25" s="24">
        <f>D3*2</f>
        <v>6</v>
      </c>
      <c r="F25" s="101">
        <v>6.51</v>
      </c>
      <c r="G25" s="148"/>
      <c r="H25" s="148"/>
      <c r="I25" s="101"/>
      <c r="J25" s="101"/>
      <c r="K25" s="101"/>
      <c r="L25" s="101"/>
      <c r="M25" s="101"/>
      <c r="N25" s="120" t="s">
        <v>1364</v>
      </c>
      <c r="O25" s="167">
        <v>4</v>
      </c>
      <c r="P25" s="67">
        <f ca="1" t="shared" si="0"/>
        <v>26.04</v>
      </c>
      <c r="Q25" s="67">
        <f t="shared" si="1"/>
        <v>2</v>
      </c>
      <c r="R25" s="67">
        <f ca="1" t="shared" si="2"/>
        <v>13.02</v>
      </c>
    </row>
    <row r="26" ht="15" customHeight="1" spans="1:18">
      <c r="A26" s="20"/>
      <c r="B26" s="91" t="s">
        <v>519</v>
      </c>
      <c r="C26" s="23"/>
      <c r="D26" s="23" t="s">
        <v>434</v>
      </c>
      <c r="E26" s="24">
        <f>F3*2</f>
        <v>4</v>
      </c>
      <c r="F26" s="101">
        <v>13</v>
      </c>
      <c r="G26" s="151"/>
      <c r="H26" s="151"/>
      <c r="I26" s="39"/>
      <c r="J26" s="39"/>
      <c r="K26" s="39"/>
      <c r="L26" s="39"/>
      <c r="M26" s="39"/>
      <c r="N26" s="120" t="s">
        <v>1365</v>
      </c>
      <c r="O26" s="167">
        <v>4</v>
      </c>
      <c r="P26" s="67">
        <f ca="1" t="shared" si="0"/>
        <v>52</v>
      </c>
      <c r="Q26" s="67">
        <f t="shared" si="1"/>
        <v>0</v>
      </c>
      <c r="R26" s="67">
        <f ca="1" t="shared" si="2"/>
        <v>0</v>
      </c>
    </row>
    <row r="27" ht="15" customHeight="1" spans="1:18">
      <c r="A27" s="31"/>
      <c r="B27" s="152" t="s">
        <v>551</v>
      </c>
      <c r="C27" s="43"/>
      <c r="D27" s="43" t="s">
        <v>434</v>
      </c>
      <c r="E27" s="150">
        <f>F3*2</f>
        <v>4</v>
      </c>
      <c r="F27" s="41">
        <v>15.5</v>
      </c>
      <c r="G27" s="99"/>
      <c r="H27" s="99"/>
      <c r="I27" s="41"/>
      <c r="J27" s="41"/>
      <c r="K27" s="41"/>
      <c r="L27" s="41"/>
      <c r="M27" s="41"/>
      <c r="N27" s="173" t="s">
        <v>1361</v>
      </c>
      <c r="O27" s="174">
        <v>4</v>
      </c>
      <c r="P27" s="67">
        <f ca="1" t="shared" si="0"/>
        <v>62</v>
      </c>
      <c r="Q27" s="67">
        <f t="shared" si="1"/>
        <v>0</v>
      </c>
      <c r="R27" s="67">
        <f ca="1" t="shared" si="2"/>
        <v>0</v>
      </c>
    </row>
    <row r="28" ht="15" customHeight="1" spans="1:18">
      <c r="A28" s="153" t="s">
        <v>1216</v>
      </c>
      <c r="B28" s="91" t="s">
        <v>1366</v>
      </c>
      <c r="C28" s="23"/>
      <c r="D28" s="23" t="s">
        <v>612</v>
      </c>
      <c r="E28" s="24">
        <f>A3</f>
        <v>2</v>
      </c>
      <c r="F28" s="122">
        <f ca="1">(I28+J28)*1.1+30</f>
        <v>2344.686</v>
      </c>
      <c r="G28" s="99">
        <v>20.4</v>
      </c>
      <c r="H28" s="99">
        <v>5</v>
      </c>
      <c r="I28" s="41">
        <f ca="1">G28*H28*'18米（人字203料）参数'!E15*1.1</f>
        <v>1941.06</v>
      </c>
      <c r="J28" s="41">
        <f>20.4*2*4</f>
        <v>163.2</v>
      </c>
      <c r="K28" s="41">
        <v>30</v>
      </c>
      <c r="L28" s="41"/>
      <c r="M28" s="41"/>
      <c r="N28" s="167" t="s">
        <v>1410</v>
      </c>
      <c r="O28" s="175">
        <v>1</v>
      </c>
      <c r="P28" s="67">
        <f ca="1" t="shared" si="0"/>
        <v>2344.686</v>
      </c>
      <c r="Q28" s="67">
        <f t="shared" si="1"/>
        <v>1</v>
      </c>
      <c r="R28" s="67">
        <f ca="1" t="shared" si="2"/>
        <v>2344.686</v>
      </c>
    </row>
    <row r="29" ht="15" customHeight="1" spans="1:18">
      <c r="A29" s="153"/>
      <c r="B29" s="91" t="s">
        <v>1368</v>
      </c>
      <c r="C29" s="23"/>
      <c r="D29" s="23" t="s">
        <v>664</v>
      </c>
      <c r="E29" s="24">
        <f>F3</f>
        <v>2</v>
      </c>
      <c r="F29" s="122">
        <f ca="1">(I29+J29)*1.1+15</f>
        <v>709.70698</v>
      </c>
      <c r="G29" s="148">
        <v>9.35</v>
      </c>
      <c r="H29" s="154">
        <v>3.6</v>
      </c>
      <c r="I29" s="101">
        <f ca="1">G29*H29*'18米（人字203料）参数'!E14*1.1</f>
        <v>529.4718</v>
      </c>
      <c r="J29" s="101">
        <f>12.76*2*4</f>
        <v>102.08</v>
      </c>
      <c r="K29" s="101">
        <v>15</v>
      </c>
      <c r="L29" s="101"/>
      <c r="M29" s="101"/>
      <c r="N29" s="51" t="s">
        <v>1411</v>
      </c>
      <c r="O29" s="167">
        <v>2</v>
      </c>
      <c r="P29" s="67">
        <f ca="1" t="shared" si="0"/>
        <v>1419.41396</v>
      </c>
      <c r="Q29" s="67">
        <f t="shared" si="1"/>
        <v>0</v>
      </c>
      <c r="R29" s="67">
        <f ca="1" t="shared" si="2"/>
        <v>0</v>
      </c>
    </row>
    <row r="30" ht="15" customHeight="1" spans="1:18">
      <c r="A30" s="155"/>
      <c r="B30" s="91" t="s">
        <v>1462</v>
      </c>
      <c r="C30" s="23"/>
      <c r="D30" s="23" t="s">
        <v>664</v>
      </c>
      <c r="E30" s="24">
        <f>F3*2</f>
        <v>4</v>
      </c>
      <c r="F30" s="122">
        <f ca="1">(I30+J30)*1.1+15</f>
        <v>299.1284908</v>
      </c>
      <c r="G30" s="156">
        <v>3.97</v>
      </c>
      <c r="H30" s="157">
        <v>3.88</v>
      </c>
      <c r="I30" s="101">
        <f ca="1">G30*H30*'18米（人字203料）参数'!E14*1.1</f>
        <v>242.298628</v>
      </c>
      <c r="J30" s="71">
        <f>4*2*2</f>
        <v>16</v>
      </c>
      <c r="K30" s="71">
        <f>0.5*10</f>
        <v>5</v>
      </c>
      <c r="L30" s="71">
        <f>0.32*18</f>
        <v>5.76</v>
      </c>
      <c r="M30" s="71">
        <f>18*1</f>
        <v>18</v>
      </c>
      <c r="N30" s="120" t="s">
        <v>1488</v>
      </c>
      <c r="O30" s="167">
        <v>4</v>
      </c>
      <c r="P30" s="67">
        <f ca="1" t="shared" si="0"/>
        <v>1196.5139632</v>
      </c>
      <c r="Q30" s="67">
        <f t="shared" si="1"/>
        <v>0</v>
      </c>
      <c r="R30" s="67">
        <f ca="1" t="shared" si="2"/>
        <v>0</v>
      </c>
    </row>
    <row r="31" ht="15" customHeight="1" spans="1:18">
      <c r="A31" s="155"/>
      <c r="B31" s="91" t="s">
        <v>1370</v>
      </c>
      <c r="C31" s="23"/>
      <c r="D31" s="23" t="s">
        <v>664</v>
      </c>
      <c r="E31" s="209">
        <f>A3*2+F3*2</f>
        <v>8</v>
      </c>
      <c r="F31" s="101">
        <f ca="1">I31+J31+K30+L31+M31</f>
        <v>384.49012</v>
      </c>
      <c r="G31" s="156">
        <v>5.2</v>
      </c>
      <c r="H31" s="157">
        <v>3.97</v>
      </c>
      <c r="I31" s="101">
        <f ca="1">G31*H31*'18米（人字203料）参数'!E14*1.1+15</f>
        <v>339.73012</v>
      </c>
      <c r="J31" s="71">
        <f>4*2*2</f>
        <v>16</v>
      </c>
      <c r="K31" s="71">
        <f>0.5*10</f>
        <v>5</v>
      </c>
      <c r="L31" s="71">
        <f>0.32*18</f>
        <v>5.76</v>
      </c>
      <c r="M31" s="71">
        <f>18*1</f>
        <v>18</v>
      </c>
      <c r="N31" s="120" t="s">
        <v>1371</v>
      </c>
      <c r="O31" s="167">
        <v>6</v>
      </c>
      <c r="P31" s="67">
        <f ca="1" t="shared" si="0"/>
        <v>2306.94072</v>
      </c>
      <c r="Q31" s="67">
        <f t="shared" si="1"/>
        <v>2</v>
      </c>
      <c r="R31" s="67">
        <f ca="1" t="shared" si="2"/>
        <v>768.98024</v>
      </c>
    </row>
    <row r="32" ht="15" customHeight="1" spans="1:18">
      <c r="A32" s="20" t="s">
        <v>1235</v>
      </c>
      <c r="B32" s="158" t="s">
        <v>589</v>
      </c>
      <c r="C32" s="23"/>
      <c r="D32" s="23" t="s">
        <v>434</v>
      </c>
      <c r="E32" s="24">
        <f>D3*10+F3*2+E23*2</f>
        <v>44</v>
      </c>
      <c r="F32" s="101">
        <v>2.15</v>
      </c>
      <c r="G32" s="154"/>
      <c r="H32" s="154"/>
      <c r="I32" s="101"/>
      <c r="J32" s="101"/>
      <c r="K32" s="101"/>
      <c r="L32" s="101"/>
      <c r="M32" s="101"/>
      <c r="N32" s="120" t="s">
        <v>1372</v>
      </c>
      <c r="O32" s="167">
        <v>34</v>
      </c>
      <c r="P32" s="67">
        <f ca="1" t="shared" si="0"/>
        <v>73.1</v>
      </c>
      <c r="Q32" s="67">
        <f t="shared" si="1"/>
        <v>10</v>
      </c>
      <c r="R32" s="67">
        <f ca="1" t="shared" si="2"/>
        <v>21.5</v>
      </c>
    </row>
    <row r="33" ht="15" customHeight="1" spans="1:18">
      <c r="A33" s="20"/>
      <c r="B33" s="109" t="s">
        <v>591</v>
      </c>
      <c r="C33" s="23"/>
      <c r="D33" s="23" t="s">
        <v>434</v>
      </c>
      <c r="E33" s="24">
        <f>D3*2+E23+E15</f>
        <v>16</v>
      </c>
      <c r="F33" s="101">
        <v>2.55</v>
      </c>
      <c r="G33" s="154"/>
      <c r="H33" s="154"/>
      <c r="I33" s="101"/>
      <c r="J33" s="101"/>
      <c r="K33" s="101"/>
      <c r="L33" s="101"/>
      <c r="M33" s="101"/>
      <c r="N33" s="120" t="s">
        <v>1373</v>
      </c>
      <c r="O33" s="172">
        <v>14</v>
      </c>
      <c r="P33" s="67">
        <f ca="1" t="shared" si="0"/>
        <v>35.7</v>
      </c>
      <c r="Q33" s="67">
        <f t="shared" si="1"/>
        <v>2</v>
      </c>
      <c r="R33" s="67">
        <f ca="1" t="shared" si="2"/>
        <v>5.1</v>
      </c>
    </row>
    <row r="34" ht="15" customHeight="1" spans="1:18">
      <c r="A34" s="20"/>
      <c r="B34" s="159" t="s">
        <v>1423</v>
      </c>
      <c r="C34" s="43"/>
      <c r="D34" s="43" t="s">
        <v>434</v>
      </c>
      <c r="E34" s="44">
        <f>D3*2+4</f>
        <v>10</v>
      </c>
      <c r="F34" s="39">
        <v>1.95</v>
      </c>
      <c r="G34" s="160"/>
      <c r="H34" s="160"/>
      <c r="I34" s="39"/>
      <c r="J34" s="39"/>
      <c r="K34" s="39"/>
      <c r="L34" s="39"/>
      <c r="M34" s="39"/>
      <c r="N34" s="120" t="s">
        <v>1375</v>
      </c>
      <c r="O34" s="167">
        <v>8</v>
      </c>
      <c r="P34" s="67">
        <f ca="1" t="shared" si="0"/>
        <v>15.6</v>
      </c>
      <c r="Q34" s="67">
        <f t="shared" si="1"/>
        <v>2</v>
      </c>
      <c r="R34" s="67">
        <f ca="1" t="shared" si="2"/>
        <v>3.9</v>
      </c>
    </row>
    <row r="35" ht="15" customHeight="1" spans="1:18">
      <c r="A35" s="20"/>
      <c r="B35" s="109" t="s">
        <v>554</v>
      </c>
      <c r="C35" s="23"/>
      <c r="D35" s="23" t="s">
        <v>555</v>
      </c>
      <c r="E35" s="28">
        <f>E21+E22+E15</f>
        <v>17</v>
      </c>
      <c r="F35" s="101">
        <v>1.46</v>
      </c>
      <c r="G35" s="154"/>
      <c r="H35" s="154"/>
      <c r="I35" s="101"/>
      <c r="J35" s="101"/>
      <c r="K35" s="101"/>
      <c r="L35" s="101"/>
      <c r="M35" s="101"/>
      <c r="N35" s="120" t="s">
        <v>1376</v>
      </c>
      <c r="O35" s="167">
        <v>15</v>
      </c>
      <c r="P35" s="67">
        <f ca="1" t="shared" si="0"/>
        <v>21.9</v>
      </c>
      <c r="Q35" s="67">
        <f t="shared" si="1"/>
        <v>2</v>
      </c>
      <c r="R35" s="67">
        <f ca="1" t="shared" si="2"/>
        <v>2.92</v>
      </c>
    </row>
    <row r="36" spans="15:18">
      <c r="O36" s="84" t="s">
        <v>1218</v>
      </c>
      <c r="P36" s="3">
        <f ca="1">SUM(P6:P35)</f>
        <v>32074.0640632048</v>
      </c>
      <c r="Q36" s="3" t="s">
        <v>1219</v>
      </c>
      <c r="R36" s="3">
        <f ca="1">SUM(R6:R35)</f>
        <v>11968.238403448</v>
      </c>
    </row>
    <row r="37" spans="2:2">
      <c r="B37" s="50" t="s">
        <v>1221</v>
      </c>
    </row>
    <row r="38" spans="15:16">
      <c r="O38" s="50" t="s">
        <v>1377</v>
      </c>
      <c r="P38" s="3">
        <f ca="1">P36+R36</f>
        <v>44042.3024666528</v>
      </c>
    </row>
    <row r="39" spans="2:16">
      <c r="B39" s="52"/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2"/>
      <c r="O39" s="50" t="s">
        <v>14</v>
      </c>
      <c r="P39" s="3">
        <f ca="1">P38/E2</f>
        <v>244.679458148071</v>
      </c>
    </row>
    <row r="40" spans="2:13">
      <c r="B40" s="54"/>
      <c r="C40" s="54"/>
      <c r="D40" s="54"/>
      <c r="E40" s="54"/>
      <c r="F40" s="54"/>
      <c r="G40" s="53"/>
      <c r="H40" s="53"/>
      <c r="I40" s="53"/>
      <c r="J40" s="53"/>
      <c r="K40" s="53"/>
      <c r="L40" s="53"/>
      <c r="M40" s="53"/>
    </row>
    <row r="41" spans="2:13">
      <c r="B41" s="54"/>
      <c r="C41" s="54"/>
      <c r="D41" s="54"/>
      <c r="E41" s="54"/>
      <c r="F41" s="54"/>
      <c r="G41" s="53"/>
      <c r="H41" s="53"/>
      <c r="I41" s="53"/>
      <c r="J41" s="53"/>
      <c r="K41" s="53"/>
      <c r="L41" s="53"/>
      <c r="M41" s="53"/>
    </row>
    <row r="42" spans="2:13">
      <c r="B42" s="54"/>
      <c r="C42" s="54"/>
      <c r="D42" s="54"/>
      <c r="E42" s="54"/>
      <c r="F42" s="54"/>
      <c r="G42" s="53"/>
      <c r="H42" s="53"/>
      <c r="I42" s="53"/>
      <c r="J42" s="53"/>
      <c r="K42" s="53"/>
      <c r="L42" s="53"/>
      <c r="M42" s="53"/>
    </row>
    <row r="43" spans="2:13">
      <c r="B43" s="54"/>
      <c r="C43" s="54"/>
      <c r="D43" s="54"/>
      <c r="E43" s="54"/>
      <c r="F43" s="54"/>
      <c r="G43" s="53"/>
      <c r="H43" s="53"/>
      <c r="I43" s="53"/>
      <c r="J43" s="53"/>
      <c r="K43" s="53"/>
      <c r="L43" s="53"/>
      <c r="M43" s="53"/>
    </row>
    <row r="44" spans="2:13">
      <c r="B44" s="54"/>
      <c r="C44" s="54"/>
      <c r="D44" s="54"/>
      <c r="E44" s="54"/>
      <c r="F44" s="54"/>
      <c r="G44" s="53"/>
      <c r="H44" s="53"/>
      <c r="I44" s="53"/>
      <c r="J44" s="53"/>
      <c r="K44" s="53"/>
      <c r="L44" s="53"/>
      <c r="M44" s="53"/>
    </row>
    <row r="45" spans="2:13">
      <c r="B45" s="54"/>
      <c r="C45" s="54"/>
      <c r="D45" s="54"/>
      <c r="E45" s="54"/>
      <c r="F45" s="54"/>
      <c r="G45" s="53"/>
      <c r="H45" s="53"/>
      <c r="I45" s="53"/>
      <c r="J45" s="53"/>
      <c r="K45" s="53"/>
      <c r="L45" s="53"/>
      <c r="M45" s="53"/>
    </row>
  </sheetData>
  <mergeCells count="12">
    <mergeCell ref="A1:O1"/>
    <mergeCell ref="A2:C2"/>
    <mergeCell ref="F2:N2"/>
    <mergeCell ref="A3:B3"/>
    <mergeCell ref="H3:N3"/>
    <mergeCell ref="A4:F4"/>
    <mergeCell ref="G4:H4"/>
    <mergeCell ref="I4:M4"/>
    <mergeCell ref="A6:A19"/>
    <mergeCell ref="A20:A27"/>
    <mergeCell ref="A28:A31"/>
    <mergeCell ref="A32:A35"/>
  </mergeCells>
  <dataValidations count="4">
    <dataValidation type="list" allowBlank="1" showInputMessage="1" showErrorMessage="1" sqref="B28">
      <formula1>"顶布[白]{全新},顶布[白]{A类},顶布[白]{B类},顶布[白]{C类},顶布[白]{D类}"</formula1>
    </dataValidation>
    <dataValidation type="list" allowBlank="1" showInputMessage="1" showErrorMessage="1" sqref="B29">
      <formula1>"山尖布[白]{全新},山尖布[白]{A类},山尖布[白]{B类},山尖布[白]{C类},山尖布[白]{D类}"</formula1>
    </dataValidation>
    <dataValidation allowBlank="1" showInputMessage="1" showErrorMessage="1" sqref="B30"/>
    <dataValidation type="list" allowBlank="1" showInputMessage="1" showErrorMessage="1" sqref="B31">
      <formula1>"围布[白]{全新},围布[白]{A类},围布[白]{B类},围布[白]{C类},围布[白]{D类},透光窗围布[白]{全新},透光窗围布[白]{A类},透光窗围布[白]{B类},透光窗围布[白]{C类},透光窗围布[白]{D类}"</formula1>
    </dataValidation>
  </dataValidations>
  <printOptions horizontalCentered="1"/>
  <pageMargins left="0.238888888888889" right="0.11875" top="0.159027777777778" bottom="0.259027777777778" header="0.159027777777778" footer="0.2"/>
  <pageSetup paperSize="9" orientation="portrait"/>
  <headerFooter alignWithMargins="0" scaleWithDoc="0">
    <oddFooter>&amp;L&amp;"SimSun"&amp;9&amp;C&amp;"SimSun"&amp;9第 &amp;P 页，共 &amp;N 页&amp;R&amp;"SimSun"&amp;9</oddFooter>
  </headerFooter>
</worksheet>
</file>

<file path=xl/worksheets/sheet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FF0000"/>
  </sheetPr>
  <dimension ref="A1:R39"/>
  <sheetViews>
    <sheetView showGridLines="0" topLeftCell="A4" workbookViewId="0">
      <selection activeCell="F12" sqref="F12"/>
    </sheetView>
  </sheetViews>
  <sheetFormatPr defaultColWidth="9" defaultRowHeight="14.25"/>
  <cols>
    <col min="1" max="1" width="2.75" style="1" customWidth="1"/>
    <col min="2" max="2" width="17.625" style="1" customWidth="1"/>
    <col min="3" max="5" width="9" style="1"/>
    <col min="6" max="13" width="9" style="1" customWidth="1"/>
    <col min="14" max="14" width="72.25" style="1" customWidth="1"/>
    <col min="15" max="15" width="9" style="1"/>
    <col min="16" max="16" width="13.25" style="1" customWidth="1"/>
    <col min="17" max="17" width="9" style="1"/>
    <col min="18" max="18" width="13.875" style="1" customWidth="1"/>
    <col min="19" max="16384" width="9" style="1"/>
  </cols>
  <sheetData>
    <row r="1" ht="18.75" spans="1:18">
      <c r="A1" s="72" t="s">
        <v>1501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161"/>
      <c r="P1" s="3"/>
      <c r="Q1" s="3"/>
      <c r="R1" s="3"/>
    </row>
    <row r="2" spans="1:18">
      <c r="A2" s="141" t="s">
        <v>1246</v>
      </c>
      <c r="B2" s="142"/>
      <c r="C2" s="142"/>
      <c r="D2" s="9" t="s">
        <v>1198</v>
      </c>
      <c r="E2" s="176">
        <f>A3*5*18</f>
        <v>180</v>
      </c>
      <c r="F2" s="186"/>
      <c r="G2" s="187"/>
      <c r="H2" s="187"/>
      <c r="I2" s="187"/>
      <c r="J2" s="187"/>
      <c r="K2" s="187"/>
      <c r="L2" s="187"/>
      <c r="M2" s="187"/>
      <c r="N2" s="197"/>
      <c r="O2" s="162"/>
      <c r="P2" s="3"/>
      <c r="Q2" s="55"/>
      <c r="R2" s="55"/>
    </row>
    <row r="3" spans="1:18">
      <c r="A3" s="177">
        <v>2</v>
      </c>
      <c r="B3" s="177"/>
      <c r="C3" s="178" t="s">
        <v>1247</v>
      </c>
      <c r="D3" s="179">
        <v>3</v>
      </c>
      <c r="E3" s="180" t="s">
        <v>1248</v>
      </c>
      <c r="F3" s="188">
        <v>2</v>
      </c>
      <c r="G3" s="11" t="s">
        <v>1249</v>
      </c>
      <c r="H3" s="12"/>
      <c r="I3" s="12"/>
      <c r="J3" s="12"/>
      <c r="K3" s="12"/>
      <c r="L3" s="12"/>
      <c r="M3" s="12"/>
      <c r="N3" s="12"/>
      <c r="O3" s="162"/>
      <c r="P3" s="3"/>
      <c r="Q3" s="55"/>
      <c r="R3" s="55"/>
    </row>
    <row r="4" spans="1:18">
      <c r="A4" s="190"/>
      <c r="B4" s="128"/>
      <c r="C4" s="128"/>
      <c r="D4" s="128"/>
      <c r="E4" s="128"/>
      <c r="F4" s="128"/>
      <c r="G4" s="180" t="s">
        <v>1345</v>
      </c>
      <c r="H4" s="191"/>
      <c r="I4" s="198" t="s">
        <v>1346</v>
      </c>
      <c r="J4" s="199"/>
      <c r="K4" s="199"/>
      <c r="L4" s="199"/>
      <c r="M4" s="200"/>
      <c r="N4" s="201"/>
      <c r="O4" s="162"/>
      <c r="P4" s="3"/>
      <c r="Q4" s="55"/>
      <c r="R4" s="55"/>
    </row>
    <row r="5" ht="24" spans="1:18">
      <c r="A5" s="146" t="s">
        <v>1200</v>
      </c>
      <c r="B5" s="146" t="s">
        <v>1201</v>
      </c>
      <c r="C5" s="146" t="s">
        <v>1250</v>
      </c>
      <c r="D5" s="146" t="s">
        <v>22</v>
      </c>
      <c r="E5" s="147" t="s">
        <v>1251</v>
      </c>
      <c r="F5" s="75" t="s">
        <v>1204</v>
      </c>
      <c r="G5" s="19" t="s">
        <v>1205</v>
      </c>
      <c r="H5" s="17" t="s">
        <v>1253</v>
      </c>
      <c r="I5" s="17" t="s">
        <v>1254</v>
      </c>
      <c r="J5" s="17" t="s">
        <v>1255</v>
      </c>
      <c r="K5" s="17" t="s">
        <v>1209</v>
      </c>
      <c r="L5" s="17" t="s">
        <v>1420</v>
      </c>
      <c r="M5" s="17" t="s">
        <v>1211</v>
      </c>
      <c r="N5" s="163" t="s">
        <v>1257</v>
      </c>
      <c r="O5" s="164" t="s">
        <v>1212</v>
      </c>
      <c r="P5" s="165" t="s">
        <v>1213</v>
      </c>
      <c r="Q5" s="165" t="s">
        <v>1214</v>
      </c>
      <c r="R5" s="75" t="s">
        <v>1213</v>
      </c>
    </row>
    <row r="6" ht="15" customHeight="1" spans="1:18">
      <c r="A6" s="20" t="s">
        <v>1215</v>
      </c>
      <c r="B6" s="91" t="s">
        <v>1224</v>
      </c>
      <c r="C6" s="23"/>
      <c r="D6" s="23" t="s">
        <v>28</v>
      </c>
      <c r="E6" s="24">
        <f>D3*2</f>
        <v>6</v>
      </c>
      <c r="F6" s="93">
        <f ca="1">I6+J6+K6+L6+M6</f>
        <v>1104.300437392</v>
      </c>
      <c r="G6" s="94">
        <v>4.58</v>
      </c>
      <c r="H6" s="94">
        <v>8.233</v>
      </c>
      <c r="I6" s="93">
        <f ca="1">G6*H6*'18米（人字203料）参数'!G3*1.1</f>
        <v>939.390437392</v>
      </c>
      <c r="J6" s="93">
        <f>48.55*2</f>
        <v>97.1</v>
      </c>
      <c r="K6" s="93">
        <v>45.91</v>
      </c>
      <c r="L6" s="93">
        <f>2.55*4</f>
        <v>10.2</v>
      </c>
      <c r="M6" s="93">
        <f>18*0.65</f>
        <v>11.7</v>
      </c>
      <c r="N6" s="166" t="s">
        <v>1502</v>
      </c>
      <c r="O6" s="167">
        <v>4</v>
      </c>
      <c r="P6" s="67">
        <f ca="1" t="shared" ref="P6:P35" si="0">F6*O6</f>
        <v>4417.201749568</v>
      </c>
      <c r="Q6" s="67">
        <f t="shared" ref="Q6:Q35" si="1">E6-O6</f>
        <v>2</v>
      </c>
      <c r="R6" s="67">
        <f ca="1" t="shared" ref="R6:R35" si="2">F6*Q6</f>
        <v>2208.600874784</v>
      </c>
    </row>
    <row r="7" ht="15" customHeight="1" spans="1:18">
      <c r="A7" s="20"/>
      <c r="B7" s="91" t="s">
        <v>1308</v>
      </c>
      <c r="C7" s="23"/>
      <c r="D7" s="23" t="s">
        <v>28</v>
      </c>
      <c r="E7" s="24">
        <f>F3*2</f>
        <v>4</v>
      </c>
      <c r="F7" s="101">
        <f ca="1">G7+H7+I7+J7+K7+L7+M7</f>
        <v>904.44704</v>
      </c>
      <c r="G7" s="148">
        <v>6</v>
      </c>
      <c r="H7" s="148">
        <v>5.3</v>
      </c>
      <c r="I7" s="101">
        <f ca="1">G7*H7*'18米（人字203料）参数'!G3*1.1</f>
        <v>792.22704</v>
      </c>
      <c r="J7" s="101"/>
      <c r="K7" s="101">
        <f>49.51+41.21</f>
        <v>90.72</v>
      </c>
      <c r="L7" s="101">
        <f>2.55*4</f>
        <v>10.2</v>
      </c>
      <c r="M7" s="101"/>
      <c r="N7" s="166" t="s">
        <v>1427</v>
      </c>
      <c r="O7" s="167">
        <v>4</v>
      </c>
      <c r="P7" s="67">
        <f ca="1" t="shared" si="0"/>
        <v>3617.78816</v>
      </c>
      <c r="Q7" s="67">
        <f t="shared" si="1"/>
        <v>0</v>
      </c>
      <c r="R7" s="67">
        <f ca="1" t="shared" si="2"/>
        <v>0</v>
      </c>
    </row>
    <row r="8" ht="15" customHeight="1" spans="1:18">
      <c r="A8" s="20"/>
      <c r="B8" s="91" t="s">
        <v>1435</v>
      </c>
      <c r="C8" s="23"/>
      <c r="D8" s="23" t="s">
        <v>28</v>
      </c>
      <c r="E8" s="24">
        <f>F3</f>
        <v>2</v>
      </c>
      <c r="F8" s="101">
        <f ca="1">G8+H8+I8+J8+K8+L8+M8</f>
        <v>1064.092448</v>
      </c>
      <c r="G8" s="148">
        <v>7.2</v>
      </c>
      <c r="H8" s="148">
        <v>5.3</v>
      </c>
      <c r="I8" s="101">
        <f ca="1">G8*H8*'18米（人字203料）参数'!G3*1.1</f>
        <v>950.672448</v>
      </c>
      <c r="J8" s="101"/>
      <c r="K8" s="101">
        <f>49.51+41.21</f>
        <v>90.72</v>
      </c>
      <c r="L8" s="101">
        <f>2.55*4</f>
        <v>10.2</v>
      </c>
      <c r="M8" s="101"/>
      <c r="N8" s="166" t="s">
        <v>1490</v>
      </c>
      <c r="O8" s="167">
        <v>2</v>
      </c>
      <c r="P8" s="67">
        <f ca="1" t="shared" si="0"/>
        <v>2128.184896</v>
      </c>
      <c r="Q8" s="67">
        <f t="shared" si="1"/>
        <v>0</v>
      </c>
      <c r="R8" s="67">
        <f ca="1" t="shared" si="2"/>
        <v>0</v>
      </c>
    </row>
    <row r="9" ht="15" customHeight="1" spans="1:18">
      <c r="A9" s="20"/>
      <c r="B9" s="91" t="s">
        <v>1350</v>
      </c>
      <c r="C9" s="23"/>
      <c r="D9" s="23" t="s">
        <v>28</v>
      </c>
      <c r="E9" s="24">
        <f>D3*2</f>
        <v>6</v>
      </c>
      <c r="F9" s="61">
        <f ca="1">I9+J9+K9+L9+M9</f>
        <v>2018.286557632</v>
      </c>
      <c r="G9" s="95">
        <v>9.68</v>
      </c>
      <c r="H9" s="95">
        <v>8.233</v>
      </c>
      <c r="I9" s="61">
        <f ca="1">G9*H9*'18米（人字203料）参数'!G3*1.1</f>
        <v>1985.436557632</v>
      </c>
      <c r="J9" s="61">
        <f>2.5*6</f>
        <v>15</v>
      </c>
      <c r="K9" s="61">
        <v>11.85</v>
      </c>
      <c r="L9" s="61">
        <f>1*6</f>
        <v>6</v>
      </c>
      <c r="M9" s="61"/>
      <c r="N9" s="116" t="s">
        <v>1500</v>
      </c>
      <c r="O9" s="167">
        <v>4</v>
      </c>
      <c r="P9" s="67">
        <f ca="1" t="shared" si="0"/>
        <v>8073.146230528</v>
      </c>
      <c r="Q9" s="67">
        <f t="shared" si="1"/>
        <v>2</v>
      </c>
      <c r="R9" s="67">
        <f ca="1" t="shared" si="2"/>
        <v>4036.573115264</v>
      </c>
    </row>
    <row r="10" ht="15" customHeight="1" spans="1:18">
      <c r="A10" s="20"/>
      <c r="B10" s="91" t="s">
        <v>1226</v>
      </c>
      <c r="C10" s="23"/>
      <c r="D10" s="23" t="s">
        <v>28</v>
      </c>
      <c r="E10" s="24">
        <f>A3*6</f>
        <v>12</v>
      </c>
      <c r="F10" s="101">
        <f ca="1">I10+J10+K10+L10+M10</f>
        <v>195.0929650432</v>
      </c>
      <c r="G10" s="148">
        <v>4.882</v>
      </c>
      <c r="H10" s="148">
        <v>1.552</v>
      </c>
      <c r="I10" s="101">
        <f ca="1">G10*H10*'18米（人字203料）参数'!G5*1.1</f>
        <v>180.0929650432</v>
      </c>
      <c r="J10" s="101"/>
      <c r="K10" s="101"/>
      <c r="L10" s="101">
        <f>0.5*4</f>
        <v>2</v>
      </c>
      <c r="M10" s="101">
        <f>6.5*2</f>
        <v>13</v>
      </c>
      <c r="N10" s="120" t="s">
        <v>1352</v>
      </c>
      <c r="O10" s="167">
        <v>6</v>
      </c>
      <c r="P10" s="67">
        <f ca="1" t="shared" si="0"/>
        <v>1170.5577902592</v>
      </c>
      <c r="Q10" s="67">
        <f t="shared" si="1"/>
        <v>6</v>
      </c>
      <c r="R10" s="67">
        <f ca="1" t="shared" si="2"/>
        <v>1170.5577902592</v>
      </c>
    </row>
    <row r="11" ht="15" customHeight="1" spans="1:18">
      <c r="A11" s="20"/>
      <c r="B11" s="91" t="s">
        <v>1264</v>
      </c>
      <c r="C11" s="23"/>
      <c r="D11" s="23" t="s">
        <v>28</v>
      </c>
      <c r="E11" s="24">
        <f>A3*3</f>
        <v>6</v>
      </c>
      <c r="F11" s="101">
        <f ca="1">I11+J11+K11+L11+M11</f>
        <v>336.5448493136</v>
      </c>
      <c r="G11" s="148">
        <v>4.882</v>
      </c>
      <c r="H11" s="148">
        <v>2.771</v>
      </c>
      <c r="I11" s="101">
        <f ca="1">G11*H11*'18米（人字203料）参数'!G5*1.1</f>
        <v>321.5448493136</v>
      </c>
      <c r="J11" s="101"/>
      <c r="K11" s="101"/>
      <c r="L11" s="101">
        <f>0.5*4</f>
        <v>2</v>
      </c>
      <c r="M11" s="101">
        <f>6.5*2</f>
        <v>13</v>
      </c>
      <c r="N11" s="120" t="s">
        <v>1353</v>
      </c>
      <c r="O11" s="169">
        <v>3</v>
      </c>
      <c r="P11" s="67">
        <f ca="1" t="shared" si="0"/>
        <v>1009.6345479408</v>
      </c>
      <c r="Q11" s="67">
        <f t="shared" si="1"/>
        <v>3</v>
      </c>
      <c r="R11" s="67">
        <f ca="1" t="shared" si="2"/>
        <v>1009.6345479408</v>
      </c>
    </row>
    <row r="12" ht="15" customHeight="1" spans="1:18">
      <c r="A12" s="20"/>
      <c r="B12" s="91" t="s">
        <v>1266</v>
      </c>
      <c r="C12" s="23"/>
      <c r="D12" s="23" t="s">
        <v>28</v>
      </c>
      <c r="E12" s="24">
        <f>A3*2+F3*2</f>
        <v>8</v>
      </c>
      <c r="F12" s="101">
        <f ca="1">'数据修改（批量）'!A28</f>
        <v>95</v>
      </c>
      <c r="G12" s="148">
        <v>4.86</v>
      </c>
      <c r="H12" s="148">
        <v>1.345</v>
      </c>
      <c r="I12" s="101">
        <f ca="1">G12*H12*'18米（人字203料）参数'!G5*1.1</f>
        <v>155.36951496</v>
      </c>
      <c r="J12" s="101"/>
      <c r="K12" s="101"/>
      <c r="L12" s="101"/>
      <c r="M12" s="101"/>
      <c r="N12" s="120" t="s">
        <v>1354</v>
      </c>
      <c r="O12" s="169">
        <v>6</v>
      </c>
      <c r="P12" s="67">
        <f ca="1" t="shared" si="0"/>
        <v>570</v>
      </c>
      <c r="Q12" s="67">
        <f t="shared" si="1"/>
        <v>2</v>
      </c>
      <c r="R12" s="67">
        <f ca="1" t="shared" si="2"/>
        <v>190</v>
      </c>
    </row>
    <row r="13" ht="15" customHeight="1" spans="1:18">
      <c r="A13" s="20"/>
      <c r="B13" s="91" t="s">
        <v>1442</v>
      </c>
      <c r="C13" s="23"/>
      <c r="D13" s="23" t="s">
        <v>28</v>
      </c>
      <c r="E13" s="24">
        <f>F3*2</f>
        <v>4</v>
      </c>
      <c r="F13" s="101">
        <f ca="1">I13+J13+K13+L13+M13</f>
        <v>270.6815045136</v>
      </c>
      <c r="G13" s="192">
        <v>3.882</v>
      </c>
      <c r="H13" s="148">
        <v>2.771</v>
      </c>
      <c r="I13" s="202">
        <f ca="1">G13*H13*'18米（人字203料）参数'!G5*1.1</f>
        <v>255.6815045136</v>
      </c>
      <c r="J13" s="101"/>
      <c r="K13" s="101"/>
      <c r="L13" s="101">
        <f>0.5*4</f>
        <v>2</v>
      </c>
      <c r="M13" s="101">
        <f>6.5*2</f>
        <v>13</v>
      </c>
      <c r="N13" s="120" t="s">
        <v>1443</v>
      </c>
      <c r="O13" s="167">
        <v>4</v>
      </c>
      <c r="P13" s="67">
        <f ca="1" t="shared" si="0"/>
        <v>1082.7260180544</v>
      </c>
      <c r="Q13" s="67">
        <f t="shared" si="1"/>
        <v>0</v>
      </c>
      <c r="R13" s="67">
        <f ca="1" t="shared" si="2"/>
        <v>0</v>
      </c>
    </row>
    <row r="14" ht="15" customHeight="1" spans="1:18">
      <c r="A14" s="20"/>
      <c r="B14" s="91" t="s">
        <v>1444</v>
      </c>
      <c r="C14" s="23"/>
      <c r="D14" s="23" t="s">
        <v>28</v>
      </c>
      <c r="E14" s="24">
        <f>F3*2</f>
        <v>4</v>
      </c>
      <c r="F14" s="101">
        <v>73.72</v>
      </c>
      <c r="G14" s="192">
        <v>3.86</v>
      </c>
      <c r="H14" s="148">
        <v>1.345</v>
      </c>
      <c r="I14" s="101">
        <f ca="1">G14*H14*'18米（人字203料）参数'!G5*1.1</f>
        <v>123.40047896</v>
      </c>
      <c r="J14" s="101"/>
      <c r="K14" s="101"/>
      <c r="L14" s="101"/>
      <c r="M14" s="101"/>
      <c r="N14" s="120" t="s">
        <v>1484</v>
      </c>
      <c r="O14" s="167">
        <v>4</v>
      </c>
      <c r="P14" s="67">
        <f ca="1" t="shared" si="0"/>
        <v>294.88</v>
      </c>
      <c r="Q14" s="67">
        <f t="shared" si="1"/>
        <v>0</v>
      </c>
      <c r="R14" s="67">
        <f ca="1" t="shared" si="2"/>
        <v>0</v>
      </c>
    </row>
    <row r="15" ht="15" customHeight="1" spans="1:18">
      <c r="A15" s="20"/>
      <c r="B15" s="91" t="s">
        <v>1272</v>
      </c>
      <c r="C15" s="23"/>
      <c r="D15" s="23" t="s">
        <v>28</v>
      </c>
      <c r="E15" s="30">
        <v>5</v>
      </c>
      <c r="F15" s="101">
        <f>I15+J15+K15+L15+M15</f>
        <v>124.5</v>
      </c>
      <c r="G15" s="148"/>
      <c r="H15" s="148"/>
      <c r="I15" s="101">
        <v>110</v>
      </c>
      <c r="J15" s="101">
        <v>6.5</v>
      </c>
      <c r="K15" s="101">
        <v>4</v>
      </c>
      <c r="L15" s="101">
        <v>3</v>
      </c>
      <c r="M15" s="101">
        <v>1</v>
      </c>
      <c r="N15" s="120" t="s">
        <v>1428</v>
      </c>
      <c r="O15" s="167">
        <v>4</v>
      </c>
      <c r="P15" s="67">
        <f ca="1" t="shared" si="0"/>
        <v>498</v>
      </c>
      <c r="Q15" s="67">
        <f t="shared" si="1"/>
        <v>1</v>
      </c>
      <c r="R15" s="67">
        <f ca="1" t="shared" si="2"/>
        <v>124.5</v>
      </c>
    </row>
    <row r="16" ht="15" customHeight="1" spans="1:18">
      <c r="A16" s="20"/>
      <c r="B16" s="91" t="s">
        <v>1356</v>
      </c>
      <c r="C16" s="23"/>
      <c r="D16" s="23" t="s">
        <v>28</v>
      </c>
      <c r="E16" s="24">
        <f>F3</f>
        <v>2</v>
      </c>
      <c r="F16" s="101">
        <f ca="1">I16+J16+K16+L16+M16</f>
        <v>90.133</v>
      </c>
      <c r="G16" s="148">
        <v>3.75</v>
      </c>
      <c r="H16" s="148">
        <v>1</v>
      </c>
      <c r="I16" s="101">
        <f ca="1">G16*H16*'18米（人字203料）参数'!G5*1.1</f>
        <v>89.133</v>
      </c>
      <c r="J16" s="101"/>
      <c r="K16" s="101"/>
      <c r="L16" s="101">
        <f>0.5*2</f>
        <v>1</v>
      </c>
      <c r="M16" s="101"/>
      <c r="N16" s="170" t="s">
        <v>1357</v>
      </c>
      <c r="O16" s="167">
        <v>2</v>
      </c>
      <c r="P16" s="67">
        <f ca="1" t="shared" si="0"/>
        <v>180.266</v>
      </c>
      <c r="Q16" s="67">
        <f t="shared" si="1"/>
        <v>0</v>
      </c>
      <c r="R16" s="67">
        <f ca="1" t="shared" si="2"/>
        <v>0</v>
      </c>
    </row>
    <row r="17" ht="15" customHeight="1" spans="1:18">
      <c r="A17" s="20"/>
      <c r="B17" s="91" t="s">
        <v>1276</v>
      </c>
      <c r="C17" s="23"/>
      <c r="D17" s="23" t="s">
        <v>28</v>
      </c>
      <c r="E17" s="28">
        <f>F3*2</f>
        <v>4</v>
      </c>
      <c r="F17" s="101">
        <f ca="1">I17+J17+K17+L17+M17</f>
        <v>348.2448493136</v>
      </c>
      <c r="G17" s="95">
        <v>4.882</v>
      </c>
      <c r="H17" s="95">
        <v>2.771</v>
      </c>
      <c r="I17" s="61">
        <f ca="1">G17*H17*'18米（人字203料）参数'!G5*1.1</f>
        <v>321.5448493136</v>
      </c>
      <c r="J17" s="61"/>
      <c r="K17" s="61">
        <v>15</v>
      </c>
      <c r="L17" s="61">
        <f>8*0.65</f>
        <v>5.2</v>
      </c>
      <c r="M17" s="61">
        <v>6.5</v>
      </c>
      <c r="N17" s="120" t="s">
        <v>1358</v>
      </c>
      <c r="O17" s="167">
        <v>4</v>
      </c>
      <c r="P17" s="67">
        <f ca="1" t="shared" si="0"/>
        <v>1392.9793972544</v>
      </c>
      <c r="Q17" s="67">
        <f t="shared" si="1"/>
        <v>0</v>
      </c>
      <c r="R17" s="67">
        <f ca="1" t="shared" si="2"/>
        <v>0</v>
      </c>
    </row>
    <row r="18" ht="15" customHeight="1" spans="1:18">
      <c r="A18" s="31"/>
      <c r="B18" s="193" t="s">
        <v>1485</v>
      </c>
      <c r="C18" s="43"/>
      <c r="D18" s="23" t="s">
        <v>28</v>
      </c>
      <c r="E18" s="44">
        <f>E30</f>
        <v>4</v>
      </c>
      <c r="F18" s="101">
        <f>I18+J18+K18+L18+M18</f>
        <v>17</v>
      </c>
      <c r="G18" s="194"/>
      <c r="H18" s="194"/>
      <c r="I18" s="203">
        <v>17</v>
      </c>
      <c r="J18" s="203"/>
      <c r="K18" s="203"/>
      <c r="L18" s="203"/>
      <c r="M18" s="203"/>
      <c r="N18" s="171"/>
      <c r="O18" s="167">
        <v>4</v>
      </c>
      <c r="P18" s="67">
        <f ca="1" t="shared" si="0"/>
        <v>68</v>
      </c>
      <c r="Q18" s="67">
        <f t="shared" si="1"/>
        <v>0</v>
      </c>
      <c r="R18" s="67">
        <f ca="1" t="shared" si="2"/>
        <v>0</v>
      </c>
    </row>
    <row r="19" ht="15" customHeight="1" spans="1:18">
      <c r="A19" s="31"/>
      <c r="B19" s="149" t="s">
        <v>1274</v>
      </c>
      <c r="C19" s="43"/>
      <c r="D19" s="43" t="s">
        <v>28</v>
      </c>
      <c r="E19" s="150">
        <f>A3*2+F3*3</f>
        <v>10</v>
      </c>
      <c r="F19" s="101">
        <f>(I19+J19+K19+L19+M19)</f>
        <v>20.4</v>
      </c>
      <c r="G19" s="151"/>
      <c r="H19" s="151"/>
      <c r="I19" s="39">
        <f>17*1.2</f>
        <v>20.4</v>
      </c>
      <c r="J19" s="39"/>
      <c r="K19" s="39"/>
      <c r="L19" s="39"/>
      <c r="M19" s="39"/>
      <c r="N19" s="171" t="s">
        <v>1359</v>
      </c>
      <c r="O19" s="167">
        <v>8</v>
      </c>
      <c r="P19" s="67">
        <f ca="1" t="shared" si="0"/>
        <v>163.2</v>
      </c>
      <c r="Q19" s="67">
        <f t="shared" si="1"/>
        <v>2</v>
      </c>
      <c r="R19" s="67">
        <f ca="1" t="shared" si="2"/>
        <v>40.8</v>
      </c>
    </row>
    <row r="20" ht="15" customHeight="1" spans="1:18">
      <c r="A20" s="20" t="s">
        <v>1278</v>
      </c>
      <c r="B20" s="91" t="s">
        <v>1304</v>
      </c>
      <c r="C20" s="23"/>
      <c r="D20" s="23" t="s">
        <v>434</v>
      </c>
      <c r="E20" s="24">
        <f>D3</f>
        <v>3</v>
      </c>
      <c r="F20" s="101">
        <v>180.62</v>
      </c>
      <c r="G20" s="151"/>
      <c r="H20" s="151"/>
      <c r="I20" s="39"/>
      <c r="J20" s="39"/>
      <c r="K20" s="39"/>
      <c r="L20" s="39"/>
      <c r="M20" s="39"/>
      <c r="N20" s="171" t="s">
        <v>1360</v>
      </c>
      <c r="O20" s="172">
        <v>2</v>
      </c>
      <c r="P20" s="67">
        <f ca="1" t="shared" si="0"/>
        <v>361.24</v>
      </c>
      <c r="Q20" s="67">
        <f t="shared" si="1"/>
        <v>1</v>
      </c>
      <c r="R20" s="67">
        <f ca="1" t="shared" si="2"/>
        <v>180.62</v>
      </c>
    </row>
    <row r="21" ht="15" customHeight="1" spans="1:18">
      <c r="A21" s="20"/>
      <c r="B21" s="91" t="s">
        <v>1310</v>
      </c>
      <c r="C21" s="23"/>
      <c r="D21" s="23" t="s">
        <v>434</v>
      </c>
      <c r="E21" s="24">
        <f>E7+E8</f>
        <v>6</v>
      </c>
      <c r="F21" s="101">
        <v>76.4</v>
      </c>
      <c r="G21" s="148"/>
      <c r="H21" s="148"/>
      <c r="I21" s="101"/>
      <c r="J21" s="101"/>
      <c r="K21" s="101"/>
      <c r="L21" s="101"/>
      <c r="M21" s="101"/>
      <c r="N21" s="120" t="s">
        <v>1361</v>
      </c>
      <c r="O21" s="167">
        <v>6</v>
      </c>
      <c r="P21" s="67">
        <f ca="1" t="shared" si="0"/>
        <v>458.4</v>
      </c>
      <c r="Q21" s="67">
        <f t="shared" si="1"/>
        <v>0</v>
      </c>
      <c r="R21" s="67">
        <f ca="1" t="shared" si="2"/>
        <v>0</v>
      </c>
    </row>
    <row r="22" ht="15" customHeight="1" spans="1:18">
      <c r="A22" s="20"/>
      <c r="B22" s="91" t="s">
        <v>1280</v>
      </c>
      <c r="C22" s="23"/>
      <c r="D22" s="23" t="s">
        <v>434</v>
      </c>
      <c r="E22" s="28">
        <f>E6</f>
        <v>6</v>
      </c>
      <c r="F22" s="61">
        <v>85.93</v>
      </c>
      <c r="G22" s="95"/>
      <c r="H22" s="95"/>
      <c r="I22" s="61"/>
      <c r="J22" s="61"/>
      <c r="K22" s="61"/>
      <c r="L22" s="61"/>
      <c r="M22" s="61"/>
      <c r="N22" s="173" t="s">
        <v>1361</v>
      </c>
      <c r="O22" s="167">
        <v>4</v>
      </c>
      <c r="P22" s="67">
        <f ca="1" t="shared" si="0"/>
        <v>343.72</v>
      </c>
      <c r="Q22" s="67">
        <f t="shared" si="1"/>
        <v>2</v>
      </c>
      <c r="R22" s="67">
        <f ca="1" t="shared" si="2"/>
        <v>171.86</v>
      </c>
    </row>
    <row r="23" ht="15" customHeight="1" spans="1:18">
      <c r="A23" s="20"/>
      <c r="B23" s="91" t="s">
        <v>1339</v>
      </c>
      <c r="C23" s="23"/>
      <c r="D23" s="23" t="s">
        <v>28</v>
      </c>
      <c r="E23" s="32">
        <f>E15</f>
        <v>5</v>
      </c>
      <c r="F23" s="101">
        <v>91.3</v>
      </c>
      <c r="G23" s="148"/>
      <c r="H23" s="148"/>
      <c r="I23" s="101"/>
      <c r="J23" s="101"/>
      <c r="K23" s="101"/>
      <c r="L23" s="101"/>
      <c r="M23" s="101"/>
      <c r="N23" s="120" t="s">
        <v>1362</v>
      </c>
      <c r="O23" s="167">
        <v>4</v>
      </c>
      <c r="P23" s="67">
        <f ca="1" t="shared" si="0"/>
        <v>365.2</v>
      </c>
      <c r="Q23" s="67">
        <f t="shared" si="1"/>
        <v>1</v>
      </c>
      <c r="R23" s="67">
        <f ca="1" t="shared" si="2"/>
        <v>91.3</v>
      </c>
    </row>
    <row r="24" ht="15" customHeight="1" spans="1:18">
      <c r="A24" s="20"/>
      <c r="B24" s="91" t="s">
        <v>1282</v>
      </c>
      <c r="C24" s="23"/>
      <c r="D24" s="23" t="s">
        <v>434</v>
      </c>
      <c r="E24" s="209">
        <f>D3*2+F3*3</f>
        <v>12</v>
      </c>
      <c r="F24" s="101">
        <v>4.45</v>
      </c>
      <c r="G24" s="148"/>
      <c r="H24" s="148"/>
      <c r="I24" s="101"/>
      <c r="J24" s="101"/>
      <c r="K24" s="101"/>
      <c r="L24" s="101"/>
      <c r="M24" s="101"/>
      <c r="N24" s="120" t="s">
        <v>1363</v>
      </c>
      <c r="O24" s="169">
        <v>10</v>
      </c>
      <c r="P24" s="67">
        <f ca="1" t="shared" si="0"/>
        <v>44.5</v>
      </c>
      <c r="Q24" s="67">
        <f t="shared" si="1"/>
        <v>2</v>
      </c>
      <c r="R24" s="67">
        <f ca="1" t="shared" si="2"/>
        <v>8.9</v>
      </c>
    </row>
    <row r="25" ht="15" customHeight="1" spans="1:18">
      <c r="A25" s="20"/>
      <c r="B25" s="91" t="s">
        <v>1284</v>
      </c>
      <c r="C25" s="23"/>
      <c r="D25" s="23" t="s">
        <v>434</v>
      </c>
      <c r="E25" s="24">
        <f>D3*2</f>
        <v>6</v>
      </c>
      <c r="F25" s="101">
        <v>6.51</v>
      </c>
      <c r="G25" s="148"/>
      <c r="H25" s="148"/>
      <c r="I25" s="101"/>
      <c r="J25" s="101"/>
      <c r="K25" s="101"/>
      <c r="L25" s="101"/>
      <c r="M25" s="101"/>
      <c r="N25" s="120" t="s">
        <v>1364</v>
      </c>
      <c r="O25" s="167">
        <v>4</v>
      </c>
      <c r="P25" s="67">
        <f ca="1" t="shared" si="0"/>
        <v>26.04</v>
      </c>
      <c r="Q25" s="67">
        <f t="shared" si="1"/>
        <v>2</v>
      </c>
      <c r="R25" s="67">
        <f ca="1" t="shared" si="2"/>
        <v>13.02</v>
      </c>
    </row>
    <row r="26" ht="15" customHeight="1" spans="1:18">
      <c r="A26" s="20"/>
      <c r="B26" s="91" t="s">
        <v>519</v>
      </c>
      <c r="C26" s="23"/>
      <c r="D26" s="23" t="s">
        <v>434</v>
      </c>
      <c r="E26" s="24">
        <f>F3*2</f>
        <v>4</v>
      </c>
      <c r="F26" s="101">
        <v>13</v>
      </c>
      <c r="G26" s="151"/>
      <c r="H26" s="151"/>
      <c r="I26" s="39"/>
      <c r="J26" s="39"/>
      <c r="K26" s="39"/>
      <c r="L26" s="39"/>
      <c r="M26" s="39"/>
      <c r="N26" s="120" t="s">
        <v>1365</v>
      </c>
      <c r="O26" s="167">
        <v>4</v>
      </c>
      <c r="P26" s="67">
        <f ca="1" t="shared" si="0"/>
        <v>52</v>
      </c>
      <c r="Q26" s="67">
        <f t="shared" si="1"/>
        <v>0</v>
      </c>
      <c r="R26" s="67">
        <f ca="1" t="shared" si="2"/>
        <v>0</v>
      </c>
    </row>
    <row r="27" ht="15" customHeight="1" spans="1:18">
      <c r="A27" s="31"/>
      <c r="B27" s="152" t="s">
        <v>551</v>
      </c>
      <c r="C27" s="43"/>
      <c r="D27" s="43" t="s">
        <v>434</v>
      </c>
      <c r="E27" s="150">
        <f>F3*2</f>
        <v>4</v>
      </c>
      <c r="F27" s="41">
        <v>15.5</v>
      </c>
      <c r="G27" s="99"/>
      <c r="H27" s="99"/>
      <c r="I27" s="41"/>
      <c r="J27" s="41"/>
      <c r="K27" s="41"/>
      <c r="L27" s="41"/>
      <c r="M27" s="41"/>
      <c r="N27" s="173" t="s">
        <v>1361</v>
      </c>
      <c r="O27" s="174">
        <v>4</v>
      </c>
      <c r="P27" s="67">
        <f ca="1" t="shared" si="0"/>
        <v>62</v>
      </c>
      <c r="Q27" s="67">
        <f t="shared" si="1"/>
        <v>0</v>
      </c>
      <c r="R27" s="67">
        <f ca="1" t="shared" si="2"/>
        <v>0</v>
      </c>
    </row>
    <row r="28" ht="15" customHeight="1" spans="1:18">
      <c r="A28" s="153" t="s">
        <v>1216</v>
      </c>
      <c r="B28" s="91" t="s">
        <v>1366</v>
      </c>
      <c r="C28" s="23"/>
      <c r="D28" s="23" t="s">
        <v>612</v>
      </c>
      <c r="E28" s="24">
        <f>A3</f>
        <v>2</v>
      </c>
      <c r="F28" s="122">
        <f ca="1">(I28+J28)*1.1+30</f>
        <v>2344.686</v>
      </c>
      <c r="G28" s="99">
        <v>20.4</v>
      </c>
      <c r="H28" s="99">
        <v>5</v>
      </c>
      <c r="I28" s="41">
        <f ca="1">G28*H28*'18米（人字203料）参数'!E15*1.1</f>
        <v>1941.06</v>
      </c>
      <c r="J28" s="41">
        <f>20.4*2*4</f>
        <v>163.2</v>
      </c>
      <c r="K28" s="41">
        <v>30</v>
      </c>
      <c r="L28" s="41"/>
      <c r="M28" s="41"/>
      <c r="N28" s="167" t="s">
        <v>1410</v>
      </c>
      <c r="O28" s="175">
        <v>1</v>
      </c>
      <c r="P28" s="67">
        <f ca="1" t="shared" si="0"/>
        <v>2344.686</v>
      </c>
      <c r="Q28" s="67">
        <f t="shared" si="1"/>
        <v>1</v>
      </c>
      <c r="R28" s="67">
        <f ca="1" t="shared" si="2"/>
        <v>2344.686</v>
      </c>
    </row>
    <row r="29" ht="15" customHeight="1" spans="1:18">
      <c r="A29" s="153"/>
      <c r="B29" s="91" t="s">
        <v>1368</v>
      </c>
      <c r="C29" s="23"/>
      <c r="D29" s="23" t="s">
        <v>664</v>
      </c>
      <c r="E29" s="24">
        <f>F3</f>
        <v>2</v>
      </c>
      <c r="F29" s="122">
        <f ca="1">(I29+J29)*1.1+15</f>
        <v>709.70698</v>
      </c>
      <c r="G29" s="148">
        <v>9.35</v>
      </c>
      <c r="H29" s="154">
        <v>3.6</v>
      </c>
      <c r="I29" s="101">
        <f ca="1">G29*H29*'18米（人字203料）参数'!E14*1.1</f>
        <v>529.4718</v>
      </c>
      <c r="J29" s="101">
        <f>12.76*2*4</f>
        <v>102.08</v>
      </c>
      <c r="K29" s="101">
        <v>15</v>
      </c>
      <c r="L29" s="101"/>
      <c r="M29" s="101"/>
      <c r="N29" s="51" t="s">
        <v>1411</v>
      </c>
      <c r="O29" s="167">
        <v>2</v>
      </c>
      <c r="P29" s="67">
        <f ca="1" t="shared" si="0"/>
        <v>1419.41396</v>
      </c>
      <c r="Q29" s="67">
        <f t="shared" si="1"/>
        <v>0</v>
      </c>
      <c r="R29" s="67">
        <f ca="1" t="shared" si="2"/>
        <v>0</v>
      </c>
    </row>
    <row r="30" ht="15" customHeight="1" spans="1:18">
      <c r="A30" s="155"/>
      <c r="B30" s="91" t="s">
        <v>1462</v>
      </c>
      <c r="C30" s="23"/>
      <c r="D30" s="23" t="s">
        <v>664</v>
      </c>
      <c r="E30" s="24">
        <f>F3*2</f>
        <v>4</v>
      </c>
      <c r="F30" s="122">
        <f ca="1">(I30+J30)*1.1+15</f>
        <v>366.2641308</v>
      </c>
      <c r="G30" s="156">
        <v>4.97</v>
      </c>
      <c r="H30" s="157">
        <v>3.88</v>
      </c>
      <c r="I30" s="101">
        <f ca="1">G30*H30*'18米（人字203料）参数'!E14*1.1</f>
        <v>303.331028</v>
      </c>
      <c r="J30" s="71">
        <f>4*2*2</f>
        <v>16</v>
      </c>
      <c r="K30" s="71">
        <f>0.5*10</f>
        <v>5</v>
      </c>
      <c r="L30" s="71">
        <f>0.32*18</f>
        <v>5.76</v>
      </c>
      <c r="M30" s="71">
        <f>18*1</f>
        <v>18</v>
      </c>
      <c r="N30" s="120" t="s">
        <v>1492</v>
      </c>
      <c r="O30" s="167">
        <v>4</v>
      </c>
      <c r="P30" s="67">
        <f ca="1" t="shared" si="0"/>
        <v>1465.0565232</v>
      </c>
      <c r="Q30" s="67">
        <f t="shared" si="1"/>
        <v>0</v>
      </c>
      <c r="R30" s="67">
        <f ca="1" t="shared" si="2"/>
        <v>0</v>
      </c>
    </row>
    <row r="31" ht="15" customHeight="1" spans="1:18">
      <c r="A31" s="155"/>
      <c r="B31" s="91" t="s">
        <v>1370</v>
      </c>
      <c r="C31" s="23"/>
      <c r="D31" s="23" t="s">
        <v>664</v>
      </c>
      <c r="E31" s="209">
        <f>A3*2+F3*2</f>
        <v>8</v>
      </c>
      <c r="F31" s="101">
        <f ca="1">I31+J31+K30+L31+M31</f>
        <v>466.28612</v>
      </c>
      <c r="G31" s="156">
        <v>5.2</v>
      </c>
      <c r="H31" s="157">
        <v>4.97</v>
      </c>
      <c r="I31" s="101">
        <f ca="1">G31*H31*'18米（人字203料）参数'!E14*1.1+15</f>
        <v>421.52612</v>
      </c>
      <c r="J31" s="71">
        <f>4*2*2</f>
        <v>16</v>
      </c>
      <c r="K31" s="71">
        <f>0.5*10</f>
        <v>5</v>
      </c>
      <c r="L31" s="71">
        <f>0.32*18</f>
        <v>5.76</v>
      </c>
      <c r="M31" s="71">
        <f>18*1</f>
        <v>18</v>
      </c>
      <c r="N31" s="120" t="s">
        <v>1394</v>
      </c>
      <c r="O31" s="169">
        <v>6</v>
      </c>
      <c r="P31" s="67">
        <f ca="1" t="shared" si="0"/>
        <v>2797.71672</v>
      </c>
      <c r="Q31" s="67">
        <f t="shared" si="1"/>
        <v>2</v>
      </c>
      <c r="R31" s="67">
        <f ca="1" t="shared" si="2"/>
        <v>932.57224</v>
      </c>
    </row>
    <row r="32" ht="15" customHeight="1" spans="1:18">
      <c r="A32" s="20" t="s">
        <v>1235</v>
      </c>
      <c r="B32" s="158" t="s">
        <v>589</v>
      </c>
      <c r="C32" s="23"/>
      <c r="D32" s="23" t="s">
        <v>434</v>
      </c>
      <c r="E32" s="24">
        <f>D3*10+F3*2+E23*2</f>
        <v>44</v>
      </c>
      <c r="F32" s="101">
        <v>2.15</v>
      </c>
      <c r="G32" s="154"/>
      <c r="H32" s="154"/>
      <c r="I32" s="101"/>
      <c r="J32" s="101"/>
      <c r="K32" s="101"/>
      <c r="L32" s="101"/>
      <c r="M32" s="101"/>
      <c r="N32" s="120" t="s">
        <v>1372</v>
      </c>
      <c r="O32" s="167">
        <v>34</v>
      </c>
      <c r="P32" s="67">
        <f ca="1" t="shared" si="0"/>
        <v>73.1</v>
      </c>
      <c r="Q32" s="67">
        <f t="shared" si="1"/>
        <v>10</v>
      </c>
      <c r="R32" s="67">
        <f ca="1" t="shared" si="2"/>
        <v>21.5</v>
      </c>
    </row>
    <row r="33" ht="15" customHeight="1" spans="1:18">
      <c r="A33" s="20"/>
      <c r="B33" s="109" t="s">
        <v>591</v>
      </c>
      <c r="C33" s="23"/>
      <c r="D33" s="23" t="s">
        <v>434</v>
      </c>
      <c r="E33" s="24">
        <f>D3*2+E23+E15</f>
        <v>16</v>
      </c>
      <c r="F33" s="101">
        <v>2.55</v>
      </c>
      <c r="G33" s="154"/>
      <c r="H33" s="154"/>
      <c r="I33" s="101"/>
      <c r="J33" s="101"/>
      <c r="K33" s="101"/>
      <c r="L33" s="101"/>
      <c r="M33" s="101"/>
      <c r="N33" s="120" t="s">
        <v>1373</v>
      </c>
      <c r="O33" s="172">
        <v>14</v>
      </c>
      <c r="P33" s="67">
        <f ca="1" t="shared" si="0"/>
        <v>35.7</v>
      </c>
      <c r="Q33" s="67">
        <f t="shared" si="1"/>
        <v>2</v>
      </c>
      <c r="R33" s="67">
        <f ca="1" t="shared" si="2"/>
        <v>5.1</v>
      </c>
    </row>
    <row r="34" ht="15" customHeight="1" spans="1:18">
      <c r="A34" s="20"/>
      <c r="B34" s="159" t="s">
        <v>1423</v>
      </c>
      <c r="C34" s="43"/>
      <c r="D34" s="43" t="s">
        <v>434</v>
      </c>
      <c r="E34" s="44">
        <f>D3*2+4</f>
        <v>10</v>
      </c>
      <c r="F34" s="39">
        <v>1.95</v>
      </c>
      <c r="G34" s="160"/>
      <c r="H34" s="160"/>
      <c r="I34" s="39"/>
      <c r="J34" s="39"/>
      <c r="K34" s="39"/>
      <c r="L34" s="39"/>
      <c r="M34" s="39"/>
      <c r="N34" s="120" t="s">
        <v>1375</v>
      </c>
      <c r="O34" s="167">
        <v>8</v>
      </c>
      <c r="P34" s="67">
        <f ca="1" t="shared" si="0"/>
        <v>15.6</v>
      </c>
      <c r="Q34" s="67">
        <f t="shared" si="1"/>
        <v>2</v>
      </c>
      <c r="R34" s="67">
        <f ca="1" t="shared" si="2"/>
        <v>3.9</v>
      </c>
    </row>
    <row r="35" ht="15" customHeight="1" spans="1:18">
      <c r="A35" s="20"/>
      <c r="B35" s="109" t="s">
        <v>554</v>
      </c>
      <c r="C35" s="23"/>
      <c r="D35" s="23" t="s">
        <v>555</v>
      </c>
      <c r="E35" s="28">
        <f>E21+E22+E15</f>
        <v>17</v>
      </c>
      <c r="F35" s="101">
        <v>1.46</v>
      </c>
      <c r="G35" s="154"/>
      <c r="H35" s="154"/>
      <c r="I35" s="101"/>
      <c r="J35" s="101"/>
      <c r="K35" s="101"/>
      <c r="L35" s="101"/>
      <c r="M35" s="101"/>
      <c r="N35" s="120" t="s">
        <v>1376</v>
      </c>
      <c r="O35" s="167">
        <v>15</v>
      </c>
      <c r="P35" s="67">
        <f ca="1" t="shared" si="0"/>
        <v>21.9</v>
      </c>
      <c r="Q35" s="67">
        <f t="shared" si="1"/>
        <v>2</v>
      </c>
      <c r="R35" s="67">
        <f ca="1" t="shared" si="2"/>
        <v>2.92</v>
      </c>
    </row>
    <row r="36" spans="1:18">
      <c r="A36" s="50"/>
      <c r="B36" s="50"/>
      <c r="C36" s="51"/>
      <c r="D36" s="51"/>
      <c r="E36" s="51"/>
      <c r="F36" s="50"/>
      <c r="G36" s="50"/>
      <c r="H36" s="50"/>
      <c r="I36" s="50"/>
      <c r="J36" s="50"/>
      <c r="K36" s="50"/>
      <c r="L36" s="50"/>
      <c r="M36" s="50"/>
      <c r="N36" s="50"/>
      <c r="O36" s="84" t="s">
        <v>1218</v>
      </c>
      <c r="P36" s="3">
        <f ca="1">SUM(P6:P35)</f>
        <v>34552.8379928048</v>
      </c>
      <c r="Q36" s="3" t="s">
        <v>1219</v>
      </c>
      <c r="R36" s="3">
        <f ca="1">SUM(R6:R35)</f>
        <v>12557.044568248</v>
      </c>
    </row>
    <row r="37" spans="1:18">
      <c r="A37" s="50"/>
      <c r="B37" s="50" t="s">
        <v>1221</v>
      </c>
      <c r="C37" s="51"/>
      <c r="D37" s="51"/>
      <c r="E37" s="51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3"/>
      <c r="Q37" s="3"/>
      <c r="R37" s="3"/>
    </row>
    <row r="38" spans="1:18">
      <c r="A38" s="50"/>
      <c r="B38" s="50"/>
      <c r="C38" s="51"/>
      <c r="D38" s="51"/>
      <c r="E38" s="51"/>
      <c r="F38" s="50"/>
      <c r="G38" s="50"/>
      <c r="H38" s="50"/>
      <c r="I38" s="50"/>
      <c r="J38" s="50"/>
      <c r="K38" s="50"/>
      <c r="L38" s="50"/>
      <c r="M38" s="50"/>
      <c r="N38" s="50"/>
      <c r="O38" s="50" t="s">
        <v>1377</v>
      </c>
      <c r="P38" s="3">
        <f ca="1">P36+R36</f>
        <v>47109.8825610528</v>
      </c>
      <c r="Q38" s="3"/>
      <c r="R38" s="3"/>
    </row>
    <row r="39" spans="1:18">
      <c r="A39" s="50"/>
      <c r="B39" s="52"/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0"/>
      <c r="O39" s="50" t="s">
        <v>14</v>
      </c>
      <c r="P39" s="3">
        <f ca="1">P38/E2</f>
        <v>261.721569783627</v>
      </c>
      <c r="Q39" s="3"/>
      <c r="R39" s="3"/>
    </row>
  </sheetData>
  <mergeCells count="12">
    <mergeCell ref="A1:N1"/>
    <mergeCell ref="A2:C2"/>
    <mergeCell ref="F2:N2"/>
    <mergeCell ref="A3:B3"/>
    <mergeCell ref="H3:M3"/>
    <mergeCell ref="A4:F4"/>
    <mergeCell ref="G4:H4"/>
    <mergeCell ref="I4:M4"/>
    <mergeCell ref="A6:A19"/>
    <mergeCell ref="A20:A27"/>
    <mergeCell ref="A28:A31"/>
    <mergeCell ref="A32:A35"/>
  </mergeCells>
  <dataValidations count="4">
    <dataValidation type="list" allowBlank="1" showInputMessage="1" showErrorMessage="1" sqref="B28">
      <formula1>"顶布[白]{全新},顶布[白]{A类},顶布[白]{B类},顶布[白]{C类},顶布[白]{D类}"</formula1>
    </dataValidation>
    <dataValidation type="list" allowBlank="1" showInputMessage="1" showErrorMessage="1" sqref="B29">
      <formula1>"山尖布[白]{全新},山尖布[白]{A类},山尖布[白]{B类},山尖布[白]{C类},山尖布[白]{D类}"</formula1>
    </dataValidation>
    <dataValidation allowBlank="1" showInputMessage="1" showErrorMessage="1" sqref="B30"/>
    <dataValidation type="list" allowBlank="1" showInputMessage="1" showErrorMessage="1" sqref="B31">
      <formula1>"围布[白]{全新},围布[白]{A类},围布[白]{B类},围布[白]{C类},围布[白]{D类},透光窗围布[白]{全新},透光窗围布[白]{A类},透光窗围布[白]{B类},透光窗围布[白]{C类},透光窗围布[白]{D类}"</formula1>
    </dataValidation>
  </dataValidations>
  <pageMargins left="0.75" right="0.75" top="1" bottom="1" header="0.509027777777778" footer="0.509027777777778"/>
  <headerFooter/>
</worksheet>
</file>

<file path=xl/worksheets/sheet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FF0000"/>
  </sheetPr>
  <dimension ref="A1:R39"/>
  <sheetViews>
    <sheetView showGridLines="0" topLeftCell="A4" workbookViewId="0">
      <selection activeCell="F12" sqref="F12"/>
    </sheetView>
  </sheetViews>
  <sheetFormatPr defaultColWidth="9" defaultRowHeight="14.25"/>
  <cols>
    <col min="1" max="1" width="2.625" style="1" customWidth="1"/>
    <col min="2" max="2" width="15.875" style="1" customWidth="1"/>
    <col min="3" max="5" width="9" style="1"/>
    <col min="6" max="13" width="9" style="1" customWidth="1"/>
    <col min="14" max="14" width="52.5" style="1" customWidth="1"/>
    <col min="15" max="15" width="9" style="1"/>
    <col min="16" max="16" width="13.875" style="1" customWidth="1"/>
    <col min="17" max="17" width="9" style="1"/>
    <col min="18" max="18" width="15" style="1" customWidth="1"/>
    <col min="19" max="16384" width="9" style="1"/>
  </cols>
  <sheetData>
    <row r="1" ht="18.75" spans="1:18">
      <c r="A1" s="72" t="s">
        <v>1503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161"/>
      <c r="P1" s="3"/>
      <c r="Q1" s="3"/>
      <c r="R1" s="3"/>
    </row>
    <row r="2" spans="1:18">
      <c r="A2" s="141" t="s">
        <v>1246</v>
      </c>
      <c r="B2" s="142"/>
      <c r="C2" s="142"/>
      <c r="D2" s="9" t="s">
        <v>1198</v>
      </c>
      <c r="E2" s="10">
        <f>A3*5*18</f>
        <v>180</v>
      </c>
      <c r="F2" s="11"/>
      <c r="G2" s="11"/>
      <c r="H2" s="11"/>
      <c r="I2" s="11"/>
      <c r="J2" s="11"/>
      <c r="K2" s="11"/>
      <c r="L2" s="11"/>
      <c r="M2" s="11"/>
      <c r="N2" s="11"/>
      <c r="O2" s="162"/>
      <c r="P2" s="3"/>
      <c r="Q2" s="55"/>
      <c r="R2" s="55"/>
    </row>
    <row r="3" spans="1:18">
      <c r="A3" s="12">
        <v>2</v>
      </c>
      <c r="B3" s="12"/>
      <c r="C3" s="9" t="s">
        <v>1247</v>
      </c>
      <c r="D3" s="13">
        <v>3</v>
      </c>
      <c r="E3" s="11" t="s">
        <v>1248</v>
      </c>
      <c r="F3" s="12">
        <v>2</v>
      </c>
      <c r="G3" s="11" t="s">
        <v>1249</v>
      </c>
      <c r="H3" s="12"/>
      <c r="I3" s="12"/>
      <c r="J3" s="12"/>
      <c r="K3" s="12"/>
      <c r="L3" s="12"/>
      <c r="M3" s="12"/>
      <c r="N3" s="12"/>
      <c r="O3" s="162"/>
      <c r="P3" s="3"/>
      <c r="Q3" s="55"/>
      <c r="R3" s="55"/>
    </row>
    <row r="4" spans="1:18">
      <c r="A4" s="12"/>
      <c r="B4" s="12"/>
      <c r="C4" s="12"/>
      <c r="D4" s="12"/>
      <c r="E4" s="12"/>
      <c r="F4" s="12"/>
      <c r="G4" s="11" t="s">
        <v>1345</v>
      </c>
      <c r="H4" s="11"/>
      <c r="I4" s="9" t="s">
        <v>1346</v>
      </c>
      <c r="J4" s="9"/>
      <c r="K4" s="9"/>
      <c r="L4" s="9"/>
      <c r="M4" s="9"/>
      <c r="N4" s="12"/>
      <c r="O4" s="162"/>
      <c r="P4" s="3"/>
      <c r="Q4" s="55"/>
      <c r="R4" s="55"/>
    </row>
    <row r="5" ht="24" spans="1:18">
      <c r="A5" s="146" t="s">
        <v>1200</v>
      </c>
      <c r="B5" s="146" t="s">
        <v>1201</v>
      </c>
      <c r="C5" s="146" t="s">
        <v>1250</v>
      </c>
      <c r="D5" s="146" t="s">
        <v>22</v>
      </c>
      <c r="E5" s="147" t="s">
        <v>1251</v>
      </c>
      <c r="F5" s="75" t="s">
        <v>1204</v>
      </c>
      <c r="G5" s="19" t="s">
        <v>1205</v>
      </c>
      <c r="H5" s="17" t="s">
        <v>1253</v>
      </c>
      <c r="I5" s="17" t="s">
        <v>1254</v>
      </c>
      <c r="J5" s="17" t="s">
        <v>1255</v>
      </c>
      <c r="K5" s="17" t="s">
        <v>1209</v>
      </c>
      <c r="L5" s="17" t="s">
        <v>1420</v>
      </c>
      <c r="M5" s="17" t="s">
        <v>1211</v>
      </c>
      <c r="N5" s="163" t="s">
        <v>1257</v>
      </c>
      <c r="O5" s="164" t="s">
        <v>1212</v>
      </c>
      <c r="P5" s="165" t="s">
        <v>1213</v>
      </c>
      <c r="Q5" s="165" t="s">
        <v>1214</v>
      </c>
      <c r="R5" s="75" t="s">
        <v>1213</v>
      </c>
    </row>
    <row r="6" ht="15.95" customHeight="1" spans="1:18">
      <c r="A6" s="20" t="s">
        <v>1215</v>
      </c>
      <c r="B6" s="91" t="s">
        <v>1224</v>
      </c>
      <c r="C6" s="23"/>
      <c r="D6" s="23" t="s">
        <v>28</v>
      </c>
      <c r="E6" s="24">
        <f>D3*2</f>
        <v>6</v>
      </c>
      <c r="F6" s="93">
        <f ca="1">I6+J6+K6+L6+M6</f>
        <v>1309.407519792</v>
      </c>
      <c r="G6" s="94">
        <v>5.58</v>
      </c>
      <c r="H6" s="94">
        <v>8.233</v>
      </c>
      <c r="I6" s="93">
        <f ca="1">G6*H6*'18米（人字203料）参数'!G3*1.1</f>
        <v>1144.497519792</v>
      </c>
      <c r="J6" s="93">
        <f>48.55*2</f>
        <v>97.1</v>
      </c>
      <c r="K6" s="93">
        <v>45.91</v>
      </c>
      <c r="L6" s="93">
        <f>2.55*4</f>
        <v>10.2</v>
      </c>
      <c r="M6" s="93">
        <f>18*0.65</f>
        <v>11.7</v>
      </c>
      <c r="N6" s="166" t="s">
        <v>1494</v>
      </c>
      <c r="O6" s="167">
        <v>4</v>
      </c>
      <c r="P6" s="67">
        <f ca="1" t="shared" ref="P6:P35" si="0">F6*O6</f>
        <v>5237.630079168</v>
      </c>
      <c r="Q6" s="67">
        <f t="shared" ref="Q6:Q35" si="1">E6-O6</f>
        <v>2</v>
      </c>
      <c r="R6" s="67">
        <f ca="1" t="shared" ref="R6:R35" si="2">F6*Q6</f>
        <v>2618.815039584</v>
      </c>
    </row>
    <row r="7" ht="15.95" customHeight="1" spans="1:18">
      <c r="A7" s="20"/>
      <c r="B7" s="91" t="s">
        <v>1308</v>
      </c>
      <c r="C7" s="23"/>
      <c r="D7" s="23" t="s">
        <v>28</v>
      </c>
      <c r="E7" s="24">
        <f>F3*2</f>
        <v>4</v>
      </c>
      <c r="F7" s="101">
        <f ca="1">G7+H7+I7+J7+K7+L7+M7</f>
        <v>1037.48488</v>
      </c>
      <c r="G7" s="148">
        <v>7</v>
      </c>
      <c r="H7" s="148">
        <v>5.3</v>
      </c>
      <c r="I7" s="101">
        <f ca="1">G7*H7*'18米（人字203料）参数'!G3*1.1</f>
        <v>924.26488</v>
      </c>
      <c r="J7" s="101"/>
      <c r="K7" s="101">
        <f>49.51+41.21</f>
        <v>90.72</v>
      </c>
      <c r="L7" s="101">
        <f>2.55*4</f>
        <v>10.2</v>
      </c>
      <c r="M7" s="101"/>
      <c r="N7" s="166" t="s">
        <v>1495</v>
      </c>
      <c r="O7" s="167">
        <v>4</v>
      </c>
      <c r="P7" s="67">
        <f ca="1" t="shared" si="0"/>
        <v>4149.93952</v>
      </c>
      <c r="Q7" s="67">
        <f t="shared" si="1"/>
        <v>0</v>
      </c>
      <c r="R7" s="67">
        <f ca="1" t="shared" si="2"/>
        <v>0</v>
      </c>
    </row>
    <row r="8" ht="15.95" customHeight="1" spans="1:18">
      <c r="A8" s="20"/>
      <c r="B8" s="91" t="s">
        <v>1435</v>
      </c>
      <c r="C8" s="23"/>
      <c r="D8" s="23" t="s">
        <v>28</v>
      </c>
      <c r="E8" s="24">
        <f>F3</f>
        <v>2</v>
      </c>
      <c r="F8" s="101">
        <f ca="1">G8+H8+I8+J8+K8+L8+M8</f>
        <v>1197.130288</v>
      </c>
      <c r="G8" s="148">
        <v>8.2</v>
      </c>
      <c r="H8" s="148">
        <v>5.3</v>
      </c>
      <c r="I8" s="101">
        <f ca="1">G8*H8*'18米（人字203料）参数'!G3*1.1</f>
        <v>1082.710288</v>
      </c>
      <c r="J8" s="101"/>
      <c r="K8" s="101">
        <f>49.51+41.21</f>
        <v>90.72</v>
      </c>
      <c r="L8" s="101">
        <f>2.55*4</f>
        <v>10.2</v>
      </c>
      <c r="M8" s="101"/>
      <c r="N8" s="166" t="s">
        <v>1496</v>
      </c>
      <c r="O8" s="167">
        <v>2</v>
      </c>
      <c r="P8" s="67">
        <f ca="1" t="shared" si="0"/>
        <v>2394.260576</v>
      </c>
      <c r="Q8" s="67">
        <f t="shared" si="1"/>
        <v>0</v>
      </c>
      <c r="R8" s="67">
        <f ca="1" t="shared" si="2"/>
        <v>0</v>
      </c>
    </row>
    <row r="9" ht="15.95" customHeight="1" spans="1:18">
      <c r="A9" s="20"/>
      <c r="B9" s="91" t="s">
        <v>1350</v>
      </c>
      <c r="C9" s="23"/>
      <c r="D9" s="23" t="s">
        <v>28</v>
      </c>
      <c r="E9" s="24">
        <f>D3*2</f>
        <v>6</v>
      </c>
      <c r="F9" s="61">
        <f ca="1">I9+J9+K9+L9+M9</f>
        <v>2018.286557632</v>
      </c>
      <c r="G9" s="95">
        <v>9.68</v>
      </c>
      <c r="H9" s="95">
        <v>8.233</v>
      </c>
      <c r="I9" s="61">
        <f ca="1">G9*H9*'18米（人字203料）参数'!G3*1.1</f>
        <v>1985.436557632</v>
      </c>
      <c r="J9" s="61">
        <f>2.5*6</f>
        <v>15</v>
      </c>
      <c r="K9" s="61">
        <v>11.85</v>
      </c>
      <c r="L9" s="61">
        <f>1*6</f>
        <v>6</v>
      </c>
      <c r="M9" s="61"/>
      <c r="N9" s="116" t="s">
        <v>1500</v>
      </c>
      <c r="O9" s="167">
        <v>4</v>
      </c>
      <c r="P9" s="67">
        <f ca="1" t="shared" si="0"/>
        <v>8073.146230528</v>
      </c>
      <c r="Q9" s="67">
        <f t="shared" si="1"/>
        <v>2</v>
      </c>
      <c r="R9" s="67">
        <f ca="1" t="shared" si="2"/>
        <v>4036.573115264</v>
      </c>
    </row>
    <row r="10" ht="15.95" customHeight="1" spans="1:18">
      <c r="A10" s="20"/>
      <c r="B10" s="91" t="s">
        <v>1226</v>
      </c>
      <c r="C10" s="23"/>
      <c r="D10" s="23" t="s">
        <v>28</v>
      </c>
      <c r="E10" s="24">
        <f>A3*6</f>
        <v>12</v>
      </c>
      <c r="F10" s="101">
        <f ca="1">I10+J10+K10+L10+M10</f>
        <v>195.0929650432</v>
      </c>
      <c r="G10" s="148">
        <v>4.882</v>
      </c>
      <c r="H10" s="148">
        <v>1.552</v>
      </c>
      <c r="I10" s="101">
        <f ca="1">G10*H10*'18米（人字203料）参数'!G5*1.1</f>
        <v>180.0929650432</v>
      </c>
      <c r="J10" s="101"/>
      <c r="K10" s="101"/>
      <c r="L10" s="101">
        <f>0.5*4</f>
        <v>2</v>
      </c>
      <c r="M10" s="101">
        <f>6.5*2</f>
        <v>13</v>
      </c>
      <c r="N10" s="120" t="s">
        <v>1352</v>
      </c>
      <c r="O10" s="167">
        <v>6</v>
      </c>
      <c r="P10" s="67">
        <f ca="1" t="shared" si="0"/>
        <v>1170.5577902592</v>
      </c>
      <c r="Q10" s="67">
        <f t="shared" si="1"/>
        <v>6</v>
      </c>
      <c r="R10" s="67">
        <f ca="1" t="shared" si="2"/>
        <v>1170.5577902592</v>
      </c>
    </row>
    <row r="11" ht="15.95" customHeight="1" spans="1:18">
      <c r="A11" s="20"/>
      <c r="B11" s="91" t="s">
        <v>1264</v>
      </c>
      <c r="C11" s="23"/>
      <c r="D11" s="23" t="s">
        <v>28</v>
      </c>
      <c r="E11" s="24">
        <f>A3*3</f>
        <v>6</v>
      </c>
      <c r="F11" s="101">
        <f ca="1">I11+J11+K11+L11+M11</f>
        <v>336.5448493136</v>
      </c>
      <c r="G11" s="148">
        <v>4.882</v>
      </c>
      <c r="H11" s="148">
        <v>2.771</v>
      </c>
      <c r="I11" s="101">
        <f ca="1">G11*H11*'18米（人字203料）参数'!G5*1.1</f>
        <v>321.5448493136</v>
      </c>
      <c r="J11" s="101"/>
      <c r="K11" s="101"/>
      <c r="L11" s="101">
        <f>0.5*4</f>
        <v>2</v>
      </c>
      <c r="M11" s="101">
        <f>6.5*2</f>
        <v>13</v>
      </c>
      <c r="N11" s="120" t="s">
        <v>1353</v>
      </c>
      <c r="O11" s="169">
        <v>3</v>
      </c>
      <c r="P11" s="67">
        <f ca="1" t="shared" si="0"/>
        <v>1009.6345479408</v>
      </c>
      <c r="Q11" s="67">
        <f t="shared" si="1"/>
        <v>3</v>
      </c>
      <c r="R11" s="67">
        <f ca="1" t="shared" si="2"/>
        <v>1009.6345479408</v>
      </c>
    </row>
    <row r="12" ht="15.95" customHeight="1" spans="1:18">
      <c r="A12" s="20"/>
      <c r="B12" s="91" t="s">
        <v>1266</v>
      </c>
      <c r="C12" s="23"/>
      <c r="D12" s="23" t="s">
        <v>28</v>
      </c>
      <c r="E12" s="24">
        <f>A3*2+F3*2</f>
        <v>8</v>
      </c>
      <c r="F12" s="101">
        <f ca="1">'数据修改（批量）'!A28</f>
        <v>95</v>
      </c>
      <c r="G12" s="148">
        <v>4.86</v>
      </c>
      <c r="H12" s="148">
        <v>1.345</v>
      </c>
      <c r="I12" s="101">
        <f ca="1">G12*H12*'18米（人字203料）参数'!G5*1.1</f>
        <v>155.36951496</v>
      </c>
      <c r="J12" s="101"/>
      <c r="K12" s="101"/>
      <c r="L12" s="101"/>
      <c r="M12" s="101"/>
      <c r="N12" s="120" t="s">
        <v>1354</v>
      </c>
      <c r="O12" s="169">
        <v>6</v>
      </c>
      <c r="P12" s="67">
        <f ca="1" t="shared" si="0"/>
        <v>570</v>
      </c>
      <c r="Q12" s="67">
        <f t="shared" si="1"/>
        <v>2</v>
      </c>
      <c r="R12" s="67">
        <f ca="1" t="shared" si="2"/>
        <v>190</v>
      </c>
    </row>
    <row r="13" ht="15.95" customHeight="1" spans="1:18">
      <c r="A13" s="20"/>
      <c r="B13" s="91" t="s">
        <v>1442</v>
      </c>
      <c r="C13" s="23"/>
      <c r="D13" s="23" t="s">
        <v>28</v>
      </c>
      <c r="E13" s="24">
        <f>F3*2</f>
        <v>4</v>
      </c>
      <c r="F13" s="101">
        <f ca="1">I13+J13+K13+L13+M13</f>
        <v>270.6815045136</v>
      </c>
      <c r="G13" s="192">
        <v>3.882</v>
      </c>
      <c r="H13" s="148">
        <v>2.771</v>
      </c>
      <c r="I13" s="202">
        <f ca="1">G13*H13*'18米（人字203料）参数'!G5*1.1</f>
        <v>255.6815045136</v>
      </c>
      <c r="J13" s="101"/>
      <c r="K13" s="101"/>
      <c r="L13" s="101">
        <f>0.5*4</f>
        <v>2</v>
      </c>
      <c r="M13" s="101">
        <f>6.5*2</f>
        <v>13</v>
      </c>
      <c r="N13" s="120" t="s">
        <v>1443</v>
      </c>
      <c r="O13" s="167">
        <v>4</v>
      </c>
      <c r="P13" s="67">
        <f ca="1" t="shared" si="0"/>
        <v>1082.7260180544</v>
      </c>
      <c r="Q13" s="67">
        <f t="shared" si="1"/>
        <v>0</v>
      </c>
      <c r="R13" s="67">
        <f ca="1" t="shared" si="2"/>
        <v>0</v>
      </c>
    </row>
    <row r="14" ht="15.95" customHeight="1" spans="1:18">
      <c r="A14" s="20"/>
      <c r="B14" s="91" t="s">
        <v>1444</v>
      </c>
      <c r="C14" s="23"/>
      <c r="D14" s="23" t="s">
        <v>28</v>
      </c>
      <c r="E14" s="24">
        <f>F3*2</f>
        <v>4</v>
      </c>
      <c r="F14" s="101">
        <v>73.72</v>
      </c>
      <c r="G14" s="192">
        <v>3.86</v>
      </c>
      <c r="H14" s="148">
        <v>1.345</v>
      </c>
      <c r="I14" s="101">
        <f ca="1">G14*H14*'18米（人字203料）参数'!G5*1.1</f>
        <v>123.40047896</v>
      </c>
      <c r="J14" s="101"/>
      <c r="K14" s="101"/>
      <c r="L14" s="101"/>
      <c r="M14" s="101"/>
      <c r="N14" s="120" t="s">
        <v>1484</v>
      </c>
      <c r="O14" s="167">
        <v>4</v>
      </c>
      <c r="P14" s="67">
        <f ca="1" t="shared" si="0"/>
        <v>294.88</v>
      </c>
      <c r="Q14" s="67">
        <f t="shared" si="1"/>
        <v>0</v>
      </c>
      <c r="R14" s="67">
        <f ca="1" t="shared" si="2"/>
        <v>0</v>
      </c>
    </row>
    <row r="15" ht="15.95" customHeight="1" spans="1:18">
      <c r="A15" s="20"/>
      <c r="B15" s="91" t="s">
        <v>1272</v>
      </c>
      <c r="C15" s="23"/>
      <c r="D15" s="23" t="s">
        <v>28</v>
      </c>
      <c r="E15" s="30">
        <v>5</v>
      </c>
      <c r="F15" s="101">
        <f>I15+J15+K15+L15+M15</f>
        <v>142.5</v>
      </c>
      <c r="G15" s="148"/>
      <c r="H15" s="148"/>
      <c r="I15" s="101">
        <v>128</v>
      </c>
      <c r="J15" s="101">
        <v>6.5</v>
      </c>
      <c r="K15" s="101">
        <v>4</v>
      </c>
      <c r="L15" s="101">
        <v>3</v>
      </c>
      <c r="M15" s="101">
        <v>1</v>
      </c>
      <c r="N15" s="120" t="s">
        <v>1428</v>
      </c>
      <c r="O15" s="167">
        <v>4</v>
      </c>
      <c r="P15" s="67">
        <f ca="1" t="shared" si="0"/>
        <v>570</v>
      </c>
      <c r="Q15" s="67">
        <f t="shared" si="1"/>
        <v>1</v>
      </c>
      <c r="R15" s="67">
        <f ca="1" t="shared" si="2"/>
        <v>142.5</v>
      </c>
    </row>
    <row r="16" ht="15.95" customHeight="1" spans="1:18">
      <c r="A16" s="20"/>
      <c r="B16" s="91" t="s">
        <v>1356</v>
      </c>
      <c r="C16" s="23"/>
      <c r="D16" s="23" t="s">
        <v>28</v>
      </c>
      <c r="E16" s="24">
        <f>F3</f>
        <v>2</v>
      </c>
      <c r="F16" s="101">
        <f ca="1">I16+J16+K16+L16+M16</f>
        <v>90.133</v>
      </c>
      <c r="G16" s="148">
        <v>3.75</v>
      </c>
      <c r="H16" s="148">
        <v>1</v>
      </c>
      <c r="I16" s="101">
        <f ca="1">G16*H16*'18米（人字203料）参数'!G5*1.1</f>
        <v>89.133</v>
      </c>
      <c r="J16" s="101"/>
      <c r="K16" s="101"/>
      <c r="L16" s="101">
        <f>0.5*2</f>
        <v>1</v>
      </c>
      <c r="M16" s="101"/>
      <c r="N16" s="170" t="s">
        <v>1357</v>
      </c>
      <c r="O16" s="167">
        <v>2</v>
      </c>
      <c r="P16" s="67">
        <f ca="1" t="shared" si="0"/>
        <v>180.266</v>
      </c>
      <c r="Q16" s="67">
        <f t="shared" si="1"/>
        <v>0</v>
      </c>
      <c r="R16" s="67">
        <f ca="1" t="shared" si="2"/>
        <v>0</v>
      </c>
    </row>
    <row r="17" ht="15.95" customHeight="1" spans="1:18">
      <c r="A17" s="20"/>
      <c r="B17" s="91" t="s">
        <v>1276</v>
      </c>
      <c r="C17" s="23"/>
      <c r="D17" s="23" t="s">
        <v>28</v>
      </c>
      <c r="E17" s="28">
        <f>F3*2</f>
        <v>4</v>
      </c>
      <c r="F17" s="101">
        <f ca="1">I17+J17+K17+L17+M17</f>
        <v>348.2448493136</v>
      </c>
      <c r="G17" s="95">
        <v>4.882</v>
      </c>
      <c r="H17" s="95">
        <v>2.771</v>
      </c>
      <c r="I17" s="61">
        <f ca="1">G17*H17*'18米（人字203料）参数'!G5*1.1</f>
        <v>321.5448493136</v>
      </c>
      <c r="J17" s="61"/>
      <c r="K17" s="61">
        <v>15</v>
      </c>
      <c r="L17" s="61">
        <f>8*0.65</f>
        <v>5.2</v>
      </c>
      <c r="M17" s="61">
        <v>6.5</v>
      </c>
      <c r="N17" s="120" t="s">
        <v>1358</v>
      </c>
      <c r="O17" s="167">
        <v>4</v>
      </c>
      <c r="P17" s="67">
        <f ca="1" t="shared" si="0"/>
        <v>1392.9793972544</v>
      </c>
      <c r="Q17" s="67">
        <f t="shared" si="1"/>
        <v>0</v>
      </c>
      <c r="R17" s="67">
        <f ca="1" t="shared" si="2"/>
        <v>0</v>
      </c>
    </row>
    <row r="18" ht="15.95" customHeight="1" spans="1:18">
      <c r="A18" s="31"/>
      <c r="B18" s="193" t="s">
        <v>1485</v>
      </c>
      <c r="C18" s="43"/>
      <c r="D18" s="23" t="s">
        <v>28</v>
      </c>
      <c r="E18" s="44">
        <f>E30</f>
        <v>4</v>
      </c>
      <c r="F18" s="101">
        <f>I18+J18+K18+L18+M18</f>
        <v>17</v>
      </c>
      <c r="G18" s="194"/>
      <c r="H18" s="194"/>
      <c r="I18" s="203">
        <v>17</v>
      </c>
      <c r="J18" s="203"/>
      <c r="K18" s="203"/>
      <c r="L18" s="203"/>
      <c r="M18" s="203"/>
      <c r="N18" s="171"/>
      <c r="O18" s="167">
        <v>4</v>
      </c>
      <c r="P18" s="67">
        <f ca="1" t="shared" si="0"/>
        <v>68</v>
      </c>
      <c r="Q18" s="67">
        <f t="shared" si="1"/>
        <v>0</v>
      </c>
      <c r="R18" s="67">
        <f ca="1" t="shared" si="2"/>
        <v>0</v>
      </c>
    </row>
    <row r="19" ht="15.95" customHeight="1" spans="1:18">
      <c r="A19" s="31"/>
      <c r="B19" s="152" t="s">
        <v>1274</v>
      </c>
      <c r="C19" s="43"/>
      <c r="D19" s="43" t="s">
        <v>28</v>
      </c>
      <c r="E19" s="150">
        <f>A3*2+F3*3</f>
        <v>10</v>
      </c>
      <c r="F19" s="101">
        <f>(I19+J19+K19+L19+M19)</f>
        <v>20.4</v>
      </c>
      <c r="G19" s="151"/>
      <c r="H19" s="151"/>
      <c r="I19" s="39">
        <f>17*1.2</f>
        <v>20.4</v>
      </c>
      <c r="J19" s="39"/>
      <c r="K19" s="39"/>
      <c r="L19" s="39"/>
      <c r="M19" s="39"/>
      <c r="N19" s="171" t="s">
        <v>1359</v>
      </c>
      <c r="O19" s="167">
        <v>8</v>
      </c>
      <c r="P19" s="67">
        <f ca="1" t="shared" si="0"/>
        <v>163.2</v>
      </c>
      <c r="Q19" s="67">
        <f t="shared" si="1"/>
        <v>2</v>
      </c>
      <c r="R19" s="67">
        <f ca="1" t="shared" si="2"/>
        <v>40.8</v>
      </c>
    </row>
    <row r="20" ht="15.95" customHeight="1" spans="1:18">
      <c r="A20" s="20" t="s">
        <v>1278</v>
      </c>
      <c r="B20" s="91" t="s">
        <v>1304</v>
      </c>
      <c r="C20" s="23"/>
      <c r="D20" s="23" t="s">
        <v>434</v>
      </c>
      <c r="E20" s="24">
        <f>D3</f>
        <v>3</v>
      </c>
      <c r="F20" s="101">
        <v>180.62</v>
      </c>
      <c r="G20" s="151"/>
      <c r="H20" s="151"/>
      <c r="I20" s="39"/>
      <c r="J20" s="39"/>
      <c r="K20" s="39"/>
      <c r="L20" s="39"/>
      <c r="M20" s="39"/>
      <c r="N20" s="171" t="s">
        <v>1360</v>
      </c>
      <c r="O20" s="172">
        <v>2</v>
      </c>
      <c r="P20" s="67">
        <f ca="1" t="shared" si="0"/>
        <v>361.24</v>
      </c>
      <c r="Q20" s="67">
        <f t="shared" si="1"/>
        <v>1</v>
      </c>
      <c r="R20" s="67">
        <f ca="1" t="shared" si="2"/>
        <v>180.62</v>
      </c>
    </row>
    <row r="21" ht="15.95" customHeight="1" spans="1:18">
      <c r="A21" s="20"/>
      <c r="B21" s="91" t="s">
        <v>1310</v>
      </c>
      <c r="C21" s="23"/>
      <c r="D21" s="23" t="s">
        <v>434</v>
      </c>
      <c r="E21" s="24">
        <f>E7+E8</f>
        <v>6</v>
      </c>
      <c r="F21" s="101">
        <v>76.4</v>
      </c>
      <c r="G21" s="148"/>
      <c r="H21" s="148"/>
      <c r="I21" s="101"/>
      <c r="J21" s="101"/>
      <c r="K21" s="101"/>
      <c r="L21" s="101"/>
      <c r="M21" s="101"/>
      <c r="N21" s="120" t="s">
        <v>1361</v>
      </c>
      <c r="O21" s="167">
        <v>6</v>
      </c>
      <c r="P21" s="67">
        <f ca="1" t="shared" si="0"/>
        <v>458.4</v>
      </c>
      <c r="Q21" s="67">
        <f t="shared" si="1"/>
        <v>0</v>
      </c>
      <c r="R21" s="67">
        <f ca="1" t="shared" si="2"/>
        <v>0</v>
      </c>
    </row>
    <row r="22" ht="15.95" customHeight="1" spans="1:18">
      <c r="A22" s="20"/>
      <c r="B22" s="91" t="s">
        <v>1280</v>
      </c>
      <c r="C22" s="23"/>
      <c r="D22" s="23" t="s">
        <v>434</v>
      </c>
      <c r="E22" s="28">
        <f>E6</f>
        <v>6</v>
      </c>
      <c r="F22" s="61">
        <v>85.93</v>
      </c>
      <c r="G22" s="95"/>
      <c r="H22" s="95"/>
      <c r="I22" s="61"/>
      <c r="J22" s="61"/>
      <c r="K22" s="61"/>
      <c r="L22" s="61"/>
      <c r="M22" s="61"/>
      <c r="N22" s="173" t="s">
        <v>1361</v>
      </c>
      <c r="O22" s="167">
        <v>4</v>
      </c>
      <c r="P22" s="67">
        <f ca="1" t="shared" si="0"/>
        <v>343.72</v>
      </c>
      <c r="Q22" s="67">
        <f t="shared" si="1"/>
        <v>2</v>
      </c>
      <c r="R22" s="67">
        <f ca="1" t="shared" si="2"/>
        <v>171.86</v>
      </c>
    </row>
    <row r="23" ht="15.95" customHeight="1" spans="1:18">
      <c r="A23" s="20"/>
      <c r="B23" s="91" t="s">
        <v>1339</v>
      </c>
      <c r="C23" s="23"/>
      <c r="D23" s="23" t="s">
        <v>28</v>
      </c>
      <c r="E23" s="32">
        <f>E15</f>
        <v>5</v>
      </c>
      <c r="F23" s="101">
        <v>91.3</v>
      </c>
      <c r="G23" s="148"/>
      <c r="H23" s="148"/>
      <c r="I23" s="101"/>
      <c r="J23" s="101"/>
      <c r="K23" s="101"/>
      <c r="L23" s="101"/>
      <c r="M23" s="101"/>
      <c r="N23" s="120" t="s">
        <v>1362</v>
      </c>
      <c r="O23" s="167">
        <v>4</v>
      </c>
      <c r="P23" s="67">
        <f ca="1" t="shared" si="0"/>
        <v>365.2</v>
      </c>
      <c r="Q23" s="67">
        <f t="shared" si="1"/>
        <v>1</v>
      </c>
      <c r="R23" s="67">
        <f ca="1" t="shared" si="2"/>
        <v>91.3</v>
      </c>
    </row>
    <row r="24" ht="15.95" customHeight="1" spans="1:18">
      <c r="A24" s="20"/>
      <c r="B24" s="91" t="s">
        <v>1282</v>
      </c>
      <c r="C24" s="23"/>
      <c r="D24" s="23" t="s">
        <v>434</v>
      </c>
      <c r="E24" s="209">
        <f>D3*2+F3*3</f>
        <v>12</v>
      </c>
      <c r="F24" s="101">
        <v>4.45</v>
      </c>
      <c r="G24" s="148"/>
      <c r="H24" s="148"/>
      <c r="I24" s="101"/>
      <c r="J24" s="101"/>
      <c r="K24" s="101"/>
      <c r="L24" s="101"/>
      <c r="M24" s="101"/>
      <c r="N24" s="120" t="s">
        <v>1363</v>
      </c>
      <c r="O24" s="169">
        <v>10</v>
      </c>
      <c r="P24" s="67">
        <f ca="1" t="shared" si="0"/>
        <v>44.5</v>
      </c>
      <c r="Q24" s="67">
        <f t="shared" si="1"/>
        <v>2</v>
      </c>
      <c r="R24" s="67">
        <f ca="1" t="shared" si="2"/>
        <v>8.9</v>
      </c>
    </row>
    <row r="25" ht="15.95" customHeight="1" spans="1:18">
      <c r="A25" s="20"/>
      <c r="B25" s="91" t="s">
        <v>1284</v>
      </c>
      <c r="C25" s="23"/>
      <c r="D25" s="23" t="s">
        <v>434</v>
      </c>
      <c r="E25" s="24">
        <f>D3*2</f>
        <v>6</v>
      </c>
      <c r="F25" s="101">
        <v>6.51</v>
      </c>
      <c r="G25" s="148"/>
      <c r="H25" s="148"/>
      <c r="I25" s="101"/>
      <c r="J25" s="101"/>
      <c r="K25" s="101"/>
      <c r="L25" s="101"/>
      <c r="M25" s="101"/>
      <c r="N25" s="120" t="s">
        <v>1364</v>
      </c>
      <c r="O25" s="167">
        <v>4</v>
      </c>
      <c r="P25" s="67">
        <f ca="1" t="shared" si="0"/>
        <v>26.04</v>
      </c>
      <c r="Q25" s="67">
        <f t="shared" si="1"/>
        <v>2</v>
      </c>
      <c r="R25" s="67">
        <f ca="1" t="shared" si="2"/>
        <v>13.02</v>
      </c>
    </row>
    <row r="26" ht="15.95" customHeight="1" spans="1:18">
      <c r="A26" s="20"/>
      <c r="B26" s="91" t="s">
        <v>519</v>
      </c>
      <c r="C26" s="23"/>
      <c r="D26" s="23" t="s">
        <v>434</v>
      </c>
      <c r="E26" s="24">
        <f>F3*2</f>
        <v>4</v>
      </c>
      <c r="F26" s="101">
        <v>13</v>
      </c>
      <c r="G26" s="151"/>
      <c r="H26" s="151"/>
      <c r="I26" s="39"/>
      <c r="J26" s="39"/>
      <c r="K26" s="39"/>
      <c r="L26" s="39"/>
      <c r="M26" s="39"/>
      <c r="N26" s="120" t="s">
        <v>1365</v>
      </c>
      <c r="O26" s="167">
        <v>4</v>
      </c>
      <c r="P26" s="67">
        <f ca="1" t="shared" si="0"/>
        <v>52</v>
      </c>
      <c r="Q26" s="67">
        <f t="shared" si="1"/>
        <v>0</v>
      </c>
      <c r="R26" s="67">
        <f ca="1" t="shared" si="2"/>
        <v>0</v>
      </c>
    </row>
    <row r="27" ht="15.95" customHeight="1" spans="1:18">
      <c r="A27" s="31"/>
      <c r="B27" s="152" t="s">
        <v>551</v>
      </c>
      <c r="C27" s="43"/>
      <c r="D27" s="43" t="s">
        <v>434</v>
      </c>
      <c r="E27" s="150">
        <f>F3*2</f>
        <v>4</v>
      </c>
      <c r="F27" s="41">
        <v>15.5</v>
      </c>
      <c r="G27" s="99"/>
      <c r="H27" s="99"/>
      <c r="I27" s="41"/>
      <c r="J27" s="41"/>
      <c r="K27" s="41"/>
      <c r="L27" s="41"/>
      <c r="M27" s="41"/>
      <c r="N27" s="173" t="s">
        <v>1361</v>
      </c>
      <c r="O27" s="174">
        <v>4</v>
      </c>
      <c r="P27" s="67">
        <f ca="1" t="shared" si="0"/>
        <v>62</v>
      </c>
      <c r="Q27" s="67">
        <f t="shared" si="1"/>
        <v>0</v>
      </c>
      <c r="R27" s="67">
        <f ca="1" t="shared" si="2"/>
        <v>0</v>
      </c>
    </row>
    <row r="28" ht="15.95" customHeight="1" spans="1:18">
      <c r="A28" s="153" t="s">
        <v>1216</v>
      </c>
      <c r="B28" s="91" t="s">
        <v>1366</v>
      </c>
      <c r="C28" s="23"/>
      <c r="D28" s="23" t="s">
        <v>612</v>
      </c>
      <c r="E28" s="24">
        <f>A3</f>
        <v>2</v>
      </c>
      <c r="F28" s="122">
        <f ca="1">(I28+J28)*1.1+30</f>
        <v>2344.686</v>
      </c>
      <c r="G28" s="99">
        <v>20.4</v>
      </c>
      <c r="H28" s="99">
        <v>5</v>
      </c>
      <c r="I28" s="41">
        <f ca="1">G28*H28*'18米（人字203料）参数'!E15*1.1</f>
        <v>1941.06</v>
      </c>
      <c r="J28" s="41">
        <f>20.4*2*4</f>
        <v>163.2</v>
      </c>
      <c r="K28" s="41">
        <v>30</v>
      </c>
      <c r="L28" s="41"/>
      <c r="M28" s="41"/>
      <c r="N28" s="167" t="s">
        <v>1410</v>
      </c>
      <c r="O28" s="175">
        <v>1</v>
      </c>
      <c r="P28" s="67">
        <f ca="1" t="shared" si="0"/>
        <v>2344.686</v>
      </c>
      <c r="Q28" s="67">
        <f t="shared" si="1"/>
        <v>1</v>
      </c>
      <c r="R28" s="67">
        <f ca="1" t="shared" si="2"/>
        <v>2344.686</v>
      </c>
    </row>
    <row r="29" ht="15.95" customHeight="1" spans="1:18">
      <c r="A29" s="153"/>
      <c r="B29" s="91" t="s">
        <v>1368</v>
      </c>
      <c r="C29" s="23"/>
      <c r="D29" s="23" t="s">
        <v>664</v>
      </c>
      <c r="E29" s="24">
        <f>F3</f>
        <v>2</v>
      </c>
      <c r="F29" s="122">
        <f ca="1">(I29+J29)*1.1+15</f>
        <v>709.70698</v>
      </c>
      <c r="G29" s="148">
        <v>9.35</v>
      </c>
      <c r="H29" s="154">
        <v>3.6</v>
      </c>
      <c r="I29" s="101">
        <f ca="1">G29*H29*'18米（人字203料）参数'!E14*1.1</f>
        <v>529.4718</v>
      </c>
      <c r="J29" s="101">
        <f>12.76*2*4</f>
        <v>102.08</v>
      </c>
      <c r="K29" s="101">
        <v>15</v>
      </c>
      <c r="L29" s="101"/>
      <c r="M29" s="101"/>
      <c r="N29" s="51" t="s">
        <v>1411</v>
      </c>
      <c r="O29" s="167">
        <v>2</v>
      </c>
      <c r="P29" s="67">
        <f ca="1" t="shared" si="0"/>
        <v>1419.41396</v>
      </c>
      <c r="Q29" s="67">
        <f t="shared" si="1"/>
        <v>0</v>
      </c>
      <c r="R29" s="67">
        <f ca="1" t="shared" si="2"/>
        <v>0</v>
      </c>
    </row>
    <row r="30" ht="15.95" customHeight="1" spans="1:18">
      <c r="A30" s="155"/>
      <c r="B30" s="91" t="s">
        <v>1462</v>
      </c>
      <c r="C30" s="23"/>
      <c r="D30" s="23" t="s">
        <v>664</v>
      </c>
      <c r="E30" s="24">
        <f>F3*2</f>
        <v>4</v>
      </c>
      <c r="F30" s="122">
        <f ca="1">(I30+J30)*1.1+15</f>
        <v>433.3997708</v>
      </c>
      <c r="G30" s="156">
        <v>5.97</v>
      </c>
      <c r="H30" s="157">
        <v>3.88</v>
      </c>
      <c r="I30" s="101">
        <f ca="1">G30*H30*'18米（人字203料）参数'!E14*1.1</f>
        <v>364.363428</v>
      </c>
      <c r="J30" s="71">
        <f>4*2*2</f>
        <v>16</v>
      </c>
      <c r="K30" s="71">
        <f>0.5*10</f>
        <v>5</v>
      </c>
      <c r="L30" s="71">
        <f>0.32*18</f>
        <v>5.76</v>
      </c>
      <c r="M30" s="71">
        <f>18*1</f>
        <v>18</v>
      </c>
      <c r="N30" s="120" t="s">
        <v>1497</v>
      </c>
      <c r="O30" s="167">
        <v>4</v>
      </c>
      <c r="P30" s="67">
        <f ca="1" t="shared" si="0"/>
        <v>1733.5990832</v>
      </c>
      <c r="Q30" s="67">
        <f t="shared" si="1"/>
        <v>0</v>
      </c>
      <c r="R30" s="67">
        <f ca="1" t="shared" si="2"/>
        <v>0</v>
      </c>
    </row>
    <row r="31" ht="15.95" customHeight="1" spans="1:18">
      <c r="A31" s="155"/>
      <c r="B31" s="91" t="s">
        <v>1370</v>
      </c>
      <c r="C31" s="23"/>
      <c r="D31" s="23" t="s">
        <v>664</v>
      </c>
      <c r="E31" s="209">
        <f>A3*2+F3*2</f>
        <v>8</v>
      </c>
      <c r="F31" s="101">
        <f ca="1">I31+J31+K30+L31+M31</f>
        <v>548.08212</v>
      </c>
      <c r="G31" s="156">
        <v>5.2</v>
      </c>
      <c r="H31" s="157">
        <v>5.97</v>
      </c>
      <c r="I31" s="101">
        <f ca="1">G31*H31*'18米（人字203料）参数'!E14*1.1+15</f>
        <v>503.32212</v>
      </c>
      <c r="J31" s="71">
        <f>4*2*2</f>
        <v>16</v>
      </c>
      <c r="K31" s="71">
        <f>0.5*10</f>
        <v>5</v>
      </c>
      <c r="L31" s="71">
        <f>0.32*18</f>
        <v>5.76</v>
      </c>
      <c r="M31" s="71">
        <f>18*1</f>
        <v>18</v>
      </c>
      <c r="N31" s="120" t="s">
        <v>1498</v>
      </c>
      <c r="O31" s="169">
        <v>6</v>
      </c>
      <c r="P31" s="67">
        <f ca="1" t="shared" si="0"/>
        <v>3288.49272</v>
      </c>
      <c r="Q31" s="67">
        <f t="shared" si="1"/>
        <v>2</v>
      </c>
      <c r="R31" s="67">
        <f ca="1" t="shared" si="2"/>
        <v>1096.16424</v>
      </c>
    </row>
    <row r="32" ht="15.95" customHeight="1" spans="1:18">
      <c r="A32" s="20" t="s">
        <v>1235</v>
      </c>
      <c r="B32" s="138" t="s">
        <v>589</v>
      </c>
      <c r="C32" s="23"/>
      <c r="D32" s="23" t="s">
        <v>434</v>
      </c>
      <c r="E32" s="24">
        <f>D3*10+F3*2+E23*2</f>
        <v>44</v>
      </c>
      <c r="F32" s="101">
        <v>2.15</v>
      </c>
      <c r="G32" s="154"/>
      <c r="H32" s="154"/>
      <c r="I32" s="101"/>
      <c r="J32" s="101"/>
      <c r="K32" s="101"/>
      <c r="L32" s="101"/>
      <c r="M32" s="101"/>
      <c r="N32" s="120" t="s">
        <v>1372</v>
      </c>
      <c r="O32" s="167">
        <v>34</v>
      </c>
      <c r="P32" s="67">
        <f ca="1" t="shared" si="0"/>
        <v>73.1</v>
      </c>
      <c r="Q32" s="67">
        <f t="shared" si="1"/>
        <v>10</v>
      </c>
      <c r="R32" s="67">
        <f ca="1" t="shared" si="2"/>
        <v>21.5</v>
      </c>
    </row>
    <row r="33" ht="15.95" customHeight="1" spans="1:18">
      <c r="A33" s="20"/>
      <c r="B33" s="109" t="s">
        <v>591</v>
      </c>
      <c r="C33" s="23"/>
      <c r="D33" s="23" t="s">
        <v>434</v>
      </c>
      <c r="E33" s="24">
        <f>D3*2+E23+E15</f>
        <v>16</v>
      </c>
      <c r="F33" s="101">
        <v>2.55</v>
      </c>
      <c r="G33" s="154"/>
      <c r="H33" s="154"/>
      <c r="I33" s="101"/>
      <c r="J33" s="101"/>
      <c r="K33" s="101"/>
      <c r="L33" s="101"/>
      <c r="M33" s="101"/>
      <c r="N33" s="120" t="s">
        <v>1373</v>
      </c>
      <c r="O33" s="172">
        <v>14</v>
      </c>
      <c r="P33" s="67">
        <f ca="1" t="shared" si="0"/>
        <v>35.7</v>
      </c>
      <c r="Q33" s="67">
        <f t="shared" si="1"/>
        <v>2</v>
      </c>
      <c r="R33" s="67">
        <f ca="1" t="shared" si="2"/>
        <v>5.1</v>
      </c>
    </row>
    <row r="34" ht="15.95" customHeight="1" spans="1:18">
      <c r="A34" s="20"/>
      <c r="B34" s="159" t="s">
        <v>1423</v>
      </c>
      <c r="C34" s="43"/>
      <c r="D34" s="43" t="s">
        <v>434</v>
      </c>
      <c r="E34" s="44">
        <f>D3*2+4</f>
        <v>10</v>
      </c>
      <c r="F34" s="39">
        <v>1.95</v>
      </c>
      <c r="G34" s="160"/>
      <c r="H34" s="160"/>
      <c r="I34" s="39"/>
      <c r="J34" s="39"/>
      <c r="K34" s="39"/>
      <c r="L34" s="39"/>
      <c r="M34" s="39"/>
      <c r="N34" s="120" t="s">
        <v>1375</v>
      </c>
      <c r="O34" s="167">
        <v>8</v>
      </c>
      <c r="P34" s="67">
        <f ca="1" t="shared" si="0"/>
        <v>15.6</v>
      </c>
      <c r="Q34" s="67">
        <f t="shared" si="1"/>
        <v>2</v>
      </c>
      <c r="R34" s="67">
        <f ca="1" t="shared" si="2"/>
        <v>3.9</v>
      </c>
    </row>
    <row r="35" ht="15.95" customHeight="1" spans="1:18">
      <c r="A35" s="20"/>
      <c r="B35" s="109" t="s">
        <v>554</v>
      </c>
      <c r="C35" s="23"/>
      <c r="D35" s="23" t="s">
        <v>555</v>
      </c>
      <c r="E35" s="28">
        <f>E21+E22+E15</f>
        <v>17</v>
      </c>
      <c r="F35" s="101">
        <v>1.46</v>
      </c>
      <c r="G35" s="154"/>
      <c r="H35" s="154"/>
      <c r="I35" s="101"/>
      <c r="J35" s="101"/>
      <c r="K35" s="101"/>
      <c r="L35" s="101"/>
      <c r="M35" s="101"/>
      <c r="N35" s="120" t="s">
        <v>1376</v>
      </c>
      <c r="O35" s="167">
        <v>15</v>
      </c>
      <c r="P35" s="67">
        <f ca="1" t="shared" si="0"/>
        <v>21.9</v>
      </c>
      <c r="Q35" s="67">
        <f t="shared" si="1"/>
        <v>2</v>
      </c>
      <c r="R35" s="67">
        <f ca="1" t="shared" si="2"/>
        <v>2.92</v>
      </c>
    </row>
    <row r="36" spans="1:18">
      <c r="A36" s="50"/>
      <c r="B36" s="50" t="s">
        <v>1424</v>
      </c>
      <c r="C36" s="51"/>
      <c r="D36" s="51"/>
      <c r="E36" s="51"/>
      <c r="F36" s="50"/>
      <c r="G36" s="50"/>
      <c r="H36" s="50"/>
      <c r="I36" s="50"/>
      <c r="J36" s="50"/>
      <c r="K36" s="50"/>
      <c r="L36" s="50"/>
      <c r="M36" s="50"/>
      <c r="N36" s="50"/>
      <c r="O36" s="84" t="s">
        <v>1218</v>
      </c>
      <c r="P36" s="3">
        <f ca="1">SUM(P6:P35)</f>
        <v>37002.8119224048</v>
      </c>
      <c r="Q36" s="3" t="s">
        <v>1219</v>
      </c>
      <c r="R36" s="3">
        <f ca="1">SUM(R6:R35)</f>
        <v>13148.850733048</v>
      </c>
    </row>
    <row r="37" spans="1:18">
      <c r="A37" s="50"/>
      <c r="B37" s="50" t="s">
        <v>1221</v>
      </c>
      <c r="C37" s="51"/>
      <c r="D37" s="51"/>
      <c r="E37" s="51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3"/>
      <c r="Q37" s="3"/>
      <c r="R37" s="3"/>
    </row>
    <row r="38" spans="1:18">
      <c r="A38" s="50"/>
      <c r="B38" s="50"/>
      <c r="C38" s="51"/>
      <c r="D38" s="51"/>
      <c r="E38" s="51"/>
      <c r="F38" s="50"/>
      <c r="G38" s="50"/>
      <c r="H38" s="50"/>
      <c r="I38" s="50"/>
      <c r="J38" s="50"/>
      <c r="K38" s="50"/>
      <c r="L38" s="50"/>
      <c r="M38" s="50"/>
      <c r="N38" s="50"/>
      <c r="O38" s="50" t="s">
        <v>1377</v>
      </c>
      <c r="P38" s="3">
        <f ca="1">P36+R36</f>
        <v>50151.6626554528</v>
      </c>
      <c r="Q38" s="3"/>
      <c r="R38" s="3"/>
    </row>
    <row r="39" spans="1:18">
      <c r="A39" s="50"/>
      <c r="B39" s="52"/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0"/>
      <c r="O39" s="50" t="s">
        <v>14</v>
      </c>
      <c r="P39" s="3">
        <f ca="1">P38/E2</f>
        <v>278.620348085849</v>
      </c>
      <c r="Q39" s="3"/>
      <c r="R39" s="3"/>
    </row>
  </sheetData>
  <mergeCells count="12">
    <mergeCell ref="A1:N1"/>
    <mergeCell ref="A2:C2"/>
    <mergeCell ref="F2:N2"/>
    <mergeCell ref="A3:B3"/>
    <mergeCell ref="H3:M3"/>
    <mergeCell ref="A4:F4"/>
    <mergeCell ref="G4:H4"/>
    <mergeCell ref="I4:M4"/>
    <mergeCell ref="A6:A19"/>
    <mergeCell ref="A20:A27"/>
    <mergeCell ref="A28:A31"/>
    <mergeCell ref="A32:A35"/>
  </mergeCells>
  <dataValidations count="4">
    <dataValidation type="list" allowBlank="1" showInputMessage="1" showErrorMessage="1" sqref="B28">
      <formula1>"顶布[白]{全新},顶布[白]{A类},顶布[白]{B类},顶布[白]{C类},顶布[白]{D类}"</formula1>
    </dataValidation>
    <dataValidation type="list" allowBlank="1" showInputMessage="1" showErrorMessage="1" sqref="B29">
      <formula1>"山尖布[白]{全新},山尖布[白]{A类},山尖布[白]{B类},山尖布[白]{C类},山尖布[白]{D类}"</formula1>
    </dataValidation>
    <dataValidation allowBlank="1" showInputMessage="1" showErrorMessage="1" sqref="B30"/>
    <dataValidation type="list" allowBlank="1" showInputMessage="1" showErrorMessage="1" sqref="B31">
      <formula1>"围布[白]{全新},围布[白]{A类},围布[白]{B类},围布[白]{C类},围布[白]{D类},透光窗围布[白]{全新},透光窗围布[白]{A类},透光窗围布[白]{B类},透光窗围布[白]{C类},透光窗围布[白]{D类}"</formula1>
    </dataValidation>
  </dataValidations>
  <pageMargins left="0.75" right="0.75" top="1" bottom="1" header="0.509027777777778" footer="0.509027777777778"/>
  <headerFooter/>
</worksheet>
</file>

<file path=xl/worksheets/sheet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7030A0"/>
  </sheetPr>
  <dimension ref="A1:G21"/>
  <sheetViews>
    <sheetView showGridLines="0" workbookViewId="0">
      <selection activeCell="E31" sqref="E31"/>
    </sheetView>
  </sheetViews>
  <sheetFormatPr defaultColWidth="9" defaultRowHeight="14.25" outlineLevelCol="6"/>
  <cols>
    <col min="1" max="1" width="21.125" style="1" customWidth="1"/>
    <col min="2" max="2" width="19.125" style="1" customWidth="1"/>
    <col min="3" max="3" width="15.5" style="1" customWidth="1"/>
    <col min="4" max="4" width="11.375" style="1" customWidth="1"/>
    <col min="5" max="5" width="10.5" style="1" customWidth="1"/>
    <col min="6" max="6" width="9" style="1"/>
    <col min="7" max="7" width="12.625" style="1" customWidth="1"/>
    <col min="8" max="16384" width="9" style="1"/>
  </cols>
  <sheetData>
    <row r="1" spans="1:4">
      <c r="A1" s="2" t="str">
        <f ca="1">'数据修改（批量）'!A1</f>
        <v>上海有色铝锭价格</v>
      </c>
      <c r="B1" s="2"/>
      <c r="C1" s="2"/>
      <c r="D1" s="3"/>
    </row>
    <row r="2" spans="1:7">
      <c r="A2" s="4">
        <f ca="1">'数据修改（批量）'!A2</f>
        <v>16200</v>
      </c>
      <c r="B2" s="2" t="str">
        <f ca="1">'数据修改（批量）'!B2</f>
        <v>项目</v>
      </c>
      <c r="C2" s="2" t="str">
        <f ca="1">'数据修改（批量）'!C2</f>
        <v>加工费</v>
      </c>
      <c r="D2" s="2" t="str">
        <f ca="1">'数据修改（批量）'!D2</f>
        <v>包装物</v>
      </c>
      <c r="E2" s="2" t="str">
        <f ca="1">'数据修改（批量）'!E2</f>
        <v>运费</v>
      </c>
      <c r="F2" s="2" t="str">
        <f ca="1">'数据修改（批量）'!F2</f>
        <v>单价</v>
      </c>
      <c r="G2" s="2" t="str">
        <f ca="1">'数据修改（批量）'!G2</f>
        <v>每公斤价格</v>
      </c>
    </row>
    <row r="3" spans="1:7">
      <c r="A3" s="2"/>
      <c r="B3" s="2" t="str">
        <f ca="1">'数据修改（批量）'!B3</f>
        <v>203料</v>
      </c>
      <c r="C3" s="2">
        <f ca="1">'数据修改（批量）'!C3</f>
        <v>5500</v>
      </c>
      <c r="D3" s="2">
        <f ca="1">'数据修改（批量）'!D3</f>
        <v>868</v>
      </c>
      <c r="E3" s="2">
        <f ca="1">'数据修改（批量）'!E3</f>
        <v>80</v>
      </c>
      <c r="F3" s="2">
        <f ca="1">'数据修改（批量）'!F3</f>
        <v>22648</v>
      </c>
      <c r="G3" s="2">
        <f ca="1">'数据修改（批量）'!G3</f>
        <v>22.648</v>
      </c>
    </row>
    <row r="4" spans="1:7">
      <c r="A4" s="2"/>
      <c r="B4" s="2" t="str">
        <f ca="1">'数据修改（批量）'!B4</f>
        <v>203料氧化</v>
      </c>
      <c r="C4" s="2">
        <f ca="1">'数据修改（批量）'!C4</f>
        <v>6000</v>
      </c>
      <c r="D4" s="2">
        <f ca="1">'数据修改（批量）'!D4</f>
        <v>888</v>
      </c>
      <c r="E4" s="2">
        <f ca="1">'数据修改（批量）'!E4</f>
        <v>80</v>
      </c>
      <c r="F4" s="2">
        <f ca="1">'数据修改（批量）'!F4</f>
        <v>23168</v>
      </c>
      <c r="G4" s="2">
        <f ca="1">'数据修改（批量）'!G4</f>
        <v>23.168</v>
      </c>
    </row>
    <row r="5" spans="2:7">
      <c r="B5" s="2" t="str">
        <f ca="1">'数据修改（批量）'!B5</f>
        <v>小料加工费</v>
      </c>
      <c r="C5" s="2">
        <f ca="1">'数据修改（批量）'!C5</f>
        <v>4500</v>
      </c>
      <c r="D5" s="2">
        <f ca="1">'数据修改（批量）'!D5</f>
        <v>828</v>
      </c>
      <c r="E5" s="2">
        <f ca="1">'数据修改（批量）'!E5</f>
        <v>80</v>
      </c>
      <c r="F5" s="2">
        <f ca="1">'数据修改（批量）'!F5</f>
        <v>21608</v>
      </c>
      <c r="G5" s="2">
        <f ca="1">'数据修改（批量）'!G5</f>
        <v>21.608</v>
      </c>
    </row>
    <row r="6" spans="1:4">
      <c r="A6" s="2" t="str">
        <f ca="1">'数据修改（批量）'!A6</f>
        <v>南海有色铝锭价格</v>
      </c>
      <c r="D6" s="5"/>
    </row>
    <row r="7" spans="1:1">
      <c r="A7" s="4">
        <f ca="1">'数据修改（批量）'!A7</f>
        <v>16600</v>
      </c>
    </row>
    <row r="8" spans="2:7">
      <c r="B8" s="2" t="str">
        <f ca="1">'数据修改（批量）'!B8</f>
        <v>项目</v>
      </c>
      <c r="C8" s="2" t="str">
        <f ca="1">'数据修改（批量）'!C8</f>
        <v>加工费</v>
      </c>
      <c r="D8" s="2" t="str">
        <f ca="1">'数据修改（批量）'!D8</f>
        <v>包装物</v>
      </c>
      <c r="E8" s="2" t="str">
        <f ca="1">'数据修改（批量）'!E8</f>
        <v>运费</v>
      </c>
      <c r="F8" s="2" t="str">
        <f ca="1">'数据修改（批量）'!F8</f>
        <v>单价</v>
      </c>
      <c r="G8" s="2" t="str">
        <f ca="1">'数据修改（批量）'!G8</f>
        <v>每公斤价格</v>
      </c>
    </row>
    <row r="9" spans="2:7">
      <c r="B9" s="2" t="str">
        <f ca="1">'数据修改（批量）'!B9</f>
        <v>300/350料8米以上</v>
      </c>
      <c r="C9" s="2">
        <f ca="1">'数据修改（批量）'!C9</f>
        <v>7800</v>
      </c>
      <c r="D9" s="2">
        <f ca="1">'数据修改（批量）'!D9</f>
        <v>976</v>
      </c>
      <c r="E9" s="2">
        <f ca="1">'数据修改（批量）'!E9</f>
        <v>1000</v>
      </c>
      <c r="F9" s="2">
        <f ca="1">'数据修改（批量）'!F9</f>
        <v>26376</v>
      </c>
      <c r="G9" s="2">
        <f ca="1">'数据修改（批量）'!G9</f>
        <v>26.376</v>
      </c>
    </row>
    <row r="10" spans="2:7">
      <c r="B10" s="2" t="str">
        <f ca="1">'数据修改（批量）'!B10</f>
        <v>300/350料8米以下</v>
      </c>
      <c r="C10" s="2">
        <f ca="1">'数据修改（批量）'!C10</f>
        <v>7100</v>
      </c>
      <c r="D10" s="2">
        <f ca="1">'数据修改（批量）'!D10</f>
        <v>948</v>
      </c>
      <c r="E10" s="2">
        <f ca="1">'数据修改（批量）'!E10</f>
        <v>1000</v>
      </c>
      <c r="F10" s="2">
        <f ca="1">'数据修改（批量）'!F10</f>
        <v>25648</v>
      </c>
      <c r="G10" s="2">
        <f ca="1">'数据修改（批量）'!G10</f>
        <v>25.648</v>
      </c>
    </row>
    <row r="12" spans="1:4">
      <c r="A12" s="2" t="str">
        <f ca="1">'数据修改（批量）'!A12</f>
        <v>篷布</v>
      </c>
      <c r="B12" s="2"/>
      <c r="C12" s="2"/>
      <c r="D12" s="3"/>
    </row>
    <row r="13" spans="1:7">
      <c r="A13" s="2"/>
      <c r="B13" s="2" t="str">
        <f ca="1">'数据修改（批量）'!B13</f>
        <v>项目</v>
      </c>
      <c r="C13" s="2" t="str">
        <f ca="1">'数据修改（批量）'!C13</f>
        <v>运费</v>
      </c>
      <c r="D13" s="2" t="str">
        <f ca="1">'数据修改（批量）'!D13</f>
        <v>单价</v>
      </c>
      <c r="E13" s="2" t="str">
        <f ca="1">'数据修改（批量）'!E13</f>
        <v>每平价格</v>
      </c>
      <c r="F13" s="2"/>
      <c r="G13" s="2"/>
    </row>
    <row r="14" spans="1:7">
      <c r="A14" s="2"/>
      <c r="B14" s="2">
        <f ca="1">'数据修改（批量）'!B14</f>
        <v>650</v>
      </c>
      <c r="C14" s="2">
        <f ca="1">'数据修改（批量）'!C14</f>
        <v>0.5</v>
      </c>
      <c r="D14" s="4">
        <f ca="1">'数据修改（批量）'!D14</f>
        <v>13.8</v>
      </c>
      <c r="E14" s="2">
        <f ca="1">'数据修改（批量）'!E14</f>
        <v>14.3</v>
      </c>
      <c r="F14" s="2"/>
      <c r="G14" s="2"/>
    </row>
    <row r="15" spans="1:7">
      <c r="A15" s="2"/>
      <c r="B15" s="2">
        <f ca="1">'数据修改（批量）'!B15</f>
        <v>780</v>
      </c>
      <c r="C15" s="2">
        <f ca="1">'数据修改（批量）'!C15</f>
        <v>0.5</v>
      </c>
      <c r="D15" s="4">
        <f ca="1">'数据修改（批量）'!D15</f>
        <v>16.8</v>
      </c>
      <c r="E15" s="2">
        <f ca="1">'数据修改（批量）'!E15</f>
        <v>17.3</v>
      </c>
      <c r="F15" s="2"/>
      <c r="G15" s="2"/>
    </row>
    <row r="16" spans="2:7">
      <c r="B16" s="2">
        <f ca="1">'数据修改（批量）'!B16</f>
        <v>850</v>
      </c>
      <c r="C16" s="2">
        <f ca="1">'数据修改（批量）'!C16</f>
        <v>0.5</v>
      </c>
      <c r="D16" s="4">
        <f ca="1">'数据修改（批量）'!D16</f>
        <v>18</v>
      </c>
      <c r="E16" s="2">
        <f ca="1">'数据修改（批量）'!E16</f>
        <v>18.5</v>
      </c>
      <c r="F16" s="2"/>
      <c r="G16" s="2"/>
    </row>
    <row r="21" spans="1:7">
      <c r="A21" s="6" t="str">
        <f ca="1">'数据修改（批量）'!A21</f>
        <v>说明：黄色部分可以根据价格修改</v>
      </c>
      <c r="B21" s="6"/>
      <c r="C21" s="6"/>
      <c r="D21" s="6"/>
      <c r="E21" s="6"/>
      <c r="F21" s="6"/>
      <c r="G21" s="6"/>
    </row>
  </sheetData>
  <mergeCells count="1">
    <mergeCell ref="A21:G21"/>
  </mergeCells>
  <pageMargins left="0.75" right="0.75" top="1" bottom="1" header="0.509027777777778" footer="0.509027777777778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87"/>
  <sheetViews>
    <sheetView showGridLines="0" workbookViewId="0">
      <selection activeCell="A1" sqref="A1"/>
    </sheetView>
  </sheetViews>
  <sheetFormatPr defaultColWidth="9" defaultRowHeight="13.5" outlineLevelCol="5"/>
  <cols>
    <col min="1" max="1" width="10.625" style="323" customWidth="1"/>
    <col min="2" max="2" width="10.625" customWidth="1"/>
    <col min="3" max="3" width="24.5" customWidth="1"/>
    <col min="4" max="4" width="16.9583333333333" customWidth="1"/>
  </cols>
  <sheetData>
    <row r="1" ht="18.75" spans="1:6">
      <c r="A1" s="315" t="s">
        <v>17</v>
      </c>
      <c r="B1" s="316"/>
      <c r="C1" s="317"/>
      <c r="D1" s="317"/>
      <c r="E1" s="317"/>
      <c r="F1" s="318"/>
    </row>
    <row r="2" spans="1:6">
      <c r="A2" s="319" t="s">
        <v>18</v>
      </c>
      <c r="B2" s="319" t="s">
        <v>19</v>
      </c>
      <c r="C2" s="319" t="s">
        <v>20</v>
      </c>
      <c r="D2" s="319" t="s">
        <v>21</v>
      </c>
      <c r="E2" s="319" t="s">
        <v>22</v>
      </c>
      <c r="F2" s="320" t="s">
        <v>23</v>
      </c>
    </row>
    <row r="3" spans="1:6">
      <c r="A3" s="330" t="s">
        <v>844</v>
      </c>
      <c r="B3" s="206" t="s">
        <v>845</v>
      </c>
      <c r="C3" s="91" t="s">
        <v>846</v>
      </c>
      <c r="D3" s="23"/>
      <c r="E3" s="23" t="s">
        <v>847</v>
      </c>
      <c r="F3" s="23">
        <v>1</v>
      </c>
    </row>
    <row r="4" spans="1:6">
      <c r="A4" s="330"/>
      <c r="B4" s="206" t="s">
        <v>848</v>
      </c>
      <c r="C4" s="91" t="s">
        <v>849</v>
      </c>
      <c r="D4" s="23"/>
      <c r="E4" s="23" t="s">
        <v>847</v>
      </c>
      <c r="F4" s="23">
        <v>1</v>
      </c>
    </row>
    <row r="5" spans="1:6">
      <c r="A5" s="330"/>
      <c r="B5" s="206" t="s">
        <v>850</v>
      </c>
      <c r="C5" s="91" t="s">
        <v>851</v>
      </c>
      <c r="D5" s="23"/>
      <c r="E5" s="23" t="s">
        <v>847</v>
      </c>
      <c r="F5" s="23">
        <v>1</v>
      </c>
    </row>
    <row r="6" spans="1:6">
      <c r="A6" s="330"/>
      <c r="B6" s="206" t="s">
        <v>852</v>
      </c>
      <c r="C6" s="91" t="s">
        <v>853</v>
      </c>
      <c r="D6" s="23"/>
      <c r="E6" s="23" t="s">
        <v>847</v>
      </c>
      <c r="F6" s="23">
        <v>1</v>
      </c>
    </row>
    <row r="7" spans="1:6">
      <c r="A7" s="330"/>
      <c r="B7" s="206" t="s">
        <v>854</v>
      </c>
      <c r="C7" s="91" t="s">
        <v>855</v>
      </c>
      <c r="D7" s="23"/>
      <c r="E7" s="23" t="s">
        <v>847</v>
      </c>
      <c r="F7" s="23">
        <v>1</v>
      </c>
    </row>
    <row r="8" spans="1:6">
      <c r="A8" s="330"/>
      <c r="B8" s="206" t="s">
        <v>856</v>
      </c>
      <c r="C8" s="91" t="s">
        <v>857</v>
      </c>
      <c r="D8" s="23"/>
      <c r="E8" s="23" t="s">
        <v>847</v>
      </c>
      <c r="F8" s="23">
        <v>1</v>
      </c>
    </row>
    <row r="9" spans="1:6">
      <c r="A9" s="330"/>
      <c r="B9" s="206" t="s">
        <v>858</v>
      </c>
      <c r="C9" s="91" t="s">
        <v>859</v>
      </c>
      <c r="D9" s="23"/>
      <c r="E9" s="23" t="s">
        <v>847</v>
      </c>
      <c r="F9" s="23">
        <v>1</v>
      </c>
    </row>
    <row r="10" spans="1:6">
      <c r="A10" s="330"/>
      <c r="B10" s="206" t="s">
        <v>860</v>
      </c>
      <c r="C10" s="91" t="s">
        <v>861</v>
      </c>
      <c r="D10" s="23"/>
      <c r="E10" s="23" t="s">
        <v>847</v>
      </c>
      <c r="F10" s="23">
        <v>1</v>
      </c>
    </row>
    <row r="11" spans="1:6">
      <c r="A11" s="330"/>
      <c r="B11" s="206" t="s">
        <v>862</v>
      </c>
      <c r="C11" s="91" t="s">
        <v>863</v>
      </c>
      <c r="D11" s="23"/>
      <c r="E11" s="23" t="s">
        <v>864</v>
      </c>
      <c r="F11" s="23">
        <v>1</v>
      </c>
    </row>
    <row r="12" spans="1:6">
      <c r="A12" s="330"/>
      <c r="B12" s="206" t="s">
        <v>865</v>
      </c>
      <c r="C12" s="91" t="s">
        <v>866</v>
      </c>
      <c r="D12" s="23"/>
      <c r="E12" s="23" t="s">
        <v>864</v>
      </c>
      <c r="F12" s="23">
        <v>1</v>
      </c>
    </row>
    <row r="13" spans="1:6">
      <c r="A13" s="330"/>
      <c r="B13" s="206" t="s">
        <v>867</v>
      </c>
      <c r="C13" s="91" t="s">
        <v>868</v>
      </c>
      <c r="D13" s="23"/>
      <c r="E13" s="23" t="s">
        <v>864</v>
      </c>
      <c r="F13" s="23">
        <v>1</v>
      </c>
    </row>
    <row r="14" spans="1:6">
      <c r="A14" s="330"/>
      <c r="B14" s="206" t="s">
        <v>869</v>
      </c>
      <c r="C14" s="91" t="s">
        <v>870</v>
      </c>
      <c r="D14" s="23"/>
      <c r="E14" s="23" t="s">
        <v>864</v>
      </c>
      <c r="F14" s="23">
        <v>1</v>
      </c>
    </row>
    <row r="15" spans="1:6">
      <c r="A15" s="330"/>
      <c r="B15" s="206" t="s">
        <v>871</v>
      </c>
      <c r="C15" s="91" t="s">
        <v>872</v>
      </c>
      <c r="D15" s="23"/>
      <c r="E15" s="23" t="s">
        <v>555</v>
      </c>
      <c r="F15" s="23">
        <v>1</v>
      </c>
    </row>
    <row r="16" spans="1:6">
      <c r="A16" s="330"/>
      <c r="B16" s="206" t="s">
        <v>873</v>
      </c>
      <c r="C16" s="91" t="s">
        <v>874</v>
      </c>
      <c r="D16" s="23"/>
      <c r="E16" s="23" t="s">
        <v>875</v>
      </c>
      <c r="F16" s="23">
        <v>1</v>
      </c>
    </row>
    <row r="17" spans="1:6">
      <c r="A17" s="330"/>
      <c r="B17" s="206" t="s">
        <v>876</v>
      </c>
      <c r="C17" s="91" t="s">
        <v>877</v>
      </c>
      <c r="D17" s="23"/>
      <c r="E17" s="23" t="s">
        <v>875</v>
      </c>
      <c r="F17" s="23">
        <v>1</v>
      </c>
    </row>
    <row r="18" spans="1:6">
      <c r="A18" s="330"/>
      <c r="B18" s="206" t="s">
        <v>878</v>
      </c>
      <c r="C18" s="91" t="s">
        <v>879</v>
      </c>
      <c r="D18" s="23"/>
      <c r="E18" s="23" t="s">
        <v>875</v>
      </c>
      <c r="F18" s="23">
        <v>1</v>
      </c>
    </row>
    <row r="19" spans="1:6">
      <c r="A19" s="330"/>
      <c r="B19" s="206" t="s">
        <v>880</v>
      </c>
      <c r="C19" s="91" t="s">
        <v>881</v>
      </c>
      <c r="D19" s="23"/>
      <c r="E19" s="23" t="s">
        <v>875</v>
      </c>
      <c r="F19" s="23">
        <v>1</v>
      </c>
    </row>
    <row r="20" spans="1:6">
      <c r="A20" s="330"/>
      <c r="B20" s="206" t="s">
        <v>882</v>
      </c>
      <c r="C20" s="91" t="s">
        <v>883</v>
      </c>
      <c r="D20" s="23"/>
      <c r="E20" s="23" t="s">
        <v>555</v>
      </c>
      <c r="F20" s="23">
        <v>1</v>
      </c>
    </row>
    <row r="21" spans="1:6">
      <c r="A21" s="330"/>
      <c r="B21" s="206" t="s">
        <v>884</v>
      </c>
      <c r="C21" s="91" t="s">
        <v>885</v>
      </c>
      <c r="D21" s="23"/>
      <c r="E21" s="23" t="s">
        <v>875</v>
      </c>
      <c r="F21" s="23">
        <v>1</v>
      </c>
    </row>
    <row r="22" spans="1:6">
      <c r="A22" s="330"/>
      <c r="B22" s="206" t="s">
        <v>886</v>
      </c>
      <c r="C22" s="91" t="s">
        <v>887</v>
      </c>
      <c r="D22" s="23"/>
      <c r="E22" s="23" t="s">
        <v>875</v>
      </c>
      <c r="F22" s="23">
        <v>1</v>
      </c>
    </row>
    <row r="23" spans="1:6">
      <c r="A23" s="330"/>
      <c r="B23" s="206" t="s">
        <v>888</v>
      </c>
      <c r="C23" s="91" t="s">
        <v>889</v>
      </c>
      <c r="D23" s="23"/>
      <c r="E23" s="23" t="s">
        <v>864</v>
      </c>
      <c r="F23" s="23">
        <v>1</v>
      </c>
    </row>
    <row r="24" spans="1:6">
      <c r="A24" s="330"/>
      <c r="B24" s="206" t="s">
        <v>890</v>
      </c>
      <c r="C24" s="91" t="s">
        <v>891</v>
      </c>
      <c r="D24" s="23"/>
      <c r="E24" s="23" t="s">
        <v>28</v>
      </c>
      <c r="F24" s="23">
        <v>1</v>
      </c>
    </row>
    <row r="25" spans="1:6">
      <c r="A25" s="330"/>
      <c r="B25" s="206" t="s">
        <v>892</v>
      </c>
      <c r="C25" s="91" t="s">
        <v>893</v>
      </c>
      <c r="D25" s="23"/>
      <c r="E25" s="23" t="s">
        <v>864</v>
      </c>
      <c r="F25" s="23">
        <v>1</v>
      </c>
    </row>
    <row r="26" spans="1:6">
      <c r="A26" s="330"/>
      <c r="B26" s="206" t="s">
        <v>894</v>
      </c>
      <c r="C26" s="91" t="s">
        <v>895</v>
      </c>
      <c r="D26" s="23"/>
      <c r="E26" s="23" t="s">
        <v>864</v>
      </c>
      <c r="F26" s="23">
        <v>1</v>
      </c>
    </row>
    <row r="27" spans="1:6">
      <c r="A27" s="330"/>
      <c r="B27" s="206" t="s">
        <v>896</v>
      </c>
      <c r="C27" s="91" t="s">
        <v>897</v>
      </c>
      <c r="D27" s="23"/>
      <c r="E27" s="23" t="s">
        <v>555</v>
      </c>
      <c r="F27" s="23">
        <v>1</v>
      </c>
    </row>
    <row r="28" spans="1:6">
      <c r="A28" s="330"/>
      <c r="B28" s="206" t="s">
        <v>898</v>
      </c>
      <c r="C28" s="91" t="s">
        <v>899</v>
      </c>
      <c r="D28" s="23"/>
      <c r="E28" s="23" t="s">
        <v>900</v>
      </c>
      <c r="F28" s="23">
        <v>1</v>
      </c>
    </row>
    <row r="29" spans="1:6">
      <c r="A29" s="330"/>
      <c r="B29" s="206" t="s">
        <v>901</v>
      </c>
      <c r="C29" s="91" t="s">
        <v>902</v>
      </c>
      <c r="D29" s="23"/>
      <c r="E29" s="23" t="s">
        <v>555</v>
      </c>
      <c r="F29" s="23">
        <v>1</v>
      </c>
    </row>
    <row r="30" spans="1:6">
      <c r="A30" s="330"/>
      <c r="B30" s="206" t="s">
        <v>903</v>
      </c>
      <c r="C30" s="21" t="s">
        <v>904</v>
      </c>
      <c r="D30" s="23"/>
      <c r="E30" s="23" t="s">
        <v>555</v>
      </c>
      <c r="F30" s="23">
        <v>1</v>
      </c>
    </row>
    <row r="31" spans="1:6">
      <c r="A31" s="330"/>
      <c r="B31" s="206" t="s">
        <v>905</v>
      </c>
      <c r="C31" s="91" t="s">
        <v>906</v>
      </c>
      <c r="D31" s="23"/>
      <c r="E31" s="23" t="s">
        <v>555</v>
      </c>
      <c r="F31" s="23">
        <v>1</v>
      </c>
    </row>
    <row r="32" spans="1:6">
      <c r="A32" s="330"/>
      <c r="B32" s="206" t="s">
        <v>907</v>
      </c>
      <c r="C32" s="91" t="s">
        <v>908</v>
      </c>
      <c r="D32" s="23"/>
      <c r="E32" s="23" t="s">
        <v>555</v>
      </c>
      <c r="F32" s="23">
        <v>1</v>
      </c>
    </row>
    <row r="33" spans="1:6">
      <c r="A33" s="330"/>
      <c r="B33" s="206" t="s">
        <v>909</v>
      </c>
      <c r="C33" s="91" t="s">
        <v>910</v>
      </c>
      <c r="D33" s="23"/>
      <c r="E33" s="23" t="s">
        <v>555</v>
      </c>
      <c r="F33" s="23">
        <v>1</v>
      </c>
    </row>
    <row r="34" spans="1:6">
      <c r="A34" s="330"/>
      <c r="B34" s="206" t="s">
        <v>911</v>
      </c>
      <c r="C34" s="91" t="s">
        <v>912</v>
      </c>
      <c r="D34" s="23"/>
      <c r="E34" s="23" t="s">
        <v>434</v>
      </c>
      <c r="F34" s="23">
        <v>1</v>
      </c>
    </row>
    <row r="35" spans="1:6">
      <c r="A35" s="330"/>
      <c r="B35" s="206" t="s">
        <v>913</v>
      </c>
      <c r="C35" s="91" t="s">
        <v>914</v>
      </c>
      <c r="D35" s="23"/>
      <c r="E35" s="23" t="s">
        <v>555</v>
      </c>
      <c r="F35" s="23">
        <v>1</v>
      </c>
    </row>
    <row r="36" spans="1:6">
      <c r="A36" s="330"/>
      <c r="B36" s="206" t="s">
        <v>915</v>
      </c>
      <c r="C36" s="91" t="s">
        <v>916</v>
      </c>
      <c r="D36" s="23"/>
      <c r="E36" s="23" t="s">
        <v>555</v>
      </c>
      <c r="F36" s="23">
        <v>1</v>
      </c>
    </row>
    <row r="37" spans="1:6">
      <c r="A37" s="330"/>
      <c r="B37" s="206" t="s">
        <v>917</v>
      </c>
      <c r="C37" s="91" t="s">
        <v>918</v>
      </c>
      <c r="D37" s="23"/>
      <c r="E37" s="23" t="s">
        <v>919</v>
      </c>
      <c r="F37" s="23">
        <v>1</v>
      </c>
    </row>
    <row r="38" spans="1:6">
      <c r="A38" s="330"/>
      <c r="B38" s="206" t="s">
        <v>920</v>
      </c>
      <c r="C38" s="91" t="s">
        <v>921</v>
      </c>
      <c r="D38" s="23"/>
      <c r="E38" s="23" t="s">
        <v>555</v>
      </c>
      <c r="F38" s="23">
        <v>1</v>
      </c>
    </row>
    <row r="39" spans="1:6">
      <c r="A39" s="330"/>
      <c r="B39" s="206" t="s">
        <v>922</v>
      </c>
      <c r="C39" s="91" t="s">
        <v>923</v>
      </c>
      <c r="D39" s="23"/>
      <c r="E39" s="23" t="s">
        <v>555</v>
      </c>
      <c r="F39" s="23">
        <v>1</v>
      </c>
    </row>
    <row r="40" spans="1:6">
      <c r="A40" s="330"/>
      <c r="B40" s="206" t="s">
        <v>924</v>
      </c>
      <c r="C40" s="91" t="s">
        <v>925</v>
      </c>
      <c r="D40" s="23"/>
      <c r="E40" s="23" t="s">
        <v>555</v>
      </c>
      <c r="F40" s="23">
        <v>1</v>
      </c>
    </row>
    <row r="41" spans="1:6">
      <c r="A41" s="330"/>
      <c r="B41" s="206" t="s">
        <v>926</v>
      </c>
      <c r="C41" s="91" t="s">
        <v>927</v>
      </c>
      <c r="D41" s="23"/>
      <c r="E41" s="23" t="s">
        <v>555</v>
      </c>
      <c r="F41" s="23">
        <v>1</v>
      </c>
    </row>
    <row r="42" spans="1:6">
      <c r="A42" s="330"/>
      <c r="B42" s="206" t="s">
        <v>928</v>
      </c>
      <c r="C42" s="91" t="s">
        <v>929</v>
      </c>
      <c r="D42" s="23"/>
      <c r="E42" s="23" t="s">
        <v>434</v>
      </c>
      <c r="F42" s="23">
        <v>1</v>
      </c>
    </row>
    <row r="43" spans="1:6">
      <c r="A43" s="330"/>
      <c r="B43" s="206" t="s">
        <v>930</v>
      </c>
      <c r="C43" s="91" t="s">
        <v>931</v>
      </c>
      <c r="D43" s="23"/>
      <c r="E43" s="23" t="s">
        <v>555</v>
      </c>
      <c r="F43" s="23">
        <v>1</v>
      </c>
    </row>
    <row r="44" spans="1:6">
      <c r="A44" s="330"/>
      <c r="B44" s="206" t="s">
        <v>932</v>
      </c>
      <c r="C44" s="91" t="s">
        <v>933</v>
      </c>
      <c r="D44" s="23"/>
      <c r="E44" s="23" t="s">
        <v>555</v>
      </c>
      <c r="F44" s="23">
        <v>1</v>
      </c>
    </row>
    <row r="45" spans="1:6">
      <c r="A45" s="330"/>
      <c r="B45" s="206" t="s">
        <v>934</v>
      </c>
      <c r="C45" s="91" t="s">
        <v>935</v>
      </c>
      <c r="D45" s="23"/>
      <c r="E45" s="23" t="s">
        <v>555</v>
      </c>
      <c r="F45" s="23">
        <v>1</v>
      </c>
    </row>
    <row r="46" spans="1:6">
      <c r="A46" s="330"/>
      <c r="B46" s="206" t="s">
        <v>936</v>
      </c>
      <c r="C46" s="91" t="s">
        <v>937</v>
      </c>
      <c r="D46" s="23"/>
      <c r="E46" s="23" t="s">
        <v>555</v>
      </c>
      <c r="F46" s="23">
        <v>1</v>
      </c>
    </row>
    <row r="47" spans="1:6">
      <c r="A47" s="330"/>
      <c r="B47" s="206" t="s">
        <v>938</v>
      </c>
      <c r="C47" s="91" t="s">
        <v>939</v>
      </c>
      <c r="D47" s="23"/>
      <c r="E47" s="23" t="s">
        <v>787</v>
      </c>
      <c r="F47" s="23">
        <v>1</v>
      </c>
    </row>
    <row r="48" spans="1:6">
      <c r="A48" s="330"/>
      <c r="B48" s="206" t="s">
        <v>940</v>
      </c>
      <c r="C48" s="91" t="s">
        <v>941</v>
      </c>
      <c r="D48" s="23"/>
      <c r="E48" s="23" t="s">
        <v>787</v>
      </c>
      <c r="F48" s="23">
        <v>1</v>
      </c>
    </row>
    <row r="49" spans="1:6">
      <c r="A49" s="330"/>
      <c r="B49" s="206" t="s">
        <v>942</v>
      </c>
      <c r="C49" s="91" t="s">
        <v>943</v>
      </c>
      <c r="D49" s="23"/>
      <c r="E49" s="23" t="s">
        <v>787</v>
      </c>
      <c r="F49" s="23">
        <v>1</v>
      </c>
    </row>
    <row r="50" spans="1:6">
      <c r="A50" s="330"/>
      <c r="B50" s="206" t="s">
        <v>944</v>
      </c>
      <c r="C50" s="91" t="s">
        <v>945</v>
      </c>
      <c r="D50" s="23"/>
      <c r="E50" s="23" t="s">
        <v>787</v>
      </c>
      <c r="F50" s="23">
        <v>1</v>
      </c>
    </row>
    <row r="51" spans="1:6">
      <c r="A51" s="330"/>
      <c r="B51" s="206" t="s">
        <v>946</v>
      </c>
      <c r="C51" s="91" t="s">
        <v>947</v>
      </c>
      <c r="D51" s="23"/>
      <c r="E51" s="23" t="s">
        <v>434</v>
      </c>
      <c r="F51" s="23">
        <v>1</v>
      </c>
    </row>
    <row r="52" spans="1:6">
      <c r="A52" s="330"/>
      <c r="B52" s="206" t="s">
        <v>948</v>
      </c>
      <c r="C52" s="91" t="s">
        <v>949</v>
      </c>
      <c r="D52" s="23"/>
      <c r="E52" s="23" t="s">
        <v>434</v>
      </c>
      <c r="F52" s="23">
        <v>1</v>
      </c>
    </row>
    <row r="53" spans="1:6">
      <c r="A53" s="330"/>
      <c r="B53" s="206" t="s">
        <v>950</v>
      </c>
      <c r="C53" s="91" t="s">
        <v>951</v>
      </c>
      <c r="D53" s="23"/>
      <c r="E53" s="23" t="s">
        <v>952</v>
      </c>
      <c r="F53" s="23">
        <v>1</v>
      </c>
    </row>
    <row r="54" spans="1:6">
      <c r="A54" s="330"/>
      <c r="B54" s="206" t="s">
        <v>953</v>
      </c>
      <c r="C54" s="91" t="s">
        <v>954</v>
      </c>
      <c r="D54" s="23"/>
      <c r="E54" s="23" t="s">
        <v>555</v>
      </c>
      <c r="F54" s="23">
        <v>1</v>
      </c>
    </row>
    <row r="55" spans="1:6">
      <c r="A55" s="330"/>
      <c r="B55" s="206" t="s">
        <v>955</v>
      </c>
      <c r="C55" s="91" t="s">
        <v>956</v>
      </c>
      <c r="D55" s="23"/>
      <c r="E55" s="23" t="s">
        <v>434</v>
      </c>
      <c r="F55" s="23">
        <v>1</v>
      </c>
    </row>
    <row r="56" spans="1:6">
      <c r="A56" s="330"/>
      <c r="B56" s="206" t="s">
        <v>957</v>
      </c>
      <c r="C56" s="91" t="s">
        <v>958</v>
      </c>
      <c r="D56" s="23"/>
      <c r="E56" s="23" t="s">
        <v>919</v>
      </c>
      <c r="F56" s="23">
        <v>1</v>
      </c>
    </row>
    <row r="57" spans="1:6">
      <c r="A57" s="330"/>
      <c r="B57" s="206" t="s">
        <v>959</v>
      </c>
      <c r="C57" s="91" t="s">
        <v>960</v>
      </c>
      <c r="D57" s="23"/>
      <c r="E57" s="23" t="s">
        <v>919</v>
      </c>
      <c r="F57" s="23">
        <v>1</v>
      </c>
    </row>
    <row r="58" spans="1:6">
      <c r="A58" s="330"/>
      <c r="B58" s="206" t="s">
        <v>961</v>
      </c>
      <c r="C58" s="91" t="s">
        <v>962</v>
      </c>
      <c r="D58" s="23"/>
      <c r="E58" s="23" t="s">
        <v>963</v>
      </c>
      <c r="F58" s="23">
        <v>1</v>
      </c>
    </row>
    <row r="59" spans="1:6">
      <c r="A59" s="330"/>
      <c r="B59" s="206" t="s">
        <v>964</v>
      </c>
      <c r="C59" s="91" t="s">
        <v>965</v>
      </c>
      <c r="D59" s="23"/>
      <c r="E59" s="23" t="s">
        <v>952</v>
      </c>
      <c r="F59" s="23">
        <v>1</v>
      </c>
    </row>
    <row r="60" spans="1:6">
      <c r="A60" s="330"/>
      <c r="B60" s="206" t="s">
        <v>966</v>
      </c>
      <c r="C60" s="91" t="s">
        <v>967</v>
      </c>
      <c r="D60" s="23"/>
      <c r="E60" s="23" t="s">
        <v>952</v>
      </c>
      <c r="F60" s="23">
        <v>1</v>
      </c>
    </row>
    <row r="61" spans="1:6">
      <c r="A61" s="330"/>
      <c r="B61" s="206" t="s">
        <v>968</v>
      </c>
      <c r="C61" s="91" t="s">
        <v>969</v>
      </c>
      <c r="D61" s="23"/>
      <c r="E61" s="23" t="s">
        <v>612</v>
      </c>
      <c r="F61" s="23">
        <v>1</v>
      </c>
    </row>
    <row r="62" spans="1:6">
      <c r="A62" s="330"/>
      <c r="B62" s="206" t="s">
        <v>970</v>
      </c>
      <c r="C62" s="91" t="s">
        <v>971</v>
      </c>
      <c r="D62" s="23"/>
      <c r="E62" s="23" t="s">
        <v>952</v>
      </c>
      <c r="F62" s="23">
        <v>1</v>
      </c>
    </row>
    <row r="63" spans="1:6">
      <c r="A63" s="330"/>
      <c r="B63" s="206" t="s">
        <v>972</v>
      </c>
      <c r="C63" s="91" t="s">
        <v>973</v>
      </c>
      <c r="D63" s="23"/>
      <c r="E63" s="23" t="s">
        <v>434</v>
      </c>
      <c r="F63" s="23">
        <v>1</v>
      </c>
    </row>
    <row r="64" spans="1:6">
      <c r="A64" s="330"/>
      <c r="B64" s="206" t="s">
        <v>974</v>
      </c>
      <c r="C64" s="91" t="s">
        <v>975</v>
      </c>
      <c r="D64" s="23"/>
      <c r="E64" s="23" t="s">
        <v>434</v>
      </c>
      <c r="F64" s="23">
        <v>1</v>
      </c>
    </row>
    <row r="65" spans="1:6">
      <c r="A65" s="330"/>
      <c r="B65" s="206" t="s">
        <v>976</v>
      </c>
      <c r="C65" s="91" t="s">
        <v>977</v>
      </c>
      <c r="D65" s="23"/>
      <c r="E65" s="23" t="s">
        <v>919</v>
      </c>
      <c r="F65" s="23">
        <v>1</v>
      </c>
    </row>
    <row r="66" spans="1:6">
      <c r="A66" s="330"/>
      <c r="B66" s="206" t="s">
        <v>978</v>
      </c>
      <c r="C66" s="91" t="s">
        <v>979</v>
      </c>
      <c r="D66" s="23"/>
      <c r="E66" s="23" t="s">
        <v>919</v>
      </c>
      <c r="F66" s="23">
        <v>1</v>
      </c>
    </row>
    <row r="67" spans="1:6">
      <c r="A67" s="330"/>
      <c r="B67" s="206" t="s">
        <v>980</v>
      </c>
      <c r="C67" s="91" t="s">
        <v>981</v>
      </c>
      <c r="D67" s="23"/>
      <c r="E67" s="23" t="s">
        <v>982</v>
      </c>
      <c r="F67" s="23">
        <v>1</v>
      </c>
    </row>
    <row r="68" spans="1:6">
      <c r="A68" s="330"/>
      <c r="B68" s="206" t="s">
        <v>983</v>
      </c>
      <c r="C68" s="91" t="s">
        <v>984</v>
      </c>
      <c r="D68" s="23"/>
      <c r="E68" s="23" t="s">
        <v>982</v>
      </c>
      <c r="F68" s="23">
        <v>1</v>
      </c>
    </row>
    <row r="69" spans="1:6">
      <c r="A69" s="330"/>
      <c r="B69" s="206" t="s">
        <v>985</v>
      </c>
      <c r="C69" s="91" t="s">
        <v>986</v>
      </c>
      <c r="D69" s="23"/>
      <c r="E69" s="23" t="s">
        <v>982</v>
      </c>
      <c r="F69" s="23">
        <v>1</v>
      </c>
    </row>
    <row r="70" spans="1:6">
      <c r="A70" s="330"/>
      <c r="B70" s="206" t="s">
        <v>987</v>
      </c>
      <c r="C70" s="91" t="s">
        <v>988</v>
      </c>
      <c r="D70" s="23"/>
      <c r="E70" s="23" t="s">
        <v>989</v>
      </c>
      <c r="F70" s="23">
        <v>1</v>
      </c>
    </row>
    <row r="71" spans="1:6">
      <c r="A71" s="330"/>
      <c r="B71" s="206" t="s">
        <v>990</v>
      </c>
      <c r="C71" s="91" t="s">
        <v>991</v>
      </c>
      <c r="D71" s="23"/>
      <c r="E71" s="23" t="s">
        <v>864</v>
      </c>
      <c r="F71" s="23">
        <v>1</v>
      </c>
    </row>
    <row r="72" spans="1:6">
      <c r="A72" s="330"/>
      <c r="B72" s="206" t="s">
        <v>992</v>
      </c>
      <c r="C72" s="91" t="s">
        <v>993</v>
      </c>
      <c r="D72" s="23"/>
      <c r="E72" s="23" t="s">
        <v>434</v>
      </c>
      <c r="F72" s="23">
        <v>1</v>
      </c>
    </row>
    <row r="73" spans="1:6">
      <c r="A73" s="330"/>
      <c r="B73" s="206" t="s">
        <v>994</v>
      </c>
      <c r="C73" s="91" t="s">
        <v>995</v>
      </c>
      <c r="D73" s="23"/>
      <c r="E73" s="23" t="s">
        <v>434</v>
      </c>
      <c r="F73" s="23">
        <v>1</v>
      </c>
    </row>
    <row r="74" spans="1:6">
      <c r="A74" s="330"/>
      <c r="B74" s="206" t="s">
        <v>996</v>
      </c>
      <c r="C74" s="91" t="s">
        <v>997</v>
      </c>
      <c r="D74" s="23"/>
      <c r="E74" s="23" t="s">
        <v>434</v>
      </c>
      <c r="F74" s="23">
        <v>1</v>
      </c>
    </row>
    <row r="75" spans="1:6">
      <c r="A75" s="330"/>
      <c r="B75" s="206" t="s">
        <v>998</v>
      </c>
      <c r="C75" s="91" t="s">
        <v>999</v>
      </c>
      <c r="D75" s="23"/>
      <c r="E75" s="23" t="s">
        <v>434</v>
      </c>
      <c r="F75" s="23">
        <v>1</v>
      </c>
    </row>
    <row r="76" spans="1:6">
      <c r="A76" s="330"/>
      <c r="B76" s="206" t="s">
        <v>1000</v>
      </c>
      <c r="C76" s="91" t="s">
        <v>1001</v>
      </c>
      <c r="D76" s="23"/>
      <c r="E76" s="23" t="s">
        <v>555</v>
      </c>
      <c r="F76" s="23">
        <v>1</v>
      </c>
    </row>
    <row r="77" spans="1:6">
      <c r="A77" s="330"/>
      <c r="B77" s="206" t="s">
        <v>1002</v>
      </c>
      <c r="C77" s="91" t="s">
        <v>1003</v>
      </c>
      <c r="D77" s="23"/>
      <c r="E77" s="23" t="s">
        <v>28</v>
      </c>
      <c r="F77" s="23">
        <v>1</v>
      </c>
    </row>
    <row r="78" spans="1:6">
      <c r="A78" s="330"/>
      <c r="B78" s="206" t="s">
        <v>1004</v>
      </c>
      <c r="C78" s="91" t="s">
        <v>1005</v>
      </c>
      <c r="D78" s="23"/>
      <c r="E78" s="23" t="s">
        <v>864</v>
      </c>
      <c r="F78" s="23">
        <v>1</v>
      </c>
    </row>
    <row r="79" spans="1:6">
      <c r="A79" s="330"/>
      <c r="B79" s="206" t="s">
        <v>1006</v>
      </c>
      <c r="C79" s="91" t="s">
        <v>1007</v>
      </c>
      <c r="D79" s="23"/>
      <c r="E79" s="23" t="s">
        <v>864</v>
      </c>
      <c r="F79" s="23">
        <v>1</v>
      </c>
    </row>
    <row r="80" spans="1:6">
      <c r="A80" s="330"/>
      <c r="B80" s="206" t="s">
        <v>1008</v>
      </c>
      <c r="C80" s="91" t="s">
        <v>1009</v>
      </c>
      <c r="D80" s="23"/>
      <c r="E80" s="23" t="s">
        <v>864</v>
      </c>
      <c r="F80" s="23">
        <v>1</v>
      </c>
    </row>
    <row r="81" spans="1:6">
      <c r="A81" s="330"/>
      <c r="B81" s="206" t="s">
        <v>1010</v>
      </c>
      <c r="C81" s="91" t="s">
        <v>1011</v>
      </c>
      <c r="D81" s="23"/>
      <c r="E81" s="23" t="s">
        <v>864</v>
      </c>
      <c r="F81" s="23">
        <v>1</v>
      </c>
    </row>
    <row r="82" spans="1:6">
      <c r="A82" s="330"/>
      <c r="B82" s="206" t="s">
        <v>1012</v>
      </c>
      <c r="C82" s="91" t="s">
        <v>1013</v>
      </c>
      <c r="D82" s="23"/>
      <c r="E82" s="23" t="s">
        <v>864</v>
      </c>
      <c r="F82" s="23">
        <v>1</v>
      </c>
    </row>
    <row r="83" spans="1:6">
      <c r="A83" s="330"/>
      <c r="B83" s="206" t="s">
        <v>1014</v>
      </c>
      <c r="C83" s="91" t="s">
        <v>1015</v>
      </c>
      <c r="D83" s="23"/>
      <c r="E83" s="23" t="s">
        <v>434</v>
      </c>
      <c r="F83" s="23">
        <v>1</v>
      </c>
    </row>
    <row r="84" spans="1:6">
      <c r="A84" s="330"/>
      <c r="B84" s="206" t="s">
        <v>1016</v>
      </c>
      <c r="C84" s="91" t="s">
        <v>1017</v>
      </c>
      <c r="D84" s="23"/>
      <c r="E84" s="23" t="s">
        <v>1018</v>
      </c>
      <c r="F84" s="23">
        <v>1</v>
      </c>
    </row>
    <row r="85" spans="1:6">
      <c r="A85" s="330"/>
      <c r="B85" s="206" t="s">
        <v>1019</v>
      </c>
      <c r="C85" s="91" t="s">
        <v>1020</v>
      </c>
      <c r="D85" s="23"/>
      <c r="E85" s="23" t="s">
        <v>434</v>
      </c>
      <c r="F85" s="23">
        <v>1</v>
      </c>
    </row>
    <row r="86" spans="1:6">
      <c r="A86" s="330"/>
      <c r="B86" s="206" t="s">
        <v>1021</v>
      </c>
      <c r="C86" s="91" t="s">
        <v>1022</v>
      </c>
      <c r="D86" s="23"/>
      <c r="E86" s="23" t="s">
        <v>919</v>
      </c>
      <c r="F86" s="23">
        <v>1</v>
      </c>
    </row>
    <row r="87" spans="1:6">
      <c r="A87" s="330"/>
      <c r="B87" s="206" t="s">
        <v>1023</v>
      </c>
      <c r="C87" s="91" t="s">
        <v>1024</v>
      </c>
      <c r="D87" s="23"/>
      <c r="E87" s="23" t="s">
        <v>555</v>
      </c>
      <c r="F87" s="23">
        <v>1</v>
      </c>
    </row>
  </sheetData>
  <mergeCells count="1">
    <mergeCell ref="A3:A87"/>
  </mergeCells>
  <conditionalFormatting sqref="C36">
    <cfRule type="duplicateValues" dxfId="0" priority="51"/>
  </conditionalFormatting>
  <conditionalFormatting sqref="C37">
    <cfRule type="duplicateValues" dxfId="0" priority="50"/>
  </conditionalFormatting>
  <conditionalFormatting sqref="C38">
    <cfRule type="duplicateValues" dxfId="0" priority="49"/>
  </conditionalFormatting>
  <conditionalFormatting sqref="C39">
    <cfRule type="duplicateValues" dxfId="0" priority="48"/>
  </conditionalFormatting>
  <conditionalFormatting sqref="C40">
    <cfRule type="duplicateValues" dxfId="0" priority="47"/>
  </conditionalFormatting>
  <conditionalFormatting sqref="C43">
    <cfRule type="duplicateValues" dxfId="0" priority="45"/>
  </conditionalFormatting>
  <conditionalFormatting sqref="C46">
    <cfRule type="duplicateValues" dxfId="0" priority="43"/>
  </conditionalFormatting>
  <conditionalFormatting sqref="C47">
    <cfRule type="duplicateValues" dxfId="0" priority="42"/>
  </conditionalFormatting>
  <conditionalFormatting sqref="C48">
    <cfRule type="duplicateValues" dxfId="0" priority="41"/>
  </conditionalFormatting>
  <conditionalFormatting sqref="C49">
    <cfRule type="duplicateValues" dxfId="0" priority="40"/>
  </conditionalFormatting>
  <conditionalFormatting sqref="C50">
    <cfRule type="duplicateValues" dxfId="0" priority="39"/>
  </conditionalFormatting>
  <conditionalFormatting sqref="C51">
    <cfRule type="duplicateValues" dxfId="0" priority="38"/>
  </conditionalFormatting>
  <conditionalFormatting sqref="C52">
    <cfRule type="duplicateValues" dxfId="0" priority="37"/>
  </conditionalFormatting>
  <conditionalFormatting sqref="C53">
    <cfRule type="duplicateValues" dxfId="0" priority="36"/>
  </conditionalFormatting>
  <conditionalFormatting sqref="C54">
    <cfRule type="duplicateValues" dxfId="0" priority="35"/>
  </conditionalFormatting>
  <conditionalFormatting sqref="C55">
    <cfRule type="duplicateValues" dxfId="0" priority="34"/>
  </conditionalFormatting>
  <conditionalFormatting sqref="C56">
    <cfRule type="duplicateValues" dxfId="0" priority="33"/>
  </conditionalFormatting>
  <conditionalFormatting sqref="C57">
    <cfRule type="duplicateValues" dxfId="0" priority="32"/>
  </conditionalFormatting>
  <conditionalFormatting sqref="C60">
    <cfRule type="duplicateValues" dxfId="0" priority="30"/>
  </conditionalFormatting>
  <conditionalFormatting sqref="C61">
    <cfRule type="duplicateValues" dxfId="0" priority="29"/>
  </conditionalFormatting>
  <conditionalFormatting sqref="C62">
    <cfRule type="duplicateValues" dxfId="0" priority="28"/>
  </conditionalFormatting>
  <conditionalFormatting sqref="C63">
    <cfRule type="duplicateValues" dxfId="0" priority="27"/>
  </conditionalFormatting>
  <conditionalFormatting sqref="C64">
    <cfRule type="duplicateValues" dxfId="0" priority="26"/>
  </conditionalFormatting>
  <conditionalFormatting sqref="C65">
    <cfRule type="duplicateValues" dxfId="0" priority="23"/>
  </conditionalFormatting>
  <conditionalFormatting sqref="C66">
    <cfRule type="duplicateValues" dxfId="0" priority="22"/>
  </conditionalFormatting>
  <conditionalFormatting sqref="C67">
    <cfRule type="duplicateValues" dxfId="0" priority="21"/>
  </conditionalFormatting>
  <conditionalFormatting sqref="C68">
    <cfRule type="duplicateValues" dxfId="0" priority="20"/>
  </conditionalFormatting>
  <conditionalFormatting sqref="C69">
    <cfRule type="duplicateValues" dxfId="0" priority="19"/>
  </conditionalFormatting>
  <conditionalFormatting sqref="C70">
    <cfRule type="duplicateValues" dxfId="0" priority="18"/>
  </conditionalFormatting>
  <conditionalFormatting sqref="C71">
    <cfRule type="duplicateValues" dxfId="0" priority="17"/>
  </conditionalFormatting>
  <conditionalFormatting sqref="C72">
    <cfRule type="duplicateValues" dxfId="0" priority="16"/>
  </conditionalFormatting>
  <conditionalFormatting sqref="C73">
    <cfRule type="duplicateValues" dxfId="0" priority="15"/>
  </conditionalFormatting>
  <conditionalFormatting sqref="C74">
    <cfRule type="duplicateValues" dxfId="0" priority="14"/>
  </conditionalFormatting>
  <conditionalFormatting sqref="C75">
    <cfRule type="duplicateValues" dxfId="0" priority="13"/>
  </conditionalFormatting>
  <conditionalFormatting sqref="C76">
    <cfRule type="duplicateValues" dxfId="0" priority="12"/>
  </conditionalFormatting>
  <conditionalFormatting sqref="C77">
    <cfRule type="duplicateValues" dxfId="0" priority="11"/>
  </conditionalFormatting>
  <conditionalFormatting sqref="C78">
    <cfRule type="duplicateValues" dxfId="0" priority="10"/>
  </conditionalFormatting>
  <conditionalFormatting sqref="C79">
    <cfRule type="duplicateValues" dxfId="0" priority="9"/>
  </conditionalFormatting>
  <conditionalFormatting sqref="C80">
    <cfRule type="duplicateValues" dxfId="0" priority="8"/>
  </conditionalFormatting>
  <conditionalFormatting sqref="C81">
    <cfRule type="duplicateValues" dxfId="0" priority="7"/>
  </conditionalFormatting>
  <conditionalFormatting sqref="C82">
    <cfRule type="duplicateValues" dxfId="0" priority="6"/>
  </conditionalFormatting>
  <conditionalFormatting sqref="C83">
    <cfRule type="duplicateValues" dxfId="0" priority="5"/>
  </conditionalFormatting>
  <conditionalFormatting sqref="C84">
    <cfRule type="duplicateValues" dxfId="0" priority="4"/>
  </conditionalFormatting>
  <conditionalFormatting sqref="C85">
    <cfRule type="duplicateValues" dxfId="0" priority="3"/>
  </conditionalFormatting>
  <conditionalFormatting sqref="C86">
    <cfRule type="duplicateValues" dxfId="0" priority="2"/>
  </conditionalFormatting>
  <conditionalFormatting sqref="C87">
    <cfRule type="duplicateValues" dxfId="0" priority="1"/>
  </conditionalFormatting>
  <conditionalFormatting sqref="B3:B87">
    <cfRule type="duplicateValues" dxfId="0" priority="52"/>
  </conditionalFormatting>
  <conditionalFormatting sqref="C41:C42">
    <cfRule type="duplicateValues" dxfId="0" priority="46"/>
  </conditionalFormatting>
  <conditionalFormatting sqref="C44:C45">
    <cfRule type="duplicateValues" dxfId="0" priority="44"/>
  </conditionalFormatting>
  <conditionalFormatting sqref="C58:C59">
    <cfRule type="duplicateValues" dxfId="0" priority="31"/>
  </conditionalFormatting>
  <conditionalFormatting sqref="C2:C35 C88:C1048576">
    <cfRule type="duplicateValues" dxfId="0" priority="53"/>
  </conditionalFormatting>
  <dataValidations count="1">
    <dataValidation type="custom" allowBlank="1" showErrorMessage="1" errorTitle="拒绝重复输入" error="当前输入的内容，与本区域的其他单元格内容重复。" sqref="C3 C4 C5 C8 C9 C10 C11 C12 C13 C14 C15 C16 C17 C18 C19 C20 C21 C22 C23 C24 C25 C26 C27 C28 C29 C30 C31 C32 C33 C34 C35 C6:C7" errorStyle="warning">
      <formula1>COUNTIF($D:$D,C3)&lt;2</formula1>
    </dataValidation>
  </dataValidations>
  <pageMargins left="0.75" right="0.75" top="1" bottom="1" header="0.511805555555556" footer="0.511805555555556"/>
  <headerFooter/>
</worksheet>
</file>

<file path=xl/worksheets/sheet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FFFF00"/>
  </sheetPr>
  <dimension ref="A1:U41"/>
  <sheetViews>
    <sheetView showGridLines="0" workbookViewId="0">
      <selection activeCell="F12" sqref="F12"/>
    </sheetView>
  </sheetViews>
  <sheetFormatPr defaultColWidth="9" defaultRowHeight="14.25"/>
  <cols>
    <col min="1" max="1" width="2.875" style="50" customWidth="1"/>
    <col min="2" max="2" width="15.25" style="50" customWidth="1"/>
    <col min="3" max="5" width="11" style="51" customWidth="1"/>
    <col min="6" max="6" width="11" style="50" customWidth="1"/>
    <col min="7" max="8" width="12.75" style="50" customWidth="1"/>
    <col min="9" max="13" width="13" style="50" customWidth="1"/>
    <col min="14" max="14" width="72.75" style="50" customWidth="1"/>
    <col min="15" max="15" width="11.125" style="50" customWidth="1"/>
    <col min="16" max="16" width="14.25" style="3" customWidth="1"/>
    <col min="17" max="17" width="9" style="3"/>
    <col min="18" max="18" width="16.25" style="3" customWidth="1"/>
    <col min="19" max="21" width="9" style="3"/>
    <col min="22" max="16384" width="9" style="1"/>
  </cols>
  <sheetData>
    <row r="1" ht="14.1" customHeight="1" spans="1:15">
      <c r="A1" s="211" t="s">
        <v>1504</v>
      </c>
      <c r="B1" s="211"/>
      <c r="C1" s="211"/>
      <c r="D1" s="211"/>
      <c r="E1" s="211"/>
      <c r="F1" s="211"/>
      <c r="G1" s="211"/>
      <c r="H1" s="211"/>
      <c r="I1" s="211"/>
      <c r="J1" s="211"/>
      <c r="K1" s="211"/>
      <c r="L1" s="211"/>
      <c r="M1" s="211"/>
      <c r="N1" s="211"/>
      <c r="O1" s="161"/>
    </row>
    <row r="2" ht="14.1" customHeight="1" spans="1:21">
      <c r="A2" s="141" t="s">
        <v>1246</v>
      </c>
      <c r="B2" s="142"/>
      <c r="C2" s="142"/>
      <c r="D2" s="9" t="s">
        <v>1505</v>
      </c>
      <c r="E2" s="176">
        <f>A3*5*20</f>
        <v>200</v>
      </c>
      <c r="F2" s="11"/>
      <c r="G2" s="11"/>
      <c r="H2" s="11"/>
      <c r="I2" s="11"/>
      <c r="J2" s="11"/>
      <c r="K2" s="11"/>
      <c r="L2" s="11"/>
      <c r="M2" s="11"/>
      <c r="N2" s="11"/>
      <c r="O2" s="162"/>
      <c r="Q2" s="55"/>
      <c r="R2" s="55"/>
      <c r="T2" s="1"/>
      <c r="U2" s="1"/>
    </row>
    <row r="3" ht="14.1" customHeight="1" spans="1:21">
      <c r="A3" s="177">
        <v>2</v>
      </c>
      <c r="B3" s="177"/>
      <c r="C3" s="178" t="s">
        <v>1247</v>
      </c>
      <c r="D3" s="179">
        <v>3</v>
      </c>
      <c r="E3" s="180" t="s">
        <v>1248</v>
      </c>
      <c r="F3" s="12">
        <v>2</v>
      </c>
      <c r="G3" s="11" t="s">
        <v>1249</v>
      </c>
      <c r="H3" s="12"/>
      <c r="I3" s="12"/>
      <c r="J3" s="12"/>
      <c r="K3" s="12"/>
      <c r="L3" s="12"/>
      <c r="M3" s="12"/>
      <c r="N3" s="12"/>
      <c r="O3" s="162"/>
      <c r="Q3" s="55"/>
      <c r="R3" s="55"/>
      <c r="T3" s="1"/>
      <c r="U3" s="1"/>
    </row>
    <row r="4" ht="14.1" customHeight="1" spans="1:21">
      <c r="A4" s="190"/>
      <c r="B4" s="128"/>
      <c r="C4" s="128"/>
      <c r="D4" s="128"/>
      <c r="E4" s="128"/>
      <c r="F4" s="128"/>
      <c r="G4" s="180" t="s">
        <v>1345</v>
      </c>
      <c r="H4" s="191"/>
      <c r="I4" s="198" t="s">
        <v>1346</v>
      </c>
      <c r="J4" s="199"/>
      <c r="K4" s="199"/>
      <c r="L4" s="199"/>
      <c r="M4" s="200"/>
      <c r="N4" s="201"/>
      <c r="O4" s="162"/>
      <c r="Q4" s="55"/>
      <c r="R4" s="55"/>
      <c r="T4" s="1"/>
      <c r="U4" s="1"/>
    </row>
    <row r="5" ht="24" spans="1:18">
      <c r="A5" s="146" t="s">
        <v>1200</v>
      </c>
      <c r="B5" s="146" t="s">
        <v>1201</v>
      </c>
      <c r="C5" s="146" t="s">
        <v>1250</v>
      </c>
      <c r="D5" s="146" t="s">
        <v>22</v>
      </c>
      <c r="E5" s="147" t="s">
        <v>1251</v>
      </c>
      <c r="F5" s="75" t="s">
        <v>1204</v>
      </c>
      <c r="G5" s="19" t="s">
        <v>1205</v>
      </c>
      <c r="H5" s="17" t="s">
        <v>1253</v>
      </c>
      <c r="I5" s="17" t="s">
        <v>1254</v>
      </c>
      <c r="J5" s="17" t="s">
        <v>1255</v>
      </c>
      <c r="K5" s="17" t="s">
        <v>1209</v>
      </c>
      <c r="L5" s="17" t="s">
        <v>1420</v>
      </c>
      <c r="M5" s="17" t="s">
        <v>1211</v>
      </c>
      <c r="N5" s="163" t="s">
        <v>1257</v>
      </c>
      <c r="O5" s="164" t="s">
        <v>1212</v>
      </c>
      <c r="P5" s="165" t="s">
        <v>1213</v>
      </c>
      <c r="Q5" s="165" t="s">
        <v>1214</v>
      </c>
      <c r="R5" s="75" t="s">
        <v>1213</v>
      </c>
    </row>
    <row r="6" ht="15.95" customHeight="1" spans="1:18">
      <c r="A6" s="20" t="s">
        <v>1215</v>
      </c>
      <c r="B6" s="91" t="s">
        <v>1224</v>
      </c>
      <c r="C6" s="23"/>
      <c r="D6" s="23" t="s">
        <v>28</v>
      </c>
      <c r="E6" s="24">
        <f>D3*2</f>
        <v>6</v>
      </c>
      <c r="F6" s="93">
        <f ca="1">I6+J6+K6+L6+M6</f>
        <v>899.193354992</v>
      </c>
      <c r="G6" s="94">
        <f>7.16/2</f>
        <v>3.58</v>
      </c>
      <c r="H6" s="94">
        <v>8.233</v>
      </c>
      <c r="I6" s="93">
        <f ca="1">G6*H6*'20米(人字203料）参数'!G3*1.1</f>
        <v>734.283354992</v>
      </c>
      <c r="J6" s="93">
        <f>48.55*2</f>
        <v>97.1</v>
      </c>
      <c r="K6" s="93">
        <v>45.91</v>
      </c>
      <c r="L6" s="93">
        <f>2.55*4</f>
        <v>10.2</v>
      </c>
      <c r="M6" s="93">
        <f>18*0.65</f>
        <v>11.7</v>
      </c>
      <c r="N6" s="166" t="s">
        <v>1421</v>
      </c>
      <c r="O6" s="167">
        <v>4</v>
      </c>
      <c r="P6" s="67">
        <f ca="1" t="shared" ref="P6:P31" si="0">F6*O6</f>
        <v>3596.773419968</v>
      </c>
      <c r="Q6" s="67">
        <f t="shared" ref="Q6:Q31" si="1">E6-O6</f>
        <v>2</v>
      </c>
      <c r="R6" s="67">
        <f ca="1" t="shared" ref="R6:R31" si="2">F6*Q6</f>
        <v>1798.386709984</v>
      </c>
    </row>
    <row r="7" ht="15.95" customHeight="1" spans="1:18">
      <c r="A7" s="20"/>
      <c r="B7" s="91" t="s">
        <v>1308</v>
      </c>
      <c r="C7" s="23"/>
      <c r="D7" s="23" t="s">
        <v>28</v>
      </c>
      <c r="E7" s="24">
        <f>F3*2</f>
        <v>4</v>
      </c>
      <c r="F7" s="101">
        <f ca="1">G7+H7+I7+J7+K7+L7+M7</f>
        <v>771.4092</v>
      </c>
      <c r="G7" s="148">
        <v>5</v>
      </c>
      <c r="H7" s="148">
        <v>5.3</v>
      </c>
      <c r="I7" s="101">
        <f ca="1">G7*H7*'20米(人字203料）参数'!G3*1.1</f>
        <v>660.1892</v>
      </c>
      <c r="J7" s="101"/>
      <c r="K7" s="101">
        <f>49.51+41.21</f>
        <v>90.72</v>
      </c>
      <c r="L7" s="101">
        <f>2.55*4</f>
        <v>10.2</v>
      </c>
      <c r="M7" s="101"/>
      <c r="N7" s="166" t="s">
        <v>1406</v>
      </c>
      <c r="O7" s="167">
        <v>4</v>
      </c>
      <c r="P7" s="67">
        <f ca="1" t="shared" si="0"/>
        <v>3085.6368</v>
      </c>
      <c r="Q7" s="67">
        <f t="shared" si="1"/>
        <v>0</v>
      </c>
      <c r="R7" s="67">
        <f ca="1" t="shared" si="2"/>
        <v>0</v>
      </c>
    </row>
    <row r="8" ht="15.95" customHeight="1" spans="1:18">
      <c r="A8" s="20"/>
      <c r="B8" s="91" t="s">
        <v>1435</v>
      </c>
      <c r="C8" s="23"/>
      <c r="D8" s="23" t="s">
        <v>28</v>
      </c>
      <c r="E8" s="24">
        <f>F3</f>
        <v>2</v>
      </c>
      <c r="F8" s="101">
        <f ca="1">G8+H8+I8+J8+K8+L8+M8</f>
        <v>931.054608</v>
      </c>
      <c r="G8" s="148">
        <v>6.2</v>
      </c>
      <c r="H8" s="148">
        <v>5.3</v>
      </c>
      <c r="I8" s="101">
        <f ca="1">G8*H8*'20米(人字203料）参数'!G3*1.1</f>
        <v>818.634608</v>
      </c>
      <c r="J8" s="101"/>
      <c r="K8" s="101">
        <f>49.51+41.21</f>
        <v>90.72</v>
      </c>
      <c r="L8" s="101">
        <f>2.55*4</f>
        <v>10.2</v>
      </c>
      <c r="M8" s="101"/>
      <c r="N8" s="166" t="s">
        <v>1482</v>
      </c>
      <c r="O8" s="167">
        <v>2</v>
      </c>
      <c r="P8" s="67">
        <f ca="1" t="shared" si="0"/>
        <v>1862.109216</v>
      </c>
      <c r="Q8" s="67">
        <f t="shared" si="1"/>
        <v>0</v>
      </c>
      <c r="R8" s="67">
        <f ca="1" t="shared" si="2"/>
        <v>0</v>
      </c>
    </row>
    <row r="9" ht="15.95" customHeight="1" spans="1:18">
      <c r="A9" s="20"/>
      <c r="B9" s="91" t="s">
        <v>1350</v>
      </c>
      <c r="C9" s="23"/>
      <c r="D9" s="23" t="s">
        <v>28</v>
      </c>
      <c r="E9" s="24">
        <f>D3*2</f>
        <v>6</v>
      </c>
      <c r="F9" s="61">
        <f ca="1">I9+J9+K9+L9+M9</f>
        <v>2213.98507344</v>
      </c>
      <c r="G9" s="95">
        <v>10.6</v>
      </c>
      <c r="H9" s="95">
        <v>8.233</v>
      </c>
      <c r="I9" s="61">
        <f ca="1">G9*H9*'20米(人字203料）参数'!G3*1.1</f>
        <v>2174.13507344</v>
      </c>
      <c r="J9" s="61">
        <f>2.5*8</f>
        <v>20</v>
      </c>
      <c r="K9" s="61">
        <v>11.85</v>
      </c>
      <c r="L9" s="61">
        <f>1*8</f>
        <v>8</v>
      </c>
      <c r="M9" s="61"/>
      <c r="N9" s="116" t="s">
        <v>1506</v>
      </c>
      <c r="O9" s="167">
        <v>4</v>
      </c>
      <c r="P9" s="67">
        <f ca="1" t="shared" si="0"/>
        <v>8855.94029376</v>
      </c>
      <c r="Q9" s="67">
        <f t="shared" si="1"/>
        <v>2</v>
      </c>
      <c r="R9" s="67">
        <f ca="1" t="shared" si="2"/>
        <v>4427.97014688</v>
      </c>
    </row>
    <row r="10" ht="15.95" customHeight="1" spans="1:18">
      <c r="A10" s="20"/>
      <c r="B10" s="91" t="s">
        <v>1226</v>
      </c>
      <c r="C10" s="23"/>
      <c r="D10" s="23" t="s">
        <v>28</v>
      </c>
      <c r="E10" s="24">
        <f>A3*6</f>
        <v>12</v>
      </c>
      <c r="F10" s="101">
        <f ca="1">I10+J10+K10+L10+M10</f>
        <v>195.0929650432</v>
      </c>
      <c r="G10" s="148">
        <v>4.882</v>
      </c>
      <c r="H10" s="148">
        <v>1.552</v>
      </c>
      <c r="I10" s="101">
        <f ca="1">G10*H10*'20米(人字203料）参数'!G5*1.1</f>
        <v>180.0929650432</v>
      </c>
      <c r="J10" s="101"/>
      <c r="K10" s="101"/>
      <c r="L10" s="101">
        <f>0.5*4</f>
        <v>2</v>
      </c>
      <c r="M10" s="101">
        <f>6.5*2</f>
        <v>13</v>
      </c>
      <c r="N10" s="120" t="s">
        <v>1352</v>
      </c>
      <c r="O10" s="169">
        <v>6</v>
      </c>
      <c r="P10" s="67">
        <f ca="1" t="shared" si="0"/>
        <v>1170.5577902592</v>
      </c>
      <c r="Q10" s="67">
        <f t="shared" si="1"/>
        <v>6</v>
      </c>
      <c r="R10" s="67">
        <f ca="1" t="shared" si="2"/>
        <v>1170.5577902592</v>
      </c>
    </row>
    <row r="11" ht="15.95" customHeight="1" spans="1:18">
      <c r="A11" s="20"/>
      <c r="B11" s="91" t="s">
        <v>1264</v>
      </c>
      <c r="C11" s="23"/>
      <c r="D11" s="23" t="s">
        <v>28</v>
      </c>
      <c r="E11" s="24">
        <f>A3*3+F3*2</f>
        <v>10</v>
      </c>
      <c r="F11" s="101">
        <f ca="1">I11+J11+K11+L11+M11</f>
        <v>336.5448493136</v>
      </c>
      <c r="G11" s="148">
        <v>4.882</v>
      </c>
      <c r="H11" s="148">
        <v>2.771</v>
      </c>
      <c r="I11" s="101">
        <f ca="1">G11*H11*'20米(人字203料）参数'!G5*1.1</f>
        <v>321.5448493136</v>
      </c>
      <c r="J11" s="101"/>
      <c r="K11" s="101"/>
      <c r="L11" s="101">
        <f>0.5*4</f>
        <v>2</v>
      </c>
      <c r="M11" s="101">
        <f>6.5*2</f>
        <v>13</v>
      </c>
      <c r="N11" s="120" t="s">
        <v>1353</v>
      </c>
      <c r="O11" s="169">
        <v>7</v>
      </c>
      <c r="P11" s="67">
        <f ca="1" t="shared" si="0"/>
        <v>2355.8139451952</v>
      </c>
      <c r="Q11" s="67">
        <f t="shared" si="1"/>
        <v>3</v>
      </c>
      <c r="R11" s="67">
        <f ca="1" t="shared" si="2"/>
        <v>1009.6345479408</v>
      </c>
    </row>
    <row r="12" ht="15.95" customHeight="1" spans="1:18">
      <c r="A12" s="20"/>
      <c r="B12" s="91" t="s">
        <v>1266</v>
      </c>
      <c r="C12" s="23"/>
      <c r="D12" s="23" t="s">
        <v>28</v>
      </c>
      <c r="E12" s="24">
        <f>A3*2+F3*4</f>
        <v>12</v>
      </c>
      <c r="F12" s="101">
        <f ca="1">'数据修改（批量）'!A28</f>
        <v>95</v>
      </c>
      <c r="G12" s="148">
        <v>4.86</v>
      </c>
      <c r="H12" s="148">
        <v>1.345</v>
      </c>
      <c r="I12" s="101">
        <f ca="1">G12*H12*'20米(人字203料）参数'!G5*1.1</f>
        <v>155.36951496</v>
      </c>
      <c r="J12" s="101"/>
      <c r="K12" s="101"/>
      <c r="L12" s="101"/>
      <c r="M12" s="101"/>
      <c r="N12" s="120" t="s">
        <v>1354</v>
      </c>
      <c r="O12" s="169">
        <v>10</v>
      </c>
      <c r="P12" s="67">
        <f ca="1" t="shared" si="0"/>
        <v>950</v>
      </c>
      <c r="Q12" s="67">
        <f t="shared" si="1"/>
        <v>2</v>
      </c>
      <c r="R12" s="67">
        <f ca="1" t="shared" si="2"/>
        <v>190</v>
      </c>
    </row>
    <row r="13" ht="15.95" customHeight="1" spans="1:18">
      <c r="A13" s="20"/>
      <c r="B13" s="91" t="s">
        <v>1272</v>
      </c>
      <c r="C13" s="23"/>
      <c r="D13" s="23" t="s">
        <v>28</v>
      </c>
      <c r="E13" s="30">
        <v>5</v>
      </c>
      <c r="F13" s="101">
        <f>I13+J13+K13+L13+M13</f>
        <v>109.5</v>
      </c>
      <c r="G13" s="148"/>
      <c r="H13" s="148"/>
      <c r="I13" s="101">
        <v>95</v>
      </c>
      <c r="J13" s="101">
        <v>6.5</v>
      </c>
      <c r="K13" s="101">
        <v>4</v>
      </c>
      <c r="L13" s="101">
        <v>3</v>
      </c>
      <c r="M13" s="101">
        <v>1</v>
      </c>
      <c r="N13" s="120" t="s">
        <v>1355</v>
      </c>
      <c r="O13" s="167">
        <v>4</v>
      </c>
      <c r="P13" s="67">
        <f ca="1" t="shared" si="0"/>
        <v>438</v>
      </c>
      <c r="Q13" s="67">
        <f t="shared" si="1"/>
        <v>1</v>
      </c>
      <c r="R13" s="67">
        <f ca="1" t="shared" si="2"/>
        <v>109.5</v>
      </c>
    </row>
    <row r="14" ht="15.95" customHeight="1" spans="1:18">
      <c r="A14" s="20"/>
      <c r="B14" s="91" t="s">
        <v>1356</v>
      </c>
      <c r="C14" s="23"/>
      <c r="D14" s="23" t="s">
        <v>28</v>
      </c>
      <c r="E14" s="24">
        <f>F3</f>
        <v>2</v>
      </c>
      <c r="F14" s="101">
        <f ca="1">I14+J14+K14+L14+M14</f>
        <v>90.133</v>
      </c>
      <c r="G14" s="148">
        <v>3.75</v>
      </c>
      <c r="H14" s="148">
        <v>1</v>
      </c>
      <c r="I14" s="101">
        <f ca="1">G14*H14*'20米(人字203料）参数'!G5*1.1</f>
        <v>89.133</v>
      </c>
      <c r="J14" s="101"/>
      <c r="K14" s="101"/>
      <c r="L14" s="101">
        <f>0.5*2</f>
        <v>1</v>
      </c>
      <c r="M14" s="101"/>
      <c r="N14" s="170" t="s">
        <v>1357</v>
      </c>
      <c r="O14" s="167">
        <v>2</v>
      </c>
      <c r="P14" s="67">
        <f ca="1" t="shared" si="0"/>
        <v>180.266</v>
      </c>
      <c r="Q14" s="67">
        <f t="shared" si="1"/>
        <v>0</v>
      </c>
      <c r="R14" s="67">
        <f ca="1" t="shared" si="2"/>
        <v>0</v>
      </c>
    </row>
    <row r="15" ht="15.95" customHeight="1" spans="1:18">
      <c r="A15" s="20"/>
      <c r="B15" s="91" t="s">
        <v>1276</v>
      </c>
      <c r="C15" s="23"/>
      <c r="D15" s="23" t="s">
        <v>28</v>
      </c>
      <c r="E15" s="28">
        <f>F3*2</f>
        <v>4</v>
      </c>
      <c r="F15" s="101">
        <f ca="1">I15+J15+K15+L15+M15</f>
        <v>348.2448493136</v>
      </c>
      <c r="G15" s="95">
        <v>4.882</v>
      </c>
      <c r="H15" s="95">
        <v>2.771</v>
      </c>
      <c r="I15" s="61">
        <f ca="1">G15*H15*'20米(人字203料）参数'!G5*1.1</f>
        <v>321.5448493136</v>
      </c>
      <c r="J15" s="61"/>
      <c r="K15" s="61">
        <v>15</v>
      </c>
      <c r="L15" s="61">
        <f>8*0.65</f>
        <v>5.2</v>
      </c>
      <c r="M15" s="61">
        <v>6.5</v>
      </c>
      <c r="N15" s="120" t="s">
        <v>1358</v>
      </c>
      <c r="O15" s="167">
        <v>4</v>
      </c>
      <c r="P15" s="67">
        <f ca="1" t="shared" si="0"/>
        <v>1392.9793972544</v>
      </c>
      <c r="Q15" s="67">
        <f t="shared" si="1"/>
        <v>0</v>
      </c>
      <c r="R15" s="67">
        <f ca="1" t="shared" si="2"/>
        <v>0</v>
      </c>
    </row>
    <row r="16" ht="15.95" customHeight="1" spans="1:18">
      <c r="A16" s="31"/>
      <c r="B16" s="152" t="s">
        <v>1274</v>
      </c>
      <c r="C16" s="43"/>
      <c r="D16" s="43" t="s">
        <v>28</v>
      </c>
      <c r="E16" s="150">
        <f>A3*2+F3*4</f>
        <v>12</v>
      </c>
      <c r="F16" s="101">
        <f>(I16+J16+K16+L16+M16)</f>
        <v>20.4</v>
      </c>
      <c r="G16" s="151"/>
      <c r="H16" s="151"/>
      <c r="I16" s="39">
        <f>17*1.2</f>
        <v>20.4</v>
      </c>
      <c r="J16" s="39"/>
      <c r="K16" s="39"/>
      <c r="L16" s="39"/>
      <c r="M16" s="39"/>
      <c r="N16" s="171" t="s">
        <v>1359</v>
      </c>
      <c r="O16" s="167">
        <v>10</v>
      </c>
      <c r="P16" s="67">
        <f ca="1" t="shared" si="0"/>
        <v>204</v>
      </c>
      <c r="Q16" s="67">
        <f t="shared" si="1"/>
        <v>2</v>
      </c>
      <c r="R16" s="67">
        <f ca="1" t="shared" si="2"/>
        <v>40.8</v>
      </c>
    </row>
    <row r="17" ht="15.95" customHeight="1" spans="1:18">
      <c r="A17" s="20" t="s">
        <v>1278</v>
      </c>
      <c r="B17" s="91" t="s">
        <v>1304</v>
      </c>
      <c r="C17" s="23"/>
      <c r="D17" s="23" t="s">
        <v>434</v>
      </c>
      <c r="E17" s="24">
        <f>D3</f>
        <v>3</v>
      </c>
      <c r="F17" s="101">
        <v>180.62</v>
      </c>
      <c r="G17" s="151"/>
      <c r="H17" s="151"/>
      <c r="I17" s="39"/>
      <c r="J17" s="39"/>
      <c r="K17" s="39"/>
      <c r="L17" s="39"/>
      <c r="M17" s="39"/>
      <c r="N17" s="171" t="s">
        <v>1360</v>
      </c>
      <c r="O17" s="172">
        <v>2</v>
      </c>
      <c r="P17" s="67">
        <f ca="1" t="shared" si="0"/>
        <v>361.24</v>
      </c>
      <c r="Q17" s="67">
        <f t="shared" si="1"/>
        <v>1</v>
      </c>
      <c r="R17" s="67">
        <f ca="1" t="shared" si="2"/>
        <v>180.62</v>
      </c>
    </row>
    <row r="18" ht="15.95" customHeight="1" spans="1:18">
      <c r="A18" s="20"/>
      <c r="B18" s="91" t="s">
        <v>1310</v>
      </c>
      <c r="C18" s="23"/>
      <c r="D18" s="23" t="s">
        <v>434</v>
      </c>
      <c r="E18" s="24">
        <v>6</v>
      </c>
      <c r="F18" s="101">
        <v>76.4</v>
      </c>
      <c r="G18" s="148"/>
      <c r="H18" s="148"/>
      <c r="I18" s="101"/>
      <c r="J18" s="101"/>
      <c r="K18" s="101"/>
      <c r="L18" s="101"/>
      <c r="M18" s="101"/>
      <c r="N18" s="120" t="s">
        <v>1361</v>
      </c>
      <c r="O18" s="167">
        <v>6</v>
      </c>
      <c r="P18" s="67">
        <f ca="1" t="shared" si="0"/>
        <v>458.4</v>
      </c>
      <c r="Q18" s="67">
        <f t="shared" si="1"/>
        <v>0</v>
      </c>
      <c r="R18" s="67">
        <f ca="1" t="shared" si="2"/>
        <v>0</v>
      </c>
    </row>
    <row r="19" ht="15.95" customHeight="1" spans="1:18">
      <c r="A19" s="20"/>
      <c r="B19" s="91" t="s">
        <v>1280</v>
      </c>
      <c r="C19" s="23"/>
      <c r="D19" s="23" t="s">
        <v>434</v>
      </c>
      <c r="E19" s="28">
        <f>E6</f>
        <v>6</v>
      </c>
      <c r="F19" s="61">
        <v>85.93</v>
      </c>
      <c r="G19" s="95"/>
      <c r="H19" s="95"/>
      <c r="I19" s="61"/>
      <c r="J19" s="61"/>
      <c r="K19" s="61"/>
      <c r="L19" s="61"/>
      <c r="M19" s="61"/>
      <c r="N19" s="173" t="s">
        <v>1361</v>
      </c>
      <c r="O19" s="167">
        <v>4</v>
      </c>
      <c r="P19" s="67">
        <f ca="1" t="shared" si="0"/>
        <v>343.72</v>
      </c>
      <c r="Q19" s="67">
        <f t="shared" si="1"/>
        <v>2</v>
      </c>
      <c r="R19" s="67">
        <f ca="1" t="shared" si="2"/>
        <v>171.86</v>
      </c>
    </row>
    <row r="20" ht="15.95" customHeight="1" spans="1:18">
      <c r="A20" s="20"/>
      <c r="B20" s="91" t="s">
        <v>1339</v>
      </c>
      <c r="C20" s="23"/>
      <c r="D20" s="23" t="s">
        <v>28</v>
      </c>
      <c r="E20" s="32">
        <f>E13</f>
        <v>5</v>
      </c>
      <c r="F20" s="101">
        <v>91.3</v>
      </c>
      <c r="G20" s="148"/>
      <c r="H20" s="148"/>
      <c r="I20" s="101"/>
      <c r="J20" s="101"/>
      <c r="K20" s="101"/>
      <c r="L20" s="101"/>
      <c r="M20" s="101"/>
      <c r="N20" s="120" t="s">
        <v>1362</v>
      </c>
      <c r="O20" s="167">
        <v>4</v>
      </c>
      <c r="P20" s="67">
        <f ca="1" t="shared" si="0"/>
        <v>365.2</v>
      </c>
      <c r="Q20" s="67">
        <f t="shared" si="1"/>
        <v>1</v>
      </c>
      <c r="R20" s="67">
        <f ca="1" t="shared" si="2"/>
        <v>91.3</v>
      </c>
    </row>
    <row r="21" ht="15.95" customHeight="1" spans="1:18">
      <c r="A21" s="20"/>
      <c r="B21" s="91" t="s">
        <v>1282</v>
      </c>
      <c r="C21" s="23"/>
      <c r="D21" s="23" t="s">
        <v>434</v>
      </c>
      <c r="E21" s="24">
        <f>D3*2+F3*3</f>
        <v>12</v>
      </c>
      <c r="F21" s="101">
        <v>4.45</v>
      </c>
      <c r="G21" s="148"/>
      <c r="H21" s="148"/>
      <c r="I21" s="101"/>
      <c r="J21" s="101"/>
      <c r="K21" s="101"/>
      <c r="L21" s="101"/>
      <c r="M21" s="101"/>
      <c r="N21" s="120" t="s">
        <v>1363</v>
      </c>
      <c r="O21" s="167">
        <v>10</v>
      </c>
      <c r="P21" s="67">
        <f ca="1" t="shared" si="0"/>
        <v>44.5</v>
      </c>
      <c r="Q21" s="67">
        <f t="shared" si="1"/>
        <v>2</v>
      </c>
      <c r="R21" s="67">
        <f ca="1" t="shared" si="2"/>
        <v>8.9</v>
      </c>
    </row>
    <row r="22" ht="15.95" customHeight="1" spans="1:18">
      <c r="A22" s="20"/>
      <c r="B22" s="91" t="s">
        <v>1284</v>
      </c>
      <c r="C22" s="23"/>
      <c r="D22" s="23" t="s">
        <v>434</v>
      </c>
      <c r="E22" s="24">
        <f>D3*2</f>
        <v>6</v>
      </c>
      <c r="F22" s="101">
        <v>6.51</v>
      </c>
      <c r="G22" s="148"/>
      <c r="H22" s="148"/>
      <c r="I22" s="101"/>
      <c r="J22" s="101"/>
      <c r="K22" s="101"/>
      <c r="L22" s="101"/>
      <c r="M22" s="101"/>
      <c r="N22" s="120" t="s">
        <v>1364</v>
      </c>
      <c r="O22" s="167">
        <v>4</v>
      </c>
      <c r="P22" s="67">
        <f ca="1" t="shared" si="0"/>
        <v>26.04</v>
      </c>
      <c r="Q22" s="67">
        <f t="shared" si="1"/>
        <v>2</v>
      </c>
      <c r="R22" s="67">
        <f ca="1" t="shared" si="2"/>
        <v>13.02</v>
      </c>
    </row>
    <row r="23" ht="15.95" customHeight="1" spans="1:18">
      <c r="A23" s="20"/>
      <c r="B23" s="91" t="s">
        <v>519</v>
      </c>
      <c r="C23" s="23"/>
      <c r="D23" s="23" t="s">
        <v>434</v>
      </c>
      <c r="E23" s="24">
        <f>F3*2</f>
        <v>4</v>
      </c>
      <c r="F23" s="101">
        <v>13</v>
      </c>
      <c r="G23" s="151"/>
      <c r="H23" s="151"/>
      <c r="I23" s="39"/>
      <c r="J23" s="39"/>
      <c r="K23" s="39"/>
      <c r="L23" s="39"/>
      <c r="M23" s="39"/>
      <c r="N23" s="120" t="s">
        <v>1365</v>
      </c>
      <c r="O23" s="167">
        <v>4</v>
      </c>
      <c r="P23" s="67">
        <f ca="1" t="shared" si="0"/>
        <v>52</v>
      </c>
      <c r="Q23" s="67">
        <f t="shared" si="1"/>
        <v>0</v>
      </c>
      <c r="R23" s="67">
        <f ca="1" t="shared" si="2"/>
        <v>0</v>
      </c>
    </row>
    <row r="24" ht="15.95" customHeight="1" spans="1:18">
      <c r="A24" s="31"/>
      <c r="B24" s="152" t="s">
        <v>551</v>
      </c>
      <c r="C24" s="43"/>
      <c r="D24" s="43" t="s">
        <v>434</v>
      </c>
      <c r="E24" s="150">
        <f>F3*2</f>
        <v>4</v>
      </c>
      <c r="F24" s="41">
        <v>15.5</v>
      </c>
      <c r="G24" s="99"/>
      <c r="H24" s="99"/>
      <c r="I24" s="41"/>
      <c r="J24" s="41"/>
      <c r="K24" s="41"/>
      <c r="L24" s="41"/>
      <c r="M24" s="41"/>
      <c r="N24" s="173" t="s">
        <v>1361</v>
      </c>
      <c r="O24" s="174">
        <v>4</v>
      </c>
      <c r="P24" s="67">
        <f ca="1" t="shared" si="0"/>
        <v>62</v>
      </c>
      <c r="Q24" s="67">
        <f t="shared" si="1"/>
        <v>0</v>
      </c>
      <c r="R24" s="67">
        <f ca="1" t="shared" si="2"/>
        <v>0</v>
      </c>
    </row>
    <row r="25" ht="15.95" customHeight="1" spans="1:18">
      <c r="A25" s="153" t="s">
        <v>1216</v>
      </c>
      <c r="B25" s="91" t="s">
        <v>1366</v>
      </c>
      <c r="C25" s="23"/>
      <c r="D25" s="23" t="s">
        <v>612</v>
      </c>
      <c r="E25" s="24">
        <f>A3</f>
        <v>2</v>
      </c>
      <c r="F25" s="122">
        <f ca="1">(I25+J25)*1.1+30</f>
        <v>2604.24365</v>
      </c>
      <c r="G25" s="99">
        <v>22.61</v>
      </c>
      <c r="H25" s="99">
        <v>5</v>
      </c>
      <c r="I25" s="41">
        <f ca="1">G25*H25*'20米(人字203料）参数'!E15*1.1</f>
        <v>2151.3415</v>
      </c>
      <c r="J25" s="41">
        <f>23.61*2*4</f>
        <v>188.88</v>
      </c>
      <c r="K25" s="41">
        <v>30</v>
      </c>
      <c r="L25" s="41"/>
      <c r="M25" s="41"/>
      <c r="N25" s="167" t="s">
        <v>1507</v>
      </c>
      <c r="O25" s="175">
        <v>1</v>
      </c>
      <c r="P25" s="67">
        <f ca="1" t="shared" si="0"/>
        <v>2604.24365</v>
      </c>
      <c r="Q25" s="67">
        <f t="shared" si="1"/>
        <v>1</v>
      </c>
      <c r="R25" s="67">
        <f ca="1" t="shared" si="2"/>
        <v>2604.24365</v>
      </c>
    </row>
    <row r="26" ht="15.95" customHeight="1" spans="1:18">
      <c r="A26" s="153"/>
      <c r="B26" s="91" t="s">
        <v>1368</v>
      </c>
      <c r="C26" s="23"/>
      <c r="D26" s="23" t="s">
        <v>664</v>
      </c>
      <c r="E26" s="24">
        <f>F3</f>
        <v>2</v>
      </c>
      <c r="F26" s="122">
        <f ca="1">(I26+J26)*1.1+15</f>
        <v>920.81535</v>
      </c>
      <c r="G26" s="148">
        <v>11</v>
      </c>
      <c r="H26" s="154">
        <v>3.95</v>
      </c>
      <c r="I26" s="101">
        <f ca="1">G26*H26*'20米(人字203料）参数'!E14*1.1</f>
        <v>683.4685</v>
      </c>
      <c r="J26" s="101">
        <f>17.5*2*4</f>
        <v>140</v>
      </c>
      <c r="K26" s="101">
        <v>15</v>
      </c>
      <c r="L26" s="101"/>
      <c r="M26" s="101"/>
      <c r="N26" s="51" t="s">
        <v>1508</v>
      </c>
      <c r="O26" s="167">
        <v>2</v>
      </c>
      <c r="P26" s="67">
        <f ca="1" t="shared" si="0"/>
        <v>1841.6307</v>
      </c>
      <c r="Q26" s="67">
        <f t="shared" si="1"/>
        <v>0</v>
      </c>
      <c r="R26" s="67">
        <f ca="1" t="shared" si="2"/>
        <v>0</v>
      </c>
    </row>
    <row r="27" ht="15.95" customHeight="1" spans="1:18">
      <c r="A27" s="155"/>
      <c r="B27" s="91" t="s">
        <v>1370</v>
      </c>
      <c r="C27" s="23"/>
      <c r="D27" s="23" t="s">
        <v>664</v>
      </c>
      <c r="E27" s="24">
        <f>A3*2+F3*4</f>
        <v>12</v>
      </c>
      <c r="F27" s="101">
        <f ca="1">I27+J27+K27+L27+M27</f>
        <v>384.49012</v>
      </c>
      <c r="G27" s="156">
        <v>5.2</v>
      </c>
      <c r="H27" s="157">
        <v>3.97</v>
      </c>
      <c r="I27" s="101">
        <f ca="1">G27*H27*'20米(人字203料）参数'!E14*1.1+15</f>
        <v>339.73012</v>
      </c>
      <c r="J27" s="71">
        <f>4*2*2</f>
        <v>16</v>
      </c>
      <c r="K27" s="71">
        <f>0.5*10</f>
        <v>5</v>
      </c>
      <c r="L27" s="71">
        <f>0.32*18</f>
        <v>5.76</v>
      </c>
      <c r="M27" s="71">
        <f>18*1</f>
        <v>18</v>
      </c>
      <c r="N27" s="120" t="s">
        <v>1371</v>
      </c>
      <c r="O27" s="167">
        <v>10</v>
      </c>
      <c r="P27" s="67">
        <f ca="1" t="shared" si="0"/>
        <v>3844.9012</v>
      </c>
      <c r="Q27" s="67">
        <f t="shared" si="1"/>
        <v>2</v>
      </c>
      <c r="R27" s="67">
        <f ca="1" t="shared" si="2"/>
        <v>768.98024</v>
      </c>
    </row>
    <row r="28" ht="15.95" customHeight="1" spans="1:18">
      <c r="A28" s="20" t="s">
        <v>1235</v>
      </c>
      <c r="B28" s="138" t="s">
        <v>589</v>
      </c>
      <c r="C28" s="23"/>
      <c r="D28" s="23" t="s">
        <v>434</v>
      </c>
      <c r="E28" s="24">
        <f>D3*10+F3*2+E20*2</f>
        <v>44</v>
      </c>
      <c r="F28" s="101">
        <v>2.15</v>
      </c>
      <c r="G28" s="154"/>
      <c r="H28" s="154"/>
      <c r="I28" s="101"/>
      <c r="J28" s="101"/>
      <c r="K28" s="101"/>
      <c r="L28" s="101"/>
      <c r="M28" s="101"/>
      <c r="N28" s="120" t="s">
        <v>1372</v>
      </c>
      <c r="O28" s="167">
        <v>34</v>
      </c>
      <c r="P28" s="67">
        <f ca="1" t="shared" si="0"/>
        <v>73.1</v>
      </c>
      <c r="Q28" s="67">
        <f t="shared" si="1"/>
        <v>10</v>
      </c>
      <c r="R28" s="67">
        <f ca="1" t="shared" si="2"/>
        <v>21.5</v>
      </c>
    </row>
    <row r="29" ht="15.95" customHeight="1" spans="1:18">
      <c r="A29" s="20"/>
      <c r="B29" s="109" t="s">
        <v>591</v>
      </c>
      <c r="C29" s="23"/>
      <c r="D29" s="23" t="s">
        <v>434</v>
      </c>
      <c r="E29" s="24">
        <f>D3*2+E20+E13</f>
        <v>16</v>
      </c>
      <c r="F29" s="101">
        <v>2.55</v>
      </c>
      <c r="G29" s="154"/>
      <c r="H29" s="154"/>
      <c r="I29" s="101"/>
      <c r="J29" s="101"/>
      <c r="K29" s="101"/>
      <c r="L29" s="101"/>
      <c r="M29" s="101"/>
      <c r="N29" s="120" t="s">
        <v>1373</v>
      </c>
      <c r="O29" s="172">
        <v>14</v>
      </c>
      <c r="P29" s="67">
        <f ca="1" t="shared" si="0"/>
        <v>35.7</v>
      </c>
      <c r="Q29" s="67">
        <f t="shared" si="1"/>
        <v>2</v>
      </c>
      <c r="R29" s="67">
        <f ca="1" t="shared" si="2"/>
        <v>5.1</v>
      </c>
    </row>
    <row r="30" ht="15.95" customHeight="1" spans="1:18">
      <c r="A30" s="20"/>
      <c r="B30" s="159" t="s">
        <v>1423</v>
      </c>
      <c r="C30" s="43"/>
      <c r="D30" s="43" t="s">
        <v>434</v>
      </c>
      <c r="E30" s="44">
        <f>D3*2+4</f>
        <v>10</v>
      </c>
      <c r="F30" s="39">
        <v>1.95</v>
      </c>
      <c r="G30" s="160"/>
      <c r="H30" s="160"/>
      <c r="I30" s="39"/>
      <c r="J30" s="39"/>
      <c r="K30" s="39"/>
      <c r="L30" s="39"/>
      <c r="M30" s="39"/>
      <c r="N30" s="120" t="s">
        <v>1375</v>
      </c>
      <c r="O30" s="167">
        <v>8</v>
      </c>
      <c r="P30" s="67">
        <f ca="1" t="shared" si="0"/>
        <v>15.6</v>
      </c>
      <c r="Q30" s="67">
        <f t="shared" si="1"/>
        <v>2</v>
      </c>
      <c r="R30" s="67">
        <f ca="1" t="shared" si="2"/>
        <v>3.9</v>
      </c>
    </row>
    <row r="31" ht="15.95" customHeight="1" spans="1:18">
      <c r="A31" s="20"/>
      <c r="B31" s="109" t="s">
        <v>554</v>
      </c>
      <c r="C31" s="23"/>
      <c r="D31" s="23" t="s">
        <v>555</v>
      </c>
      <c r="E31" s="28">
        <f>E18+E19+E13</f>
        <v>17</v>
      </c>
      <c r="F31" s="101">
        <v>1.46</v>
      </c>
      <c r="G31" s="154"/>
      <c r="H31" s="154"/>
      <c r="I31" s="101"/>
      <c r="J31" s="101"/>
      <c r="K31" s="101"/>
      <c r="L31" s="101"/>
      <c r="M31" s="101"/>
      <c r="N31" s="120" t="s">
        <v>1376</v>
      </c>
      <c r="O31" s="167">
        <v>15</v>
      </c>
      <c r="P31" s="67">
        <f ca="1" t="shared" si="0"/>
        <v>21.9</v>
      </c>
      <c r="Q31" s="67">
        <f t="shared" si="1"/>
        <v>2</v>
      </c>
      <c r="R31" s="67">
        <f ca="1" t="shared" si="2"/>
        <v>2.92</v>
      </c>
    </row>
    <row r="32" spans="15:18">
      <c r="O32" s="84" t="s">
        <v>1218</v>
      </c>
      <c r="P32" s="3">
        <f ca="1">SUM(P6:P31)</f>
        <v>34242.2524124368</v>
      </c>
      <c r="Q32" s="3" t="s">
        <v>1219</v>
      </c>
      <c r="R32" s="3">
        <f ca="1">SUM(R6:R31)</f>
        <v>12619.193085064</v>
      </c>
    </row>
    <row r="33" spans="2:2">
      <c r="B33" s="50" t="s">
        <v>1221</v>
      </c>
    </row>
    <row r="34" spans="15:16">
      <c r="O34" s="50" t="s">
        <v>1377</v>
      </c>
      <c r="P34" s="3">
        <f ca="1">P32+R32</f>
        <v>46861.4454975008</v>
      </c>
    </row>
    <row r="35" spans="2:16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O35" s="50" t="s">
        <v>14</v>
      </c>
      <c r="P35" s="3">
        <f ca="1">P34/E2</f>
        <v>234.307227487504</v>
      </c>
    </row>
    <row r="36" spans="2:13">
      <c r="B36" s="54"/>
      <c r="C36" s="54"/>
      <c r="D36" s="54"/>
      <c r="E36" s="54"/>
      <c r="F36" s="54"/>
      <c r="G36" s="53"/>
      <c r="H36" s="53"/>
      <c r="I36" s="53"/>
      <c r="J36" s="53"/>
      <c r="K36" s="53"/>
      <c r="L36" s="53"/>
      <c r="M36" s="53"/>
    </row>
    <row r="37" spans="2:13">
      <c r="B37" s="54"/>
      <c r="C37" s="54"/>
      <c r="D37" s="54"/>
      <c r="E37" s="54"/>
      <c r="F37" s="54"/>
      <c r="G37" s="53"/>
      <c r="H37" s="53"/>
      <c r="I37" s="53"/>
      <c r="J37" s="53"/>
      <c r="K37" s="53"/>
      <c r="L37" s="53"/>
      <c r="M37" s="53"/>
    </row>
    <row r="38" spans="2:13">
      <c r="B38" s="54"/>
      <c r="C38" s="54"/>
      <c r="D38" s="54"/>
      <c r="E38" s="54"/>
      <c r="F38" s="54"/>
      <c r="G38" s="53"/>
      <c r="H38" s="53"/>
      <c r="I38" s="53"/>
      <c r="J38" s="53"/>
      <c r="K38" s="53"/>
      <c r="L38" s="53"/>
      <c r="M38" s="53"/>
    </row>
    <row r="39" spans="2:13">
      <c r="B39" s="54"/>
      <c r="C39" s="54"/>
      <c r="D39" s="54"/>
      <c r="E39" s="54"/>
      <c r="F39" s="54"/>
      <c r="G39" s="53"/>
      <c r="H39" s="53"/>
      <c r="I39" s="53"/>
      <c r="J39" s="53"/>
      <c r="K39" s="53"/>
      <c r="L39" s="53"/>
      <c r="M39" s="53"/>
    </row>
    <row r="40" spans="2:13">
      <c r="B40" s="54"/>
      <c r="C40" s="54"/>
      <c r="D40" s="54"/>
      <c r="E40" s="54"/>
      <c r="F40" s="54"/>
      <c r="G40" s="53"/>
      <c r="H40" s="53"/>
      <c r="I40" s="53"/>
      <c r="J40" s="53"/>
      <c r="K40" s="53"/>
      <c r="L40" s="53"/>
      <c r="M40" s="53"/>
    </row>
    <row r="41" spans="2:13">
      <c r="B41" s="54"/>
      <c r="C41" s="54"/>
      <c r="D41" s="54"/>
      <c r="E41" s="54"/>
      <c r="F41" s="54"/>
      <c r="G41" s="53"/>
      <c r="H41" s="53"/>
      <c r="I41" s="53"/>
      <c r="J41" s="53"/>
      <c r="K41" s="53"/>
      <c r="L41" s="53"/>
      <c r="M41" s="53"/>
    </row>
  </sheetData>
  <mergeCells count="12">
    <mergeCell ref="A1:N1"/>
    <mergeCell ref="A2:C2"/>
    <mergeCell ref="F2:N2"/>
    <mergeCell ref="A3:B3"/>
    <mergeCell ref="H3:N3"/>
    <mergeCell ref="A4:F4"/>
    <mergeCell ref="G4:H4"/>
    <mergeCell ref="I4:M4"/>
    <mergeCell ref="A6:A16"/>
    <mergeCell ref="A17:A24"/>
    <mergeCell ref="A25:A27"/>
    <mergeCell ref="A28:A31"/>
  </mergeCells>
  <dataValidations count="3">
    <dataValidation type="list" allowBlank="1" showInputMessage="1" showErrorMessage="1" sqref="B25">
      <formula1>"顶布[白]{全新},顶布[白]{A类},顶布[白]{B类},顶布[白]{C类},顶布[白]{D类}"</formula1>
    </dataValidation>
    <dataValidation type="list" allowBlank="1" showInputMessage="1" showErrorMessage="1" sqref="B26">
      <formula1>"山尖布[白]{全新},山尖布[白]{A类},山尖布[白]{B类},山尖布[白]{C类},山尖布[白]{D类}"</formula1>
    </dataValidation>
    <dataValidation type="list" allowBlank="1" showInputMessage="1" showErrorMessage="1" sqref="B27">
      <formula1>"围布[白]{全新},围布[白]{A类},围布[白]{B类},围布[白]{C类},围布[白]{D类},透光窗围布[白]{全新},透光窗围布[白]{A类},透光窗围布[白]{B类},透光窗围布[白]{C类},透光窗围布[白]{D类}"</formula1>
    </dataValidation>
  </dataValidations>
  <printOptions horizontalCentered="1"/>
  <pageMargins left="0.238888888888889" right="0.11875" top="0.159027777777778" bottom="0.259027777777778" header="0.159027777777778" footer="0.2"/>
  <pageSetup paperSize="9" orientation="portrait"/>
  <headerFooter alignWithMargins="0" scaleWithDoc="0">
    <oddFooter>&amp;L&amp;"SimSun"&amp;9&amp;C&amp;"SimSun"&amp;9第 &amp;P 页，共 &amp;N 页&amp;R&amp;"SimSun"&amp;9</oddFooter>
  </headerFooter>
</worksheet>
</file>

<file path=xl/worksheets/sheet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FFFF00"/>
  </sheetPr>
  <dimension ref="A1:R35"/>
  <sheetViews>
    <sheetView showGridLines="0" workbookViewId="0">
      <selection activeCell="F12" sqref="F12"/>
    </sheetView>
  </sheetViews>
  <sheetFormatPr defaultColWidth="9" defaultRowHeight="14.25"/>
  <cols>
    <col min="1" max="1" width="2.75" style="1" customWidth="1"/>
    <col min="2" max="2" width="13.375" style="1" customWidth="1"/>
    <col min="3" max="5" width="9" style="1"/>
    <col min="6" max="7" width="9" style="1" customWidth="1"/>
    <col min="8" max="8" width="9.375" style="1" customWidth="1"/>
    <col min="9" max="13" width="8.25" style="1" customWidth="1"/>
    <col min="14" max="14" width="63.5" style="1" customWidth="1"/>
    <col min="15" max="15" width="9" style="1"/>
    <col min="16" max="16" width="14.125" style="1" customWidth="1"/>
    <col min="17" max="17" width="9" style="1"/>
    <col min="18" max="18" width="13.625" style="1" customWidth="1"/>
    <col min="19" max="16384" width="9" style="1"/>
  </cols>
  <sheetData>
    <row r="1" ht="18.75" spans="1:18">
      <c r="A1" s="72" t="s">
        <v>1509</v>
      </c>
      <c r="B1" s="210"/>
      <c r="C1" s="210"/>
      <c r="D1" s="210"/>
      <c r="E1" s="210"/>
      <c r="F1" s="210"/>
      <c r="G1" s="210"/>
      <c r="H1" s="210"/>
      <c r="I1" s="210"/>
      <c r="J1" s="210"/>
      <c r="K1" s="210"/>
      <c r="L1" s="210"/>
      <c r="M1" s="210"/>
      <c r="N1" s="210"/>
      <c r="O1" s="210"/>
      <c r="P1" s="3"/>
      <c r="Q1" s="3"/>
      <c r="R1" s="3"/>
    </row>
    <row r="2" spans="1:18">
      <c r="A2" s="141" t="s">
        <v>1246</v>
      </c>
      <c r="B2" s="142"/>
      <c r="C2" s="142"/>
      <c r="D2" s="9" t="s">
        <v>1198</v>
      </c>
      <c r="E2" s="176">
        <f>A3*5*20</f>
        <v>200</v>
      </c>
      <c r="F2" s="11"/>
      <c r="G2" s="11"/>
      <c r="H2" s="11"/>
      <c r="I2" s="11"/>
      <c r="J2" s="11"/>
      <c r="K2" s="11"/>
      <c r="L2" s="11"/>
      <c r="M2" s="11"/>
      <c r="N2" s="11"/>
      <c r="O2" s="162"/>
      <c r="P2" s="3"/>
      <c r="Q2" s="55"/>
      <c r="R2" s="55"/>
    </row>
    <row r="3" spans="1:18">
      <c r="A3" s="177">
        <v>2</v>
      </c>
      <c r="B3" s="177"/>
      <c r="C3" s="178" t="s">
        <v>1247</v>
      </c>
      <c r="D3" s="179">
        <v>3</v>
      </c>
      <c r="E3" s="180" t="s">
        <v>1248</v>
      </c>
      <c r="F3" s="12">
        <v>2</v>
      </c>
      <c r="G3" s="11" t="s">
        <v>1249</v>
      </c>
      <c r="H3" s="12"/>
      <c r="I3" s="12"/>
      <c r="J3" s="12"/>
      <c r="K3" s="12"/>
      <c r="L3" s="12"/>
      <c r="M3" s="12"/>
      <c r="N3" s="12"/>
      <c r="O3" s="162"/>
      <c r="P3" s="3"/>
      <c r="Q3" s="55"/>
      <c r="R3" s="55"/>
    </row>
    <row r="4" spans="1:18">
      <c r="A4" s="190"/>
      <c r="B4" s="128"/>
      <c r="C4" s="128"/>
      <c r="D4" s="128"/>
      <c r="E4" s="128"/>
      <c r="F4" s="128"/>
      <c r="G4" s="180" t="s">
        <v>1345</v>
      </c>
      <c r="H4" s="191"/>
      <c r="I4" s="198" t="s">
        <v>1346</v>
      </c>
      <c r="J4" s="199"/>
      <c r="K4" s="199"/>
      <c r="L4" s="199"/>
      <c r="M4" s="200"/>
      <c r="N4" s="201"/>
      <c r="O4" s="162"/>
      <c r="P4" s="3"/>
      <c r="Q4" s="55"/>
      <c r="R4" s="55"/>
    </row>
    <row r="5" ht="24" spans="1:18">
      <c r="A5" s="146" t="s">
        <v>1200</v>
      </c>
      <c r="B5" s="146" t="s">
        <v>1201</v>
      </c>
      <c r="C5" s="146" t="s">
        <v>1250</v>
      </c>
      <c r="D5" s="146" t="s">
        <v>22</v>
      </c>
      <c r="E5" s="147" t="s">
        <v>1251</v>
      </c>
      <c r="F5" s="75" t="s">
        <v>1204</v>
      </c>
      <c r="G5" s="19" t="s">
        <v>1205</v>
      </c>
      <c r="H5" s="17" t="s">
        <v>1253</v>
      </c>
      <c r="I5" s="17" t="s">
        <v>1254</v>
      </c>
      <c r="J5" s="17" t="s">
        <v>1255</v>
      </c>
      <c r="K5" s="17" t="s">
        <v>1209</v>
      </c>
      <c r="L5" s="17" t="s">
        <v>1420</v>
      </c>
      <c r="M5" s="17" t="s">
        <v>1211</v>
      </c>
      <c r="N5" s="163" t="s">
        <v>1257</v>
      </c>
      <c r="O5" s="164" t="s">
        <v>1212</v>
      </c>
      <c r="P5" s="165" t="s">
        <v>1213</v>
      </c>
      <c r="Q5" s="165" t="s">
        <v>1214</v>
      </c>
      <c r="R5" s="75" t="s">
        <v>1213</v>
      </c>
    </row>
    <row r="6" ht="15" customHeight="1" spans="1:18">
      <c r="A6" s="20" t="s">
        <v>1215</v>
      </c>
      <c r="B6" s="91" t="s">
        <v>1224</v>
      </c>
      <c r="C6" s="23"/>
      <c r="D6" s="23" t="s">
        <v>28</v>
      </c>
      <c r="E6" s="24">
        <f>D3*2</f>
        <v>6</v>
      </c>
      <c r="F6" s="93">
        <f ca="1">I6+J6+K6+L6+M6</f>
        <v>1104.300437392</v>
      </c>
      <c r="G6" s="94">
        <v>4.58</v>
      </c>
      <c r="H6" s="94">
        <v>8.233</v>
      </c>
      <c r="I6" s="93">
        <f ca="1">G6*H6*'20米(人字203料）参数'!G3*1.1</f>
        <v>939.390437392</v>
      </c>
      <c r="J6" s="93">
        <f>48.55*2</f>
        <v>97.1</v>
      </c>
      <c r="K6" s="93">
        <v>45.91</v>
      </c>
      <c r="L6" s="93">
        <f>2.55*4</f>
        <v>10.2</v>
      </c>
      <c r="M6" s="93">
        <f>18*0.65</f>
        <v>11.7</v>
      </c>
      <c r="N6" s="166" t="s">
        <v>1502</v>
      </c>
      <c r="O6" s="167">
        <v>4</v>
      </c>
      <c r="P6" s="67">
        <f ca="1" t="shared" ref="P6:P31" si="0">F6*O6</f>
        <v>4417.201749568</v>
      </c>
      <c r="Q6" s="67">
        <f t="shared" ref="Q6:Q31" si="1">E6-O6</f>
        <v>2</v>
      </c>
      <c r="R6" s="67">
        <f ca="1" t="shared" ref="R6:R31" si="2">F6*Q6</f>
        <v>2208.600874784</v>
      </c>
    </row>
    <row r="7" ht="15" customHeight="1" spans="1:18">
      <c r="A7" s="20"/>
      <c r="B7" s="91" t="s">
        <v>1308</v>
      </c>
      <c r="C7" s="23"/>
      <c r="D7" s="23" t="s">
        <v>28</v>
      </c>
      <c r="E7" s="24">
        <f>F3*2</f>
        <v>4</v>
      </c>
      <c r="F7" s="101">
        <f ca="1">G7+H7+I7+J7+K7+L7+M7</f>
        <v>904.44704</v>
      </c>
      <c r="G7" s="148">
        <v>6</v>
      </c>
      <c r="H7" s="148">
        <v>5.3</v>
      </c>
      <c r="I7" s="101">
        <f ca="1">G7*H7*'20米(人字203料）参数'!G3*1.1</f>
        <v>792.22704</v>
      </c>
      <c r="J7" s="101"/>
      <c r="K7" s="101">
        <f>49.51+41.21</f>
        <v>90.72</v>
      </c>
      <c r="L7" s="101">
        <f>2.55*4</f>
        <v>10.2</v>
      </c>
      <c r="M7" s="101"/>
      <c r="N7" s="166" t="s">
        <v>1427</v>
      </c>
      <c r="O7" s="167">
        <v>4</v>
      </c>
      <c r="P7" s="67">
        <f ca="1" t="shared" si="0"/>
        <v>3617.78816</v>
      </c>
      <c r="Q7" s="67">
        <f t="shared" si="1"/>
        <v>0</v>
      </c>
      <c r="R7" s="67">
        <f ca="1" t="shared" si="2"/>
        <v>0</v>
      </c>
    </row>
    <row r="8" ht="15" customHeight="1" spans="1:18">
      <c r="A8" s="20"/>
      <c r="B8" s="91" t="s">
        <v>1435</v>
      </c>
      <c r="C8" s="23"/>
      <c r="D8" s="23" t="s">
        <v>28</v>
      </c>
      <c r="E8" s="24">
        <f>F3</f>
        <v>2</v>
      </c>
      <c r="F8" s="101">
        <f ca="1">G8+H8+I8+J8+K8+L8+M8</f>
        <v>1064.092448</v>
      </c>
      <c r="G8" s="148">
        <v>7.2</v>
      </c>
      <c r="H8" s="148">
        <v>5.3</v>
      </c>
      <c r="I8" s="101">
        <f ca="1">G8*H8*'20米(人字203料）参数'!G3*1.1</f>
        <v>950.672448</v>
      </c>
      <c r="J8" s="101"/>
      <c r="K8" s="101">
        <f>49.51+41.21</f>
        <v>90.72</v>
      </c>
      <c r="L8" s="101">
        <f>2.55*4</f>
        <v>10.2</v>
      </c>
      <c r="M8" s="101"/>
      <c r="N8" s="166" t="s">
        <v>1490</v>
      </c>
      <c r="O8" s="167">
        <v>2</v>
      </c>
      <c r="P8" s="67">
        <f ca="1" t="shared" si="0"/>
        <v>2128.184896</v>
      </c>
      <c r="Q8" s="67">
        <f t="shared" si="1"/>
        <v>0</v>
      </c>
      <c r="R8" s="67">
        <f ca="1" t="shared" si="2"/>
        <v>0</v>
      </c>
    </row>
    <row r="9" ht="15" customHeight="1" spans="1:18">
      <c r="A9" s="20"/>
      <c r="B9" s="91" t="s">
        <v>1350</v>
      </c>
      <c r="C9" s="23"/>
      <c r="D9" s="23" t="s">
        <v>28</v>
      </c>
      <c r="E9" s="24">
        <f>D3*2</f>
        <v>6</v>
      </c>
      <c r="F9" s="61">
        <f ca="1">I9+J9+K9+L9+M9</f>
        <v>2213.98507344</v>
      </c>
      <c r="G9" s="95">
        <v>10.6</v>
      </c>
      <c r="H9" s="95">
        <v>8.233</v>
      </c>
      <c r="I9" s="61">
        <f ca="1">G9*H9*'20米(人字203料）参数'!G3*1.1</f>
        <v>2174.13507344</v>
      </c>
      <c r="J9" s="61">
        <f>2.5*8</f>
        <v>20</v>
      </c>
      <c r="K9" s="61">
        <v>11.85</v>
      </c>
      <c r="L9" s="61">
        <f>1*8</f>
        <v>8</v>
      </c>
      <c r="M9" s="61"/>
      <c r="N9" s="116" t="s">
        <v>1506</v>
      </c>
      <c r="O9" s="167">
        <v>4</v>
      </c>
      <c r="P9" s="67">
        <f ca="1" t="shared" si="0"/>
        <v>8855.94029376</v>
      </c>
      <c r="Q9" s="67">
        <f t="shared" si="1"/>
        <v>2</v>
      </c>
      <c r="R9" s="67">
        <f ca="1" t="shared" si="2"/>
        <v>4427.97014688</v>
      </c>
    </row>
    <row r="10" ht="15" customHeight="1" spans="1:18">
      <c r="A10" s="20"/>
      <c r="B10" s="91" t="s">
        <v>1226</v>
      </c>
      <c r="C10" s="23"/>
      <c r="D10" s="23" t="s">
        <v>28</v>
      </c>
      <c r="E10" s="24">
        <f>A3*6</f>
        <v>12</v>
      </c>
      <c r="F10" s="101">
        <f ca="1">I10+J10+K10+L10+M10</f>
        <v>195.0929650432</v>
      </c>
      <c r="G10" s="148">
        <v>4.882</v>
      </c>
      <c r="H10" s="148">
        <v>1.552</v>
      </c>
      <c r="I10" s="101">
        <f ca="1">G10*H10*'20米(人字203料）参数'!G5*1.1</f>
        <v>180.0929650432</v>
      </c>
      <c r="J10" s="101"/>
      <c r="K10" s="101"/>
      <c r="L10" s="101">
        <f>0.5*4</f>
        <v>2</v>
      </c>
      <c r="M10" s="101">
        <f>6.5*2</f>
        <v>13</v>
      </c>
      <c r="N10" s="120" t="s">
        <v>1352</v>
      </c>
      <c r="O10" s="169">
        <v>6</v>
      </c>
      <c r="P10" s="67">
        <f ca="1" t="shared" si="0"/>
        <v>1170.5577902592</v>
      </c>
      <c r="Q10" s="67">
        <f t="shared" si="1"/>
        <v>6</v>
      </c>
      <c r="R10" s="67">
        <f ca="1" t="shared" si="2"/>
        <v>1170.5577902592</v>
      </c>
    </row>
    <row r="11" ht="15" customHeight="1" spans="1:18">
      <c r="A11" s="20"/>
      <c r="B11" s="91" t="s">
        <v>1264</v>
      </c>
      <c r="C11" s="23"/>
      <c r="D11" s="23" t="s">
        <v>28</v>
      </c>
      <c r="E11" s="24">
        <f>A3*3+F3*2</f>
        <v>10</v>
      </c>
      <c r="F11" s="101">
        <f ca="1">I11+J11+K11+L11+M11</f>
        <v>336.5448493136</v>
      </c>
      <c r="G11" s="148">
        <v>4.882</v>
      </c>
      <c r="H11" s="148">
        <v>2.771</v>
      </c>
      <c r="I11" s="101">
        <f ca="1">G11*H11*'20米(人字203料）参数'!G5*1.1</f>
        <v>321.5448493136</v>
      </c>
      <c r="J11" s="101"/>
      <c r="K11" s="101"/>
      <c r="L11" s="101">
        <f>0.5*4</f>
        <v>2</v>
      </c>
      <c r="M11" s="101">
        <f>6.5*2</f>
        <v>13</v>
      </c>
      <c r="N11" s="120" t="s">
        <v>1353</v>
      </c>
      <c r="O11" s="169">
        <v>7</v>
      </c>
      <c r="P11" s="67">
        <f ca="1" t="shared" si="0"/>
        <v>2355.8139451952</v>
      </c>
      <c r="Q11" s="67">
        <f t="shared" si="1"/>
        <v>3</v>
      </c>
      <c r="R11" s="67">
        <f ca="1" t="shared" si="2"/>
        <v>1009.6345479408</v>
      </c>
    </row>
    <row r="12" ht="15" customHeight="1" spans="1:18">
      <c r="A12" s="20"/>
      <c r="B12" s="91" t="s">
        <v>1266</v>
      </c>
      <c r="C12" s="23"/>
      <c r="D12" s="23" t="s">
        <v>28</v>
      </c>
      <c r="E12" s="24">
        <f>A3*2+F3*4</f>
        <v>12</v>
      </c>
      <c r="F12" s="101">
        <f ca="1">'数据修改（批量）'!A28</f>
        <v>95</v>
      </c>
      <c r="G12" s="148">
        <v>4.86</v>
      </c>
      <c r="H12" s="148">
        <v>1.345</v>
      </c>
      <c r="I12" s="101">
        <f ca="1">G12*H12*'20米(人字203料）参数'!G5*1.1</f>
        <v>155.36951496</v>
      </c>
      <c r="J12" s="101"/>
      <c r="K12" s="101"/>
      <c r="L12" s="101"/>
      <c r="M12" s="101"/>
      <c r="N12" s="120" t="s">
        <v>1354</v>
      </c>
      <c r="O12" s="169">
        <v>10</v>
      </c>
      <c r="P12" s="67">
        <f ca="1" t="shared" si="0"/>
        <v>950</v>
      </c>
      <c r="Q12" s="67">
        <f t="shared" si="1"/>
        <v>2</v>
      </c>
      <c r="R12" s="67">
        <f ca="1" t="shared" si="2"/>
        <v>190</v>
      </c>
    </row>
    <row r="13" ht="15" customHeight="1" spans="1:18">
      <c r="A13" s="20"/>
      <c r="B13" s="91" t="s">
        <v>1272</v>
      </c>
      <c r="C13" s="23"/>
      <c r="D13" s="23" t="s">
        <v>28</v>
      </c>
      <c r="E13" s="30">
        <v>5</v>
      </c>
      <c r="F13" s="101">
        <f>I13+J13+K13+L13+M13</f>
        <v>124.5</v>
      </c>
      <c r="G13" s="148"/>
      <c r="H13" s="148"/>
      <c r="I13" s="101">
        <v>110</v>
      </c>
      <c r="J13" s="101">
        <v>6.5</v>
      </c>
      <c r="K13" s="101">
        <v>4</v>
      </c>
      <c r="L13" s="101">
        <v>3</v>
      </c>
      <c r="M13" s="101">
        <v>1</v>
      </c>
      <c r="N13" s="120" t="s">
        <v>1428</v>
      </c>
      <c r="O13" s="167">
        <v>4</v>
      </c>
      <c r="P13" s="67">
        <f ca="1" t="shared" si="0"/>
        <v>498</v>
      </c>
      <c r="Q13" s="67">
        <f t="shared" si="1"/>
        <v>1</v>
      </c>
      <c r="R13" s="67">
        <f ca="1" t="shared" si="2"/>
        <v>124.5</v>
      </c>
    </row>
    <row r="14" ht="15" customHeight="1" spans="1:18">
      <c r="A14" s="20"/>
      <c r="B14" s="91" t="s">
        <v>1356</v>
      </c>
      <c r="C14" s="23"/>
      <c r="D14" s="23" t="s">
        <v>28</v>
      </c>
      <c r="E14" s="24">
        <f>F3</f>
        <v>2</v>
      </c>
      <c r="F14" s="101">
        <f ca="1">I14+J14+K14+L14+M14</f>
        <v>90.133</v>
      </c>
      <c r="G14" s="148">
        <v>3.75</v>
      </c>
      <c r="H14" s="148">
        <v>1</v>
      </c>
      <c r="I14" s="101">
        <f ca="1">G14*H14*'20米(人字203料）参数'!G5*1.1</f>
        <v>89.133</v>
      </c>
      <c r="J14" s="101"/>
      <c r="K14" s="101"/>
      <c r="L14" s="101">
        <f>0.5*2</f>
        <v>1</v>
      </c>
      <c r="M14" s="101"/>
      <c r="N14" s="170" t="s">
        <v>1357</v>
      </c>
      <c r="O14" s="167">
        <v>2</v>
      </c>
      <c r="P14" s="67">
        <f ca="1" t="shared" si="0"/>
        <v>180.266</v>
      </c>
      <c r="Q14" s="67">
        <f t="shared" si="1"/>
        <v>0</v>
      </c>
      <c r="R14" s="67">
        <f ca="1" t="shared" si="2"/>
        <v>0</v>
      </c>
    </row>
    <row r="15" ht="15" customHeight="1" spans="1:18">
      <c r="A15" s="20"/>
      <c r="B15" s="91" t="s">
        <v>1276</v>
      </c>
      <c r="C15" s="23"/>
      <c r="D15" s="23" t="s">
        <v>28</v>
      </c>
      <c r="E15" s="28">
        <f>F3*2</f>
        <v>4</v>
      </c>
      <c r="F15" s="101">
        <f ca="1">I15+J15+K15+L15+M15</f>
        <v>348.2448493136</v>
      </c>
      <c r="G15" s="95">
        <v>4.882</v>
      </c>
      <c r="H15" s="95">
        <v>2.771</v>
      </c>
      <c r="I15" s="61">
        <f ca="1">G15*H15*'20米(人字203料）参数'!G5*1.1</f>
        <v>321.5448493136</v>
      </c>
      <c r="J15" s="61"/>
      <c r="K15" s="61">
        <v>15</v>
      </c>
      <c r="L15" s="61">
        <f>8*0.65</f>
        <v>5.2</v>
      </c>
      <c r="M15" s="61">
        <v>6.5</v>
      </c>
      <c r="N15" s="120" t="s">
        <v>1358</v>
      </c>
      <c r="O15" s="167">
        <v>4</v>
      </c>
      <c r="P15" s="67">
        <f ca="1" t="shared" si="0"/>
        <v>1392.9793972544</v>
      </c>
      <c r="Q15" s="67">
        <f t="shared" si="1"/>
        <v>0</v>
      </c>
      <c r="R15" s="67">
        <f ca="1" t="shared" si="2"/>
        <v>0</v>
      </c>
    </row>
    <row r="16" ht="15" customHeight="1" spans="1:18">
      <c r="A16" s="31"/>
      <c r="B16" s="152" t="s">
        <v>1274</v>
      </c>
      <c r="C16" s="43"/>
      <c r="D16" s="43" t="s">
        <v>28</v>
      </c>
      <c r="E16" s="150">
        <f>A3*2+F3*4</f>
        <v>12</v>
      </c>
      <c r="F16" s="101">
        <f>(I16+J16+K16+L16+M16)</f>
        <v>20.4</v>
      </c>
      <c r="G16" s="151"/>
      <c r="H16" s="151"/>
      <c r="I16" s="39">
        <f>17*1.2</f>
        <v>20.4</v>
      </c>
      <c r="J16" s="39"/>
      <c r="K16" s="39"/>
      <c r="L16" s="39"/>
      <c r="M16" s="39"/>
      <c r="N16" s="171" t="s">
        <v>1359</v>
      </c>
      <c r="O16" s="167">
        <v>10</v>
      </c>
      <c r="P16" s="67">
        <f ca="1" t="shared" si="0"/>
        <v>204</v>
      </c>
      <c r="Q16" s="67">
        <f t="shared" si="1"/>
        <v>2</v>
      </c>
      <c r="R16" s="67">
        <f ca="1" t="shared" si="2"/>
        <v>40.8</v>
      </c>
    </row>
    <row r="17" ht="15" customHeight="1" spans="1:18">
      <c r="A17" s="20" t="s">
        <v>1278</v>
      </c>
      <c r="B17" s="91" t="s">
        <v>1304</v>
      </c>
      <c r="C17" s="23"/>
      <c r="D17" s="23" t="s">
        <v>434</v>
      </c>
      <c r="E17" s="24">
        <f>D3</f>
        <v>3</v>
      </c>
      <c r="F17" s="101">
        <v>180.62</v>
      </c>
      <c r="G17" s="151"/>
      <c r="H17" s="151"/>
      <c r="I17" s="39"/>
      <c r="J17" s="39"/>
      <c r="K17" s="39"/>
      <c r="L17" s="39"/>
      <c r="M17" s="39"/>
      <c r="N17" s="171" t="s">
        <v>1360</v>
      </c>
      <c r="O17" s="172">
        <v>2</v>
      </c>
      <c r="P17" s="67">
        <f ca="1" t="shared" si="0"/>
        <v>361.24</v>
      </c>
      <c r="Q17" s="67">
        <f t="shared" si="1"/>
        <v>1</v>
      </c>
      <c r="R17" s="67">
        <f ca="1" t="shared" si="2"/>
        <v>180.62</v>
      </c>
    </row>
    <row r="18" ht="15" customHeight="1" spans="1:18">
      <c r="A18" s="20"/>
      <c r="B18" s="91" t="s">
        <v>1310</v>
      </c>
      <c r="C18" s="23"/>
      <c r="D18" s="23" t="s">
        <v>434</v>
      </c>
      <c r="E18" s="24">
        <f>E7</f>
        <v>4</v>
      </c>
      <c r="F18" s="101">
        <v>76.4</v>
      </c>
      <c r="G18" s="148"/>
      <c r="H18" s="148"/>
      <c r="I18" s="101"/>
      <c r="J18" s="101"/>
      <c r="K18" s="101"/>
      <c r="L18" s="101"/>
      <c r="M18" s="101"/>
      <c r="N18" s="120" t="s">
        <v>1361</v>
      </c>
      <c r="O18" s="167">
        <v>4</v>
      </c>
      <c r="P18" s="67">
        <f ca="1" t="shared" si="0"/>
        <v>305.6</v>
      </c>
      <c r="Q18" s="67">
        <f t="shared" si="1"/>
        <v>0</v>
      </c>
      <c r="R18" s="67">
        <f ca="1" t="shared" si="2"/>
        <v>0</v>
      </c>
    </row>
    <row r="19" ht="15" customHeight="1" spans="1:18">
      <c r="A19" s="20"/>
      <c r="B19" s="91" t="s">
        <v>1280</v>
      </c>
      <c r="C19" s="23"/>
      <c r="D19" s="23" t="s">
        <v>434</v>
      </c>
      <c r="E19" s="28">
        <f>E6</f>
        <v>6</v>
      </c>
      <c r="F19" s="61">
        <v>85.93</v>
      </c>
      <c r="G19" s="95"/>
      <c r="H19" s="95"/>
      <c r="I19" s="61"/>
      <c r="J19" s="61"/>
      <c r="K19" s="61"/>
      <c r="L19" s="61"/>
      <c r="M19" s="61"/>
      <c r="N19" s="173" t="s">
        <v>1361</v>
      </c>
      <c r="O19" s="167">
        <v>4</v>
      </c>
      <c r="P19" s="67">
        <f ca="1" t="shared" si="0"/>
        <v>343.72</v>
      </c>
      <c r="Q19" s="67">
        <f t="shared" si="1"/>
        <v>2</v>
      </c>
      <c r="R19" s="67">
        <f ca="1" t="shared" si="2"/>
        <v>171.86</v>
      </c>
    </row>
    <row r="20" ht="15" customHeight="1" spans="1:18">
      <c r="A20" s="20"/>
      <c r="B20" s="91" t="s">
        <v>1339</v>
      </c>
      <c r="C20" s="23"/>
      <c r="D20" s="23" t="s">
        <v>28</v>
      </c>
      <c r="E20" s="32">
        <f>E13</f>
        <v>5</v>
      </c>
      <c r="F20" s="101">
        <v>91.3</v>
      </c>
      <c r="G20" s="148"/>
      <c r="H20" s="148"/>
      <c r="I20" s="101"/>
      <c r="J20" s="101"/>
      <c r="K20" s="101"/>
      <c r="L20" s="101"/>
      <c r="M20" s="101"/>
      <c r="N20" s="120" t="s">
        <v>1362</v>
      </c>
      <c r="O20" s="167">
        <v>4</v>
      </c>
      <c r="P20" s="67">
        <f ca="1" t="shared" si="0"/>
        <v>365.2</v>
      </c>
      <c r="Q20" s="67">
        <f t="shared" si="1"/>
        <v>1</v>
      </c>
      <c r="R20" s="67">
        <f ca="1" t="shared" si="2"/>
        <v>91.3</v>
      </c>
    </row>
    <row r="21" ht="15" customHeight="1" spans="1:18">
      <c r="A21" s="20"/>
      <c r="B21" s="91" t="s">
        <v>1282</v>
      </c>
      <c r="C21" s="23"/>
      <c r="D21" s="23" t="s">
        <v>434</v>
      </c>
      <c r="E21" s="209">
        <f>D3*2+F3*3</f>
        <v>12</v>
      </c>
      <c r="F21" s="101">
        <v>4.45</v>
      </c>
      <c r="G21" s="148"/>
      <c r="H21" s="148"/>
      <c r="I21" s="101"/>
      <c r="J21" s="101"/>
      <c r="K21" s="101"/>
      <c r="L21" s="101"/>
      <c r="M21" s="101"/>
      <c r="N21" s="120" t="s">
        <v>1363</v>
      </c>
      <c r="O21" s="169">
        <v>10</v>
      </c>
      <c r="P21" s="67">
        <f ca="1" t="shared" si="0"/>
        <v>44.5</v>
      </c>
      <c r="Q21" s="67">
        <f t="shared" si="1"/>
        <v>2</v>
      </c>
      <c r="R21" s="67">
        <f ca="1" t="shared" si="2"/>
        <v>8.9</v>
      </c>
    </row>
    <row r="22" ht="15" customHeight="1" spans="1:18">
      <c r="A22" s="20"/>
      <c r="B22" s="91" t="s">
        <v>1284</v>
      </c>
      <c r="C22" s="23"/>
      <c r="D22" s="23" t="s">
        <v>434</v>
      </c>
      <c r="E22" s="24">
        <f>D3*2</f>
        <v>6</v>
      </c>
      <c r="F22" s="101">
        <v>6.51</v>
      </c>
      <c r="G22" s="148"/>
      <c r="H22" s="148"/>
      <c r="I22" s="101"/>
      <c r="J22" s="101"/>
      <c r="K22" s="101"/>
      <c r="L22" s="101"/>
      <c r="M22" s="101"/>
      <c r="N22" s="120" t="s">
        <v>1364</v>
      </c>
      <c r="O22" s="167">
        <v>4</v>
      </c>
      <c r="P22" s="67">
        <f ca="1" t="shared" si="0"/>
        <v>26.04</v>
      </c>
      <c r="Q22" s="67">
        <f t="shared" si="1"/>
        <v>2</v>
      </c>
      <c r="R22" s="67">
        <f ca="1" t="shared" si="2"/>
        <v>13.02</v>
      </c>
    </row>
    <row r="23" ht="15" customHeight="1" spans="1:18">
      <c r="A23" s="20"/>
      <c r="B23" s="91" t="s">
        <v>519</v>
      </c>
      <c r="C23" s="23"/>
      <c r="D23" s="23" t="s">
        <v>434</v>
      </c>
      <c r="E23" s="24">
        <f>F3*2</f>
        <v>4</v>
      </c>
      <c r="F23" s="101">
        <v>13</v>
      </c>
      <c r="G23" s="151"/>
      <c r="H23" s="151"/>
      <c r="I23" s="39"/>
      <c r="J23" s="39"/>
      <c r="K23" s="39"/>
      <c r="L23" s="39"/>
      <c r="M23" s="39"/>
      <c r="N23" s="120" t="s">
        <v>1365</v>
      </c>
      <c r="O23" s="167">
        <v>4</v>
      </c>
      <c r="P23" s="67">
        <f ca="1" t="shared" si="0"/>
        <v>52</v>
      </c>
      <c r="Q23" s="67">
        <f t="shared" si="1"/>
        <v>0</v>
      </c>
      <c r="R23" s="67">
        <f ca="1" t="shared" si="2"/>
        <v>0</v>
      </c>
    </row>
    <row r="24" ht="15" customHeight="1" spans="1:18">
      <c r="A24" s="31"/>
      <c r="B24" s="152" t="s">
        <v>551</v>
      </c>
      <c r="C24" s="43"/>
      <c r="D24" s="43" t="s">
        <v>434</v>
      </c>
      <c r="E24" s="150">
        <f>F3*2</f>
        <v>4</v>
      </c>
      <c r="F24" s="41">
        <v>15.5</v>
      </c>
      <c r="G24" s="99"/>
      <c r="H24" s="99"/>
      <c r="I24" s="41"/>
      <c r="J24" s="41"/>
      <c r="K24" s="41"/>
      <c r="L24" s="41"/>
      <c r="M24" s="41"/>
      <c r="N24" s="173" t="s">
        <v>1361</v>
      </c>
      <c r="O24" s="174">
        <v>4</v>
      </c>
      <c r="P24" s="67">
        <f ca="1" t="shared" si="0"/>
        <v>62</v>
      </c>
      <c r="Q24" s="67">
        <f t="shared" si="1"/>
        <v>0</v>
      </c>
      <c r="R24" s="67">
        <f ca="1" t="shared" si="2"/>
        <v>0</v>
      </c>
    </row>
    <row r="25" ht="15" customHeight="1" spans="1:18">
      <c r="A25" s="153" t="s">
        <v>1216</v>
      </c>
      <c r="B25" s="91" t="s">
        <v>1366</v>
      </c>
      <c r="C25" s="23"/>
      <c r="D25" s="23" t="s">
        <v>612</v>
      </c>
      <c r="E25" s="24">
        <f>A3</f>
        <v>2</v>
      </c>
      <c r="F25" s="122">
        <f ca="1">(I25+J25)*1.1+30</f>
        <v>2604.24365</v>
      </c>
      <c r="G25" s="99">
        <v>22.61</v>
      </c>
      <c r="H25" s="99">
        <v>5</v>
      </c>
      <c r="I25" s="41">
        <f ca="1">G25*H25*'20米(人字203料）参数'!E15*1.1</f>
        <v>2151.3415</v>
      </c>
      <c r="J25" s="41">
        <f>23.61*2*4</f>
        <v>188.88</v>
      </c>
      <c r="K25" s="41">
        <v>30</v>
      </c>
      <c r="L25" s="41"/>
      <c r="M25" s="41"/>
      <c r="N25" s="167" t="s">
        <v>1507</v>
      </c>
      <c r="O25" s="175">
        <v>1</v>
      </c>
      <c r="P25" s="67">
        <f ca="1" t="shared" si="0"/>
        <v>2604.24365</v>
      </c>
      <c r="Q25" s="67">
        <f t="shared" si="1"/>
        <v>1</v>
      </c>
      <c r="R25" s="67">
        <f ca="1" t="shared" si="2"/>
        <v>2604.24365</v>
      </c>
    </row>
    <row r="26" ht="15" customHeight="1" spans="1:18">
      <c r="A26" s="153"/>
      <c r="B26" s="91" t="s">
        <v>1368</v>
      </c>
      <c r="C26" s="23"/>
      <c r="D26" s="23" t="s">
        <v>664</v>
      </c>
      <c r="E26" s="24">
        <f>F3</f>
        <v>2</v>
      </c>
      <c r="F26" s="122">
        <f ca="1">(I26+J26)*1.1+15</f>
        <v>920.81535</v>
      </c>
      <c r="G26" s="148">
        <v>11</v>
      </c>
      <c r="H26" s="154">
        <v>3.95</v>
      </c>
      <c r="I26" s="101">
        <f ca="1">G26*H26*'20米(人字203料）参数'!E14*1.1</f>
        <v>683.4685</v>
      </c>
      <c r="J26" s="101">
        <f>17.5*2*4</f>
        <v>140</v>
      </c>
      <c r="K26" s="101">
        <v>15</v>
      </c>
      <c r="L26" s="101"/>
      <c r="M26" s="101"/>
      <c r="N26" s="51" t="s">
        <v>1508</v>
      </c>
      <c r="O26" s="167">
        <v>2</v>
      </c>
      <c r="P26" s="67">
        <f ca="1" t="shared" si="0"/>
        <v>1841.6307</v>
      </c>
      <c r="Q26" s="67">
        <f t="shared" si="1"/>
        <v>0</v>
      </c>
      <c r="R26" s="67">
        <f ca="1" t="shared" si="2"/>
        <v>0</v>
      </c>
    </row>
    <row r="27" ht="15" customHeight="1" spans="1:18">
      <c r="A27" s="155"/>
      <c r="B27" s="91" t="s">
        <v>1370</v>
      </c>
      <c r="C27" s="23"/>
      <c r="D27" s="23" t="s">
        <v>664</v>
      </c>
      <c r="E27" s="24">
        <f>A3*2+F3*4</f>
        <v>12</v>
      </c>
      <c r="F27" s="101">
        <f ca="1">I27+J27+K27+L27+M27</f>
        <v>466.28612</v>
      </c>
      <c r="G27" s="156">
        <v>5.2</v>
      </c>
      <c r="H27" s="157">
        <v>4.97</v>
      </c>
      <c r="I27" s="101">
        <f ca="1">G27*H27*'20米(人字203料）参数'!E14*1.1+15</f>
        <v>421.52612</v>
      </c>
      <c r="J27" s="71">
        <f>4*2*2</f>
        <v>16</v>
      </c>
      <c r="K27" s="71">
        <f>0.5*10</f>
        <v>5</v>
      </c>
      <c r="L27" s="71">
        <f>0.32*18</f>
        <v>5.76</v>
      </c>
      <c r="M27" s="71">
        <f>18*1</f>
        <v>18</v>
      </c>
      <c r="N27" s="120" t="s">
        <v>1394</v>
      </c>
      <c r="O27" s="169">
        <v>10</v>
      </c>
      <c r="P27" s="67">
        <f ca="1" t="shared" si="0"/>
        <v>4662.8612</v>
      </c>
      <c r="Q27" s="67">
        <f t="shared" si="1"/>
        <v>2</v>
      </c>
      <c r="R27" s="67">
        <f ca="1" t="shared" si="2"/>
        <v>932.57224</v>
      </c>
    </row>
    <row r="28" ht="15" customHeight="1" spans="1:18">
      <c r="A28" s="20" t="s">
        <v>1235</v>
      </c>
      <c r="B28" s="138" t="s">
        <v>589</v>
      </c>
      <c r="C28" s="23"/>
      <c r="D28" s="23" t="s">
        <v>434</v>
      </c>
      <c r="E28" s="24">
        <f>D3*10+F3*2+E20*2</f>
        <v>44</v>
      </c>
      <c r="F28" s="101">
        <v>2.15</v>
      </c>
      <c r="G28" s="154"/>
      <c r="H28" s="154"/>
      <c r="I28" s="101"/>
      <c r="J28" s="101"/>
      <c r="K28" s="101"/>
      <c r="L28" s="101"/>
      <c r="M28" s="101"/>
      <c r="N28" s="120" t="s">
        <v>1372</v>
      </c>
      <c r="O28" s="167">
        <v>34</v>
      </c>
      <c r="P28" s="67">
        <f ca="1" t="shared" si="0"/>
        <v>73.1</v>
      </c>
      <c r="Q28" s="67">
        <f t="shared" si="1"/>
        <v>10</v>
      </c>
      <c r="R28" s="67">
        <f ca="1" t="shared" si="2"/>
        <v>21.5</v>
      </c>
    </row>
    <row r="29" ht="15" customHeight="1" spans="1:18">
      <c r="A29" s="20"/>
      <c r="B29" s="109" t="s">
        <v>591</v>
      </c>
      <c r="C29" s="23"/>
      <c r="D29" s="23" t="s">
        <v>434</v>
      </c>
      <c r="E29" s="24">
        <f>D3*2+E20+E13</f>
        <v>16</v>
      </c>
      <c r="F29" s="101">
        <v>2.55</v>
      </c>
      <c r="G29" s="154"/>
      <c r="H29" s="154"/>
      <c r="I29" s="101"/>
      <c r="J29" s="101"/>
      <c r="K29" s="101"/>
      <c r="L29" s="101"/>
      <c r="M29" s="101"/>
      <c r="N29" s="120" t="s">
        <v>1373</v>
      </c>
      <c r="O29" s="172">
        <v>14</v>
      </c>
      <c r="P29" s="67">
        <f ca="1" t="shared" si="0"/>
        <v>35.7</v>
      </c>
      <c r="Q29" s="67">
        <f t="shared" si="1"/>
        <v>2</v>
      </c>
      <c r="R29" s="67">
        <f ca="1" t="shared" si="2"/>
        <v>5.1</v>
      </c>
    </row>
    <row r="30" ht="15" customHeight="1" spans="1:18">
      <c r="A30" s="20"/>
      <c r="B30" s="159" t="s">
        <v>1423</v>
      </c>
      <c r="C30" s="43"/>
      <c r="D30" s="43" t="s">
        <v>434</v>
      </c>
      <c r="E30" s="44">
        <f>D3*2+4</f>
        <v>10</v>
      </c>
      <c r="F30" s="39">
        <v>1.95</v>
      </c>
      <c r="G30" s="160"/>
      <c r="H30" s="160"/>
      <c r="I30" s="39"/>
      <c r="J30" s="39"/>
      <c r="K30" s="39"/>
      <c r="L30" s="39"/>
      <c r="M30" s="39"/>
      <c r="N30" s="120" t="s">
        <v>1375</v>
      </c>
      <c r="O30" s="167">
        <v>8</v>
      </c>
      <c r="P30" s="67">
        <f ca="1" t="shared" si="0"/>
        <v>15.6</v>
      </c>
      <c r="Q30" s="67">
        <f t="shared" si="1"/>
        <v>2</v>
      </c>
      <c r="R30" s="67">
        <f ca="1" t="shared" si="2"/>
        <v>3.9</v>
      </c>
    </row>
    <row r="31" ht="15" customHeight="1" spans="1:18">
      <c r="A31" s="20"/>
      <c r="B31" s="109" t="s">
        <v>554</v>
      </c>
      <c r="C31" s="23"/>
      <c r="D31" s="23" t="s">
        <v>555</v>
      </c>
      <c r="E31" s="28">
        <f>E18+E19+E13</f>
        <v>15</v>
      </c>
      <c r="F31" s="101">
        <v>1.46</v>
      </c>
      <c r="G31" s="154"/>
      <c r="H31" s="154"/>
      <c r="I31" s="101"/>
      <c r="J31" s="101"/>
      <c r="K31" s="101"/>
      <c r="L31" s="101"/>
      <c r="M31" s="101"/>
      <c r="N31" s="120" t="s">
        <v>1376</v>
      </c>
      <c r="O31" s="167">
        <v>13</v>
      </c>
      <c r="P31" s="67">
        <f ca="1" t="shared" si="0"/>
        <v>18.98</v>
      </c>
      <c r="Q31" s="67">
        <f t="shared" si="1"/>
        <v>2</v>
      </c>
      <c r="R31" s="67">
        <f ca="1" t="shared" si="2"/>
        <v>2.92</v>
      </c>
    </row>
    <row r="32" spans="1:18">
      <c r="A32" s="50"/>
      <c r="B32" s="50"/>
      <c r="C32" s="51"/>
      <c r="D32" s="51"/>
      <c r="E32" s="51"/>
      <c r="F32" s="50"/>
      <c r="G32" s="50"/>
      <c r="H32" s="50"/>
      <c r="I32" s="50"/>
      <c r="J32" s="50"/>
      <c r="K32" s="50"/>
      <c r="L32" s="50"/>
      <c r="M32" s="50"/>
      <c r="N32" s="50"/>
      <c r="O32" s="84" t="s">
        <v>1218</v>
      </c>
      <c r="P32" s="3">
        <f ca="1">SUM(P6:P31)</f>
        <v>36583.1477820368</v>
      </c>
      <c r="Q32" s="3" t="s">
        <v>1219</v>
      </c>
      <c r="R32" s="3">
        <f ca="1">SUM(R6:R31)</f>
        <v>13207.999249864</v>
      </c>
    </row>
    <row r="33" spans="1:18">
      <c r="A33" s="50"/>
      <c r="B33" s="50" t="s">
        <v>1221</v>
      </c>
      <c r="C33" s="51"/>
      <c r="D33" s="51"/>
      <c r="E33" s="51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3"/>
      <c r="Q33" s="3"/>
      <c r="R33" s="3"/>
    </row>
    <row r="34" spans="1:18">
      <c r="A34" s="50"/>
      <c r="B34" s="50"/>
      <c r="C34" s="51"/>
      <c r="D34" s="51"/>
      <c r="E34" s="51"/>
      <c r="F34" s="50"/>
      <c r="G34" s="50"/>
      <c r="H34" s="50"/>
      <c r="I34" s="50"/>
      <c r="J34" s="50"/>
      <c r="K34" s="50"/>
      <c r="L34" s="50"/>
      <c r="M34" s="50"/>
      <c r="N34" s="50"/>
      <c r="O34" s="50" t="s">
        <v>1377</v>
      </c>
      <c r="P34" s="3">
        <f ca="1">P32+R32</f>
        <v>49791.1470319008</v>
      </c>
      <c r="Q34" s="3"/>
      <c r="R34" s="3"/>
    </row>
    <row r="35" spans="1:18">
      <c r="A35" s="50"/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0"/>
      <c r="O35" s="50" t="s">
        <v>14</v>
      </c>
      <c r="P35" s="3">
        <f ca="1">P34/E2</f>
        <v>248.955735159504</v>
      </c>
      <c r="Q35" s="3"/>
      <c r="R35" s="3"/>
    </row>
  </sheetData>
  <mergeCells count="12">
    <mergeCell ref="A1:O1"/>
    <mergeCell ref="A2:C2"/>
    <mergeCell ref="F2:N2"/>
    <mergeCell ref="A3:B3"/>
    <mergeCell ref="H3:N3"/>
    <mergeCell ref="A4:F4"/>
    <mergeCell ref="G4:H4"/>
    <mergeCell ref="I4:M4"/>
    <mergeCell ref="A6:A16"/>
    <mergeCell ref="A17:A24"/>
    <mergeCell ref="A25:A27"/>
    <mergeCell ref="A28:A31"/>
  </mergeCells>
  <dataValidations count="3">
    <dataValidation type="list" allowBlank="1" showInputMessage="1" showErrorMessage="1" sqref="B25">
      <formula1>"顶布[白]{全新},顶布[白]{A类},顶布[白]{B类},顶布[白]{C类},顶布[白]{D类}"</formula1>
    </dataValidation>
    <dataValidation type="list" allowBlank="1" showInputMessage="1" showErrorMessage="1" sqref="B26">
      <formula1>"山尖布[白]{全新},山尖布[白]{A类},山尖布[白]{B类},山尖布[白]{C类},山尖布[白]{D类}"</formula1>
    </dataValidation>
    <dataValidation type="list" allowBlank="1" showInputMessage="1" showErrorMessage="1" sqref="B27">
      <formula1>"围布[白]{全新},围布[白]{A类},围布[白]{B类},围布[白]{C类},围布[白]{D类},透光窗围布[白]{全新},透光窗围布[白]{A类},透光窗围布[白]{B类},透光窗围布[白]{C类},透光窗围布[白]{D类}"</formula1>
    </dataValidation>
  </dataValidations>
  <pageMargins left="0.75" right="0.75" top="1" bottom="1" header="0.509027777777778" footer="0.509027777777778"/>
  <headerFooter/>
</worksheet>
</file>

<file path=xl/worksheets/sheet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FFFF00"/>
  </sheetPr>
  <dimension ref="A1:R36"/>
  <sheetViews>
    <sheetView showGridLines="0" workbookViewId="0">
      <selection activeCell="F12" sqref="F12"/>
    </sheetView>
  </sheetViews>
  <sheetFormatPr defaultColWidth="9" defaultRowHeight="14.25"/>
  <cols>
    <col min="1" max="1" width="2.75" style="1" customWidth="1"/>
    <col min="2" max="2" width="14" style="1" customWidth="1"/>
    <col min="3" max="5" width="9" style="1"/>
    <col min="6" max="13" width="9" style="1" customWidth="1"/>
    <col min="14" max="14" width="41" style="1" customWidth="1"/>
    <col min="15" max="15" width="9.625" style="1" customWidth="1"/>
    <col min="16" max="16" width="14.625" style="1" customWidth="1"/>
    <col min="17" max="17" width="9" style="1"/>
    <col min="18" max="18" width="14.25" style="1" customWidth="1"/>
    <col min="19" max="16384" width="9" style="1"/>
  </cols>
  <sheetData>
    <row r="1" ht="18.75" spans="1:18">
      <c r="A1" s="72" t="s">
        <v>1510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161"/>
      <c r="P1" s="3"/>
      <c r="Q1" s="3"/>
      <c r="R1" s="3"/>
    </row>
    <row r="2" spans="1:18">
      <c r="A2" s="141" t="s">
        <v>1246</v>
      </c>
      <c r="B2" s="142"/>
      <c r="C2" s="142"/>
      <c r="D2" s="9" t="s">
        <v>1511</v>
      </c>
      <c r="E2" s="176">
        <f>A3*5*20</f>
        <v>200</v>
      </c>
      <c r="F2" s="11"/>
      <c r="G2" s="11"/>
      <c r="H2" s="11"/>
      <c r="I2" s="11"/>
      <c r="J2" s="11"/>
      <c r="K2" s="11"/>
      <c r="L2" s="11"/>
      <c r="M2" s="11"/>
      <c r="N2" s="11"/>
      <c r="O2" s="162"/>
      <c r="P2" s="3"/>
      <c r="Q2" s="55"/>
      <c r="R2" s="55"/>
    </row>
    <row r="3" spans="1:18">
      <c r="A3" s="177">
        <v>2</v>
      </c>
      <c r="B3" s="177"/>
      <c r="C3" s="178" t="s">
        <v>1247</v>
      </c>
      <c r="D3" s="179">
        <v>3</v>
      </c>
      <c r="E3" s="180" t="s">
        <v>1248</v>
      </c>
      <c r="F3" s="12">
        <v>2</v>
      </c>
      <c r="G3" s="11" t="s">
        <v>1249</v>
      </c>
      <c r="H3" s="12"/>
      <c r="I3" s="12"/>
      <c r="J3" s="12"/>
      <c r="K3" s="12"/>
      <c r="L3" s="12"/>
      <c r="M3" s="12"/>
      <c r="N3" s="12"/>
      <c r="O3" s="162"/>
      <c r="P3" s="3"/>
      <c r="Q3" s="55"/>
      <c r="R3" s="55"/>
    </row>
    <row r="4" spans="1:18">
      <c r="A4" s="190"/>
      <c r="B4" s="128"/>
      <c r="C4" s="128"/>
      <c r="D4" s="128"/>
      <c r="E4" s="128"/>
      <c r="F4" s="128"/>
      <c r="G4" s="180" t="s">
        <v>1345</v>
      </c>
      <c r="H4" s="191"/>
      <c r="I4" s="198" t="s">
        <v>1346</v>
      </c>
      <c r="J4" s="199"/>
      <c r="K4" s="199"/>
      <c r="L4" s="199"/>
      <c r="M4" s="200"/>
      <c r="N4" s="201"/>
      <c r="O4" s="162"/>
      <c r="P4" s="3"/>
      <c r="Q4" s="55"/>
      <c r="R4" s="55"/>
    </row>
    <row r="5" ht="24" spans="1:18">
      <c r="A5" s="146" t="s">
        <v>1200</v>
      </c>
      <c r="B5" s="146" t="s">
        <v>1201</v>
      </c>
      <c r="C5" s="146" t="s">
        <v>1250</v>
      </c>
      <c r="D5" s="146" t="s">
        <v>22</v>
      </c>
      <c r="E5" s="147" t="s">
        <v>1251</v>
      </c>
      <c r="F5" s="75" t="s">
        <v>1204</v>
      </c>
      <c r="G5" s="19" t="s">
        <v>1205</v>
      </c>
      <c r="H5" s="17" t="s">
        <v>1253</v>
      </c>
      <c r="I5" s="17" t="s">
        <v>1254</v>
      </c>
      <c r="J5" s="17" t="s">
        <v>1255</v>
      </c>
      <c r="K5" s="17" t="s">
        <v>1209</v>
      </c>
      <c r="L5" s="17" t="s">
        <v>1420</v>
      </c>
      <c r="M5" s="17" t="s">
        <v>1211</v>
      </c>
      <c r="N5" s="163" t="s">
        <v>1257</v>
      </c>
      <c r="O5" s="164" t="s">
        <v>1212</v>
      </c>
      <c r="P5" s="165" t="s">
        <v>1213</v>
      </c>
      <c r="Q5" s="165" t="s">
        <v>1214</v>
      </c>
      <c r="R5" s="75" t="s">
        <v>1213</v>
      </c>
    </row>
    <row r="6" ht="15" customHeight="1" spans="1:18">
      <c r="A6" s="20" t="s">
        <v>1215</v>
      </c>
      <c r="B6" s="91" t="s">
        <v>1224</v>
      </c>
      <c r="C6" s="23"/>
      <c r="D6" s="23" t="s">
        <v>28</v>
      </c>
      <c r="E6" s="24">
        <f>D3*2</f>
        <v>6</v>
      </c>
      <c r="F6" s="93">
        <f ca="1">I6+J6+K6+L6+M6</f>
        <v>1309.407519792</v>
      </c>
      <c r="G6" s="94">
        <v>5.58</v>
      </c>
      <c r="H6" s="94">
        <v>8.233</v>
      </c>
      <c r="I6" s="93">
        <f ca="1">G6*H6*'20米(人字203料）参数'!G3*1.1</f>
        <v>1144.497519792</v>
      </c>
      <c r="J6" s="93">
        <f>48.55*2</f>
        <v>97.1</v>
      </c>
      <c r="K6" s="93">
        <v>45.91</v>
      </c>
      <c r="L6" s="93">
        <f>2.55*4</f>
        <v>10.2</v>
      </c>
      <c r="M6" s="93">
        <f>18*0.65</f>
        <v>11.7</v>
      </c>
      <c r="N6" s="166" t="s">
        <v>1502</v>
      </c>
      <c r="O6" s="167">
        <v>4</v>
      </c>
      <c r="P6" s="67">
        <f ca="1" t="shared" ref="P6:P32" si="0">F6*O6</f>
        <v>5237.630079168</v>
      </c>
      <c r="Q6" s="67">
        <f t="shared" ref="Q6:Q32" si="1">E6-O6</f>
        <v>2</v>
      </c>
      <c r="R6" s="67">
        <f ca="1" t="shared" ref="R6:R32" si="2">F6*Q6</f>
        <v>2618.815039584</v>
      </c>
    </row>
    <row r="7" ht="15" customHeight="1" spans="1:18">
      <c r="A7" s="20"/>
      <c r="B7" s="91" t="s">
        <v>1308</v>
      </c>
      <c r="C7" s="23"/>
      <c r="D7" s="23" t="s">
        <v>28</v>
      </c>
      <c r="E7" s="24">
        <f>F3*2</f>
        <v>4</v>
      </c>
      <c r="F7" s="101">
        <f ca="1">G7+H7+I7+J7+K7+L7+M7</f>
        <v>1037.48488</v>
      </c>
      <c r="G7" s="148">
        <v>7</v>
      </c>
      <c r="H7" s="148">
        <v>5.3</v>
      </c>
      <c r="I7" s="101">
        <f ca="1">G7*H7*'20米(人字203料）参数'!G3*1.1</f>
        <v>924.26488</v>
      </c>
      <c r="J7" s="101"/>
      <c r="K7" s="101">
        <f>49.51+41.21</f>
        <v>90.72</v>
      </c>
      <c r="L7" s="101">
        <f>2.55*4</f>
        <v>10.2</v>
      </c>
      <c r="M7" s="101"/>
      <c r="N7" s="166" t="s">
        <v>1427</v>
      </c>
      <c r="O7" s="167">
        <v>4</v>
      </c>
      <c r="P7" s="67">
        <f ca="1" t="shared" si="0"/>
        <v>4149.93952</v>
      </c>
      <c r="Q7" s="67">
        <f t="shared" si="1"/>
        <v>0</v>
      </c>
      <c r="R7" s="67">
        <f ca="1" t="shared" si="2"/>
        <v>0</v>
      </c>
    </row>
    <row r="8" ht="15" customHeight="1" spans="1:18">
      <c r="A8" s="20"/>
      <c r="B8" s="91" t="s">
        <v>1435</v>
      </c>
      <c r="C8" s="23"/>
      <c r="D8" s="23" t="s">
        <v>28</v>
      </c>
      <c r="E8" s="24">
        <f>F3</f>
        <v>2</v>
      </c>
      <c r="F8" s="101">
        <f ca="1">G8+H8+I8+J8+K8+L8+M8</f>
        <v>1197.130288</v>
      </c>
      <c r="G8" s="148">
        <v>8.2</v>
      </c>
      <c r="H8" s="148">
        <v>5.3</v>
      </c>
      <c r="I8" s="101">
        <f ca="1">G8*H8*'20米(人字203料）参数'!G3*1.1</f>
        <v>1082.710288</v>
      </c>
      <c r="J8" s="101"/>
      <c r="K8" s="101">
        <f>49.51+41.21</f>
        <v>90.72</v>
      </c>
      <c r="L8" s="101">
        <f>2.55*4</f>
        <v>10.2</v>
      </c>
      <c r="M8" s="101"/>
      <c r="N8" s="166" t="s">
        <v>1490</v>
      </c>
      <c r="O8" s="167">
        <v>2</v>
      </c>
      <c r="P8" s="67">
        <f ca="1" t="shared" si="0"/>
        <v>2394.260576</v>
      </c>
      <c r="Q8" s="67">
        <f t="shared" si="1"/>
        <v>0</v>
      </c>
      <c r="R8" s="67">
        <f ca="1" t="shared" si="2"/>
        <v>0</v>
      </c>
    </row>
    <row r="9" ht="15" customHeight="1" spans="1:18">
      <c r="A9" s="20"/>
      <c r="B9" s="91" t="s">
        <v>1350</v>
      </c>
      <c r="C9" s="23"/>
      <c r="D9" s="23" t="s">
        <v>28</v>
      </c>
      <c r="E9" s="24">
        <f>D3*2</f>
        <v>6</v>
      </c>
      <c r="F9" s="61">
        <f ca="1">I9+J9+K9+L9+M9</f>
        <v>2213.98507344</v>
      </c>
      <c r="G9" s="95">
        <v>10.6</v>
      </c>
      <c r="H9" s="95">
        <v>8.233</v>
      </c>
      <c r="I9" s="61">
        <f ca="1">G9*H9*'20米(人字203料）参数'!G3*1.1</f>
        <v>2174.13507344</v>
      </c>
      <c r="J9" s="61">
        <f>2.5*8</f>
        <v>20</v>
      </c>
      <c r="K9" s="61">
        <v>11.85</v>
      </c>
      <c r="L9" s="61">
        <f>1*8</f>
        <v>8</v>
      </c>
      <c r="M9" s="61"/>
      <c r="N9" s="116" t="s">
        <v>1506</v>
      </c>
      <c r="O9" s="167">
        <v>4</v>
      </c>
      <c r="P9" s="67">
        <f ca="1" t="shared" si="0"/>
        <v>8855.94029376</v>
      </c>
      <c r="Q9" s="67">
        <f t="shared" si="1"/>
        <v>2</v>
      </c>
      <c r="R9" s="67">
        <f ca="1" t="shared" si="2"/>
        <v>4427.97014688</v>
      </c>
    </row>
    <row r="10" ht="15" customHeight="1" spans="1:18">
      <c r="A10" s="20"/>
      <c r="B10" s="91" t="s">
        <v>1226</v>
      </c>
      <c r="C10" s="23"/>
      <c r="D10" s="23" t="s">
        <v>28</v>
      </c>
      <c r="E10" s="24">
        <f>A3*6</f>
        <v>12</v>
      </c>
      <c r="F10" s="101">
        <f ca="1">I10+J10+K10+L10+M10</f>
        <v>195.0929650432</v>
      </c>
      <c r="G10" s="148">
        <v>4.882</v>
      </c>
      <c r="H10" s="148">
        <v>1.552</v>
      </c>
      <c r="I10" s="101">
        <f ca="1">G10*H10*'20米(人字203料）参数'!G5*1.1</f>
        <v>180.0929650432</v>
      </c>
      <c r="J10" s="101"/>
      <c r="K10" s="101"/>
      <c r="L10" s="101">
        <f>0.5*4</f>
        <v>2</v>
      </c>
      <c r="M10" s="101">
        <f>6.5*2</f>
        <v>13</v>
      </c>
      <c r="N10" s="120" t="s">
        <v>1352</v>
      </c>
      <c r="O10" s="169">
        <v>6</v>
      </c>
      <c r="P10" s="67">
        <f ca="1" t="shared" si="0"/>
        <v>1170.5577902592</v>
      </c>
      <c r="Q10" s="67">
        <f t="shared" si="1"/>
        <v>6</v>
      </c>
      <c r="R10" s="67">
        <f ca="1" t="shared" si="2"/>
        <v>1170.5577902592</v>
      </c>
    </row>
    <row r="11" ht="15" customHeight="1" spans="1:18">
      <c r="A11" s="20"/>
      <c r="B11" s="91" t="s">
        <v>1264</v>
      </c>
      <c r="C11" s="23"/>
      <c r="D11" s="23" t="s">
        <v>28</v>
      </c>
      <c r="E11" s="24">
        <f>A3*3+F3*2</f>
        <v>10</v>
      </c>
      <c r="F11" s="101">
        <f ca="1">I11+J11+K11+L11+M11</f>
        <v>336.5448493136</v>
      </c>
      <c r="G11" s="148">
        <v>4.882</v>
      </c>
      <c r="H11" s="148">
        <v>2.771</v>
      </c>
      <c r="I11" s="101">
        <f ca="1">G11*H11*'20米(人字203料）参数'!G5*1.1</f>
        <v>321.5448493136</v>
      </c>
      <c r="J11" s="101"/>
      <c r="K11" s="101"/>
      <c r="L11" s="101">
        <f>0.5*4</f>
        <v>2</v>
      </c>
      <c r="M11" s="101">
        <f>6.5*2</f>
        <v>13</v>
      </c>
      <c r="N11" s="120" t="s">
        <v>1353</v>
      </c>
      <c r="O11" s="169">
        <v>7</v>
      </c>
      <c r="P11" s="67">
        <f ca="1" t="shared" si="0"/>
        <v>2355.8139451952</v>
      </c>
      <c r="Q11" s="67">
        <f t="shared" si="1"/>
        <v>3</v>
      </c>
      <c r="R11" s="67">
        <f ca="1" t="shared" si="2"/>
        <v>1009.6345479408</v>
      </c>
    </row>
    <row r="12" ht="15" customHeight="1" spans="1:18">
      <c r="A12" s="20"/>
      <c r="B12" s="91" t="s">
        <v>1266</v>
      </c>
      <c r="C12" s="23"/>
      <c r="D12" s="23" t="s">
        <v>28</v>
      </c>
      <c r="E12" s="24">
        <f>A3*2+F3*4</f>
        <v>12</v>
      </c>
      <c r="F12" s="101">
        <f ca="1">'数据修改（批量）'!A28</f>
        <v>95</v>
      </c>
      <c r="G12" s="148">
        <v>4.86</v>
      </c>
      <c r="H12" s="148">
        <v>1.345</v>
      </c>
      <c r="I12" s="101">
        <f ca="1">G12*H12*'20米(人字203料）参数'!G5*1.1</f>
        <v>155.36951496</v>
      </c>
      <c r="J12" s="101"/>
      <c r="K12" s="101"/>
      <c r="L12" s="101"/>
      <c r="M12" s="101"/>
      <c r="N12" s="120" t="s">
        <v>1354</v>
      </c>
      <c r="O12" s="169">
        <v>10</v>
      </c>
      <c r="P12" s="67">
        <f ca="1" t="shared" si="0"/>
        <v>950</v>
      </c>
      <c r="Q12" s="67">
        <f t="shared" si="1"/>
        <v>2</v>
      </c>
      <c r="R12" s="67">
        <f ca="1" t="shared" si="2"/>
        <v>190</v>
      </c>
    </row>
    <row r="13" ht="15" customHeight="1" spans="1:18">
      <c r="A13" s="20"/>
      <c r="B13" s="91" t="s">
        <v>1272</v>
      </c>
      <c r="C13" s="23"/>
      <c r="D13" s="23" t="s">
        <v>28</v>
      </c>
      <c r="E13" s="30">
        <v>5</v>
      </c>
      <c r="F13" s="101">
        <f>I13+J13+K13+L13+M13</f>
        <v>134.5</v>
      </c>
      <c r="G13" s="148"/>
      <c r="H13" s="148"/>
      <c r="I13" s="101">
        <v>120</v>
      </c>
      <c r="J13" s="101">
        <v>6.5</v>
      </c>
      <c r="K13" s="101">
        <v>4</v>
      </c>
      <c r="L13" s="101">
        <v>3</v>
      </c>
      <c r="M13" s="101">
        <v>1</v>
      </c>
      <c r="N13" s="120" t="s">
        <v>1428</v>
      </c>
      <c r="O13" s="167">
        <v>4</v>
      </c>
      <c r="P13" s="67">
        <f ca="1" t="shared" si="0"/>
        <v>538</v>
      </c>
      <c r="Q13" s="67">
        <f t="shared" si="1"/>
        <v>1</v>
      </c>
      <c r="R13" s="67">
        <f ca="1" t="shared" si="2"/>
        <v>134.5</v>
      </c>
    </row>
    <row r="14" ht="15" customHeight="1" spans="1:18">
      <c r="A14" s="20"/>
      <c r="B14" s="91" t="s">
        <v>1356</v>
      </c>
      <c r="C14" s="23"/>
      <c r="D14" s="23" t="s">
        <v>28</v>
      </c>
      <c r="E14" s="24">
        <f>F3</f>
        <v>2</v>
      </c>
      <c r="F14" s="101">
        <f ca="1">I14+J14+K14+L14+M14</f>
        <v>90.133</v>
      </c>
      <c r="G14" s="148">
        <v>3.75</v>
      </c>
      <c r="H14" s="148">
        <v>1</v>
      </c>
      <c r="I14" s="101">
        <f ca="1">G14*H14*'20米(人字203料）参数'!G5*1.1</f>
        <v>89.133</v>
      </c>
      <c r="J14" s="101"/>
      <c r="K14" s="101"/>
      <c r="L14" s="101">
        <f>0.5*2</f>
        <v>1</v>
      </c>
      <c r="M14" s="101"/>
      <c r="N14" s="170" t="s">
        <v>1357</v>
      </c>
      <c r="O14" s="167">
        <v>2</v>
      </c>
      <c r="P14" s="67">
        <f ca="1" t="shared" si="0"/>
        <v>180.266</v>
      </c>
      <c r="Q14" s="67">
        <f t="shared" si="1"/>
        <v>0</v>
      </c>
      <c r="R14" s="67">
        <f ca="1" t="shared" si="2"/>
        <v>0</v>
      </c>
    </row>
    <row r="15" ht="15" customHeight="1" spans="1:18">
      <c r="A15" s="20"/>
      <c r="B15" s="91" t="s">
        <v>1276</v>
      </c>
      <c r="C15" s="23"/>
      <c r="D15" s="23" t="s">
        <v>28</v>
      </c>
      <c r="E15" s="28">
        <f>F3*2</f>
        <v>4</v>
      </c>
      <c r="F15" s="101">
        <f ca="1">I15+J15+K15+L15+M15</f>
        <v>348.2448493136</v>
      </c>
      <c r="G15" s="95">
        <v>4.882</v>
      </c>
      <c r="H15" s="95">
        <v>2.771</v>
      </c>
      <c r="I15" s="61">
        <f ca="1">G15*H15*'20米(人字203料）参数'!G5*1.1</f>
        <v>321.5448493136</v>
      </c>
      <c r="J15" s="61"/>
      <c r="K15" s="61">
        <v>15</v>
      </c>
      <c r="L15" s="61">
        <f>8*0.65</f>
        <v>5.2</v>
      </c>
      <c r="M15" s="61">
        <v>6.5</v>
      </c>
      <c r="N15" s="120" t="s">
        <v>1358</v>
      </c>
      <c r="O15" s="167">
        <v>4</v>
      </c>
      <c r="P15" s="67">
        <f ca="1" t="shared" si="0"/>
        <v>1392.9793972544</v>
      </c>
      <c r="Q15" s="67">
        <f t="shared" si="1"/>
        <v>0</v>
      </c>
      <c r="R15" s="67">
        <f ca="1" t="shared" si="2"/>
        <v>0</v>
      </c>
    </row>
    <row r="16" ht="15" customHeight="1" spans="1:18">
      <c r="A16" s="31"/>
      <c r="B16" s="149" t="s">
        <v>1274</v>
      </c>
      <c r="C16" s="43"/>
      <c r="D16" s="43" t="s">
        <v>28</v>
      </c>
      <c r="E16" s="150">
        <f>A3*2+F3*4</f>
        <v>12</v>
      </c>
      <c r="F16" s="101">
        <f>(I16+J16+K16+L16+M16)</f>
        <v>20.4</v>
      </c>
      <c r="G16" s="151"/>
      <c r="H16" s="151"/>
      <c r="I16" s="39">
        <f>17*1.2</f>
        <v>20.4</v>
      </c>
      <c r="J16" s="39"/>
      <c r="K16" s="39"/>
      <c r="L16" s="39"/>
      <c r="M16" s="39"/>
      <c r="N16" s="171" t="s">
        <v>1359</v>
      </c>
      <c r="O16" s="167">
        <v>10</v>
      </c>
      <c r="P16" s="67">
        <f ca="1" t="shared" si="0"/>
        <v>204</v>
      </c>
      <c r="Q16" s="67">
        <f t="shared" si="1"/>
        <v>2</v>
      </c>
      <c r="R16" s="67">
        <f ca="1" t="shared" si="2"/>
        <v>40.8</v>
      </c>
    </row>
    <row r="17" ht="15" customHeight="1" spans="1:18">
      <c r="A17" s="20" t="s">
        <v>1278</v>
      </c>
      <c r="B17" s="91" t="s">
        <v>1304</v>
      </c>
      <c r="C17" s="23"/>
      <c r="D17" s="23" t="s">
        <v>434</v>
      </c>
      <c r="E17" s="24">
        <f>D3</f>
        <v>3</v>
      </c>
      <c r="F17" s="101">
        <v>180.62</v>
      </c>
      <c r="G17" s="151"/>
      <c r="H17" s="151"/>
      <c r="I17" s="39"/>
      <c r="J17" s="39"/>
      <c r="K17" s="39"/>
      <c r="L17" s="39"/>
      <c r="M17" s="39"/>
      <c r="N17" s="171" t="s">
        <v>1360</v>
      </c>
      <c r="O17" s="172">
        <v>2</v>
      </c>
      <c r="P17" s="67">
        <f ca="1" t="shared" si="0"/>
        <v>361.24</v>
      </c>
      <c r="Q17" s="67">
        <f t="shared" si="1"/>
        <v>1</v>
      </c>
      <c r="R17" s="67">
        <f ca="1" t="shared" si="2"/>
        <v>180.62</v>
      </c>
    </row>
    <row r="18" ht="15" customHeight="1" spans="1:18">
      <c r="A18" s="20"/>
      <c r="B18" s="152" t="s">
        <v>1448</v>
      </c>
      <c r="C18" s="43"/>
      <c r="D18" s="23" t="s">
        <v>28</v>
      </c>
      <c r="E18" s="44">
        <f>(D3-2)*2</f>
        <v>2</v>
      </c>
      <c r="F18" s="195">
        <f>(G18+H18+I18+J18+K18+L18+M18)*1.1</f>
        <v>189.2</v>
      </c>
      <c r="G18" s="196"/>
      <c r="H18" s="196"/>
      <c r="I18" s="203">
        <v>128</v>
      </c>
      <c r="J18" s="203"/>
      <c r="K18" s="203">
        <v>34</v>
      </c>
      <c r="L18" s="203">
        <v>10</v>
      </c>
      <c r="M18" s="203"/>
      <c r="N18" s="168" t="s">
        <v>1447</v>
      </c>
      <c r="O18" s="172">
        <v>0</v>
      </c>
      <c r="P18" s="67">
        <f ca="1" t="shared" si="0"/>
        <v>0</v>
      </c>
      <c r="Q18" s="67">
        <f t="shared" si="1"/>
        <v>2</v>
      </c>
      <c r="R18" s="67">
        <f ca="1" t="shared" si="2"/>
        <v>378.4</v>
      </c>
    </row>
    <row r="19" ht="15" customHeight="1" spans="1:18">
      <c r="A19" s="20"/>
      <c r="B19" s="91" t="s">
        <v>1310</v>
      </c>
      <c r="C19" s="23"/>
      <c r="D19" s="23" t="s">
        <v>434</v>
      </c>
      <c r="E19" s="24">
        <f>E7</f>
        <v>4</v>
      </c>
      <c r="F19" s="101">
        <v>76.4</v>
      </c>
      <c r="G19" s="148"/>
      <c r="H19" s="148"/>
      <c r="I19" s="101"/>
      <c r="J19" s="101"/>
      <c r="K19" s="101"/>
      <c r="L19" s="101"/>
      <c r="M19" s="101"/>
      <c r="N19" s="120" t="s">
        <v>1361</v>
      </c>
      <c r="O19" s="167">
        <v>4</v>
      </c>
      <c r="P19" s="67">
        <f ca="1" t="shared" si="0"/>
        <v>305.6</v>
      </c>
      <c r="Q19" s="67">
        <f t="shared" si="1"/>
        <v>0</v>
      </c>
      <c r="R19" s="67">
        <f ca="1" t="shared" si="2"/>
        <v>0</v>
      </c>
    </row>
    <row r="20" ht="15" customHeight="1" spans="1:18">
      <c r="A20" s="20"/>
      <c r="B20" s="91" t="s">
        <v>1280</v>
      </c>
      <c r="C20" s="23"/>
      <c r="D20" s="23" t="s">
        <v>434</v>
      </c>
      <c r="E20" s="28">
        <f>E6</f>
        <v>6</v>
      </c>
      <c r="F20" s="61">
        <v>85.93</v>
      </c>
      <c r="G20" s="95"/>
      <c r="H20" s="95"/>
      <c r="I20" s="61"/>
      <c r="J20" s="61"/>
      <c r="K20" s="61"/>
      <c r="L20" s="61"/>
      <c r="M20" s="61"/>
      <c r="N20" s="173" t="s">
        <v>1361</v>
      </c>
      <c r="O20" s="167">
        <v>4</v>
      </c>
      <c r="P20" s="67">
        <f ca="1" t="shared" si="0"/>
        <v>343.72</v>
      </c>
      <c r="Q20" s="67">
        <f t="shared" si="1"/>
        <v>2</v>
      </c>
      <c r="R20" s="67">
        <f ca="1" t="shared" si="2"/>
        <v>171.86</v>
      </c>
    </row>
    <row r="21" ht="15" customHeight="1" spans="1:18">
      <c r="A21" s="20"/>
      <c r="B21" s="91" t="s">
        <v>1339</v>
      </c>
      <c r="C21" s="23"/>
      <c r="D21" s="23" t="s">
        <v>28</v>
      </c>
      <c r="E21" s="32">
        <f>E13</f>
        <v>5</v>
      </c>
      <c r="F21" s="101">
        <v>91.3</v>
      </c>
      <c r="G21" s="148"/>
      <c r="H21" s="148"/>
      <c r="I21" s="101"/>
      <c r="J21" s="101"/>
      <c r="K21" s="101"/>
      <c r="L21" s="101"/>
      <c r="M21" s="101"/>
      <c r="N21" s="120" t="s">
        <v>1362</v>
      </c>
      <c r="O21" s="167">
        <v>4</v>
      </c>
      <c r="P21" s="67">
        <f ca="1" t="shared" si="0"/>
        <v>365.2</v>
      </c>
      <c r="Q21" s="67">
        <f t="shared" si="1"/>
        <v>1</v>
      </c>
      <c r="R21" s="67">
        <f ca="1" t="shared" si="2"/>
        <v>91.3</v>
      </c>
    </row>
    <row r="22" ht="15" customHeight="1" spans="1:18">
      <c r="A22" s="20"/>
      <c r="B22" s="91" t="s">
        <v>1282</v>
      </c>
      <c r="C22" s="23"/>
      <c r="D22" s="23" t="s">
        <v>434</v>
      </c>
      <c r="E22" s="209">
        <f>D3*2+F3*3</f>
        <v>12</v>
      </c>
      <c r="F22" s="101">
        <v>4.45</v>
      </c>
      <c r="G22" s="148"/>
      <c r="H22" s="148"/>
      <c r="I22" s="101"/>
      <c r="J22" s="101"/>
      <c r="K22" s="101"/>
      <c r="L22" s="101"/>
      <c r="M22" s="101"/>
      <c r="N22" s="120" t="s">
        <v>1363</v>
      </c>
      <c r="O22" s="169">
        <v>10</v>
      </c>
      <c r="P22" s="67">
        <f ca="1" t="shared" si="0"/>
        <v>44.5</v>
      </c>
      <c r="Q22" s="67">
        <f t="shared" si="1"/>
        <v>2</v>
      </c>
      <c r="R22" s="67">
        <f ca="1" t="shared" si="2"/>
        <v>8.9</v>
      </c>
    </row>
    <row r="23" ht="15" customHeight="1" spans="1:18">
      <c r="A23" s="20"/>
      <c r="B23" s="91" t="s">
        <v>1284</v>
      </c>
      <c r="C23" s="23"/>
      <c r="D23" s="23" t="s">
        <v>434</v>
      </c>
      <c r="E23" s="24">
        <f>D3*2</f>
        <v>6</v>
      </c>
      <c r="F23" s="101">
        <v>6.51</v>
      </c>
      <c r="G23" s="148"/>
      <c r="H23" s="148"/>
      <c r="I23" s="101"/>
      <c r="J23" s="101"/>
      <c r="K23" s="101"/>
      <c r="L23" s="101"/>
      <c r="M23" s="101"/>
      <c r="N23" s="120" t="s">
        <v>1364</v>
      </c>
      <c r="O23" s="167">
        <v>4</v>
      </c>
      <c r="P23" s="67">
        <f ca="1" t="shared" si="0"/>
        <v>26.04</v>
      </c>
      <c r="Q23" s="67">
        <f t="shared" si="1"/>
        <v>2</v>
      </c>
      <c r="R23" s="67">
        <f ca="1" t="shared" si="2"/>
        <v>13.02</v>
      </c>
    </row>
    <row r="24" ht="15" customHeight="1" spans="1:18">
      <c r="A24" s="20"/>
      <c r="B24" s="91" t="s">
        <v>519</v>
      </c>
      <c r="C24" s="23"/>
      <c r="D24" s="23" t="s">
        <v>434</v>
      </c>
      <c r="E24" s="24">
        <f>F3*2</f>
        <v>4</v>
      </c>
      <c r="F24" s="101">
        <v>13</v>
      </c>
      <c r="G24" s="151"/>
      <c r="H24" s="151"/>
      <c r="I24" s="39"/>
      <c r="J24" s="39"/>
      <c r="K24" s="39"/>
      <c r="L24" s="39"/>
      <c r="M24" s="39"/>
      <c r="N24" s="120" t="s">
        <v>1365</v>
      </c>
      <c r="O24" s="167">
        <v>4</v>
      </c>
      <c r="P24" s="67">
        <f ca="1" t="shared" si="0"/>
        <v>52</v>
      </c>
      <c r="Q24" s="67">
        <f t="shared" si="1"/>
        <v>0</v>
      </c>
      <c r="R24" s="67">
        <f ca="1" t="shared" si="2"/>
        <v>0</v>
      </c>
    </row>
    <row r="25" ht="15" customHeight="1" spans="1:18">
      <c r="A25" s="31"/>
      <c r="B25" s="152" t="s">
        <v>551</v>
      </c>
      <c r="C25" s="43"/>
      <c r="D25" s="43" t="s">
        <v>434</v>
      </c>
      <c r="E25" s="150">
        <f>F3*2</f>
        <v>4</v>
      </c>
      <c r="F25" s="41">
        <v>15.5</v>
      </c>
      <c r="G25" s="99"/>
      <c r="H25" s="99"/>
      <c r="I25" s="41"/>
      <c r="J25" s="41"/>
      <c r="K25" s="41"/>
      <c r="L25" s="41"/>
      <c r="M25" s="41"/>
      <c r="N25" s="173" t="s">
        <v>1361</v>
      </c>
      <c r="O25" s="174">
        <v>4</v>
      </c>
      <c r="P25" s="67">
        <f ca="1" t="shared" si="0"/>
        <v>62</v>
      </c>
      <c r="Q25" s="67">
        <f t="shared" si="1"/>
        <v>0</v>
      </c>
      <c r="R25" s="67">
        <f ca="1" t="shared" si="2"/>
        <v>0</v>
      </c>
    </row>
    <row r="26" ht="15" customHeight="1" spans="1:18">
      <c r="A26" s="153" t="s">
        <v>1216</v>
      </c>
      <c r="B26" s="91" t="s">
        <v>1366</v>
      </c>
      <c r="C26" s="23"/>
      <c r="D26" s="23" t="s">
        <v>612</v>
      </c>
      <c r="E26" s="24">
        <f>A3</f>
        <v>2</v>
      </c>
      <c r="F26" s="122">
        <f ca="1">(I26+J26)*1.1+30</f>
        <v>2604.24365</v>
      </c>
      <c r="G26" s="99">
        <v>22.61</v>
      </c>
      <c r="H26" s="99">
        <v>5</v>
      </c>
      <c r="I26" s="41">
        <f ca="1">G26*H26*'20米(人字203料）参数'!E15*1.1</f>
        <v>2151.3415</v>
      </c>
      <c r="J26" s="41">
        <f>23.61*2*4</f>
        <v>188.88</v>
      </c>
      <c r="K26" s="41">
        <v>30</v>
      </c>
      <c r="L26" s="41"/>
      <c r="M26" s="41"/>
      <c r="N26" s="167" t="s">
        <v>1507</v>
      </c>
      <c r="O26" s="175">
        <v>1</v>
      </c>
      <c r="P26" s="67">
        <f ca="1" t="shared" si="0"/>
        <v>2604.24365</v>
      </c>
      <c r="Q26" s="67">
        <f t="shared" si="1"/>
        <v>1</v>
      </c>
      <c r="R26" s="67">
        <f ca="1" t="shared" si="2"/>
        <v>2604.24365</v>
      </c>
    </row>
    <row r="27" ht="15" customHeight="1" spans="1:18">
      <c r="A27" s="153"/>
      <c r="B27" s="91" t="s">
        <v>1368</v>
      </c>
      <c r="C27" s="23"/>
      <c r="D27" s="23" t="s">
        <v>664</v>
      </c>
      <c r="E27" s="24">
        <f>F3</f>
        <v>2</v>
      </c>
      <c r="F27" s="122">
        <f ca="1">(I27+J27)*1.1+15</f>
        <v>920.81535</v>
      </c>
      <c r="G27" s="148">
        <v>11</v>
      </c>
      <c r="H27" s="154">
        <v>3.95</v>
      </c>
      <c r="I27" s="101">
        <f ca="1">G27*H27*'20米(人字203料）参数'!E14*1.1</f>
        <v>683.4685</v>
      </c>
      <c r="J27" s="101">
        <f>17.5*2*4</f>
        <v>140</v>
      </c>
      <c r="K27" s="101">
        <v>15</v>
      </c>
      <c r="L27" s="101"/>
      <c r="M27" s="101"/>
      <c r="N27" s="51" t="s">
        <v>1508</v>
      </c>
      <c r="O27" s="167">
        <v>2</v>
      </c>
      <c r="P27" s="67">
        <f ca="1" t="shared" si="0"/>
        <v>1841.6307</v>
      </c>
      <c r="Q27" s="67">
        <f t="shared" si="1"/>
        <v>0</v>
      </c>
      <c r="R27" s="67">
        <f ca="1" t="shared" si="2"/>
        <v>0</v>
      </c>
    </row>
    <row r="28" ht="15" customHeight="1" spans="1:18">
      <c r="A28" s="155"/>
      <c r="B28" s="91" t="s">
        <v>1370</v>
      </c>
      <c r="C28" s="23"/>
      <c r="D28" s="23" t="s">
        <v>664</v>
      </c>
      <c r="E28" s="24">
        <f>A3*2+F3*4</f>
        <v>12</v>
      </c>
      <c r="F28" s="101">
        <f ca="1">I28+J28+K28+L28+M28</f>
        <v>548.08212</v>
      </c>
      <c r="G28" s="156">
        <v>5.2</v>
      </c>
      <c r="H28" s="157">
        <v>5.97</v>
      </c>
      <c r="I28" s="101">
        <f ca="1">G28*H28*'20米(人字203料）参数'!E14*1.1+15</f>
        <v>503.32212</v>
      </c>
      <c r="J28" s="71">
        <f>4*2*2</f>
        <v>16</v>
      </c>
      <c r="K28" s="71">
        <f>0.5*10</f>
        <v>5</v>
      </c>
      <c r="L28" s="71">
        <f>0.32*18</f>
        <v>5.76</v>
      </c>
      <c r="M28" s="71">
        <f>18*1</f>
        <v>18</v>
      </c>
      <c r="N28" s="120" t="s">
        <v>1394</v>
      </c>
      <c r="O28" s="169">
        <v>10</v>
      </c>
      <c r="P28" s="67">
        <f ca="1" t="shared" si="0"/>
        <v>5480.8212</v>
      </c>
      <c r="Q28" s="67">
        <f t="shared" si="1"/>
        <v>2</v>
      </c>
      <c r="R28" s="67">
        <f ca="1" t="shared" si="2"/>
        <v>1096.16424</v>
      </c>
    </row>
    <row r="29" ht="15" customHeight="1" spans="1:18">
      <c r="A29" s="20" t="s">
        <v>1235</v>
      </c>
      <c r="B29" s="158" t="s">
        <v>589</v>
      </c>
      <c r="C29" s="23"/>
      <c r="D29" s="23" t="s">
        <v>434</v>
      </c>
      <c r="E29" s="24">
        <f>D3*10+F3*2+E21*2</f>
        <v>44</v>
      </c>
      <c r="F29" s="101">
        <v>2.15</v>
      </c>
      <c r="G29" s="154"/>
      <c r="H29" s="154"/>
      <c r="I29" s="101"/>
      <c r="J29" s="101"/>
      <c r="K29" s="101"/>
      <c r="L29" s="101"/>
      <c r="M29" s="101"/>
      <c r="N29" s="120" t="s">
        <v>1372</v>
      </c>
      <c r="O29" s="167">
        <v>34</v>
      </c>
      <c r="P29" s="67">
        <f ca="1" t="shared" si="0"/>
        <v>73.1</v>
      </c>
      <c r="Q29" s="67">
        <f t="shared" si="1"/>
        <v>10</v>
      </c>
      <c r="R29" s="67">
        <f ca="1" t="shared" si="2"/>
        <v>21.5</v>
      </c>
    </row>
    <row r="30" ht="15" customHeight="1" spans="1:18">
      <c r="A30" s="20"/>
      <c r="B30" s="109" t="s">
        <v>591</v>
      </c>
      <c r="C30" s="23"/>
      <c r="D30" s="23" t="s">
        <v>434</v>
      </c>
      <c r="E30" s="24">
        <f>D3*2+E21+E13</f>
        <v>16</v>
      </c>
      <c r="F30" s="101">
        <v>2.55</v>
      </c>
      <c r="G30" s="154"/>
      <c r="H30" s="154"/>
      <c r="I30" s="101"/>
      <c r="J30" s="101"/>
      <c r="K30" s="101"/>
      <c r="L30" s="101"/>
      <c r="M30" s="101"/>
      <c r="N30" s="120" t="s">
        <v>1373</v>
      </c>
      <c r="O30" s="172">
        <v>14</v>
      </c>
      <c r="P30" s="67">
        <f ca="1" t="shared" si="0"/>
        <v>35.7</v>
      </c>
      <c r="Q30" s="67">
        <f t="shared" si="1"/>
        <v>2</v>
      </c>
      <c r="R30" s="67">
        <f ca="1" t="shared" si="2"/>
        <v>5.1</v>
      </c>
    </row>
    <row r="31" ht="15" customHeight="1" spans="1:18">
      <c r="A31" s="20"/>
      <c r="B31" s="159" t="s">
        <v>1423</v>
      </c>
      <c r="C31" s="43"/>
      <c r="D31" s="43" t="s">
        <v>434</v>
      </c>
      <c r="E31" s="44">
        <f>D3*2+4</f>
        <v>10</v>
      </c>
      <c r="F31" s="39">
        <v>1.95</v>
      </c>
      <c r="G31" s="160"/>
      <c r="H31" s="160"/>
      <c r="I31" s="39"/>
      <c r="J31" s="39"/>
      <c r="K31" s="39"/>
      <c r="L31" s="39"/>
      <c r="M31" s="39"/>
      <c r="N31" s="120" t="s">
        <v>1375</v>
      </c>
      <c r="O31" s="167">
        <v>8</v>
      </c>
      <c r="P31" s="67">
        <f ca="1" t="shared" si="0"/>
        <v>15.6</v>
      </c>
      <c r="Q31" s="67">
        <f t="shared" si="1"/>
        <v>2</v>
      </c>
      <c r="R31" s="67">
        <f ca="1" t="shared" si="2"/>
        <v>3.9</v>
      </c>
    </row>
    <row r="32" ht="15" customHeight="1" spans="1:18">
      <c r="A32" s="20"/>
      <c r="B32" s="109" t="s">
        <v>554</v>
      </c>
      <c r="C32" s="23"/>
      <c r="D32" s="23" t="s">
        <v>555</v>
      </c>
      <c r="E32" s="28">
        <f>E19+E20+E13</f>
        <v>15</v>
      </c>
      <c r="F32" s="101">
        <v>1.46</v>
      </c>
      <c r="G32" s="154"/>
      <c r="H32" s="154"/>
      <c r="I32" s="101"/>
      <c r="J32" s="101"/>
      <c r="K32" s="101"/>
      <c r="L32" s="101"/>
      <c r="M32" s="101"/>
      <c r="N32" s="120" t="s">
        <v>1376</v>
      </c>
      <c r="O32" s="167">
        <v>13</v>
      </c>
      <c r="P32" s="67">
        <f ca="1" t="shared" si="0"/>
        <v>18.98</v>
      </c>
      <c r="Q32" s="67">
        <f t="shared" si="1"/>
        <v>2</v>
      </c>
      <c r="R32" s="67">
        <f ca="1" t="shared" si="2"/>
        <v>2.92</v>
      </c>
    </row>
    <row r="33" spans="1:18">
      <c r="A33" s="50"/>
      <c r="B33" s="50" t="s">
        <v>1424</v>
      </c>
      <c r="C33" s="51"/>
      <c r="D33" s="51"/>
      <c r="E33" s="51"/>
      <c r="F33" s="50"/>
      <c r="G33" s="50"/>
      <c r="H33" s="50"/>
      <c r="I33" s="50"/>
      <c r="J33" s="50"/>
      <c r="K33" s="50"/>
      <c r="L33" s="50"/>
      <c r="M33" s="50"/>
      <c r="N33" s="50"/>
      <c r="O33" s="84" t="s">
        <v>1218</v>
      </c>
      <c r="P33" s="3">
        <f ca="1">SUM(P6:P32)</f>
        <v>39059.7631516368</v>
      </c>
      <c r="Q33" s="3" t="s">
        <v>1219</v>
      </c>
      <c r="R33" s="3">
        <f ca="1">SUM(R6:R32)</f>
        <v>14170.205414664</v>
      </c>
    </row>
    <row r="34" spans="1:18">
      <c r="A34" s="50"/>
      <c r="B34" s="50" t="s">
        <v>1221</v>
      </c>
      <c r="C34" s="51"/>
      <c r="D34" s="51"/>
      <c r="E34" s="51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3"/>
      <c r="Q34" s="3"/>
      <c r="R34" s="3"/>
    </row>
    <row r="35" spans="1:18">
      <c r="A35" s="50"/>
      <c r="B35" s="50"/>
      <c r="C35" s="51"/>
      <c r="D35" s="51"/>
      <c r="E35" s="51"/>
      <c r="F35" s="50"/>
      <c r="G35" s="50"/>
      <c r="H35" s="50"/>
      <c r="I35" s="50"/>
      <c r="J35" s="50"/>
      <c r="K35" s="50"/>
      <c r="L35" s="50"/>
      <c r="M35" s="50"/>
      <c r="N35" s="50"/>
      <c r="O35" s="50" t="s">
        <v>1377</v>
      </c>
      <c r="P35" s="3">
        <f ca="1">P33+R33</f>
        <v>53229.9685663008</v>
      </c>
      <c r="Q35" s="3"/>
      <c r="R35" s="3"/>
    </row>
    <row r="36" spans="1:18">
      <c r="A36" s="50"/>
      <c r="B36" s="52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0"/>
      <c r="O36" s="50" t="s">
        <v>14</v>
      </c>
      <c r="P36" s="3">
        <f ca="1">P35/E2</f>
        <v>266.149842831504</v>
      </c>
      <c r="Q36" s="3"/>
      <c r="R36" s="3"/>
    </row>
  </sheetData>
  <mergeCells count="12">
    <mergeCell ref="A1:N1"/>
    <mergeCell ref="A2:C2"/>
    <mergeCell ref="F2:N2"/>
    <mergeCell ref="A3:B3"/>
    <mergeCell ref="H3:N3"/>
    <mergeCell ref="A4:F4"/>
    <mergeCell ref="G4:H4"/>
    <mergeCell ref="I4:M4"/>
    <mergeCell ref="A6:A16"/>
    <mergeCell ref="A17:A25"/>
    <mergeCell ref="A26:A28"/>
    <mergeCell ref="A29:A32"/>
  </mergeCells>
  <dataValidations count="3">
    <dataValidation type="list" allowBlank="1" showInputMessage="1" showErrorMessage="1" sqref="B26">
      <formula1>"顶布[白]{全新},顶布[白]{A类},顶布[白]{B类},顶布[白]{C类},顶布[白]{D类}"</formula1>
    </dataValidation>
    <dataValidation type="list" allowBlank="1" showInputMessage="1" showErrorMessage="1" sqref="B27">
      <formula1>"山尖布[白]{全新},山尖布[白]{A类},山尖布[白]{B类},山尖布[白]{C类},山尖布[白]{D类}"</formula1>
    </dataValidation>
    <dataValidation type="list" allowBlank="1" showInputMessage="1" showErrorMessage="1" sqref="B28">
      <formula1>"围布[白]{全新},围布[白]{A类},围布[白]{B类},围布[白]{C类},围布[白]{D类},透光窗围布[白]{全新},透光窗围布[白]{A类},透光窗围布[白]{B类},透光窗围布[白]{C类},透光窗围布[白]{D类}"</formula1>
    </dataValidation>
  </dataValidations>
  <pageMargins left="0.75" right="0.75" top="1" bottom="1" header="0.509027777777778" footer="0.509027777777778"/>
  <headerFooter/>
</worksheet>
</file>

<file path=xl/worksheets/sheet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7030A0"/>
  </sheetPr>
  <dimension ref="A1:L27"/>
  <sheetViews>
    <sheetView showGridLines="0" workbookViewId="0">
      <selection activeCell="E31" sqref="E31"/>
    </sheetView>
  </sheetViews>
  <sheetFormatPr defaultColWidth="9" defaultRowHeight="14.25"/>
  <cols>
    <col min="1" max="1" width="21.125" style="1" customWidth="1"/>
    <col min="2" max="2" width="19.125" style="1" customWidth="1"/>
    <col min="3" max="3" width="15.5" style="1" customWidth="1"/>
    <col min="4" max="4" width="11.375" style="1" customWidth="1"/>
    <col min="5" max="5" width="10.5" style="1" customWidth="1"/>
    <col min="6" max="6" width="9" style="1"/>
    <col min="7" max="7" width="12.625" style="1" customWidth="1"/>
    <col min="8" max="16384" width="9" style="1"/>
  </cols>
  <sheetData>
    <row r="1" spans="1:4">
      <c r="A1" s="2" t="str">
        <f ca="1">'数据修改（批量）'!A1</f>
        <v>上海有色铝锭价格</v>
      </c>
      <c r="B1" s="2"/>
      <c r="C1" s="2"/>
      <c r="D1" s="3"/>
    </row>
    <row r="2" spans="1:7">
      <c r="A2" s="4">
        <f ca="1">'数据修改（批量）'!A2</f>
        <v>16200</v>
      </c>
      <c r="B2" s="2" t="str">
        <f ca="1">'数据修改（批量）'!B2</f>
        <v>项目</v>
      </c>
      <c r="C2" s="2" t="str">
        <f ca="1">'数据修改（批量）'!C2</f>
        <v>加工费</v>
      </c>
      <c r="D2" s="2" t="str">
        <f ca="1">'数据修改（批量）'!D2</f>
        <v>包装物</v>
      </c>
      <c r="E2" s="2" t="str">
        <f ca="1">'数据修改（批量）'!E2</f>
        <v>运费</v>
      </c>
      <c r="F2" s="2" t="str">
        <f ca="1">'数据修改（批量）'!F2</f>
        <v>单价</v>
      </c>
      <c r="G2" s="2" t="str">
        <f ca="1">'数据修改（批量）'!G2</f>
        <v>每公斤价格</v>
      </c>
    </row>
    <row r="3" spans="1:7">
      <c r="A3" s="2"/>
      <c r="B3" s="2" t="str">
        <f ca="1">'数据修改（批量）'!B3</f>
        <v>203料</v>
      </c>
      <c r="C3" s="2">
        <f ca="1">'数据修改（批量）'!C3</f>
        <v>5500</v>
      </c>
      <c r="D3" s="2">
        <f ca="1">'数据修改（批量）'!D3</f>
        <v>868</v>
      </c>
      <c r="E3" s="2">
        <f ca="1">'数据修改（批量）'!E3</f>
        <v>80</v>
      </c>
      <c r="F3" s="2">
        <f ca="1">'数据修改（批量）'!F3</f>
        <v>22648</v>
      </c>
      <c r="G3" s="2">
        <f ca="1">'数据修改（批量）'!G3</f>
        <v>22.648</v>
      </c>
    </row>
    <row r="4" spans="1:7">
      <c r="A4" s="2"/>
      <c r="B4" s="2" t="str">
        <f ca="1">'数据修改（批量）'!B4</f>
        <v>203料氧化</v>
      </c>
      <c r="C4" s="2">
        <f ca="1">'数据修改（批量）'!C4</f>
        <v>6000</v>
      </c>
      <c r="D4" s="2">
        <f ca="1">'数据修改（批量）'!D4</f>
        <v>888</v>
      </c>
      <c r="E4" s="2">
        <f ca="1">'数据修改（批量）'!E4</f>
        <v>80</v>
      </c>
      <c r="F4" s="2">
        <f ca="1">'数据修改（批量）'!F4</f>
        <v>23168</v>
      </c>
      <c r="G4" s="2">
        <f ca="1">'数据修改（批量）'!G4</f>
        <v>23.168</v>
      </c>
    </row>
    <row r="5" spans="2:7">
      <c r="B5" s="2" t="str">
        <f ca="1">'数据修改（批量）'!B5</f>
        <v>小料加工费</v>
      </c>
      <c r="C5" s="2">
        <f ca="1">'数据修改（批量）'!C5</f>
        <v>4500</v>
      </c>
      <c r="D5" s="2">
        <f ca="1">'数据修改（批量）'!D5</f>
        <v>828</v>
      </c>
      <c r="E5" s="2">
        <f ca="1">'数据修改（批量）'!E5</f>
        <v>80</v>
      </c>
      <c r="F5" s="2">
        <f ca="1">'数据修改（批量）'!F5</f>
        <v>21608</v>
      </c>
      <c r="G5" s="2">
        <f ca="1">'数据修改（批量）'!G5</f>
        <v>21.608</v>
      </c>
    </row>
    <row r="6" spans="1:4">
      <c r="A6" s="2" t="str">
        <f ca="1">'数据修改（批量）'!A6</f>
        <v>南海有色铝锭价格</v>
      </c>
      <c r="D6" s="5"/>
    </row>
    <row r="7" spans="1:1">
      <c r="A7" s="4">
        <f ca="1">'数据修改（批量）'!A7</f>
        <v>16600</v>
      </c>
    </row>
    <row r="8" spans="2:7">
      <c r="B8" s="2" t="str">
        <f ca="1">'数据修改（批量）'!B8</f>
        <v>项目</v>
      </c>
      <c r="C8" s="2" t="str">
        <f ca="1">'数据修改（批量）'!C8</f>
        <v>加工费</v>
      </c>
      <c r="D8" s="2" t="str">
        <f ca="1">'数据修改（批量）'!D8</f>
        <v>包装物</v>
      </c>
      <c r="E8" s="2" t="str">
        <f ca="1">'数据修改（批量）'!E8</f>
        <v>运费</v>
      </c>
      <c r="F8" s="2" t="str">
        <f ca="1">'数据修改（批量）'!F8</f>
        <v>单价</v>
      </c>
      <c r="G8" s="2" t="str">
        <f ca="1">'数据修改（批量）'!G8</f>
        <v>每公斤价格</v>
      </c>
    </row>
    <row r="9" spans="2:7">
      <c r="B9" s="2" t="str">
        <f ca="1">'数据修改（批量）'!B9</f>
        <v>300/350料8米以上</v>
      </c>
      <c r="C9" s="2">
        <f ca="1">'数据修改（批量）'!C9</f>
        <v>7800</v>
      </c>
      <c r="D9" s="2">
        <f ca="1">'数据修改（批量）'!D9</f>
        <v>976</v>
      </c>
      <c r="E9" s="2">
        <f ca="1">'数据修改（批量）'!E9</f>
        <v>1000</v>
      </c>
      <c r="F9" s="2">
        <f ca="1">'数据修改（批量）'!F9</f>
        <v>26376</v>
      </c>
      <c r="G9" s="2">
        <f ca="1">'数据修改（批量）'!G9</f>
        <v>26.376</v>
      </c>
    </row>
    <row r="10" spans="2:7">
      <c r="B10" s="2" t="str">
        <f ca="1">'数据修改（批量）'!B10</f>
        <v>300/350料8米以下</v>
      </c>
      <c r="C10" s="2">
        <f ca="1">'数据修改（批量）'!C10</f>
        <v>7100</v>
      </c>
      <c r="D10" s="2">
        <f ca="1">'数据修改（批量）'!D10</f>
        <v>948</v>
      </c>
      <c r="E10" s="2">
        <f ca="1">'数据修改（批量）'!E10</f>
        <v>1000</v>
      </c>
      <c r="F10" s="2">
        <f ca="1">'数据修改（批量）'!F10</f>
        <v>25648</v>
      </c>
      <c r="G10" s="2">
        <f ca="1">'数据修改（批量）'!G10</f>
        <v>25.648</v>
      </c>
    </row>
    <row r="12" spans="1:4">
      <c r="A12" s="2" t="str">
        <f ca="1">'数据修改（批量）'!A12</f>
        <v>篷布</v>
      </c>
      <c r="B12" s="2"/>
      <c r="C12" s="2"/>
      <c r="D12" s="3"/>
    </row>
    <row r="13" spans="1:7">
      <c r="A13" s="2"/>
      <c r="B13" s="2" t="str">
        <f ca="1">'数据修改（批量）'!B13</f>
        <v>项目</v>
      </c>
      <c r="C13" s="2" t="str">
        <f ca="1">'数据修改（批量）'!C13</f>
        <v>运费</v>
      </c>
      <c r="D13" s="2" t="str">
        <f ca="1">'数据修改（批量）'!D13</f>
        <v>单价</v>
      </c>
      <c r="E13" s="2" t="str">
        <f ca="1">'数据修改（批量）'!E13</f>
        <v>每平价格</v>
      </c>
      <c r="F13" s="2"/>
      <c r="G13" s="2"/>
    </row>
    <row r="14" spans="1:7">
      <c r="A14" s="2"/>
      <c r="B14" s="2">
        <f ca="1">'数据修改（批量）'!B14</f>
        <v>650</v>
      </c>
      <c r="C14" s="2">
        <f ca="1">'数据修改（批量）'!C14</f>
        <v>0.5</v>
      </c>
      <c r="D14" s="4">
        <f ca="1">'数据修改（批量）'!D14</f>
        <v>13.8</v>
      </c>
      <c r="E14" s="2">
        <f ca="1">'数据修改（批量）'!E14</f>
        <v>14.3</v>
      </c>
      <c r="F14" s="2"/>
      <c r="G14" s="2"/>
    </row>
    <row r="15" spans="1:7">
      <c r="A15" s="2"/>
      <c r="B15" s="2">
        <f ca="1">'数据修改（批量）'!B15</f>
        <v>780</v>
      </c>
      <c r="C15" s="2">
        <f ca="1">'数据修改（批量）'!C15</f>
        <v>0.5</v>
      </c>
      <c r="D15" s="4">
        <f ca="1">'数据修改（批量）'!D15</f>
        <v>16.8</v>
      </c>
      <c r="E15" s="2">
        <f ca="1">'数据修改（批量）'!E15</f>
        <v>17.3</v>
      </c>
      <c r="F15" s="2"/>
      <c r="G15" s="2"/>
    </row>
    <row r="16" spans="2:7">
      <c r="B16" s="2">
        <f ca="1">'数据修改（批量）'!B16</f>
        <v>850</v>
      </c>
      <c r="C16" s="2">
        <f ca="1">'数据修改（批量）'!C16</f>
        <v>0.5</v>
      </c>
      <c r="D16" s="4">
        <f ca="1">'数据修改（批量）'!D16</f>
        <v>18</v>
      </c>
      <c r="E16" s="2">
        <f ca="1">'数据修改（批量）'!E16</f>
        <v>18.5</v>
      </c>
      <c r="F16" s="2"/>
      <c r="G16" s="2"/>
    </row>
    <row r="21" spans="1:7">
      <c r="A21" s="6" t="str">
        <f ca="1">'数据修改（批量）'!A21</f>
        <v>说明：黄色部分可以根据价格修改</v>
      </c>
      <c r="B21" s="6"/>
      <c r="C21" s="6"/>
      <c r="D21" s="6"/>
      <c r="E21" s="6"/>
      <c r="F21" s="6"/>
      <c r="G21" s="6"/>
    </row>
    <row r="27" spans="12:12">
      <c r="L27" s="1">
        <f>20*0.08</f>
        <v>1.6</v>
      </c>
    </row>
  </sheetData>
  <mergeCells count="1">
    <mergeCell ref="A21:G21"/>
  </mergeCells>
  <pageMargins left="0.75" right="0.75" top="1" bottom="1" header="0.509027777777778" footer="0.509027777777778"/>
  <pageSetup paperSize="9" orientation="portrait"/>
  <headerFooter/>
</worksheet>
</file>

<file path=xl/worksheets/sheet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FF0000"/>
  </sheetPr>
  <dimension ref="A1:U46"/>
  <sheetViews>
    <sheetView showGridLines="0" workbookViewId="0">
      <selection activeCell="F13" sqref="F13"/>
    </sheetView>
  </sheetViews>
  <sheetFormatPr defaultColWidth="9" defaultRowHeight="14.25"/>
  <cols>
    <col min="1" max="1" width="2.875" style="50" customWidth="1"/>
    <col min="2" max="2" width="15.25" style="50" customWidth="1"/>
    <col min="3" max="3" width="9.5" style="51" customWidth="1"/>
    <col min="4" max="5" width="11.625" style="51" customWidth="1"/>
    <col min="6" max="6" width="11.625" style="50" customWidth="1"/>
    <col min="7" max="13" width="11.75" style="50" customWidth="1"/>
    <col min="14" max="14" width="72.75" style="50" customWidth="1"/>
    <col min="15" max="15" width="11.125" style="50" customWidth="1"/>
    <col min="16" max="16" width="16.25" style="3" customWidth="1"/>
    <col min="17" max="17" width="9" style="3"/>
    <col min="18" max="18" width="14" style="3" customWidth="1"/>
    <col min="19" max="21" width="9" style="3"/>
    <col min="22" max="16384" width="9" style="1"/>
  </cols>
  <sheetData>
    <row r="1" ht="15" customHeight="1" spans="1:15">
      <c r="A1" s="7" t="s">
        <v>1512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161"/>
    </row>
    <row r="2" ht="15" customHeight="1" spans="1:21">
      <c r="A2" s="141" t="s">
        <v>1246</v>
      </c>
      <c r="B2" s="142"/>
      <c r="C2" s="142"/>
      <c r="D2" s="9" t="s">
        <v>1198</v>
      </c>
      <c r="E2" s="176">
        <f>A3*5*21</f>
        <v>210</v>
      </c>
      <c r="F2" s="11"/>
      <c r="G2" s="11"/>
      <c r="H2" s="11"/>
      <c r="I2" s="11"/>
      <c r="J2" s="11"/>
      <c r="K2" s="11"/>
      <c r="L2" s="11"/>
      <c r="M2" s="11"/>
      <c r="N2" s="11"/>
      <c r="O2" s="162"/>
      <c r="Q2" s="55"/>
      <c r="R2" s="55"/>
      <c r="T2" s="1"/>
      <c r="U2" s="1"/>
    </row>
    <row r="3" ht="15" customHeight="1" spans="1:21">
      <c r="A3" s="177">
        <v>2</v>
      </c>
      <c r="B3" s="177"/>
      <c r="C3" s="178" t="s">
        <v>1247</v>
      </c>
      <c r="D3" s="179">
        <v>3</v>
      </c>
      <c r="E3" s="180" t="s">
        <v>1248</v>
      </c>
      <c r="F3" s="12">
        <v>2</v>
      </c>
      <c r="G3" s="11" t="s">
        <v>1249</v>
      </c>
      <c r="H3" s="12"/>
      <c r="I3" s="12"/>
      <c r="J3" s="12"/>
      <c r="K3" s="12"/>
      <c r="L3" s="12"/>
      <c r="M3" s="12"/>
      <c r="N3" s="12"/>
      <c r="O3" s="162"/>
      <c r="Q3" s="55"/>
      <c r="R3" s="55"/>
      <c r="T3" s="1"/>
      <c r="U3" s="1"/>
    </row>
    <row r="4" ht="15" customHeight="1" spans="1:21">
      <c r="A4" s="190"/>
      <c r="B4" s="128"/>
      <c r="C4" s="128"/>
      <c r="D4" s="128"/>
      <c r="E4" s="128"/>
      <c r="F4" s="128"/>
      <c r="G4" s="180" t="s">
        <v>1345</v>
      </c>
      <c r="H4" s="191"/>
      <c r="I4" s="198" t="s">
        <v>1346</v>
      </c>
      <c r="J4" s="199"/>
      <c r="K4" s="199"/>
      <c r="L4" s="199"/>
      <c r="M4" s="200"/>
      <c r="N4" s="201"/>
      <c r="O4" s="162"/>
      <c r="Q4" s="55"/>
      <c r="R4" s="55"/>
      <c r="T4" s="1"/>
      <c r="U4" s="1"/>
    </row>
    <row r="5" ht="24" spans="1:18">
      <c r="A5" s="146" t="s">
        <v>1200</v>
      </c>
      <c r="B5" s="146" t="s">
        <v>1201</v>
      </c>
      <c r="C5" s="146" t="s">
        <v>1250</v>
      </c>
      <c r="D5" s="146" t="s">
        <v>22</v>
      </c>
      <c r="E5" s="147" t="s">
        <v>1251</v>
      </c>
      <c r="F5" s="75" t="s">
        <v>1204</v>
      </c>
      <c r="G5" s="19" t="s">
        <v>1205</v>
      </c>
      <c r="H5" s="17" t="s">
        <v>1253</v>
      </c>
      <c r="I5" s="17" t="s">
        <v>1254</v>
      </c>
      <c r="J5" s="17" t="s">
        <v>1255</v>
      </c>
      <c r="K5" s="17" t="s">
        <v>1209</v>
      </c>
      <c r="L5" s="17" t="s">
        <v>1420</v>
      </c>
      <c r="M5" s="17" t="s">
        <v>1211</v>
      </c>
      <c r="N5" s="163" t="s">
        <v>1257</v>
      </c>
      <c r="O5" s="164" t="s">
        <v>1212</v>
      </c>
      <c r="P5" s="165" t="s">
        <v>1213</v>
      </c>
      <c r="Q5" s="165" t="s">
        <v>1214</v>
      </c>
      <c r="R5" s="75" t="s">
        <v>1213</v>
      </c>
    </row>
    <row r="6" ht="17.1" customHeight="1" spans="1:18">
      <c r="A6" s="20" t="s">
        <v>1215</v>
      </c>
      <c r="B6" s="91" t="s">
        <v>1224</v>
      </c>
      <c r="C6" s="23"/>
      <c r="D6" s="23" t="s">
        <v>28</v>
      </c>
      <c r="E6" s="24">
        <f>D3*2</f>
        <v>6</v>
      </c>
      <c r="F6" s="93">
        <f ca="1">I6+J6+K6+L6+M6</f>
        <v>899.193354992</v>
      </c>
      <c r="G6" s="94">
        <f>7.16/2</f>
        <v>3.58</v>
      </c>
      <c r="H6" s="94">
        <v>8.233</v>
      </c>
      <c r="I6" s="93">
        <f ca="1">G6*H6*'18变21米（人字203料）参数 '!G3*1.1</f>
        <v>734.283354992</v>
      </c>
      <c r="J6" s="93">
        <f ca="1">48.55*2</f>
        <v>97.1</v>
      </c>
      <c r="K6" s="93">
        <v>45.91</v>
      </c>
      <c r="L6" s="93">
        <f>2.55*4</f>
        <v>10.2</v>
      </c>
      <c r="M6" s="93">
        <f>18*0.65</f>
        <v>11.7</v>
      </c>
      <c r="N6" s="166" t="s">
        <v>1421</v>
      </c>
      <c r="O6" s="167">
        <v>4</v>
      </c>
      <c r="P6" s="67">
        <f ca="1" t="shared" ref="P6:P36" si="0">F6*O6</f>
        <v>3596.773419968</v>
      </c>
      <c r="Q6" s="67">
        <f t="shared" ref="Q6:Q36" si="1">E6-O6</f>
        <v>2</v>
      </c>
      <c r="R6" s="67">
        <f ca="1" t="shared" ref="R6:R36" si="2">F6*Q6</f>
        <v>1798.386709984</v>
      </c>
    </row>
    <row r="7" ht="17.1" customHeight="1" spans="1:18">
      <c r="A7" s="20"/>
      <c r="B7" s="91" t="s">
        <v>1308</v>
      </c>
      <c r="C7" s="23"/>
      <c r="D7" s="23" t="s">
        <v>28</v>
      </c>
      <c r="E7" s="24">
        <f>F3*2</f>
        <v>4</v>
      </c>
      <c r="F7" s="101">
        <f ca="1">G7+H7+I7+J7+K7+L7+M7</f>
        <v>771.4092</v>
      </c>
      <c r="G7" s="148">
        <v>5</v>
      </c>
      <c r="H7" s="148">
        <v>5.3</v>
      </c>
      <c r="I7" s="101">
        <f ca="1">G7*H7*'18变21米（人字203料）参数 '!G3*1.1</f>
        <v>660.1892</v>
      </c>
      <c r="J7" s="101"/>
      <c r="K7" s="101">
        <f ca="1">49.51+41.21</f>
        <v>90.72</v>
      </c>
      <c r="L7" s="101">
        <f>2.55*4</f>
        <v>10.2</v>
      </c>
      <c r="M7" s="101"/>
      <c r="N7" s="166" t="s">
        <v>1406</v>
      </c>
      <c r="O7" s="167">
        <v>4</v>
      </c>
      <c r="P7" s="67">
        <f ca="1" t="shared" si="0"/>
        <v>3085.6368</v>
      </c>
      <c r="Q7" s="67">
        <f t="shared" si="1"/>
        <v>0</v>
      </c>
      <c r="R7" s="67">
        <f ca="1" t="shared" si="2"/>
        <v>0</v>
      </c>
    </row>
    <row r="8" ht="17.1" customHeight="1" spans="1:18">
      <c r="A8" s="20"/>
      <c r="B8" s="91" t="s">
        <v>1435</v>
      </c>
      <c r="C8" s="23"/>
      <c r="D8" s="23" t="s">
        <v>28</v>
      </c>
      <c r="E8" s="24">
        <f>F3</f>
        <v>2</v>
      </c>
      <c r="F8" s="101">
        <f ca="1">G8+H8+I8+J8+K8+L8+M8</f>
        <v>931.054608</v>
      </c>
      <c r="G8" s="148">
        <v>6.2</v>
      </c>
      <c r="H8" s="148">
        <v>5.3</v>
      </c>
      <c r="I8" s="101">
        <f ca="1">G8*H8*'18变21米（人字203料）参数 '!G3*1.1</f>
        <v>818.634608</v>
      </c>
      <c r="J8" s="101"/>
      <c r="K8" s="101">
        <f ca="1">49.51+41.21</f>
        <v>90.72</v>
      </c>
      <c r="L8" s="101">
        <f>2.55*4</f>
        <v>10.2</v>
      </c>
      <c r="M8" s="101"/>
      <c r="N8" s="166" t="s">
        <v>1482</v>
      </c>
      <c r="O8" s="167">
        <v>2</v>
      </c>
      <c r="P8" s="67">
        <f ca="1" t="shared" si="0"/>
        <v>1862.109216</v>
      </c>
      <c r="Q8" s="67">
        <f t="shared" si="1"/>
        <v>0</v>
      </c>
      <c r="R8" s="67">
        <f ca="1" t="shared" si="2"/>
        <v>0</v>
      </c>
    </row>
    <row r="9" ht="17.1" customHeight="1" spans="1:18">
      <c r="A9" s="20"/>
      <c r="B9" s="91" t="s">
        <v>1350</v>
      </c>
      <c r="C9" s="23"/>
      <c r="D9" s="23" t="s">
        <v>28</v>
      </c>
      <c r="E9" s="24">
        <f>D3*2</f>
        <v>6</v>
      </c>
      <c r="F9" s="61">
        <f ca="1">I9+J9+K9+L9+M9</f>
        <v>2018.286557632</v>
      </c>
      <c r="G9" s="95">
        <v>9.68</v>
      </c>
      <c r="H9" s="95">
        <v>8.233</v>
      </c>
      <c r="I9" s="61">
        <f ca="1">G9*H9*'18变21米（人字203料）参数 '!G3*1.1</f>
        <v>1985.436557632</v>
      </c>
      <c r="J9" s="61">
        <f ca="1">2.5*6</f>
        <v>15</v>
      </c>
      <c r="K9" s="61">
        <v>11.85</v>
      </c>
      <c r="L9" s="61">
        <f>1*6</f>
        <v>6</v>
      </c>
      <c r="M9" s="61"/>
      <c r="N9" s="116" t="s">
        <v>1500</v>
      </c>
      <c r="O9" s="167">
        <v>4</v>
      </c>
      <c r="P9" s="67">
        <f ca="1" t="shared" si="0"/>
        <v>8073.146230528</v>
      </c>
      <c r="Q9" s="67">
        <f t="shared" si="1"/>
        <v>2</v>
      </c>
      <c r="R9" s="67">
        <f ca="1" t="shared" si="2"/>
        <v>4036.573115264</v>
      </c>
    </row>
    <row r="10" ht="17.1" customHeight="1" spans="1:18">
      <c r="A10" s="20"/>
      <c r="B10" s="91" t="s">
        <v>1513</v>
      </c>
      <c r="C10" s="23"/>
      <c r="D10" s="23" t="s">
        <v>28</v>
      </c>
      <c r="E10" s="24">
        <f>D3*2</f>
        <v>6</v>
      </c>
      <c r="F10" s="61">
        <f ca="1">I10+J10+K10+L10+M10</f>
        <v>578.935572688</v>
      </c>
      <c r="G10" s="95">
        <v>1.62</v>
      </c>
      <c r="H10" s="95">
        <v>8.233</v>
      </c>
      <c r="I10" s="61">
        <f ca="1">G10*H10*'18变21米（人字203料）参数 '!G3*1.1</f>
        <v>332.273473488</v>
      </c>
      <c r="J10" s="61">
        <f ca="1">2.5*2</f>
        <v>5</v>
      </c>
      <c r="K10" s="61">
        <f ca="1">1.2*7.67*'18变21米（人字203料）参数 '!G4*1.1</f>
        <v>234.5620992</v>
      </c>
      <c r="L10" s="61">
        <f>1*2+2.55*2</f>
        <v>7.1</v>
      </c>
      <c r="M10" s="61"/>
      <c r="N10" s="116" t="s">
        <v>1483</v>
      </c>
      <c r="O10" s="167">
        <v>4</v>
      </c>
      <c r="P10" s="67">
        <f ca="1" t="shared" si="0"/>
        <v>2315.742290752</v>
      </c>
      <c r="Q10" s="67">
        <f t="shared" si="1"/>
        <v>2</v>
      </c>
      <c r="R10" s="67">
        <f ca="1" t="shared" si="2"/>
        <v>1157.871145376</v>
      </c>
    </row>
    <row r="11" ht="17.1" customHeight="1" spans="1:18">
      <c r="A11" s="20"/>
      <c r="B11" s="91" t="s">
        <v>1226</v>
      </c>
      <c r="C11" s="23"/>
      <c r="D11" s="23" t="s">
        <v>28</v>
      </c>
      <c r="E11" s="24">
        <f>A3*6</f>
        <v>12</v>
      </c>
      <c r="F11" s="101">
        <f ca="1">I11+J11+K11+L11+M11</f>
        <v>195.0929650432</v>
      </c>
      <c r="G11" s="148">
        <v>4.882</v>
      </c>
      <c r="H11" s="148">
        <v>1.552</v>
      </c>
      <c r="I11" s="101">
        <f ca="1">G11*H11*'18变21米（人字203料）参数 '!G5*1.1</f>
        <v>180.0929650432</v>
      </c>
      <c r="J11" s="101"/>
      <c r="K11" s="101"/>
      <c r="L11" s="101">
        <f>0.5*4</f>
        <v>2</v>
      </c>
      <c r="M11" s="101">
        <f>6.5*2</f>
        <v>13</v>
      </c>
      <c r="N11" s="120" t="s">
        <v>1352</v>
      </c>
      <c r="O11" s="167">
        <v>6</v>
      </c>
      <c r="P11" s="67">
        <f ca="1" t="shared" si="0"/>
        <v>1170.5577902592</v>
      </c>
      <c r="Q11" s="67">
        <f t="shared" si="1"/>
        <v>6</v>
      </c>
      <c r="R11" s="67">
        <f ca="1" t="shared" si="2"/>
        <v>1170.5577902592</v>
      </c>
    </row>
    <row r="12" ht="17.1" customHeight="1" spans="1:18">
      <c r="A12" s="20"/>
      <c r="B12" s="91" t="s">
        <v>1264</v>
      </c>
      <c r="C12" s="23"/>
      <c r="D12" s="23" t="s">
        <v>28</v>
      </c>
      <c r="E12" s="24">
        <f>A3*3</f>
        <v>6</v>
      </c>
      <c r="F12" s="101">
        <f ca="1">I12+J12+K12+L12+M12</f>
        <v>336.5448493136</v>
      </c>
      <c r="G12" s="148">
        <v>4.882</v>
      </c>
      <c r="H12" s="148">
        <v>2.771</v>
      </c>
      <c r="I12" s="101">
        <f ca="1">G12*H12*'18变21米（人字203料）参数 '!G5*1.1</f>
        <v>321.5448493136</v>
      </c>
      <c r="J12" s="101"/>
      <c r="K12" s="101"/>
      <c r="L12" s="101">
        <f>0.5*4</f>
        <v>2</v>
      </c>
      <c r="M12" s="101">
        <f>6.5*2</f>
        <v>13</v>
      </c>
      <c r="N12" s="120" t="s">
        <v>1353</v>
      </c>
      <c r="O12" s="169">
        <v>3</v>
      </c>
      <c r="P12" s="67">
        <f ca="1" t="shared" si="0"/>
        <v>1009.6345479408</v>
      </c>
      <c r="Q12" s="67">
        <f t="shared" si="1"/>
        <v>3</v>
      </c>
      <c r="R12" s="67">
        <f ca="1" t="shared" si="2"/>
        <v>1009.6345479408</v>
      </c>
    </row>
    <row r="13" ht="17.1" customHeight="1" spans="1:18">
      <c r="A13" s="20"/>
      <c r="B13" s="91" t="s">
        <v>1266</v>
      </c>
      <c r="C13" s="23"/>
      <c r="D13" s="23" t="s">
        <v>28</v>
      </c>
      <c r="E13" s="24">
        <f>A3*2+F3*2</f>
        <v>8</v>
      </c>
      <c r="F13" s="101">
        <f ca="1">'数据修改（批量）'!A28</f>
        <v>95</v>
      </c>
      <c r="G13" s="148">
        <v>4.86</v>
      </c>
      <c r="H13" s="148">
        <v>1.345</v>
      </c>
      <c r="I13" s="101">
        <f ca="1">G13*H13*'18变21米（人字203料）参数 '!G5*1.1</f>
        <v>155.36951496</v>
      </c>
      <c r="J13" s="101"/>
      <c r="K13" s="101"/>
      <c r="L13" s="101"/>
      <c r="M13" s="101"/>
      <c r="N13" s="120" t="s">
        <v>1354</v>
      </c>
      <c r="O13" s="169">
        <v>6</v>
      </c>
      <c r="P13" s="67">
        <f ca="1" t="shared" si="0"/>
        <v>570</v>
      </c>
      <c r="Q13" s="67">
        <f t="shared" si="1"/>
        <v>2</v>
      </c>
      <c r="R13" s="67">
        <f ca="1" t="shared" si="2"/>
        <v>190</v>
      </c>
    </row>
    <row r="14" ht="17.1" customHeight="1" spans="1:18">
      <c r="A14" s="20"/>
      <c r="B14" s="91" t="s">
        <v>1514</v>
      </c>
      <c r="C14" s="23"/>
      <c r="D14" s="23" t="s">
        <v>28</v>
      </c>
      <c r="E14" s="24">
        <f>F3*2</f>
        <v>4</v>
      </c>
      <c r="F14" s="101">
        <f ca="1">I14+J14+K14+L14+M14</f>
        <v>369.674111748</v>
      </c>
      <c r="G14" s="192">
        <v>5.385</v>
      </c>
      <c r="H14" s="148">
        <v>2.771</v>
      </c>
      <c r="I14" s="202">
        <f ca="1">G14*H14*'18变21米（人字203料）参数 '!G5*1.1</f>
        <v>354.674111748</v>
      </c>
      <c r="J14" s="101"/>
      <c r="K14" s="101"/>
      <c r="L14" s="101">
        <f>0.5*4</f>
        <v>2</v>
      </c>
      <c r="M14" s="101">
        <f>6.5*2</f>
        <v>13</v>
      </c>
      <c r="N14" s="120" t="s">
        <v>1515</v>
      </c>
      <c r="O14" s="167">
        <v>4</v>
      </c>
      <c r="P14" s="67">
        <f ca="1" t="shared" si="0"/>
        <v>1478.696446992</v>
      </c>
      <c r="Q14" s="67">
        <f t="shared" si="1"/>
        <v>0</v>
      </c>
      <c r="R14" s="67">
        <f ca="1" t="shared" si="2"/>
        <v>0</v>
      </c>
    </row>
    <row r="15" ht="17.1" customHeight="1" spans="1:18">
      <c r="A15" s="20"/>
      <c r="B15" s="91" t="s">
        <v>1516</v>
      </c>
      <c r="C15" s="23"/>
      <c r="D15" s="23" t="s">
        <v>28</v>
      </c>
      <c r="E15" s="24">
        <f>F3*2</f>
        <v>4</v>
      </c>
      <c r="F15" s="101">
        <v>102.22</v>
      </c>
      <c r="G15" s="192">
        <v>5.36</v>
      </c>
      <c r="H15" s="148">
        <v>1.345</v>
      </c>
      <c r="I15" s="101">
        <f ca="1">G15*H15*'18变21米（人字203料）参数 '!G5*1.1</f>
        <v>171.35403296</v>
      </c>
      <c r="J15" s="101"/>
      <c r="K15" s="101"/>
      <c r="L15" s="101"/>
      <c r="M15" s="101"/>
      <c r="N15" s="120" t="s">
        <v>1517</v>
      </c>
      <c r="O15" s="167">
        <v>4</v>
      </c>
      <c r="P15" s="67">
        <f ca="1" t="shared" si="0"/>
        <v>408.88</v>
      </c>
      <c r="Q15" s="67">
        <f t="shared" si="1"/>
        <v>0</v>
      </c>
      <c r="R15" s="67">
        <f ca="1" t="shared" si="2"/>
        <v>0</v>
      </c>
    </row>
    <row r="16" ht="17.1" customHeight="1" spans="1:18">
      <c r="A16" s="20"/>
      <c r="B16" s="91" t="s">
        <v>1272</v>
      </c>
      <c r="C16" s="23"/>
      <c r="D16" s="23" t="s">
        <v>28</v>
      </c>
      <c r="E16" s="30">
        <v>5</v>
      </c>
      <c r="F16" s="101">
        <f>I16+J16+K16+L16+M16</f>
        <v>109.5</v>
      </c>
      <c r="G16" s="148"/>
      <c r="H16" s="148"/>
      <c r="I16" s="101">
        <v>95</v>
      </c>
      <c r="J16" s="101">
        <v>6.5</v>
      </c>
      <c r="K16" s="101">
        <v>4</v>
      </c>
      <c r="L16" s="101">
        <v>3</v>
      </c>
      <c r="M16" s="101">
        <v>1</v>
      </c>
      <c r="N16" s="120" t="s">
        <v>1355</v>
      </c>
      <c r="O16" s="167">
        <v>4</v>
      </c>
      <c r="P16" s="67">
        <f ca="1" t="shared" si="0"/>
        <v>438</v>
      </c>
      <c r="Q16" s="67">
        <f t="shared" si="1"/>
        <v>1</v>
      </c>
      <c r="R16" s="67">
        <f ca="1" t="shared" si="2"/>
        <v>109.5</v>
      </c>
    </row>
    <row r="17" ht="17.1" customHeight="1" spans="1:18">
      <c r="A17" s="20"/>
      <c r="B17" s="91" t="s">
        <v>1356</v>
      </c>
      <c r="C17" s="23"/>
      <c r="D17" s="23" t="s">
        <v>28</v>
      </c>
      <c r="E17" s="24">
        <f>F3</f>
        <v>2</v>
      </c>
      <c r="F17" s="101">
        <f ca="1">I17+J17+K17+L17+M17</f>
        <v>90.133</v>
      </c>
      <c r="G17" s="148">
        <v>3.75</v>
      </c>
      <c r="H17" s="148">
        <v>1</v>
      </c>
      <c r="I17" s="101">
        <f ca="1">G17*H17*'18变21米（人字203料）参数 '!G5*1.1</f>
        <v>89.133</v>
      </c>
      <c r="J17" s="101"/>
      <c r="K17" s="101"/>
      <c r="L17" s="101">
        <f>0.5*2</f>
        <v>1</v>
      </c>
      <c r="M17" s="101"/>
      <c r="N17" s="170" t="s">
        <v>1357</v>
      </c>
      <c r="O17" s="167">
        <v>2</v>
      </c>
      <c r="P17" s="67">
        <f ca="1" t="shared" si="0"/>
        <v>180.266</v>
      </c>
      <c r="Q17" s="67">
        <f t="shared" si="1"/>
        <v>0</v>
      </c>
      <c r="R17" s="67">
        <f ca="1" t="shared" si="2"/>
        <v>0</v>
      </c>
    </row>
    <row r="18" ht="17.1" customHeight="1" spans="1:18">
      <c r="A18" s="20"/>
      <c r="B18" s="91" t="s">
        <v>1276</v>
      </c>
      <c r="C18" s="23"/>
      <c r="D18" s="23" t="s">
        <v>28</v>
      </c>
      <c r="E18" s="28">
        <f>F3*2</f>
        <v>4</v>
      </c>
      <c r="F18" s="101">
        <f ca="1">I18+J18+K18+L18+M18</f>
        <v>348.2448493136</v>
      </c>
      <c r="G18" s="95">
        <v>4.882</v>
      </c>
      <c r="H18" s="95">
        <v>2.771</v>
      </c>
      <c r="I18" s="61">
        <f ca="1">G18*H18*'18变21米（人字203料）参数 '!G5*1.1</f>
        <v>321.5448493136</v>
      </c>
      <c r="J18" s="61"/>
      <c r="K18" s="61">
        <v>15</v>
      </c>
      <c r="L18" s="61">
        <f>8*0.65</f>
        <v>5.2</v>
      </c>
      <c r="M18" s="61">
        <v>6.5</v>
      </c>
      <c r="N18" s="120" t="s">
        <v>1358</v>
      </c>
      <c r="O18" s="167">
        <v>4</v>
      </c>
      <c r="P18" s="67">
        <f ca="1" t="shared" si="0"/>
        <v>1392.9793972544</v>
      </c>
      <c r="Q18" s="67">
        <f t="shared" si="1"/>
        <v>0</v>
      </c>
      <c r="R18" s="67">
        <f ca="1" t="shared" si="2"/>
        <v>0</v>
      </c>
    </row>
    <row r="19" ht="17.1" customHeight="1" spans="1:18">
      <c r="A19" s="31"/>
      <c r="B19" s="193" t="s">
        <v>1485</v>
      </c>
      <c r="C19" s="43"/>
      <c r="D19" s="23" t="s">
        <v>28</v>
      </c>
      <c r="E19" s="44">
        <f>E31</f>
        <v>4</v>
      </c>
      <c r="F19" s="101">
        <f>I19+J19+K19+L19+M19</f>
        <v>17</v>
      </c>
      <c r="G19" s="194"/>
      <c r="H19" s="194"/>
      <c r="I19" s="203">
        <v>17</v>
      </c>
      <c r="J19" s="203"/>
      <c r="K19" s="203"/>
      <c r="L19" s="203"/>
      <c r="M19" s="203"/>
      <c r="N19" s="171"/>
      <c r="O19" s="167">
        <v>4</v>
      </c>
      <c r="P19" s="67">
        <f ca="1" t="shared" si="0"/>
        <v>68</v>
      </c>
      <c r="Q19" s="67">
        <f t="shared" si="1"/>
        <v>0</v>
      </c>
      <c r="R19" s="67">
        <f ca="1" t="shared" si="2"/>
        <v>0</v>
      </c>
    </row>
    <row r="20" ht="17.1" customHeight="1" spans="1:18">
      <c r="A20" s="31"/>
      <c r="B20" s="152" t="s">
        <v>1274</v>
      </c>
      <c r="C20" s="43"/>
      <c r="D20" s="43" t="s">
        <v>28</v>
      </c>
      <c r="E20" s="150">
        <f>A3*2+F3*2</f>
        <v>8</v>
      </c>
      <c r="F20" s="101">
        <f>(I20+J20+K20+L20+M20)</f>
        <v>20.4</v>
      </c>
      <c r="G20" s="151"/>
      <c r="H20" s="151"/>
      <c r="I20" s="39">
        <f>17*1.2</f>
        <v>20.4</v>
      </c>
      <c r="J20" s="39"/>
      <c r="K20" s="39"/>
      <c r="L20" s="39"/>
      <c r="M20" s="39"/>
      <c r="N20" s="171" t="s">
        <v>1359</v>
      </c>
      <c r="O20" s="169">
        <v>6</v>
      </c>
      <c r="P20" s="67">
        <f ca="1" t="shared" si="0"/>
        <v>122.4</v>
      </c>
      <c r="Q20" s="67">
        <f t="shared" si="1"/>
        <v>2</v>
      </c>
      <c r="R20" s="67">
        <f ca="1" t="shared" si="2"/>
        <v>40.8</v>
      </c>
    </row>
    <row r="21" ht="17.1" customHeight="1" spans="1:18">
      <c r="A21" s="20" t="s">
        <v>1278</v>
      </c>
      <c r="B21" s="91" t="s">
        <v>1304</v>
      </c>
      <c r="C21" s="23"/>
      <c r="D21" s="23" t="s">
        <v>434</v>
      </c>
      <c r="E21" s="24">
        <f>D3</f>
        <v>3</v>
      </c>
      <c r="F21" s="101">
        <v>180.62</v>
      </c>
      <c r="G21" s="151"/>
      <c r="H21" s="151"/>
      <c r="I21" s="39"/>
      <c r="J21" s="39"/>
      <c r="K21" s="39"/>
      <c r="L21" s="39"/>
      <c r="M21" s="39"/>
      <c r="N21" s="171" t="s">
        <v>1360</v>
      </c>
      <c r="O21" s="172">
        <v>2</v>
      </c>
      <c r="P21" s="67">
        <f ca="1" t="shared" si="0"/>
        <v>361.24</v>
      </c>
      <c r="Q21" s="67">
        <f t="shared" si="1"/>
        <v>1</v>
      </c>
      <c r="R21" s="67">
        <f ca="1" t="shared" si="2"/>
        <v>180.62</v>
      </c>
    </row>
    <row r="22" ht="17.1" customHeight="1" spans="1:18">
      <c r="A22" s="20"/>
      <c r="B22" s="91" t="s">
        <v>1310</v>
      </c>
      <c r="C22" s="23"/>
      <c r="D22" s="23" t="s">
        <v>434</v>
      </c>
      <c r="E22" s="24">
        <f>E7+E8</f>
        <v>6</v>
      </c>
      <c r="F22" s="101">
        <v>76.4</v>
      </c>
      <c r="G22" s="148"/>
      <c r="H22" s="148"/>
      <c r="I22" s="101"/>
      <c r="J22" s="101"/>
      <c r="K22" s="101"/>
      <c r="L22" s="101"/>
      <c r="M22" s="101"/>
      <c r="N22" s="120" t="s">
        <v>1361</v>
      </c>
      <c r="O22" s="167">
        <v>6</v>
      </c>
      <c r="P22" s="67">
        <f ca="1" t="shared" si="0"/>
        <v>458.4</v>
      </c>
      <c r="Q22" s="67">
        <f t="shared" si="1"/>
        <v>0</v>
      </c>
      <c r="R22" s="67">
        <f ca="1" t="shared" si="2"/>
        <v>0</v>
      </c>
    </row>
    <row r="23" ht="17.1" customHeight="1" spans="1:18">
      <c r="A23" s="20"/>
      <c r="B23" s="91" t="s">
        <v>1280</v>
      </c>
      <c r="C23" s="23"/>
      <c r="D23" s="23" t="s">
        <v>434</v>
      </c>
      <c r="E23" s="28">
        <f>E6</f>
        <v>6</v>
      </c>
      <c r="F23" s="61">
        <v>85.93</v>
      </c>
      <c r="G23" s="95"/>
      <c r="H23" s="95"/>
      <c r="I23" s="61"/>
      <c r="J23" s="61"/>
      <c r="K23" s="61"/>
      <c r="L23" s="61"/>
      <c r="M23" s="61"/>
      <c r="N23" s="173" t="s">
        <v>1361</v>
      </c>
      <c r="O23" s="167">
        <v>4</v>
      </c>
      <c r="P23" s="67">
        <f ca="1" t="shared" si="0"/>
        <v>343.72</v>
      </c>
      <c r="Q23" s="67">
        <f t="shared" si="1"/>
        <v>2</v>
      </c>
      <c r="R23" s="67">
        <f ca="1" t="shared" si="2"/>
        <v>171.86</v>
      </c>
    </row>
    <row r="24" ht="17.1" customHeight="1" spans="1:18">
      <c r="A24" s="20"/>
      <c r="B24" s="91" t="s">
        <v>1339</v>
      </c>
      <c r="C24" s="23"/>
      <c r="D24" s="23" t="s">
        <v>28</v>
      </c>
      <c r="E24" s="32">
        <f>E16</f>
        <v>5</v>
      </c>
      <c r="F24" s="101">
        <v>91.3</v>
      </c>
      <c r="G24" s="148"/>
      <c r="H24" s="148"/>
      <c r="I24" s="101"/>
      <c r="J24" s="101"/>
      <c r="K24" s="101"/>
      <c r="L24" s="101"/>
      <c r="M24" s="101"/>
      <c r="N24" s="120" t="s">
        <v>1362</v>
      </c>
      <c r="O24" s="167">
        <v>4</v>
      </c>
      <c r="P24" s="67">
        <f ca="1" t="shared" si="0"/>
        <v>365.2</v>
      </c>
      <c r="Q24" s="67">
        <f t="shared" si="1"/>
        <v>1</v>
      </c>
      <c r="R24" s="67">
        <f ca="1" t="shared" si="2"/>
        <v>91.3</v>
      </c>
    </row>
    <row r="25" ht="17.1" customHeight="1" spans="1:18">
      <c r="A25" s="20"/>
      <c r="B25" s="91" t="s">
        <v>1282</v>
      </c>
      <c r="C25" s="23"/>
      <c r="D25" s="23" t="s">
        <v>434</v>
      </c>
      <c r="E25" s="24">
        <f>D3*2+F3*3</f>
        <v>12</v>
      </c>
      <c r="F25" s="101">
        <v>4.45</v>
      </c>
      <c r="G25" s="148"/>
      <c r="H25" s="148"/>
      <c r="I25" s="101"/>
      <c r="J25" s="101"/>
      <c r="K25" s="101"/>
      <c r="L25" s="101"/>
      <c r="M25" s="101"/>
      <c r="N25" s="120" t="s">
        <v>1363</v>
      </c>
      <c r="O25" s="169">
        <v>10</v>
      </c>
      <c r="P25" s="67">
        <f ca="1" t="shared" si="0"/>
        <v>44.5</v>
      </c>
      <c r="Q25" s="67">
        <f t="shared" si="1"/>
        <v>2</v>
      </c>
      <c r="R25" s="67">
        <f ca="1" t="shared" si="2"/>
        <v>8.9</v>
      </c>
    </row>
    <row r="26" ht="17.1" customHeight="1" spans="1:18">
      <c r="A26" s="20"/>
      <c r="B26" s="91" t="s">
        <v>1284</v>
      </c>
      <c r="C26" s="23"/>
      <c r="D26" s="23" t="s">
        <v>434</v>
      </c>
      <c r="E26" s="24">
        <f>D3*2</f>
        <v>6</v>
      </c>
      <c r="F26" s="101">
        <v>6.51</v>
      </c>
      <c r="G26" s="148"/>
      <c r="H26" s="148"/>
      <c r="I26" s="101"/>
      <c r="J26" s="101"/>
      <c r="K26" s="101"/>
      <c r="L26" s="101"/>
      <c r="M26" s="101"/>
      <c r="N26" s="120" t="s">
        <v>1364</v>
      </c>
      <c r="O26" s="167">
        <v>4</v>
      </c>
      <c r="P26" s="67">
        <f ca="1" t="shared" si="0"/>
        <v>26.04</v>
      </c>
      <c r="Q26" s="67">
        <f t="shared" si="1"/>
        <v>2</v>
      </c>
      <c r="R26" s="67">
        <f ca="1" t="shared" si="2"/>
        <v>13.02</v>
      </c>
    </row>
    <row r="27" ht="17.1" customHeight="1" spans="1:18">
      <c r="A27" s="20"/>
      <c r="B27" s="91" t="s">
        <v>519</v>
      </c>
      <c r="C27" s="23"/>
      <c r="D27" s="23" t="s">
        <v>434</v>
      </c>
      <c r="E27" s="24">
        <f>F3*2</f>
        <v>4</v>
      </c>
      <c r="F27" s="101">
        <v>13</v>
      </c>
      <c r="G27" s="151"/>
      <c r="H27" s="151"/>
      <c r="I27" s="39"/>
      <c r="J27" s="39"/>
      <c r="K27" s="39"/>
      <c r="L27" s="39"/>
      <c r="M27" s="39"/>
      <c r="N27" s="120" t="s">
        <v>1365</v>
      </c>
      <c r="O27" s="167">
        <v>4</v>
      </c>
      <c r="P27" s="67">
        <f ca="1" t="shared" si="0"/>
        <v>52</v>
      </c>
      <c r="Q27" s="67">
        <f t="shared" si="1"/>
        <v>0</v>
      </c>
      <c r="R27" s="67">
        <f ca="1" t="shared" si="2"/>
        <v>0</v>
      </c>
    </row>
    <row r="28" ht="17.1" customHeight="1" spans="1:18">
      <c r="A28" s="31"/>
      <c r="B28" s="152" t="s">
        <v>551</v>
      </c>
      <c r="C28" s="43"/>
      <c r="D28" s="43" t="s">
        <v>434</v>
      </c>
      <c r="E28" s="150">
        <f>F3*2</f>
        <v>4</v>
      </c>
      <c r="F28" s="41">
        <v>15.5</v>
      </c>
      <c r="G28" s="99"/>
      <c r="H28" s="99"/>
      <c r="I28" s="41"/>
      <c r="J28" s="41"/>
      <c r="K28" s="41"/>
      <c r="L28" s="41"/>
      <c r="M28" s="41"/>
      <c r="N28" s="173" t="s">
        <v>1361</v>
      </c>
      <c r="O28" s="174">
        <v>4</v>
      </c>
      <c r="P28" s="67">
        <f ca="1" t="shared" si="0"/>
        <v>62</v>
      </c>
      <c r="Q28" s="67">
        <f t="shared" si="1"/>
        <v>0</v>
      </c>
      <c r="R28" s="67">
        <f ca="1" t="shared" si="2"/>
        <v>0</v>
      </c>
    </row>
    <row r="29" ht="17.1" customHeight="1" spans="1:18">
      <c r="A29" s="153" t="s">
        <v>1216</v>
      </c>
      <c r="B29" s="91" t="s">
        <v>1366</v>
      </c>
      <c r="C29" s="23"/>
      <c r="D29" s="23" t="s">
        <v>612</v>
      </c>
      <c r="E29" s="24">
        <f>A3</f>
        <v>2</v>
      </c>
      <c r="F29" s="122">
        <f ca="1">(I29+J29)*1.1+30</f>
        <v>2708.90865</v>
      </c>
      <c r="G29" s="99">
        <v>23.61</v>
      </c>
      <c r="H29" s="99">
        <v>5</v>
      </c>
      <c r="I29" s="41">
        <f ca="1">G29*H29*'18变21米（人字203料）参数 '!E15*1.1</f>
        <v>2246.4915</v>
      </c>
      <c r="J29" s="41">
        <f>23.61*2*4</f>
        <v>188.88</v>
      </c>
      <c r="K29" s="41">
        <v>30</v>
      </c>
      <c r="L29" s="41"/>
      <c r="M29" s="41"/>
      <c r="N29" s="167" t="s">
        <v>1518</v>
      </c>
      <c r="O29" s="175">
        <v>1</v>
      </c>
      <c r="P29" s="67">
        <f ca="1" t="shared" si="0"/>
        <v>2708.90865</v>
      </c>
      <c r="Q29" s="67">
        <f t="shared" si="1"/>
        <v>1</v>
      </c>
      <c r="R29" s="67">
        <f ca="1" t="shared" si="2"/>
        <v>2708.90865</v>
      </c>
    </row>
    <row r="30" ht="17.1" customHeight="1" spans="1:18">
      <c r="A30" s="153"/>
      <c r="B30" s="91" t="s">
        <v>1368</v>
      </c>
      <c r="C30" s="23"/>
      <c r="D30" s="23" t="s">
        <v>664</v>
      </c>
      <c r="E30" s="24">
        <f>F3</f>
        <v>2</v>
      </c>
      <c r="F30" s="122">
        <f ca="1">(I30+J30)*1.1+15</f>
        <v>1024.356502</v>
      </c>
      <c r="G30" s="148">
        <v>10.7</v>
      </c>
      <c r="H30" s="154">
        <v>4.62</v>
      </c>
      <c r="I30" s="101">
        <f ca="1">G30*H30*'18变21米（人字203料）参数 '!E14*1.1</f>
        <v>777.59682</v>
      </c>
      <c r="J30" s="101">
        <f>17.5*2*4</f>
        <v>140</v>
      </c>
      <c r="K30" s="101">
        <v>15</v>
      </c>
      <c r="L30" s="101"/>
      <c r="M30" s="101"/>
      <c r="N30" s="51" t="s">
        <v>1519</v>
      </c>
      <c r="O30" s="167">
        <v>2</v>
      </c>
      <c r="P30" s="67">
        <f ca="1" t="shared" si="0"/>
        <v>2048.713004</v>
      </c>
      <c r="Q30" s="67">
        <f t="shared" si="1"/>
        <v>0</v>
      </c>
      <c r="R30" s="67">
        <f ca="1" t="shared" si="2"/>
        <v>0</v>
      </c>
    </row>
    <row r="31" ht="17.1" customHeight="1" spans="1:18">
      <c r="A31" s="155"/>
      <c r="B31" s="91" t="s">
        <v>1520</v>
      </c>
      <c r="C31" s="23"/>
      <c r="D31" s="23" t="s">
        <v>664</v>
      </c>
      <c r="E31" s="24">
        <f>F3*2</f>
        <v>4</v>
      </c>
      <c r="F31" s="122">
        <f ca="1">(I31+J31)*1.1+15</f>
        <v>402.1678558</v>
      </c>
      <c r="G31" s="156">
        <v>3.97</v>
      </c>
      <c r="H31" s="157">
        <v>5.38</v>
      </c>
      <c r="I31" s="101">
        <f ca="1">G31*H31*'18变21米（人字203料）参数 '!E14*1.1</f>
        <v>335.970778</v>
      </c>
      <c r="J31" s="71">
        <f>4*2*2</f>
        <v>16</v>
      </c>
      <c r="K31" s="71">
        <f>0.5*10</f>
        <v>5</v>
      </c>
      <c r="L31" s="71">
        <f>0.32*18</f>
        <v>5.76</v>
      </c>
      <c r="M31" s="71">
        <f>18*1</f>
        <v>18</v>
      </c>
      <c r="N31" s="120" t="s">
        <v>1521</v>
      </c>
      <c r="O31" s="167">
        <v>4</v>
      </c>
      <c r="P31" s="67">
        <f ca="1" t="shared" si="0"/>
        <v>1608.6714232</v>
      </c>
      <c r="Q31" s="67">
        <f t="shared" si="1"/>
        <v>0</v>
      </c>
      <c r="R31" s="67">
        <f ca="1" t="shared" si="2"/>
        <v>0</v>
      </c>
    </row>
    <row r="32" ht="17.1" customHeight="1" spans="1:18">
      <c r="A32" s="155"/>
      <c r="B32" s="91" t="s">
        <v>1370</v>
      </c>
      <c r="C32" s="23"/>
      <c r="D32" s="23" t="s">
        <v>664</v>
      </c>
      <c r="E32" s="24">
        <f>A3*2+F3*2</f>
        <v>8</v>
      </c>
      <c r="F32" s="101">
        <f ca="1">I32+J32+K31+L32+M32</f>
        <v>384.49012</v>
      </c>
      <c r="G32" s="156">
        <v>5.2</v>
      </c>
      <c r="H32" s="157">
        <v>3.97</v>
      </c>
      <c r="I32" s="101">
        <f ca="1">G32*H32*'18变21米（人字203料）参数 '!E14*1.1+15</f>
        <v>339.73012</v>
      </c>
      <c r="J32" s="71">
        <f>4*2*2</f>
        <v>16</v>
      </c>
      <c r="K32" s="71">
        <f>0.5*10</f>
        <v>5</v>
      </c>
      <c r="L32" s="71">
        <f>0.32*18</f>
        <v>5.76</v>
      </c>
      <c r="M32" s="71">
        <f>18*1</f>
        <v>18</v>
      </c>
      <c r="N32" s="120" t="s">
        <v>1371</v>
      </c>
      <c r="O32" s="169">
        <v>6</v>
      </c>
      <c r="P32" s="67">
        <f ca="1" t="shared" si="0"/>
        <v>2306.94072</v>
      </c>
      <c r="Q32" s="67">
        <f t="shared" si="1"/>
        <v>2</v>
      </c>
      <c r="R32" s="67">
        <f ca="1" t="shared" si="2"/>
        <v>768.98024</v>
      </c>
    </row>
    <row r="33" ht="17.1" customHeight="1" spans="1:18">
      <c r="A33" s="20" t="s">
        <v>1235</v>
      </c>
      <c r="B33" s="138" t="s">
        <v>589</v>
      </c>
      <c r="C33" s="23"/>
      <c r="D33" s="23" t="s">
        <v>434</v>
      </c>
      <c r="E33" s="24">
        <f>D3*10+F3*2+E24*2</f>
        <v>44</v>
      </c>
      <c r="F33" s="101">
        <v>2.15</v>
      </c>
      <c r="G33" s="154"/>
      <c r="H33" s="154"/>
      <c r="I33" s="101"/>
      <c r="J33" s="101"/>
      <c r="K33" s="101"/>
      <c r="L33" s="101"/>
      <c r="M33" s="101"/>
      <c r="N33" s="120" t="s">
        <v>1372</v>
      </c>
      <c r="O33" s="167">
        <v>34</v>
      </c>
      <c r="P33" s="67">
        <f ca="1" t="shared" si="0"/>
        <v>73.1</v>
      </c>
      <c r="Q33" s="67">
        <f t="shared" si="1"/>
        <v>10</v>
      </c>
      <c r="R33" s="67">
        <f ca="1" t="shared" si="2"/>
        <v>21.5</v>
      </c>
    </row>
    <row r="34" ht="17.1" customHeight="1" spans="1:18">
      <c r="A34" s="20"/>
      <c r="B34" s="109" t="s">
        <v>591</v>
      </c>
      <c r="C34" s="23"/>
      <c r="D34" s="23" t="s">
        <v>434</v>
      </c>
      <c r="E34" s="24">
        <f>D3*2+E24+E16</f>
        <v>16</v>
      </c>
      <c r="F34" s="101">
        <v>2.55</v>
      </c>
      <c r="G34" s="154"/>
      <c r="H34" s="154"/>
      <c r="I34" s="101"/>
      <c r="J34" s="101"/>
      <c r="K34" s="101"/>
      <c r="L34" s="101"/>
      <c r="M34" s="101"/>
      <c r="N34" s="120" t="s">
        <v>1373</v>
      </c>
      <c r="O34" s="172">
        <v>14</v>
      </c>
      <c r="P34" s="67">
        <f ca="1" t="shared" si="0"/>
        <v>35.7</v>
      </c>
      <c r="Q34" s="67">
        <f t="shared" si="1"/>
        <v>2</v>
      </c>
      <c r="R34" s="67">
        <f ca="1" t="shared" si="2"/>
        <v>5.1</v>
      </c>
    </row>
    <row r="35" ht="17.1" customHeight="1" spans="1:18">
      <c r="A35" s="20"/>
      <c r="B35" s="159" t="s">
        <v>1423</v>
      </c>
      <c r="C35" s="43"/>
      <c r="D35" s="43" t="s">
        <v>434</v>
      </c>
      <c r="E35" s="44">
        <f>D3*2+4</f>
        <v>10</v>
      </c>
      <c r="F35" s="39">
        <v>1.95</v>
      </c>
      <c r="G35" s="160"/>
      <c r="H35" s="160"/>
      <c r="I35" s="39"/>
      <c r="J35" s="39"/>
      <c r="K35" s="39"/>
      <c r="L35" s="39"/>
      <c r="M35" s="39"/>
      <c r="N35" s="120" t="s">
        <v>1375</v>
      </c>
      <c r="O35" s="167">
        <v>8</v>
      </c>
      <c r="P35" s="67">
        <f ca="1" t="shared" si="0"/>
        <v>15.6</v>
      </c>
      <c r="Q35" s="67">
        <f t="shared" si="1"/>
        <v>2</v>
      </c>
      <c r="R35" s="67">
        <f ca="1" t="shared" si="2"/>
        <v>3.9</v>
      </c>
    </row>
    <row r="36" ht="17.1" customHeight="1" spans="1:18">
      <c r="A36" s="20"/>
      <c r="B36" s="109" t="s">
        <v>554</v>
      </c>
      <c r="C36" s="23"/>
      <c r="D36" s="23" t="s">
        <v>555</v>
      </c>
      <c r="E36" s="28">
        <f>E22+E23+E16</f>
        <v>17</v>
      </c>
      <c r="F36" s="101">
        <v>1.46</v>
      </c>
      <c r="G36" s="154"/>
      <c r="H36" s="154"/>
      <c r="I36" s="101"/>
      <c r="J36" s="101"/>
      <c r="K36" s="101"/>
      <c r="L36" s="101"/>
      <c r="M36" s="101"/>
      <c r="N36" s="120" t="s">
        <v>1376</v>
      </c>
      <c r="O36" s="167">
        <v>15</v>
      </c>
      <c r="P36" s="67">
        <f ca="1" t="shared" si="0"/>
        <v>21.9</v>
      </c>
      <c r="Q36" s="67">
        <f t="shared" si="1"/>
        <v>2</v>
      </c>
      <c r="R36" s="67">
        <f ca="1" t="shared" si="2"/>
        <v>2.92</v>
      </c>
    </row>
    <row r="37" spans="15:18">
      <c r="O37" s="84" t="s">
        <v>1218</v>
      </c>
      <c r="P37" s="3">
        <f ca="1">SUM(P6:P36)</f>
        <v>36305.4559368944</v>
      </c>
      <c r="Q37" s="3" t="s">
        <v>1219</v>
      </c>
      <c r="R37" s="3">
        <f ca="1">SUM(R6:R36)</f>
        <v>13490.332198824</v>
      </c>
    </row>
    <row r="38" spans="2:2">
      <c r="B38" s="50" t="s">
        <v>1221</v>
      </c>
    </row>
    <row r="39" spans="15:16">
      <c r="O39" s="50" t="s">
        <v>1377</v>
      </c>
      <c r="P39" s="3">
        <f ca="1">P37+R37</f>
        <v>49795.7881357184</v>
      </c>
    </row>
    <row r="40" spans="2:16">
      <c r="B40" s="52"/>
      <c r="C40" s="52"/>
      <c r="D40" s="52"/>
      <c r="E40" s="52"/>
      <c r="F40" s="52"/>
      <c r="G40" s="52"/>
      <c r="H40" s="52"/>
      <c r="I40" s="52"/>
      <c r="J40" s="52"/>
      <c r="K40" s="52"/>
      <c r="L40" s="52"/>
      <c r="M40" s="52"/>
      <c r="O40" s="50" t="s">
        <v>14</v>
      </c>
      <c r="P40" s="3">
        <f ca="1">P39/E2</f>
        <v>237.122800646278</v>
      </c>
    </row>
    <row r="41" spans="2:13">
      <c r="B41" s="54"/>
      <c r="C41" s="54"/>
      <c r="D41" s="54"/>
      <c r="E41" s="54"/>
      <c r="F41" s="54"/>
      <c r="G41" s="53"/>
      <c r="H41" s="53"/>
      <c r="I41" s="53"/>
      <c r="J41" s="53"/>
      <c r="K41" s="53"/>
      <c r="L41" s="53"/>
      <c r="M41" s="53"/>
    </row>
    <row r="42" spans="2:13">
      <c r="B42" s="54"/>
      <c r="C42" s="54"/>
      <c r="D42" s="54"/>
      <c r="E42" s="54"/>
      <c r="F42" s="54"/>
      <c r="G42" s="53"/>
      <c r="H42" s="53"/>
      <c r="I42" s="53"/>
      <c r="J42" s="53"/>
      <c r="K42" s="53"/>
      <c r="L42" s="53"/>
      <c r="M42" s="53"/>
    </row>
    <row r="43" spans="2:13">
      <c r="B43" s="54"/>
      <c r="C43" s="54"/>
      <c r="D43" s="54"/>
      <c r="E43" s="54"/>
      <c r="F43" s="54"/>
      <c r="G43" s="53"/>
      <c r="H43" s="53"/>
      <c r="I43" s="53"/>
      <c r="J43" s="53"/>
      <c r="K43" s="53"/>
      <c r="L43" s="53"/>
      <c r="M43" s="53"/>
    </row>
    <row r="44" spans="2:13">
      <c r="B44" s="54"/>
      <c r="C44" s="54"/>
      <c r="D44" s="54"/>
      <c r="E44" s="54"/>
      <c r="F44" s="54"/>
      <c r="G44" s="53"/>
      <c r="H44" s="53"/>
      <c r="I44" s="53"/>
      <c r="J44" s="53"/>
      <c r="K44" s="53"/>
      <c r="L44" s="53"/>
      <c r="M44" s="53"/>
    </row>
    <row r="45" spans="2:13">
      <c r="B45" s="54"/>
      <c r="C45" s="54"/>
      <c r="D45" s="54"/>
      <c r="E45" s="54"/>
      <c r="F45" s="54"/>
      <c r="G45" s="53"/>
      <c r="H45" s="53"/>
      <c r="I45" s="53"/>
      <c r="J45" s="53"/>
      <c r="K45" s="53"/>
      <c r="L45" s="53"/>
      <c r="M45" s="53"/>
    </row>
    <row r="46" spans="2:13">
      <c r="B46" s="54"/>
      <c r="C46" s="54"/>
      <c r="D46" s="54"/>
      <c r="E46" s="54"/>
      <c r="F46" s="54"/>
      <c r="G46" s="53"/>
      <c r="H46" s="53"/>
      <c r="I46" s="53"/>
      <c r="J46" s="53"/>
      <c r="K46" s="53"/>
      <c r="L46" s="53"/>
      <c r="M46" s="53"/>
    </row>
  </sheetData>
  <mergeCells count="12">
    <mergeCell ref="A1:N1"/>
    <mergeCell ref="A2:C2"/>
    <mergeCell ref="F2:N2"/>
    <mergeCell ref="A3:B3"/>
    <mergeCell ref="H3:N3"/>
    <mergeCell ref="A4:F4"/>
    <mergeCell ref="G4:H4"/>
    <mergeCell ref="I4:M4"/>
    <mergeCell ref="A6:A20"/>
    <mergeCell ref="A21:A28"/>
    <mergeCell ref="A29:A32"/>
    <mergeCell ref="A33:A36"/>
  </mergeCells>
  <dataValidations count="4">
    <dataValidation type="list" allowBlank="1" showInputMessage="1" showErrorMessage="1" sqref="B29">
      <formula1>"顶布[白]{全新},顶布[白]{A类},顶布[白]{B类},顶布[白]{C类},顶布[白]{D类}"</formula1>
    </dataValidation>
    <dataValidation type="list" allowBlank="1" showInputMessage="1" showErrorMessage="1" sqref="B30">
      <formula1>"山尖布[白]{全新},山尖布[白]{A类},山尖布[白]{B类},山尖布[白]{C类},山尖布[白]{D类}"</formula1>
    </dataValidation>
    <dataValidation allowBlank="1" showInputMessage="1" showErrorMessage="1" sqref="B31"/>
    <dataValidation type="list" allowBlank="1" showInputMessage="1" showErrorMessage="1" sqref="B32">
      <formula1>"围布[白]{全新},围布[白]{A类},围布[白]{B类},围布[白]{C类},围布[白]{D类},透光窗围布[白]{全新},透光窗围布[白]{A类},透光窗围布[白]{B类},透光窗围布[白]{C类},透光窗围布[白]{D类}"</formula1>
    </dataValidation>
  </dataValidations>
  <printOptions horizontalCentered="1"/>
  <pageMargins left="0.238888888888889" right="0.11875" top="0.159027777777778" bottom="0.259027777777778" header="0.159027777777778" footer="0.2"/>
  <pageSetup paperSize="9" orientation="portrait"/>
  <headerFooter alignWithMargins="0" scaleWithDoc="0">
    <oddFooter>&amp;L&amp;"SimSun"&amp;9&amp;C&amp;"SimSun"&amp;9第 &amp;P 页，共 &amp;N 页&amp;R&amp;"SimSun"&amp;9</oddFooter>
  </headerFooter>
</worksheet>
</file>

<file path=xl/worksheets/sheet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FF0000"/>
  </sheetPr>
  <dimension ref="A1:S46"/>
  <sheetViews>
    <sheetView showGridLines="0" workbookViewId="0">
      <selection activeCell="F13" sqref="F13"/>
    </sheetView>
  </sheetViews>
  <sheetFormatPr defaultColWidth="9" defaultRowHeight="14.25"/>
  <cols>
    <col min="1" max="1" width="2.75" style="1" customWidth="1"/>
    <col min="2" max="2" width="14.375" style="1" customWidth="1"/>
    <col min="3" max="5" width="9" style="1"/>
    <col min="6" max="7" width="9" style="1" customWidth="1"/>
    <col min="8" max="8" width="9.625" style="1" customWidth="1"/>
    <col min="9" max="9" width="15.625" style="1" customWidth="1"/>
    <col min="10" max="10" width="14.125" style="1" customWidth="1"/>
    <col min="11" max="11" width="9" style="1" customWidth="1"/>
    <col min="12" max="12" width="11.625" style="1" customWidth="1"/>
    <col min="13" max="13" width="9" style="1" customWidth="1"/>
    <col min="14" max="14" width="61.875" style="1" customWidth="1"/>
    <col min="15" max="15" width="9" style="1"/>
    <col min="16" max="16" width="13.75" style="1" customWidth="1"/>
    <col min="17" max="17" width="9" style="1"/>
    <col min="18" max="18" width="14.125" style="1" customWidth="1"/>
    <col min="19" max="16384" width="9" style="1"/>
  </cols>
  <sheetData>
    <row r="1" ht="18.75" spans="1:19">
      <c r="A1" s="7" t="s">
        <v>1522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161"/>
      <c r="P1" s="3"/>
      <c r="Q1" s="3"/>
      <c r="R1" s="3"/>
      <c r="S1" s="3"/>
    </row>
    <row r="2" spans="1:19">
      <c r="A2" s="141" t="s">
        <v>1246</v>
      </c>
      <c r="B2" s="142"/>
      <c r="C2" s="142"/>
      <c r="D2" s="9" t="s">
        <v>1198</v>
      </c>
      <c r="E2" s="176">
        <f>A3*5*21</f>
        <v>210</v>
      </c>
      <c r="F2" s="11"/>
      <c r="G2" s="11"/>
      <c r="H2" s="11"/>
      <c r="I2" s="11"/>
      <c r="J2" s="11"/>
      <c r="K2" s="11"/>
      <c r="L2" s="11"/>
      <c r="M2" s="11"/>
      <c r="N2" s="11"/>
      <c r="O2" s="162"/>
      <c r="P2" s="3"/>
      <c r="Q2" s="55"/>
      <c r="R2" s="55"/>
      <c r="S2" s="3"/>
    </row>
    <row r="3" spans="1:19">
      <c r="A3" s="177">
        <v>2</v>
      </c>
      <c r="B3" s="177"/>
      <c r="C3" s="178" t="s">
        <v>1247</v>
      </c>
      <c r="D3" s="179">
        <v>3</v>
      </c>
      <c r="E3" s="180" t="s">
        <v>1248</v>
      </c>
      <c r="F3" s="12">
        <v>2</v>
      </c>
      <c r="G3" s="11" t="s">
        <v>1249</v>
      </c>
      <c r="H3" s="12"/>
      <c r="I3" s="12"/>
      <c r="J3" s="12"/>
      <c r="K3" s="12"/>
      <c r="L3" s="12"/>
      <c r="M3" s="12"/>
      <c r="N3" s="12"/>
      <c r="O3" s="162"/>
      <c r="P3" s="3"/>
      <c r="Q3" s="55"/>
      <c r="R3" s="55"/>
      <c r="S3" s="3"/>
    </row>
    <row r="4" spans="1:19">
      <c r="A4" s="190"/>
      <c r="B4" s="128"/>
      <c r="C4" s="128"/>
      <c r="D4" s="128"/>
      <c r="E4" s="128"/>
      <c r="F4" s="128"/>
      <c r="G4" s="180" t="s">
        <v>1345</v>
      </c>
      <c r="H4" s="191"/>
      <c r="I4" s="198" t="s">
        <v>1346</v>
      </c>
      <c r="J4" s="199"/>
      <c r="K4" s="199"/>
      <c r="L4" s="199"/>
      <c r="M4" s="200"/>
      <c r="N4" s="201"/>
      <c r="O4" s="162"/>
      <c r="P4" s="3"/>
      <c r="Q4" s="55"/>
      <c r="R4" s="55"/>
      <c r="S4" s="3"/>
    </row>
    <row r="5" ht="24" spans="1:19">
      <c r="A5" s="146" t="s">
        <v>1200</v>
      </c>
      <c r="B5" s="146" t="s">
        <v>1201</v>
      </c>
      <c r="C5" s="146" t="s">
        <v>1250</v>
      </c>
      <c r="D5" s="146" t="s">
        <v>22</v>
      </c>
      <c r="E5" s="147" t="s">
        <v>1251</v>
      </c>
      <c r="F5" s="75" t="s">
        <v>1204</v>
      </c>
      <c r="G5" s="19" t="s">
        <v>1205</v>
      </c>
      <c r="H5" s="17" t="s">
        <v>1253</v>
      </c>
      <c r="I5" s="17" t="s">
        <v>1254</v>
      </c>
      <c r="J5" s="17" t="s">
        <v>1255</v>
      </c>
      <c r="K5" s="17" t="s">
        <v>1209</v>
      </c>
      <c r="L5" s="17" t="s">
        <v>1420</v>
      </c>
      <c r="M5" s="17" t="s">
        <v>1211</v>
      </c>
      <c r="N5" s="163" t="s">
        <v>1257</v>
      </c>
      <c r="O5" s="164" t="s">
        <v>1212</v>
      </c>
      <c r="P5" s="165" t="s">
        <v>1213</v>
      </c>
      <c r="Q5" s="165" t="s">
        <v>1214</v>
      </c>
      <c r="R5" s="75" t="s">
        <v>1213</v>
      </c>
      <c r="S5" s="3"/>
    </row>
    <row r="6" ht="15" customHeight="1" spans="1:19">
      <c r="A6" s="20" t="s">
        <v>1215</v>
      </c>
      <c r="B6" s="91" t="s">
        <v>1224</v>
      </c>
      <c r="C6" s="23"/>
      <c r="D6" s="23" t="s">
        <v>28</v>
      </c>
      <c r="E6" s="24">
        <f>D3*2</f>
        <v>6</v>
      </c>
      <c r="F6" s="93">
        <f ca="1">I6+J6+K6+L6+M6</f>
        <v>1104.300437392</v>
      </c>
      <c r="G6" s="94">
        <v>4.58</v>
      </c>
      <c r="H6" s="94">
        <v>8.233</v>
      </c>
      <c r="I6" s="93">
        <f ca="1">G6*H6*'18变21米（人字203料）参数 '!G3*1.1</f>
        <v>939.390437392</v>
      </c>
      <c r="J6" s="93">
        <f ca="1">48.55*2</f>
        <v>97.1</v>
      </c>
      <c r="K6" s="93">
        <v>45.91</v>
      </c>
      <c r="L6" s="93">
        <f>2.55*4</f>
        <v>10.2</v>
      </c>
      <c r="M6" s="93">
        <f>18*0.65</f>
        <v>11.7</v>
      </c>
      <c r="N6" s="166" t="s">
        <v>1502</v>
      </c>
      <c r="O6" s="167">
        <v>4</v>
      </c>
      <c r="P6" s="67">
        <f ca="1" t="shared" ref="P6:P36" si="0">F6*O6</f>
        <v>4417.201749568</v>
      </c>
      <c r="Q6" s="67">
        <f t="shared" ref="Q6:Q36" si="1">E6-O6</f>
        <v>2</v>
      </c>
      <c r="R6" s="67">
        <f ca="1" t="shared" ref="R6:R36" si="2">F6*Q6</f>
        <v>2208.600874784</v>
      </c>
      <c r="S6" s="3"/>
    </row>
    <row r="7" ht="15" customHeight="1" spans="1:19">
      <c r="A7" s="20"/>
      <c r="B7" s="91" t="s">
        <v>1308</v>
      </c>
      <c r="C7" s="23"/>
      <c r="D7" s="23" t="s">
        <v>28</v>
      </c>
      <c r="E7" s="24">
        <f>F3*2</f>
        <v>4</v>
      </c>
      <c r="F7" s="101">
        <f ca="1">G7+H7+I7+J7+K7+L7+M7</f>
        <v>904.44704</v>
      </c>
      <c r="G7" s="148">
        <v>6</v>
      </c>
      <c r="H7" s="148">
        <v>5.3</v>
      </c>
      <c r="I7" s="101">
        <f ca="1">G7*H7*'18变21米（人字203料）参数 '!G3*1.1</f>
        <v>792.22704</v>
      </c>
      <c r="J7" s="101"/>
      <c r="K7" s="101">
        <f ca="1">49.51+41.21</f>
        <v>90.72</v>
      </c>
      <c r="L7" s="101">
        <f>2.55*4</f>
        <v>10.2</v>
      </c>
      <c r="M7" s="101"/>
      <c r="N7" s="166" t="s">
        <v>1427</v>
      </c>
      <c r="O7" s="167">
        <v>4</v>
      </c>
      <c r="P7" s="67">
        <f ca="1" t="shared" si="0"/>
        <v>3617.78816</v>
      </c>
      <c r="Q7" s="67">
        <f t="shared" si="1"/>
        <v>0</v>
      </c>
      <c r="R7" s="67">
        <f ca="1" t="shared" si="2"/>
        <v>0</v>
      </c>
      <c r="S7" s="3"/>
    </row>
    <row r="8" ht="15" customHeight="1" spans="1:19">
      <c r="A8" s="20"/>
      <c r="B8" s="91" t="s">
        <v>1435</v>
      </c>
      <c r="C8" s="23"/>
      <c r="D8" s="23" t="s">
        <v>28</v>
      </c>
      <c r="E8" s="24">
        <f>F3</f>
        <v>2</v>
      </c>
      <c r="F8" s="101">
        <f ca="1">G8+H8+I8+J8+K8+L8+M8</f>
        <v>1064.092448</v>
      </c>
      <c r="G8" s="148">
        <v>7.2</v>
      </c>
      <c r="H8" s="148">
        <v>5.3</v>
      </c>
      <c r="I8" s="101">
        <f ca="1">G8*H8*'18变21米（人字203料）参数 '!G3*1.1</f>
        <v>950.672448</v>
      </c>
      <c r="J8" s="101"/>
      <c r="K8" s="101">
        <f ca="1">49.51+41.21</f>
        <v>90.72</v>
      </c>
      <c r="L8" s="101">
        <f>2.55*4</f>
        <v>10.2</v>
      </c>
      <c r="M8" s="101"/>
      <c r="N8" s="166" t="s">
        <v>1490</v>
      </c>
      <c r="O8" s="167">
        <v>2</v>
      </c>
      <c r="P8" s="67">
        <f ca="1" t="shared" si="0"/>
        <v>2128.184896</v>
      </c>
      <c r="Q8" s="67">
        <f t="shared" si="1"/>
        <v>0</v>
      </c>
      <c r="R8" s="67">
        <f ca="1" t="shared" si="2"/>
        <v>0</v>
      </c>
      <c r="S8" s="3"/>
    </row>
    <row r="9" ht="15" customHeight="1" spans="1:19">
      <c r="A9" s="20"/>
      <c r="B9" s="91" t="s">
        <v>1350</v>
      </c>
      <c r="C9" s="23"/>
      <c r="D9" s="23" t="s">
        <v>28</v>
      </c>
      <c r="E9" s="24">
        <f>D3*2</f>
        <v>6</v>
      </c>
      <c r="F9" s="61">
        <f ca="1">I9+J9+K9+L9+M9</f>
        <v>2018.286557632</v>
      </c>
      <c r="G9" s="95">
        <v>9.68</v>
      </c>
      <c r="H9" s="95">
        <v>8.233</v>
      </c>
      <c r="I9" s="61">
        <f ca="1">G9*H9*'18变21米（人字203料）参数 '!G3*1.1</f>
        <v>1985.436557632</v>
      </c>
      <c r="J9" s="61">
        <f ca="1">2.5*6</f>
        <v>15</v>
      </c>
      <c r="K9" s="61">
        <v>11.85</v>
      </c>
      <c r="L9" s="61">
        <f>1*6</f>
        <v>6</v>
      </c>
      <c r="M9" s="61"/>
      <c r="N9" s="116" t="s">
        <v>1500</v>
      </c>
      <c r="O9" s="167">
        <v>4</v>
      </c>
      <c r="P9" s="67">
        <f ca="1" t="shared" si="0"/>
        <v>8073.146230528</v>
      </c>
      <c r="Q9" s="67">
        <f t="shared" si="1"/>
        <v>2</v>
      </c>
      <c r="R9" s="67">
        <f ca="1" t="shared" si="2"/>
        <v>4036.573115264</v>
      </c>
      <c r="S9" s="3"/>
    </row>
    <row r="10" ht="15" customHeight="1" spans="1:19">
      <c r="A10" s="20"/>
      <c r="B10" s="91" t="s">
        <v>1513</v>
      </c>
      <c r="C10" s="23"/>
      <c r="D10" s="23" t="s">
        <v>28</v>
      </c>
      <c r="E10" s="24">
        <f>D3*2</f>
        <v>6</v>
      </c>
      <c r="F10" s="61">
        <f ca="1">I10+J10+K10+L10+M10</f>
        <v>573.670884688</v>
      </c>
      <c r="G10" s="95">
        <v>1.62</v>
      </c>
      <c r="H10" s="95">
        <v>8.233</v>
      </c>
      <c r="I10" s="61">
        <f ca="1">G10*H10*'18变21米（人字203料）参数 '!G3*1.1</f>
        <v>332.273473488</v>
      </c>
      <c r="J10" s="61">
        <f ca="1">2.5*2</f>
        <v>5</v>
      </c>
      <c r="K10" s="61">
        <f ca="1">1.2*7.67*'18变21米（人字203料）参数 '!G3*1.1</f>
        <v>229.2974112</v>
      </c>
      <c r="L10" s="61">
        <f>1*2+2.55*2</f>
        <v>7.1</v>
      </c>
      <c r="M10" s="61"/>
      <c r="N10" s="116" t="s">
        <v>1483</v>
      </c>
      <c r="O10" s="167">
        <v>4</v>
      </c>
      <c r="P10" s="67">
        <f ca="1" t="shared" si="0"/>
        <v>2294.683538752</v>
      </c>
      <c r="Q10" s="67">
        <f t="shared" si="1"/>
        <v>2</v>
      </c>
      <c r="R10" s="67">
        <f ca="1" t="shared" si="2"/>
        <v>1147.341769376</v>
      </c>
      <c r="S10" s="3"/>
    </row>
    <row r="11" ht="15" customHeight="1" spans="1:19">
      <c r="A11" s="20"/>
      <c r="B11" s="91" t="s">
        <v>1226</v>
      </c>
      <c r="C11" s="23"/>
      <c r="D11" s="23" t="s">
        <v>28</v>
      </c>
      <c r="E11" s="24">
        <f>A3*6</f>
        <v>12</v>
      </c>
      <c r="F11" s="101">
        <f ca="1">I11+J11+K11+L11+M11</f>
        <v>195.0929650432</v>
      </c>
      <c r="G11" s="148">
        <v>4.882</v>
      </c>
      <c r="H11" s="148">
        <v>1.552</v>
      </c>
      <c r="I11" s="101">
        <f ca="1">G11*H11*'18变21米（人字203料）参数 '!G5*1.1</f>
        <v>180.0929650432</v>
      </c>
      <c r="J11" s="101"/>
      <c r="K11" s="101"/>
      <c r="L11" s="101">
        <f>0.5*4</f>
        <v>2</v>
      </c>
      <c r="M11" s="101">
        <f>6.5*2</f>
        <v>13</v>
      </c>
      <c r="N11" s="120" t="s">
        <v>1352</v>
      </c>
      <c r="O11" s="167">
        <v>6</v>
      </c>
      <c r="P11" s="67">
        <f ca="1" t="shared" si="0"/>
        <v>1170.5577902592</v>
      </c>
      <c r="Q11" s="67">
        <f t="shared" si="1"/>
        <v>6</v>
      </c>
      <c r="R11" s="67">
        <f ca="1" t="shared" si="2"/>
        <v>1170.5577902592</v>
      </c>
      <c r="S11" s="3"/>
    </row>
    <row r="12" ht="15" customHeight="1" spans="1:19">
      <c r="A12" s="20"/>
      <c r="B12" s="91" t="s">
        <v>1264</v>
      </c>
      <c r="C12" s="23"/>
      <c r="D12" s="23" t="s">
        <v>28</v>
      </c>
      <c r="E12" s="24">
        <f>A3*3</f>
        <v>6</v>
      </c>
      <c r="F12" s="101">
        <f ca="1">I12+J12+K12+L12+M12</f>
        <v>336.5448493136</v>
      </c>
      <c r="G12" s="148">
        <v>4.882</v>
      </c>
      <c r="H12" s="148">
        <v>2.771</v>
      </c>
      <c r="I12" s="101">
        <f ca="1">G12*H12*'18变21米（人字203料）参数 '!G5*1.1</f>
        <v>321.5448493136</v>
      </c>
      <c r="J12" s="101"/>
      <c r="K12" s="101"/>
      <c r="L12" s="101">
        <f>0.5*4</f>
        <v>2</v>
      </c>
      <c r="M12" s="101">
        <f>6.5*2</f>
        <v>13</v>
      </c>
      <c r="N12" s="120" t="s">
        <v>1353</v>
      </c>
      <c r="O12" s="169">
        <v>3</v>
      </c>
      <c r="P12" s="67">
        <f ca="1" t="shared" si="0"/>
        <v>1009.6345479408</v>
      </c>
      <c r="Q12" s="67">
        <f t="shared" si="1"/>
        <v>3</v>
      </c>
      <c r="R12" s="67">
        <f ca="1" t="shared" si="2"/>
        <v>1009.6345479408</v>
      </c>
      <c r="S12" s="3"/>
    </row>
    <row r="13" ht="15" customHeight="1" spans="1:19">
      <c r="A13" s="20"/>
      <c r="B13" s="91" t="s">
        <v>1266</v>
      </c>
      <c r="C13" s="23"/>
      <c r="D13" s="23" t="s">
        <v>28</v>
      </c>
      <c r="E13" s="24">
        <f>A3*2+F3*2</f>
        <v>8</v>
      </c>
      <c r="F13" s="101">
        <f ca="1">'数据修改（批量）'!A28</f>
        <v>95</v>
      </c>
      <c r="G13" s="148">
        <v>4.86</v>
      </c>
      <c r="H13" s="148">
        <v>1.345</v>
      </c>
      <c r="I13" s="101">
        <f ca="1">G13*H13*'18变21米（人字203料）参数 '!G5*1.1</f>
        <v>155.36951496</v>
      </c>
      <c r="J13" s="101"/>
      <c r="K13" s="101"/>
      <c r="L13" s="101"/>
      <c r="M13" s="101"/>
      <c r="N13" s="120" t="s">
        <v>1354</v>
      </c>
      <c r="O13" s="169">
        <v>6</v>
      </c>
      <c r="P13" s="67">
        <f ca="1" t="shared" si="0"/>
        <v>570</v>
      </c>
      <c r="Q13" s="67">
        <f t="shared" si="1"/>
        <v>2</v>
      </c>
      <c r="R13" s="67">
        <f ca="1" t="shared" si="2"/>
        <v>190</v>
      </c>
      <c r="S13" s="3"/>
    </row>
    <row r="14" ht="15" customHeight="1" spans="1:19">
      <c r="A14" s="20"/>
      <c r="B14" s="91" t="s">
        <v>1514</v>
      </c>
      <c r="C14" s="23"/>
      <c r="D14" s="23" t="s">
        <v>28</v>
      </c>
      <c r="E14" s="24">
        <f>F3*2</f>
        <v>4</v>
      </c>
      <c r="F14" s="101">
        <f ca="1">I14+J14+K14+L14+M14</f>
        <v>369.674111748</v>
      </c>
      <c r="G14" s="192">
        <v>5.385</v>
      </c>
      <c r="H14" s="148">
        <v>2.771</v>
      </c>
      <c r="I14" s="202">
        <f ca="1">G14*H14*'18变21米（人字203料）参数 '!G5*1.1</f>
        <v>354.674111748</v>
      </c>
      <c r="J14" s="101"/>
      <c r="K14" s="101"/>
      <c r="L14" s="101">
        <f>0.5*4</f>
        <v>2</v>
      </c>
      <c r="M14" s="101">
        <f>6.5*2</f>
        <v>13</v>
      </c>
      <c r="N14" s="120" t="s">
        <v>1515</v>
      </c>
      <c r="O14" s="167">
        <v>4</v>
      </c>
      <c r="P14" s="67">
        <f ca="1" t="shared" si="0"/>
        <v>1478.696446992</v>
      </c>
      <c r="Q14" s="67">
        <f t="shared" si="1"/>
        <v>0</v>
      </c>
      <c r="R14" s="67">
        <f ca="1" t="shared" si="2"/>
        <v>0</v>
      </c>
      <c r="S14" s="3"/>
    </row>
    <row r="15" ht="15" customHeight="1" spans="1:19">
      <c r="A15" s="20"/>
      <c r="B15" s="91" t="s">
        <v>1516</v>
      </c>
      <c r="C15" s="23"/>
      <c r="D15" s="23" t="s">
        <v>28</v>
      </c>
      <c r="E15" s="24">
        <f>F3*2</f>
        <v>4</v>
      </c>
      <c r="F15" s="101">
        <v>102.22</v>
      </c>
      <c r="G15" s="192">
        <v>5.36</v>
      </c>
      <c r="H15" s="148">
        <v>1.345</v>
      </c>
      <c r="I15" s="101">
        <f ca="1">G15*H15*'18变21米（人字203料）参数 '!G5*1.1</f>
        <v>171.35403296</v>
      </c>
      <c r="J15" s="101"/>
      <c r="K15" s="101"/>
      <c r="L15" s="101"/>
      <c r="M15" s="101"/>
      <c r="N15" s="120" t="s">
        <v>1517</v>
      </c>
      <c r="O15" s="167">
        <v>4</v>
      </c>
      <c r="P15" s="67">
        <f ca="1" t="shared" si="0"/>
        <v>408.88</v>
      </c>
      <c r="Q15" s="67">
        <f t="shared" si="1"/>
        <v>0</v>
      </c>
      <c r="R15" s="67">
        <f ca="1" t="shared" si="2"/>
        <v>0</v>
      </c>
      <c r="S15" s="3"/>
    </row>
    <row r="16" ht="15" customHeight="1" spans="1:19">
      <c r="A16" s="20"/>
      <c r="B16" s="91" t="s">
        <v>1272</v>
      </c>
      <c r="C16" s="23"/>
      <c r="D16" s="23" t="s">
        <v>28</v>
      </c>
      <c r="E16" s="30">
        <v>5</v>
      </c>
      <c r="F16" s="101">
        <f>I16+J16+K16+L16+M16</f>
        <v>122.5</v>
      </c>
      <c r="G16" s="148"/>
      <c r="H16" s="148"/>
      <c r="I16" s="101">
        <v>108</v>
      </c>
      <c r="J16" s="101">
        <v>6.5</v>
      </c>
      <c r="K16" s="101">
        <v>4</v>
      </c>
      <c r="L16" s="101">
        <v>3</v>
      </c>
      <c r="M16" s="101">
        <v>1</v>
      </c>
      <c r="N16" s="120" t="s">
        <v>1523</v>
      </c>
      <c r="O16" s="167">
        <v>4</v>
      </c>
      <c r="P16" s="67">
        <f ca="1" t="shared" si="0"/>
        <v>490</v>
      </c>
      <c r="Q16" s="67">
        <f t="shared" si="1"/>
        <v>1</v>
      </c>
      <c r="R16" s="67">
        <f ca="1" t="shared" si="2"/>
        <v>122.5</v>
      </c>
      <c r="S16" s="3"/>
    </row>
    <row r="17" ht="15" customHeight="1" spans="1:19">
      <c r="A17" s="20"/>
      <c r="B17" s="91" t="s">
        <v>1356</v>
      </c>
      <c r="C17" s="23"/>
      <c r="D17" s="23" t="s">
        <v>28</v>
      </c>
      <c r="E17" s="24">
        <f>F3</f>
        <v>2</v>
      </c>
      <c r="F17" s="101">
        <f ca="1">I17+J17+K17+L17+M17</f>
        <v>90.133</v>
      </c>
      <c r="G17" s="148">
        <v>3.75</v>
      </c>
      <c r="H17" s="148">
        <v>1</v>
      </c>
      <c r="I17" s="101">
        <f ca="1">G17*H17*'18变21米（人字203料）参数 '!G5*1.1</f>
        <v>89.133</v>
      </c>
      <c r="J17" s="101"/>
      <c r="K17" s="101"/>
      <c r="L17" s="101">
        <f>0.5*2</f>
        <v>1</v>
      </c>
      <c r="M17" s="101"/>
      <c r="N17" s="170" t="s">
        <v>1357</v>
      </c>
      <c r="O17" s="167">
        <v>2</v>
      </c>
      <c r="P17" s="67">
        <f ca="1" t="shared" si="0"/>
        <v>180.266</v>
      </c>
      <c r="Q17" s="67">
        <f t="shared" si="1"/>
        <v>0</v>
      </c>
      <c r="R17" s="67">
        <f ca="1" t="shared" si="2"/>
        <v>0</v>
      </c>
      <c r="S17" s="3"/>
    </row>
    <row r="18" ht="15" customHeight="1" spans="1:19">
      <c r="A18" s="20"/>
      <c r="B18" s="91" t="s">
        <v>1276</v>
      </c>
      <c r="C18" s="23"/>
      <c r="D18" s="23" t="s">
        <v>28</v>
      </c>
      <c r="E18" s="28">
        <f>F3*2</f>
        <v>4</v>
      </c>
      <c r="F18" s="101">
        <f ca="1">I18+J18+K18+L18+M18</f>
        <v>348.2448493136</v>
      </c>
      <c r="G18" s="95">
        <v>4.882</v>
      </c>
      <c r="H18" s="95">
        <v>2.771</v>
      </c>
      <c r="I18" s="61">
        <f ca="1">G18*H18*'18变21米（人字203料）参数 '!G5*1.1</f>
        <v>321.5448493136</v>
      </c>
      <c r="J18" s="61"/>
      <c r="K18" s="61">
        <v>15</v>
      </c>
      <c r="L18" s="61">
        <f>8*0.65</f>
        <v>5.2</v>
      </c>
      <c r="M18" s="61">
        <v>6.5</v>
      </c>
      <c r="N18" s="120" t="s">
        <v>1358</v>
      </c>
      <c r="O18" s="167">
        <v>4</v>
      </c>
      <c r="P18" s="67">
        <f ca="1" t="shared" si="0"/>
        <v>1392.9793972544</v>
      </c>
      <c r="Q18" s="67">
        <f t="shared" si="1"/>
        <v>0</v>
      </c>
      <c r="R18" s="67">
        <f ca="1" t="shared" si="2"/>
        <v>0</v>
      </c>
      <c r="S18" s="3"/>
    </row>
    <row r="19" ht="15" customHeight="1" spans="1:19">
      <c r="A19" s="31"/>
      <c r="B19" s="193" t="s">
        <v>1485</v>
      </c>
      <c r="C19" s="43"/>
      <c r="D19" s="23" t="s">
        <v>28</v>
      </c>
      <c r="E19" s="44">
        <f>E31</f>
        <v>4</v>
      </c>
      <c r="F19" s="101">
        <f>I19+J19+K19+L19+M19</f>
        <v>17</v>
      </c>
      <c r="G19" s="194"/>
      <c r="H19" s="194"/>
      <c r="I19" s="203">
        <v>17</v>
      </c>
      <c r="J19" s="203"/>
      <c r="K19" s="203"/>
      <c r="L19" s="203"/>
      <c r="M19" s="203"/>
      <c r="N19" s="171"/>
      <c r="O19" s="167">
        <v>4</v>
      </c>
      <c r="P19" s="67">
        <f ca="1" t="shared" si="0"/>
        <v>68</v>
      </c>
      <c r="Q19" s="67">
        <f t="shared" si="1"/>
        <v>0</v>
      </c>
      <c r="R19" s="67">
        <f ca="1" t="shared" si="2"/>
        <v>0</v>
      </c>
      <c r="S19" s="3"/>
    </row>
    <row r="20" ht="15" customHeight="1" spans="1:19">
      <c r="A20" s="31"/>
      <c r="B20" s="152" t="s">
        <v>1274</v>
      </c>
      <c r="C20" s="43"/>
      <c r="D20" s="43" t="s">
        <v>28</v>
      </c>
      <c r="E20" s="150">
        <f>A3*2+F3*2</f>
        <v>8</v>
      </c>
      <c r="F20" s="101">
        <f>(I20+J20+K20+L20+M20)</f>
        <v>20.4</v>
      </c>
      <c r="G20" s="151"/>
      <c r="H20" s="151"/>
      <c r="I20" s="39">
        <f>17*1.2</f>
        <v>20.4</v>
      </c>
      <c r="J20" s="39"/>
      <c r="K20" s="39"/>
      <c r="L20" s="39"/>
      <c r="M20" s="39"/>
      <c r="N20" s="171" t="s">
        <v>1359</v>
      </c>
      <c r="O20" s="169">
        <v>6</v>
      </c>
      <c r="P20" s="67">
        <f ca="1" t="shared" si="0"/>
        <v>122.4</v>
      </c>
      <c r="Q20" s="67">
        <f t="shared" si="1"/>
        <v>2</v>
      </c>
      <c r="R20" s="67">
        <f ca="1" t="shared" si="2"/>
        <v>40.8</v>
      </c>
      <c r="S20" s="3"/>
    </row>
    <row r="21" ht="15" customHeight="1" spans="1:19">
      <c r="A21" s="20" t="s">
        <v>1278</v>
      </c>
      <c r="B21" s="91" t="s">
        <v>1304</v>
      </c>
      <c r="C21" s="23"/>
      <c r="D21" s="23" t="s">
        <v>434</v>
      </c>
      <c r="E21" s="24">
        <f>D3</f>
        <v>3</v>
      </c>
      <c r="F21" s="101">
        <v>180.62</v>
      </c>
      <c r="G21" s="151"/>
      <c r="H21" s="151"/>
      <c r="I21" s="39"/>
      <c r="J21" s="39"/>
      <c r="K21" s="39"/>
      <c r="L21" s="39"/>
      <c r="M21" s="39"/>
      <c r="N21" s="171" t="s">
        <v>1360</v>
      </c>
      <c r="O21" s="172">
        <v>2</v>
      </c>
      <c r="P21" s="67">
        <f ca="1" t="shared" si="0"/>
        <v>361.24</v>
      </c>
      <c r="Q21" s="67">
        <f t="shared" si="1"/>
        <v>1</v>
      </c>
      <c r="R21" s="67">
        <f ca="1" t="shared" si="2"/>
        <v>180.62</v>
      </c>
      <c r="S21" s="3"/>
    </row>
    <row r="22" ht="15" customHeight="1" spans="1:19">
      <c r="A22" s="20"/>
      <c r="B22" s="91" t="s">
        <v>1310</v>
      </c>
      <c r="C22" s="23"/>
      <c r="D22" s="23" t="s">
        <v>434</v>
      </c>
      <c r="E22" s="24">
        <f>E7+E8</f>
        <v>6</v>
      </c>
      <c r="F22" s="101">
        <v>76.4</v>
      </c>
      <c r="G22" s="148"/>
      <c r="H22" s="148"/>
      <c r="I22" s="101"/>
      <c r="J22" s="101"/>
      <c r="K22" s="101"/>
      <c r="L22" s="101"/>
      <c r="M22" s="101"/>
      <c r="N22" s="120" t="s">
        <v>1361</v>
      </c>
      <c r="O22" s="167">
        <v>6</v>
      </c>
      <c r="P22" s="67">
        <f ca="1" t="shared" si="0"/>
        <v>458.4</v>
      </c>
      <c r="Q22" s="67">
        <f t="shared" si="1"/>
        <v>0</v>
      </c>
      <c r="R22" s="67">
        <f ca="1" t="shared" si="2"/>
        <v>0</v>
      </c>
      <c r="S22" s="3"/>
    </row>
    <row r="23" ht="15" customHeight="1" spans="1:19">
      <c r="A23" s="20"/>
      <c r="B23" s="91" t="s">
        <v>1280</v>
      </c>
      <c r="C23" s="23"/>
      <c r="D23" s="23" t="s">
        <v>434</v>
      </c>
      <c r="E23" s="28">
        <f>E6</f>
        <v>6</v>
      </c>
      <c r="F23" s="61">
        <v>85.93</v>
      </c>
      <c r="G23" s="95"/>
      <c r="H23" s="95"/>
      <c r="I23" s="61"/>
      <c r="J23" s="61"/>
      <c r="K23" s="61"/>
      <c r="L23" s="61"/>
      <c r="M23" s="61"/>
      <c r="N23" s="173" t="s">
        <v>1361</v>
      </c>
      <c r="O23" s="167">
        <v>4</v>
      </c>
      <c r="P23" s="67">
        <f ca="1" t="shared" si="0"/>
        <v>343.72</v>
      </c>
      <c r="Q23" s="67">
        <f t="shared" si="1"/>
        <v>2</v>
      </c>
      <c r="R23" s="67">
        <f ca="1" t="shared" si="2"/>
        <v>171.86</v>
      </c>
      <c r="S23" s="3"/>
    </row>
    <row r="24" ht="15" customHeight="1" spans="1:19">
      <c r="A24" s="20"/>
      <c r="B24" s="91" t="s">
        <v>1339</v>
      </c>
      <c r="C24" s="23"/>
      <c r="D24" s="23" t="s">
        <v>28</v>
      </c>
      <c r="E24" s="32">
        <f>E16</f>
        <v>5</v>
      </c>
      <c r="F24" s="101">
        <v>91.3</v>
      </c>
      <c r="G24" s="148"/>
      <c r="H24" s="148"/>
      <c r="I24" s="101"/>
      <c r="J24" s="101"/>
      <c r="K24" s="101"/>
      <c r="L24" s="101"/>
      <c r="M24" s="101"/>
      <c r="N24" s="120" t="s">
        <v>1362</v>
      </c>
      <c r="O24" s="167">
        <v>4</v>
      </c>
      <c r="P24" s="67">
        <f ca="1" t="shared" si="0"/>
        <v>365.2</v>
      </c>
      <c r="Q24" s="67">
        <f t="shared" si="1"/>
        <v>1</v>
      </c>
      <c r="R24" s="67">
        <f ca="1" t="shared" si="2"/>
        <v>91.3</v>
      </c>
      <c r="S24" s="3"/>
    </row>
    <row r="25" ht="15" customHeight="1" spans="1:19">
      <c r="A25" s="20"/>
      <c r="B25" s="91" t="s">
        <v>1282</v>
      </c>
      <c r="C25" s="23"/>
      <c r="D25" s="23" t="s">
        <v>434</v>
      </c>
      <c r="E25" s="24">
        <f>D3*2+F3*3</f>
        <v>12</v>
      </c>
      <c r="F25" s="101">
        <v>4.45</v>
      </c>
      <c r="G25" s="148"/>
      <c r="H25" s="148"/>
      <c r="I25" s="101"/>
      <c r="J25" s="101"/>
      <c r="K25" s="101"/>
      <c r="L25" s="101"/>
      <c r="M25" s="101"/>
      <c r="N25" s="120" t="s">
        <v>1363</v>
      </c>
      <c r="O25" s="169">
        <v>10</v>
      </c>
      <c r="P25" s="67">
        <f ca="1" t="shared" si="0"/>
        <v>44.5</v>
      </c>
      <c r="Q25" s="67">
        <f t="shared" si="1"/>
        <v>2</v>
      </c>
      <c r="R25" s="67">
        <f ca="1" t="shared" si="2"/>
        <v>8.9</v>
      </c>
      <c r="S25" s="3"/>
    </row>
    <row r="26" ht="15" customHeight="1" spans="1:19">
      <c r="A26" s="20"/>
      <c r="B26" s="91" t="s">
        <v>1284</v>
      </c>
      <c r="C26" s="23"/>
      <c r="D26" s="23" t="s">
        <v>434</v>
      </c>
      <c r="E26" s="24">
        <f>D3*2</f>
        <v>6</v>
      </c>
      <c r="F26" s="101">
        <v>6.51</v>
      </c>
      <c r="G26" s="148"/>
      <c r="H26" s="148"/>
      <c r="I26" s="101"/>
      <c r="J26" s="101"/>
      <c r="K26" s="101"/>
      <c r="L26" s="101"/>
      <c r="M26" s="101"/>
      <c r="N26" s="120" t="s">
        <v>1364</v>
      </c>
      <c r="O26" s="167">
        <v>4</v>
      </c>
      <c r="P26" s="67">
        <f ca="1" t="shared" si="0"/>
        <v>26.04</v>
      </c>
      <c r="Q26" s="67">
        <f t="shared" si="1"/>
        <v>2</v>
      </c>
      <c r="R26" s="67">
        <f ca="1" t="shared" si="2"/>
        <v>13.02</v>
      </c>
      <c r="S26" s="3"/>
    </row>
    <row r="27" ht="15" customHeight="1" spans="1:19">
      <c r="A27" s="20"/>
      <c r="B27" s="91" t="s">
        <v>519</v>
      </c>
      <c r="C27" s="23"/>
      <c r="D27" s="23" t="s">
        <v>434</v>
      </c>
      <c r="E27" s="24">
        <f>F3*2</f>
        <v>4</v>
      </c>
      <c r="F27" s="101">
        <v>13</v>
      </c>
      <c r="G27" s="151"/>
      <c r="H27" s="151"/>
      <c r="I27" s="39"/>
      <c r="J27" s="39"/>
      <c r="K27" s="39"/>
      <c r="L27" s="39"/>
      <c r="M27" s="39"/>
      <c r="N27" s="120" t="s">
        <v>1365</v>
      </c>
      <c r="O27" s="167">
        <v>4</v>
      </c>
      <c r="P27" s="67">
        <f ca="1" t="shared" si="0"/>
        <v>52</v>
      </c>
      <c r="Q27" s="67">
        <f t="shared" si="1"/>
        <v>0</v>
      </c>
      <c r="R27" s="67">
        <f ca="1" t="shared" si="2"/>
        <v>0</v>
      </c>
      <c r="S27" s="3"/>
    </row>
    <row r="28" ht="15" customHeight="1" spans="1:19">
      <c r="A28" s="31"/>
      <c r="B28" s="152" t="s">
        <v>551</v>
      </c>
      <c r="C28" s="43"/>
      <c r="D28" s="43" t="s">
        <v>434</v>
      </c>
      <c r="E28" s="150">
        <f>F3*2</f>
        <v>4</v>
      </c>
      <c r="F28" s="41">
        <v>15.5</v>
      </c>
      <c r="G28" s="99"/>
      <c r="H28" s="99"/>
      <c r="I28" s="41"/>
      <c r="J28" s="41"/>
      <c r="K28" s="41"/>
      <c r="L28" s="41"/>
      <c r="M28" s="41"/>
      <c r="N28" s="173" t="s">
        <v>1361</v>
      </c>
      <c r="O28" s="174">
        <v>4</v>
      </c>
      <c r="P28" s="67">
        <f ca="1" t="shared" si="0"/>
        <v>62</v>
      </c>
      <c r="Q28" s="67">
        <f t="shared" si="1"/>
        <v>0</v>
      </c>
      <c r="R28" s="67">
        <f ca="1" t="shared" si="2"/>
        <v>0</v>
      </c>
      <c r="S28" s="3"/>
    </row>
    <row r="29" ht="15" customHeight="1" spans="1:19">
      <c r="A29" s="153" t="s">
        <v>1216</v>
      </c>
      <c r="B29" s="91" t="s">
        <v>1366</v>
      </c>
      <c r="C29" s="23"/>
      <c r="D29" s="23" t="s">
        <v>612</v>
      </c>
      <c r="E29" s="24">
        <f>A3</f>
        <v>2</v>
      </c>
      <c r="F29" s="122">
        <f ca="1">(I29+J29)*1.1+30</f>
        <v>2708.90865</v>
      </c>
      <c r="G29" s="99">
        <v>23.61</v>
      </c>
      <c r="H29" s="99">
        <v>5</v>
      </c>
      <c r="I29" s="41">
        <f ca="1">G29*H29*'18变21米（人字203料）参数 '!E15*1.1</f>
        <v>2246.4915</v>
      </c>
      <c r="J29" s="41">
        <f>23.61*2*4</f>
        <v>188.88</v>
      </c>
      <c r="K29" s="41">
        <v>30</v>
      </c>
      <c r="L29" s="41"/>
      <c r="M29" s="41"/>
      <c r="N29" s="167" t="s">
        <v>1518</v>
      </c>
      <c r="O29" s="175">
        <v>1</v>
      </c>
      <c r="P29" s="67">
        <f ca="1" t="shared" si="0"/>
        <v>2708.90865</v>
      </c>
      <c r="Q29" s="67">
        <f t="shared" si="1"/>
        <v>1</v>
      </c>
      <c r="R29" s="67">
        <f ca="1" t="shared" si="2"/>
        <v>2708.90865</v>
      </c>
      <c r="S29" s="3"/>
    </row>
    <row r="30" ht="15" customHeight="1" spans="1:19">
      <c r="A30" s="153"/>
      <c r="B30" s="91" t="s">
        <v>1368</v>
      </c>
      <c r="C30" s="23"/>
      <c r="D30" s="23" t="s">
        <v>664</v>
      </c>
      <c r="E30" s="24">
        <f>F3</f>
        <v>2</v>
      </c>
      <c r="F30" s="122">
        <f ca="1">(I30+J30)*1.1+15</f>
        <v>1024.356502</v>
      </c>
      <c r="G30" s="148">
        <v>10.7</v>
      </c>
      <c r="H30" s="154">
        <v>4.62</v>
      </c>
      <c r="I30" s="101">
        <f ca="1">G30*H30*'18变21米（人字203料）参数 '!E14*1.1</f>
        <v>777.59682</v>
      </c>
      <c r="J30" s="101">
        <f>17.5*2*4</f>
        <v>140</v>
      </c>
      <c r="K30" s="101">
        <v>15</v>
      </c>
      <c r="L30" s="101"/>
      <c r="M30" s="101"/>
      <c r="N30" s="51" t="s">
        <v>1519</v>
      </c>
      <c r="O30" s="167">
        <v>2</v>
      </c>
      <c r="P30" s="67">
        <f ca="1" t="shared" si="0"/>
        <v>2048.713004</v>
      </c>
      <c r="Q30" s="67">
        <f t="shared" si="1"/>
        <v>0</v>
      </c>
      <c r="R30" s="67">
        <f ca="1" t="shared" si="2"/>
        <v>0</v>
      </c>
      <c r="S30" s="3"/>
    </row>
    <row r="31" ht="15" customHeight="1" spans="1:19">
      <c r="A31" s="155"/>
      <c r="B31" s="91" t="s">
        <v>1520</v>
      </c>
      <c r="C31" s="23"/>
      <c r="D31" s="23" t="s">
        <v>664</v>
      </c>
      <c r="E31" s="24">
        <f>F3*2</f>
        <v>4</v>
      </c>
      <c r="F31" s="122">
        <f ca="1">(I31+J31)*1.1+15</f>
        <v>495.2579958</v>
      </c>
      <c r="G31" s="156">
        <v>4.97</v>
      </c>
      <c r="H31" s="157">
        <v>5.38</v>
      </c>
      <c r="I31" s="101">
        <f ca="1">G31*H31*'18变21米（人字203料）参数 '!E14*1.1</f>
        <v>420.598178</v>
      </c>
      <c r="J31" s="71">
        <f>4*2*2</f>
        <v>16</v>
      </c>
      <c r="K31" s="71">
        <f>0.5*10</f>
        <v>5</v>
      </c>
      <c r="L31" s="71">
        <f>0.32*18</f>
        <v>5.76</v>
      </c>
      <c r="M31" s="71">
        <f>18*1</f>
        <v>18</v>
      </c>
      <c r="N31" s="120" t="s">
        <v>1524</v>
      </c>
      <c r="O31" s="167">
        <v>4</v>
      </c>
      <c r="P31" s="67">
        <f ca="1" t="shared" si="0"/>
        <v>1981.0319832</v>
      </c>
      <c r="Q31" s="67">
        <f t="shared" si="1"/>
        <v>0</v>
      </c>
      <c r="R31" s="67">
        <f ca="1" t="shared" si="2"/>
        <v>0</v>
      </c>
      <c r="S31" s="3"/>
    </row>
    <row r="32" ht="15" customHeight="1" spans="1:19">
      <c r="A32" s="155"/>
      <c r="B32" s="91" t="s">
        <v>1370</v>
      </c>
      <c r="C32" s="23"/>
      <c r="D32" s="23" t="s">
        <v>664</v>
      </c>
      <c r="E32" s="24">
        <f>A3*2+F3*2</f>
        <v>8</v>
      </c>
      <c r="F32" s="101">
        <f ca="1">I32+J32+K31+L32+M32</f>
        <v>466.28612</v>
      </c>
      <c r="G32" s="156">
        <v>5.2</v>
      </c>
      <c r="H32" s="157">
        <v>4.97</v>
      </c>
      <c r="I32" s="101">
        <f ca="1">G32*H32*'18变21米（人字203料）参数 '!E14*1.1+15</f>
        <v>421.52612</v>
      </c>
      <c r="J32" s="71">
        <f>4*2*2</f>
        <v>16</v>
      </c>
      <c r="K32" s="71">
        <f>0.5*10</f>
        <v>5</v>
      </c>
      <c r="L32" s="71">
        <f>0.32*18</f>
        <v>5.76</v>
      </c>
      <c r="M32" s="71">
        <f>18*1</f>
        <v>18</v>
      </c>
      <c r="N32" s="120" t="s">
        <v>1394</v>
      </c>
      <c r="O32" s="169">
        <v>6</v>
      </c>
      <c r="P32" s="67">
        <f ca="1" t="shared" si="0"/>
        <v>2797.71672</v>
      </c>
      <c r="Q32" s="67">
        <f t="shared" si="1"/>
        <v>2</v>
      </c>
      <c r="R32" s="67">
        <f ca="1" t="shared" si="2"/>
        <v>932.57224</v>
      </c>
      <c r="S32" s="3"/>
    </row>
    <row r="33" ht="15" customHeight="1" spans="1:19">
      <c r="A33" s="20" t="s">
        <v>1235</v>
      </c>
      <c r="B33" s="138" t="s">
        <v>589</v>
      </c>
      <c r="C33" s="23"/>
      <c r="D33" s="23" t="s">
        <v>434</v>
      </c>
      <c r="E33" s="24">
        <f>D3*10+F3*2+E24*2</f>
        <v>44</v>
      </c>
      <c r="F33" s="101">
        <v>2.15</v>
      </c>
      <c r="G33" s="154"/>
      <c r="H33" s="154"/>
      <c r="I33" s="101"/>
      <c r="J33" s="101"/>
      <c r="K33" s="101"/>
      <c r="L33" s="101"/>
      <c r="M33" s="101"/>
      <c r="N33" s="120" t="s">
        <v>1372</v>
      </c>
      <c r="O33" s="167">
        <v>34</v>
      </c>
      <c r="P33" s="67">
        <f ca="1" t="shared" si="0"/>
        <v>73.1</v>
      </c>
      <c r="Q33" s="67">
        <f t="shared" si="1"/>
        <v>10</v>
      </c>
      <c r="R33" s="67">
        <f ca="1" t="shared" si="2"/>
        <v>21.5</v>
      </c>
      <c r="S33" s="3"/>
    </row>
    <row r="34" ht="15" customHeight="1" spans="1:19">
      <c r="A34" s="20"/>
      <c r="B34" s="109" t="s">
        <v>591</v>
      </c>
      <c r="C34" s="23"/>
      <c r="D34" s="23" t="s">
        <v>434</v>
      </c>
      <c r="E34" s="24">
        <f>D3*2+E24+E16</f>
        <v>16</v>
      </c>
      <c r="F34" s="101">
        <v>2.55</v>
      </c>
      <c r="G34" s="154"/>
      <c r="H34" s="154"/>
      <c r="I34" s="101"/>
      <c r="J34" s="101"/>
      <c r="K34" s="101"/>
      <c r="L34" s="101"/>
      <c r="M34" s="101"/>
      <c r="N34" s="120" t="s">
        <v>1373</v>
      </c>
      <c r="O34" s="172">
        <v>14</v>
      </c>
      <c r="P34" s="67">
        <f ca="1" t="shared" si="0"/>
        <v>35.7</v>
      </c>
      <c r="Q34" s="67">
        <f t="shared" si="1"/>
        <v>2</v>
      </c>
      <c r="R34" s="67">
        <f ca="1" t="shared" si="2"/>
        <v>5.1</v>
      </c>
      <c r="S34" s="3"/>
    </row>
    <row r="35" ht="15" customHeight="1" spans="1:19">
      <c r="A35" s="20"/>
      <c r="B35" s="159" t="s">
        <v>1423</v>
      </c>
      <c r="C35" s="43"/>
      <c r="D35" s="43" t="s">
        <v>434</v>
      </c>
      <c r="E35" s="44">
        <f>D3*2+4</f>
        <v>10</v>
      </c>
      <c r="F35" s="39">
        <v>1.95</v>
      </c>
      <c r="G35" s="160"/>
      <c r="H35" s="160"/>
      <c r="I35" s="39"/>
      <c r="J35" s="39"/>
      <c r="K35" s="39"/>
      <c r="L35" s="39"/>
      <c r="M35" s="39"/>
      <c r="N35" s="120" t="s">
        <v>1375</v>
      </c>
      <c r="O35" s="167">
        <v>8</v>
      </c>
      <c r="P35" s="67">
        <f ca="1" t="shared" si="0"/>
        <v>15.6</v>
      </c>
      <c r="Q35" s="67">
        <f t="shared" si="1"/>
        <v>2</v>
      </c>
      <c r="R35" s="67">
        <f ca="1" t="shared" si="2"/>
        <v>3.9</v>
      </c>
      <c r="S35" s="3"/>
    </row>
    <row r="36" ht="15" customHeight="1" spans="1:19">
      <c r="A36" s="20"/>
      <c r="B36" s="109" t="s">
        <v>554</v>
      </c>
      <c r="C36" s="23"/>
      <c r="D36" s="23" t="s">
        <v>555</v>
      </c>
      <c r="E36" s="28">
        <f>E22+E23+E16</f>
        <v>17</v>
      </c>
      <c r="F36" s="101">
        <v>1.46</v>
      </c>
      <c r="G36" s="154"/>
      <c r="H36" s="154"/>
      <c r="I36" s="101"/>
      <c r="J36" s="101"/>
      <c r="K36" s="101"/>
      <c r="L36" s="101"/>
      <c r="M36" s="101"/>
      <c r="N36" s="120" t="s">
        <v>1376</v>
      </c>
      <c r="O36" s="167">
        <v>15</v>
      </c>
      <c r="P36" s="67">
        <f ca="1" t="shared" si="0"/>
        <v>21.9</v>
      </c>
      <c r="Q36" s="67">
        <f t="shared" si="1"/>
        <v>2</v>
      </c>
      <c r="R36" s="67">
        <f ca="1" t="shared" si="2"/>
        <v>2.92</v>
      </c>
      <c r="S36" s="3"/>
    </row>
    <row r="37" spans="1:19">
      <c r="A37" s="50"/>
      <c r="B37" s="50"/>
      <c r="C37" s="51"/>
      <c r="D37" s="51"/>
      <c r="E37" s="51"/>
      <c r="F37" s="50"/>
      <c r="G37" s="50"/>
      <c r="H37" s="50"/>
      <c r="I37" s="50"/>
      <c r="J37" s="50"/>
      <c r="K37" s="50"/>
      <c r="L37" s="50"/>
      <c r="M37" s="50"/>
      <c r="N37" s="50"/>
      <c r="O37" s="84" t="s">
        <v>1218</v>
      </c>
      <c r="P37" s="3">
        <f ca="1">SUM(P6:P36)</f>
        <v>38818.1891144944</v>
      </c>
      <c r="Q37" s="3" t="s">
        <v>1219</v>
      </c>
      <c r="R37" s="3">
        <f ca="1">SUM(R6:R36)</f>
        <v>14066.608987624</v>
      </c>
      <c r="S37" s="3"/>
    </row>
    <row r="38" spans="1:19">
      <c r="A38" s="50"/>
      <c r="B38" s="50" t="s">
        <v>1221</v>
      </c>
      <c r="C38" s="51"/>
      <c r="D38" s="51"/>
      <c r="E38" s="51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3"/>
      <c r="Q38" s="3"/>
      <c r="R38" s="3"/>
      <c r="S38" s="3"/>
    </row>
    <row r="39" spans="1:19">
      <c r="A39" s="50"/>
      <c r="B39" s="50"/>
      <c r="C39" s="51"/>
      <c r="D39" s="51"/>
      <c r="E39" s="51"/>
      <c r="F39" s="50"/>
      <c r="G39" s="50"/>
      <c r="H39" s="50"/>
      <c r="I39" s="50"/>
      <c r="J39" s="50"/>
      <c r="K39" s="50"/>
      <c r="L39" s="50"/>
      <c r="M39" s="50"/>
      <c r="N39" s="50"/>
      <c r="O39" s="50" t="s">
        <v>1377</v>
      </c>
      <c r="P39" s="3">
        <f ca="1">P37+R37</f>
        <v>52884.7981021184</v>
      </c>
      <c r="Q39" s="3"/>
      <c r="R39" s="3"/>
      <c r="S39" s="3"/>
    </row>
    <row r="40" spans="1:19">
      <c r="A40" s="50"/>
      <c r="B40" s="52"/>
      <c r="C40" s="52"/>
      <c r="D40" s="52"/>
      <c r="E40" s="52"/>
      <c r="F40" s="52"/>
      <c r="G40" s="52"/>
      <c r="H40" s="52"/>
      <c r="I40" s="52"/>
      <c r="J40" s="52"/>
      <c r="K40" s="52"/>
      <c r="L40" s="52"/>
      <c r="M40" s="52"/>
      <c r="N40" s="50"/>
      <c r="O40" s="50" t="s">
        <v>14</v>
      </c>
      <c r="P40" s="3">
        <f ca="1">P39/E2</f>
        <v>251.83237191485</v>
      </c>
      <c r="Q40" s="3"/>
      <c r="R40" s="3"/>
      <c r="S40" s="3"/>
    </row>
    <row r="41" spans="1:19">
      <c r="A41" s="50"/>
      <c r="B41" s="53"/>
      <c r="C41" s="53"/>
      <c r="D41" s="53"/>
      <c r="E41" s="53"/>
      <c r="F41" s="53"/>
      <c r="G41" s="53"/>
      <c r="H41" s="53"/>
      <c r="I41" s="53"/>
      <c r="J41" s="53"/>
      <c r="K41" s="53"/>
      <c r="L41" s="53"/>
      <c r="M41" s="53"/>
      <c r="N41" s="50"/>
      <c r="O41" s="50"/>
      <c r="P41" s="3"/>
      <c r="Q41" s="3"/>
      <c r="R41" s="3"/>
      <c r="S41" s="3"/>
    </row>
    <row r="42" spans="1:19">
      <c r="A42" s="50"/>
      <c r="B42" s="53"/>
      <c r="C42" s="53"/>
      <c r="D42" s="53"/>
      <c r="E42" s="53"/>
      <c r="F42" s="53"/>
      <c r="G42" s="53"/>
      <c r="H42" s="53"/>
      <c r="I42" s="53"/>
      <c r="J42" s="53"/>
      <c r="K42" s="53"/>
      <c r="L42" s="53"/>
      <c r="M42" s="53"/>
      <c r="N42" s="50"/>
      <c r="O42" s="50"/>
      <c r="P42" s="3"/>
      <c r="Q42" s="3"/>
      <c r="R42" s="3"/>
      <c r="S42" s="3"/>
    </row>
    <row r="43" spans="1:19">
      <c r="A43" s="50"/>
      <c r="B43" s="53"/>
      <c r="C43" s="53"/>
      <c r="D43" s="53"/>
      <c r="E43" s="53"/>
      <c r="F43" s="53"/>
      <c r="G43" s="53"/>
      <c r="H43" s="53"/>
      <c r="I43" s="53"/>
      <c r="J43" s="53"/>
      <c r="K43" s="53"/>
      <c r="L43" s="53"/>
      <c r="M43" s="53"/>
      <c r="N43" s="50"/>
      <c r="O43" s="50"/>
      <c r="P43" s="3"/>
      <c r="Q43" s="3"/>
      <c r="R43" s="3"/>
      <c r="S43" s="3"/>
    </row>
    <row r="44" spans="1:19">
      <c r="A44" s="50"/>
      <c r="B44" s="53"/>
      <c r="C44" s="53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0"/>
      <c r="O44" s="50"/>
      <c r="P44" s="3"/>
      <c r="Q44" s="3"/>
      <c r="R44" s="3"/>
      <c r="S44" s="3"/>
    </row>
    <row r="45" spans="1:19">
      <c r="A45" s="50"/>
      <c r="B45" s="53"/>
      <c r="C45" s="53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0"/>
      <c r="O45" s="50"/>
      <c r="P45" s="3"/>
      <c r="Q45" s="3"/>
      <c r="R45" s="3"/>
      <c r="S45" s="3"/>
    </row>
    <row r="46" spans="1:19">
      <c r="A46" s="50"/>
      <c r="B46" s="53"/>
      <c r="C46" s="53"/>
      <c r="D46" s="53"/>
      <c r="E46" s="53"/>
      <c r="F46" s="53"/>
      <c r="G46" s="53"/>
      <c r="H46" s="53"/>
      <c r="I46" s="53"/>
      <c r="J46" s="53"/>
      <c r="K46" s="53"/>
      <c r="L46" s="53"/>
      <c r="M46" s="53"/>
      <c r="N46" s="50"/>
      <c r="O46" s="50"/>
      <c r="P46" s="3"/>
      <c r="Q46" s="3"/>
      <c r="R46" s="3"/>
      <c r="S46" s="3"/>
    </row>
  </sheetData>
  <mergeCells count="13">
    <mergeCell ref="A1:N1"/>
    <mergeCell ref="A2:C2"/>
    <mergeCell ref="F2:N2"/>
    <mergeCell ref="A3:B3"/>
    <mergeCell ref="H3:N3"/>
    <mergeCell ref="A4:F4"/>
    <mergeCell ref="G4:H4"/>
    <mergeCell ref="I4:M4"/>
    <mergeCell ref="A6:A20"/>
    <mergeCell ref="A21:A28"/>
    <mergeCell ref="A29:A32"/>
    <mergeCell ref="A33:A36"/>
    <mergeCell ref="B41:F46"/>
  </mergeCells>
  <dataValidations count="4">
    <dataValidation type="list" allowBlank="1" showInputMessage="1" showErrorMessage="1" sqref="B29">
      <formula1>"顶布[白]{全新},顶布[白]{A类},顶布[白]{B类},顶布[白]{C类},顶布[白]{D类}"</formula1>
    </dataValidation>
    <dataValidation type="list" allowBlank="1" showInputMessage="1" showErrorMessage="1" sqref="B30">
      <formula1>"山尖布[白]{全新},山尖布[白]{A类},山尖布[白]{B类},山尖布[白]{C类},山尖布[白]{D类}"</formula1>
    </dataValidation>
    <dataValidation allowBlank="1" showInputMessage="1" showErrorMessage="1" sqref="B31"/>
    <dataValidation type="list" allowBlank="1" showInputMessage="1" showErrorMessage="1" sqref="B32">
      <formula1>"围布[白]{全新},围布[白]{A类},围布[白]{B类},围布[白]{C类},围布[白]{D类},透光窗围布[白]{全新},透光窗围布[白]{A类},透光窗围布[白]{B类},透光窗围布[白]{C类},透光窗围布[白]{D类}"</formula1>
    </dataValidation>
  </dataValidations>
  <pageMargins left="0.75" right="0.75" top="1" bottom="1" header="0.509027777777778" footer="0.509027777777778"/>
  <headerFooter/>
</worksheet>
</file>

<file path=xl/worksheets/sheet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FF0000"/>
  </sheetPr>
  <dimension ref="A1:S47"/>
  <sheetViews>
    <sheetView showGridLines="0" workbookViewId="0">
      <selection activeCell="F13" sqref="F13"/>
    </sheetView>
  </sheetViews>
  <sheetFormatPr defaultColWidth="9" defaultRowHeight="14.25"/>
  <cols>
    <col min="1" max="1" width="2.5" style="1" customWidth="1"/>
    <col min="2" max="2" width="14.875" style="1" customWidth="1"/>
    <col min="3" max="5" width="9" style="1"/>
    <col min="6" max="13" width="9" style="1" customWidth="1"/>
    <col min="14" max="14" width="59.375" style="1" customWidth="1"/>
    <col min="15" max="15" width="9" style="1"/>
    <col min="16" max="16" width="13.625" style="1" customWidth="1"/>
    <col min="17" max="16384" width="9" style="1"/>
  </cols>
  <sheetData>
    <row r="1" ht="18.75" spans="1:19">
      <c r="A1" s="7" t="s">
        <v>1525</v>
      </c>
      <c r="B1" s="208"/>
      <c r="C1" s="208"/>
      <c r="D1" s="208"/>
      <c r="E1" s="208"/>
      <c r="F1" s="208"/>
      <c r="G1" s="208"/>
      <c r="H1" s="208"/>
      <c r="I1" s="208"/>
      <c r="J1" s="208"/>
      <c r="K1" s="208"/>
      <c r="L1" s="208"/>
      <c r="M1" s="208"/>
      <c r="N1" s="208"/>
      <c r="O1" s="208"/>
      <c r="P1" s="3"/>
      <c r="Q1" s="3"/>
      <c r="R1" s="3"/>
      <c r="S1" s="3"/>
    </row>
    <row r="2" spans="1:19">
      <c r="A2" s="141" t="s">
        <v>1246</v>
      </c>
      <c r="B2" s="142"/>
      <c r="C2" s="142"/>
      <c r="D2" s="9" t="s">
        <v>1198</v>
      </c>
      <c r="E2" s="176">
        <f>A3*5*21</f>
        <v>210</v>
      </c>
      <c r="F2" s="11"/>
      <c r="G2" s="11"/>
      <c r="H2" s="11"/>
      <c r="I2" s="11"/>
      <c r="J2" s="11"/>
      <c r="K2" s="11"/>
      <c r="L2" s="11"/>
      <c r="M2" s="11"/>
      <c r="N2" s="11"/>
      <c r="O2" s="162"/>
      <c r="P2" s="3"/>
      <c r="Q2" s="55"/>
      <c r="R2" s="55"/>
      <c r="S2" s="3"/>
    </row>
    <row r="3" spans="1:19">
      <c r="A3" s="177">
        <v>2</v>
      </c>
      <c r="B3" s="177"/>
      <c r="C3" s="178" t="s">
        <v>1247</v>
      </c>
      <c r="D3" s="179">
        <v>3</v>
      </c>
      <c r="E3" s="180" t="s">
        <v>1248</v>
      </c>
      <c r="F3" s="12">
        <v>2</v>
      </c>
      <c r="G3" s="11" t="s">
        <v>1249</v>
      </c>
      <c r="H3" s="12"/>
      <c r="I3" s="12"/>
      <c r="J3" s="12"/>
      <c r="K3" s="12"/>
      <c r="L3" s="12"/>
      <c r="M3" s="12"/>
      <c r="N3" s="12"/>
      <c r="O3" s="162"/>
      <c r="P3" s="3"/>
      <c r="Q3" s="55"/>
      <c r="R3" s="55"/>
      <c r="S3" s="3"/>
    </row>
    <row r="4" spans="1:19">
      <c r="A4" s="190"/>
      <c r="B4" s="128"/>
      <c r="C4" s="128"/>
      <c r="D4" s="128"/>
      <c r="E4" s="128"/>
      <c r="F4" s="128"/>
      <c r="G4" s="180" t="s">
        <v>1345</v>
      </c>
      <c r="H4" s="191"/>
      <c r="I4" s="198" t="s">
        <v>1346</v>
      </c>
      <c r="J4" s="199"/>
      <c r="K4" s="199"/>
      <c r="L4" s="199"/>
      <c r="M4" s="200"/>
      <c r="N4" s="201"/>
      <c r="O4" s="162"/>
      <c r="P4" s="3"/>
      <c r="Q4" s="55"/>
      <c r="R4" s="55"/>
      <c r="S4" s="3"/>
    </row>
    <row r="5" ht="24" spans="1:19">
      <c r="A5" s="146" t="s">
        <v>1200</v>
      </c>
      <c r="B5" s="146" t="s">
        <v>1201</v>
      </c>
      <c r="C5" s="146" t="s">
        <v>1250</v>
      </c>
      <c r="D5" s="146" t="s">
        <v>22</v>
      </c>
      <c r="E5" s="147" t="s">
        <v>1251</v>
      </c>
      <c r="F5" s="75" t="s">
        <v>1204</v>
      </c>
      <c r="G5" s="19" t="s">
        <v>1205</v>
      </c>
      <c r="H5" s="17" t="s">
        <v>1253</v>
      </c>
      <c r="I5" s="17" t="s">
        <v>1254</v>
      </c>
      <c r="J5" s="17" t="s">
        <v>1255</v>
      </c>
      <c r="K5" s="17" t="s">
        <v>1209</v>
      </c>
      <c r="L5" s="17" t="s">
        <v>1420</v>
      </c>
      <c r="M5" s="17" t="s">
        <v>1211</v>
      </c>
      <c r="N5" s="163" t="s">
        <v>1257</v>
      </c>
      <c r="O5" s="164" t="s">
        <v>1212</v>
      </c>
      <c r="P5" s="165" t="s">
        <v>1213</v>
      </c>
      <c r="Q5" s="165" t="s">
        <v>1214</v>
      </c>
      <c r="R5" s="75" t="s">
        <v>1213</v>
      </c>
      <c r="S5" s="3"/>
    </row>
    <row r="6" ht="14.1" customHeight="1" spans="1:19">
      <c r="A6" s="20" t="s">
        <v>1215</v>
      </c>
      <c r="B6" s="91" t="s">
        <v>1224</v>
      </c>
      <c r="C6" s="23"/>
      <c r="D6" s="23" t="s">
        <v>28</v>
      </c>
      <c r="E6" s="24">
        <f>D3*2</f>
        <v>6</v>
      </c>
      <c r="F6" s="93">
        <f ca="1">I6+J6+K6+L6+M6</f>
        <v>1809.407519792</v>
      </c>
      <c r="G6" s="94">
        <v>5.58</v>
      </c>
      <c r="H6" s="94">
        <v>8.233</v>
      </c>
      <c r="I6" s="93">
        <f ca="1">G6*H6*'18变21米（人字203料）参数 '!G3*1.1</f>
        <v>1144.497519792</v>
      </c>
      <c r="J6" s="93">
        <f ca="1">48.55*2</f>
        <v>97.1</v>
      </c>
      <c r="K6" s="93">
        <f ca="1">500+45.91</f>
        <v>545.91</v>
      </c>
      <c r="L6" s="93">
        <f>2.55*4</f>
        <v>10.2</v>
      </c>
      <c r="M6" s="93">
        <f>18*0.65</f>
        <v>11.7</v>
      </c>
      <c r="N6" s="166" t="s">
        <v>1502</v>
      </c>
      <c r="O6" s="167">
        <v>4</v>
      </c>
      <c r="P6" s="67">
        <f ca="1" t="shared" ref="P6:P37" si="0">F6*O6</f>
        <v>7237.630079168</v>
      </c>
      <c r="Q6" s="67">
        <f t="shared" ref="Q6:Q37" si="1">E6-O6</f>
        <v>2</v>
      </c>
      <c r="R6" s="67">
        <f ca="1" t="shared" ref="R6:R37" si="2">F6*Q6</f>
        <v>3618.815039584</v>
      </c>
      <c r="S6" s="3"/>
    </row>
    <row r="7" ht="14.1" customHeight="1" spans="1:19">
      <c r="A7" s="20"/>
      <c r="B7" s="91" t="s">
        <v>1308</v>
      </c>
      <c r="C7" s="23"/>
      <c r="D7" s="23" t="s">
        <v>28</v>
      </c>
      <c r="E7" s="24">
        <f>F3*2</f>
        <v>4</v>
      </c>
      <c r="F7" s="101">
        <f ca="1">G7+H7+I7+J7+K7+L7+M7</f>
        <v>1037.48488</v>
      </c>
      <c r="G7" s="148">
        <v>7</v>
      </c>
      <c r="H7" s="148">
        <v>5.3</v>
      </c>
      <c r="I7" s="101">
        <f ca="1">G7*H7*'18变21米（人字203料）参数 '!G3*1.1</f>
        <v>924.26488</v>
      </c>
      <c r="J7" s="101"/>
      <c r="K7" s="101">
        <f ca="1">49.51+41.21</f>
        <v>90.72</v>
      </c>
      <c r="L7" s="101">
        <f>2.55*4</f>
        <v>10.2</v>
      </c>
      <c r="M7" s="101"/>
      <c r="N7" s="166" t="s">
        <v>1427</v>
      </c>
      <c r="O7" s="167">
        <v>4</v>
      </c>
      <c r="P7" s="67">
        <f ca="1" t="shared" si="0"/>
        <v>4149.93952</v>
      </c>
      <c r="Q7" s="67">
        <f t="shared" si="1"/>
        <v>0</v>
      </c>
      <c r="R7" s="67">
        <f ca="1" t="shared" si="2"/>
        <v>0</v>
      </c>
      <c r="S7" s="3"/>
    </row>
    <row r="8" ht="14.1" customHeight="1" spans="1:19">
      <c r="A8" s="20"/>
      <c r="B8" s="91" t="s">
        <v>1435</v>
      </c>
      <c r="C8" s="23"/>
      <c r="D8" s="23" t="s">
        <v>28</v>
      </c>
      <c r="E8" s="24">
        <f>F3</f>
        <v>2</v>
      </c>
      <c r="F8" s="101">
        <f ca="1">G8+H8+I8+J8+K8+L8+M8</f>
        <v>1197.130288</v>
      </c>
      <c r="G8" s="148">
        <v>8.2</v>
      </c>
      <c r="H8" s="148">
        <v>5.3</v>
      </c>
      <c r="I8" s="101">
        <f ca="1">G8*H8*'18变21米（人字203料）参数 '!G3*1.1</f>
        <v>1082.710288</v>
      </c>
      <c r="J8" s="101"/>
      <c r="K8" s="101">
        <f ca="1">49.51+41.21</f>
        <v>90.72</v>
      </c>
      <c r="L8" s="101">
        <f>2.55*4</f>
        <v>10.2</v>
      </c>
      <c r="M8" s="101"/>
      <c r="N8" s="166" t="s">
        <v>1490</v>
      </c>
      <c r="O8" s="167">
        <v>2</v>
      </c>
      <c r="P8" s="67">
        <f ca="1" t="shared" si="0"/>
        <v>2394.260576</v>
      </c>
      <c r="Q8" s="67">
        <f t="shared" si="1"/>
        <v>0</v>
      </c>
      <c r="R8" s="67">
        <f ca="1" t="shared" si="2"/>
        <v>0</v>
      </c>
      <c r="S8" s="3"/>
    </row>
    <row r="9" ht="14.1" customHeight="1" spans="1:19">
      <c r="A9" s="20"/>
      <c r="B9" s="91" t="s">
        <v>1350</v>
      </c>
      <c r="C9" s="23"/>
      <c r="D9" s="23" t="s">
        <v>28</v>
      </c>
      <c r="E9" s="24">
        <f>D3*2</f>
        <v>6</v>
      </c>
      <c r="F9" s="61">
        <f ca="1">I9+J9+K9+L9+M9</f>
        <v>2018.286557632</v>
      </c>
      <c r="G9" s="95">
        <v>9.68</v>
      </c>
      <c r="H9" s="95">
        <v>8.233</v>
      </c>
      <c r="I9" s="61">
        <f ca="1">G9*H9*'18变21米（人字203料）参数 '!G3*1.1</f>
        <v>1985.436557632</v>
      </c>
      <c r="J9" s="61">
        <f ca="1">2.5*6</f>
        <v>15</v>
      </c>
      <c r="K9" s="61">
        <v>11.85</v>
      </c>
      <c r="L9" s="61">
        <f>1*6</f>
        <v>6</v>
      </c>
      <c r="M9" s="61"/>
      <c r="N9" s="116" t="s">
        <v>1500</v>
      </c>
      <c r="O9" s="167">
        <v>4</v>
      </c>
      <c r="P9" s="67">
        <f ca="1" t="shared" si="0"/>
        <v>8073.146230528</v>
      </c>
      <c r="Q9" s="67">
        <f t="shared" si="1"/>
        <v>2</v>
      </c>
      <c r="R9" s="67">
        <f ca="1" t="shared" si="2"/>
        <v>4036.573115264</v>
      </c>
      <c r="S9" s="3"/>
    </row>
    <row r="10" ht="14.1" customHeight="1" spans="1:19">
      <c r="A10" s="20"/>
      <c r="B10" s="91" t="s">
        <v>1513</v>
      </c>
      <c r="C10" s="23"/>
      <c r="D10" s="23" t="s">
        <v>28</v>
      </c>
      <c r="E10" s="24">
        <f>D3*2</f>
        <v>6</v>
      </c>
      <c r="F10" s="61">
        <f ca="1">I10+J10+K10+L10+M10</f>
        <v>573.670884688</v>
      </c>
      <c r="G10" s="95">
        <v>1.62</v>
      </c>
      <c r="H10" s="95">
        <v>8.233</v>
      </c>
      <c r="I10" s="61">
        <f ca="1">G10*H10*'18变21米（人字203料）参数 '!G3*1.1</f>
        <v>332.273473488</v>
      </c>
      <c r="J10" s="61">
        <f ca="1">2.5*2</f>
        <v>5</v>
      </c>
      <c r="K10" s="61">
        <f ca="1">1.2*7.67*'18变21米（人字203料）参数 '!G3*1.1</f>
        <v>229.2974112</v>
      </c>
      <c r="L10" s="61">
        <f>1*2+2.55*2</f>
        <v>7.1</v>
      </c>
      <c r="M10" s="61"/>
      <c r="N10" s="116" t="s">
        <v>1483</v>
      </c>
      <c r="O10" s="167">
        <v>4</v>
      </c>
      <c r="P10" s="67">
        <f ca="1" t="shared" si="0"/>
        <v>2294.683538752</v>
      </c>
      <c r="Q10" s="67">
        <f t="shared" si="1"/>
        <v>2</v>
      </c>
      <c r="R10" s="67">
        <f ca="1" t="shared" si="2"/>
        <v>1147.341769376</v>
      </c>
      <c r="S10" s="3"/>
    </row>
    <row r="11" ht="14.1" customHeight="1" spans="1:19">
      <c r="A11" s="20"/>
      <c r="B11" s="91" t="s">
        <v>1226</v>
      </c>
      <c r="C11" s="23"/>
      <c r="D11" s="23" t="s">
        <v>28</v>
      </c>
      <c r="E11" s="24">
        <f>A3*6</f>
        <v>12</v>
      </c>
      <c r="F11" s="101">
        <f ca="1">I11+J11+K11+L11+M11</f>
        <v>195.0929650432</v>
      </c>
      <c r="G11" s="148">
        <v>4.882</v>
      </c>
      <c r="H11" s="148">
        <v>1.552</v>
      </c>
      <c r="I11" s="101">
        <f ca="1">G11*H11*'18变21米（人字203料）参数 '!G5*1.1</f>
        <v>180.0929650432</v>
      </c>
      <c r="J11" s="101"/>
      <c r="K11" s="101"/>
      <c r="L11" s="101">
        <f>0.5*4</f>
        <v>2</v>
      </c>
      <c r="M11" s="101">
        <f>6.5*2</f>
        <v>13</v>
      </c>
      <c r="N11" s="120" t="s">
        <v>1352</v>
      </c>
      <c r="O11" s="167">
        <v>6</v>
      </c>
      <c r="P11" s="67">
        <f ca="1" t="shared" si="0"/>
        <v>1170.5577902592</v>
      </c>
      <c r="Q11" s="67">
        <f t="shared" si="1"/>
        <v>6</v>
      </c>
      <c r="R11" s="67">
        <f ca="1" t="shared" si="2"/>
        <v>1170.5577902592</v>
      </c>
      <c r="S11" s="3"/>
    </row>
    <row r="12" ht="14.1" customHeight="1" spans="1:19">
      <c r="A12" s="20"/>
      <c r="B12" s="91" t="s">
        <v>1264</v>
      </c>
      <c r="C12" s="23"/>
      <c r="D12" s="23" t="s">
        <v>28</v>
      </c>
      <c r="E12" s="24">
        <f>A3*3</f>
        <v>6</v>
      </c>
      <c r="F12" s="101">
        <f ca="1">I12+J12+K12+L12+M12</f>
        <v>336.5448493136</v>
      </c>
      <c r="G12" s="148">
        <v>4.882</v>
      </c>
      <c r="H12" s="148">
        <v>2.771</v>
      </c>
      <c r="I12" s="101">
        <f ca="1">G12*H12*'18变21米（人字203料）参数 '!G5*1.1</f>
        <v>321.5448493136</v>
      </c>
      <c r="J12" s="101"/>
      <c r="K12" s="101"/>
      <c r="L12" s="101">
        <f>0.5*4</f>
        <v>2</v>
      </c>
      <c r="M12" s="101">
        <f>6.5*2</f>
        <v>13</v>
      </c>
      <c r="N12" s="120" t="s">
        <v>1353</v>
      </c>
      <c r="O12" s="169">
        <v>3</v>
      </c>
      <c r="P12" s="67">
        <f ca="1" t="shared" si="0"/>
        <v>1009.6345479408</v>
      </c>
      <c r="Q12" s="67">
        <f t="shared" si="1"/>
        <v>3</v>
      </c>
      <c r="R12" s="67">
        <f ca="1" t="shared" si="2"/>
        <v>1009.6345479408</v>
      </c>
      <c r="S12" s="3"/>
    </row>
    <row r="13" ht="14.1" customHeight="1" spans="1:19">
      <c r="A13" s="20"/>
      <c r="B13" s="91" t="s">
        <v>1266</v>
      </c>
      <c r="C13" s="23"/>
      <c r="D13" s="23" t="s">
        <v>28</v>
      </c>
      <c r="E13" s="24">
        <f>A3*2+F3*2</f>
        <v>8</v>
      </c>
      <c r="F13" s="101">
        <f ca="1">'数据修改（批量）'!A28</f>
        <v>95</v>
      </c>
      <c r="G13" s="148">
        <v>4.86</v>
      </c>
      <c r="H13" s="148">
        <v>1.345</v>
      </c>
      <c r="I13" s="101">
        <f ca="1">G13*H13*'18变21米（人字203料）参数 '!G5*1.1</f>
        <v>155.36951496</v>
      </c>
      <c r="J13" s="101"/>
      <c r="K13" s="101"/>
      <c r="L13" s="101"/>
      <c r="M13" s="101"/>
      <c r="N13" s="120" t="s">
        <v>1354</v>
      </c>
      <c r="O13" s="169">
        <v>6</v>
      </c>
      <c r="P13" s="67">
        <f ca="1" t="shared" si="0"/>
        <v>570</v>
      </c>
      <c r="Q13" s="67">
        <f t="shared" si="1"/>
        <v>2</v>
      </c>
      <c r="R13" s="67">
        <f ca="1" t="shared" si="2"/>
        <v>190</v>
      </c>
      <c r="S13" s="3"/>
    </row>
    <row r="14" ht="14.1" customHeight="1" spans="1:19">
      <c r="A14" s="20"/>
      <c r="B14" s="91" t="s">
        <v>1514</v>
      </c>
      <c r="C14" s="23"/>
      <c r="D14" s="23" t="s">
        <v>28</v>
      </c>
      <c r="E14" s="24">
        <f>F3*2</f>
        <v>4</v>
      </c>
      <c r="F14" s="101">
        <f ca="1">I14+J14+K14+L14+M14</f>
        <v>369.674111748</v>
      </c>
      <c r="G14" s="192">
        <v>5.385</v>
      </c>
      <c r="H14" s="148">
        <v>2.771</v>
      </c>
      <c r="I14" s="202">
        <f ca="1">G14*H14*'18变21米（人字203料）参数 '!G5*1.1</f>
        <v>354.674111748</v>
      </c>
      <c r="J14" s="101"/>
      <c r="K14" s="101"/>
      <c r="L14" s="101">
        <f>0.5*4</f>
        <v>2</v>
      </c>
      <c r="M14" s="101">
        <f>6.5*2</f>
        <v>13</v>
      </c>
      <c r="N14" s="120" t="s">
        <v>1515</v>
      </c>
      <c r="O14" s="167">
        <v>4</v>
      </c>
      <c r="P14" s="67">
        <f ca="1" t="shared" si="0"/>
        <v>1478.696446992</v>
      </c>
      <c r="Q14" s="67">
        <f t="shared" si="1"/>
        <v>0</v>
      </c>
      <c r="R14" s="67">
        <f ca="1" t="shared" si="2"/>
        <v>0</v>
      </c>
      <c r="S14" s="3"/>
    </row>
    <row r="15" ht="14.1" customHeight="1" spans="1:19">
      <c r="A15" s="20"/>
      <c r="B15" s="91" t="s">
        <v>1516</v>
      </c>
      <c r="C15" s="23"/>
      <c r="D15" s="23" t="s">
        <v>28</v>
      </c>
      <c r="E15" s="24">
        <f>F3*2</f>
        <v>4</v>
      </c>
      <c r="F15" s="101">
        <v>102.22</v>
      </c>
      <c r="G15" s="192">
        <v>5.36</v>
      </c>
      <c r="H15" s="148">
        <v>1.345</v>
      </c>
      <c r="I15" s="101">
        <f ca="1">G15*H15*'18变21米（人字203料）参数 '!G5*1.1</f>
        <v>171.35403296</v>
      </c>
      <c r="J15" s="101"/>
      <c r="K15" s="101"/>
      <c r="L15" s="101"/>
      <c r="M15" s="101"/>
      <c r="N15" s="120" t="s">
        <v>1517</v>
      </c>
      <c r="O15" s="167">
        <v>4</v>
      </c>
      <c r="P15" s="67">
        <f ca="1" t="shared" si="0"/>
        <v>408.88</v>
      </c>
      <c r="Q15" s="67">
        <f t="shared" si="1"/>
        <v>0</v>
      </c>
      <c r="R15" s="67">
        <f ca="1" t="shared" si="2"/>
        <v>0</v>
      </c>
      <c r="S15" s="3"/>
    </row>
    <row r="16" ht="14.1" customHeight="1" spans="1:19">
      <c r="A16" s="20"/>
      <c r="B16" s="91" t="s">
        <v>1272</v>
      </c>
      <c r="C16" s="23"/>
      <c r="D16" s="23" t="s">
        <v>28</v>
      </c>
      <c r="E16" s="30">
        <v>5</v>
      </c>
      <c r="F16" s="101">
        <f>I16+J16+K16+L16+M16</f>
        <v>134.5</v>
      </c>
      <c r="G16" s="148"/>
      <c r="H16" s="148"/>
      <c r="I16" s="101">
        <v>120</v>
      </c>
      <c r="J16" s="101">
        <v>6.5</v>
      </c>
      <c r="K16" s="101">
        <v>4</v>
      </c>
      <c r="L16" s="101">
        <v>3</v>
      </c>
      <c r="M16" s="101">
        <v>1</v>
      </c>
      <c r="N16" s="120" t="s">
        <v>1523</v>
      </c>
      <c r="O16" s="167">
        <v>4</v>
      </c>
      <c r="P16" s="67">
        <f ca="1" t="shared" si="0"/>
        <v>538</v>
      </c>
      <c r="Q16" s="67">
        <f t="shared" si="1"/>
        <v>1</v>
      </c>
      <c r="R16" s="67">
        <f ca="1" t="shared" si="2"/>
        <v>134.5</v>
      </c>
      <c r="S16" s="3"/>
    </row>
    <row r="17" ht="14.1" customHeight="1" spans="1:19">
      <c r="A17" s="20"/>
      <c r="B17" s="91" t="s">
        <v>1356</v>
      </c>
      <c r="C17" s="23"/>
      <c r="D17" s="23" t="s">
        <v>28</v>
      </c>
      <c r="E17" s="24">
        <f>F3</f>
        <v>2</v>
      </c>
      <c r="F17" s="101">
        <f ca="1">I17+J17+K17+L17+M17</f>
        <v>90.133</v>
      </c>
      <c r="G17" s="148">
        <v>3.75</v>
      </c>
      <c r="H17" s="148">
        <v>1</v>
      </c>
      <c r="I17" s="101">
        <f ca="1">G17*H17*'18变21米（人字203料）参数 '!G5*1.1</f>
        <v>89.133</v>
      </c>
      <c r="J17" s="101"/>
      <c r="K17" s="101"/>
      <c r="L17" s="101">
        <f>0.5*2</f>
        <v>1</v>
      </c>
      <c r="M17" s="101"/>
      <c r="N17" s="170" t="s">
        <v>1357</v>
      </c>
      <c r="O17" s="167">
        <v>2</v>
      </c>
      <c r="P17" s="67">
        <f ca="1" t="shared" si="0"/>
        <v>180.266</v>
      </c>
      <c r="Q17" s="67">
        <f t="shared" si="1"/>
        <v>0</v>
      </c>
      <c r="R17" s="67">
        <f ca="1" t="shared" si="2"/>
        <v>0</v>
      </c>
      <c r="S17" s="3"/>
    </row>
    <row r="18" ht="14.1" customHeight="1" spans="1:19">
      <c r="A18" s="20"/>
      <c r="B18" s="91" t="s">
        <v>1276</v>
      </c>
      <c r="C18" s="23"/>
      <c r="D18" s="23" t="s">
        <v>28</v>
      </c>
      <c r="E18" s="28">
        <f>F3*2</f>
        <v>4</v>
      </c>
      <c r="F18" s="101">
        <f ca="1">I18+J18+K18+L18+M18</f>
        <v>348.2448493136</v>
      </c>
      <c r="G18" s="95">
        <v>4.882</v>
      </c>
      <c r="H18" s="95">
        <v>2.771</v>
      </c>
      <c r="I18" s="61">
        <f ca="1">G18*H18*'18变21米（人字203料）参数 '!G5*1.1</f>
        <v>321.5448493136</v>
      </c>
      <c r="J18" s="61"/>
      <c r="K18" s="61">
        <v>15</v>
      </c>
      <c r="L18" s="61">
        <f>8*0.65</f>
        <v>5.2</v>
      </c>
      <c r="M18" s="61">
        <v>6.5</v>
      </c>
      <c r="N18" s="120" t="s">
        <v>1358</v>
      </c>
      <c r="O18" s="167">
        <v>4</v>
      </c>
      <c r="P18" s="67">
        <f ca="1" t="shared" si="0"/>
        <v>1392.9793972544</v>
      </c>
      <c r="Q18" s="67">
        <f t="shared" si="1"/>
        <v>0</v>
      </c>
      <c r="R18" s="67">
        <f ca="1" t="shared" si="2"/>
        <v>0</v>
      </c>
      <c r="S18" s="3"/>
    </row>
    <row r="19" ht="14.1" customHeight="1" spans="1:19">
      <c r="A19" s="31"/>
      <c r="B19" s="193" t="s">
        <v>1485</v>
      </c>
      <c r="C19" s="43"/>
      <c r="D19" s="23" t="s">
        <v>28</v>
      </c>
      <c r="E19" s="44">
        <f>E32</f>
        <v>4</v>
      </c>
      <c r="F19" s="101">
        <f>I19+J19+K19+L19+M19</f>
        <v>17</v>
      </c>
      <c r="G19" s="194"/>
      <c r="H19" s="194"/>
      <c r="I19" s="203">
        <v>17</v>
      </c>
      <c r="J19" s="203"/>
      <c r="K19" s="203"/>
      <c r="L19" s="203"/>
      <c r="M19" s="203"/>
      <c r="N19" s="171"/>
      <c r="O19" s="167">
        <v>4</v>
      </c>
      <c r="P19" s="67">
        <f ca="1" t="shared" si="0"/>
        <v>68</v>
      </c>
      <c r="Q19" s="67">
        <f t="shared" si="1"/>
        <v>0</v>
      </c>
      <c r="R19" s="67">
        <f ca="1" t="shared" si="2"/>
        <v>0</v>
      </c>
      <c r="S19" s="3"/>
    </row>
    <row r="20" ht="14.1" customHeight="1" spans="1:19">
      <c r="A20" s="31"/>
      <c r="B20" s="152" t="s">
        <v>1274</v>
      </c>
      <c r="C20" s="43"/>
      <c r="D20" s="43" t="s">
        <v>28</v>
      </c>
      <c r="E20" s="150">
        <f>A3*2+F3*2</f>
        <v>8</v>
      </c>
      <c r="F20" s="101">
        <f>(I20+J20+K20+L20+M20)</f>
        <v>20.4</v>
      </c>
      <c r="G20" s="151"/>
      <c r="H20" s="151"/>
      <c r="I20" s="39">
        <f>17*1.2</f>
        <v>20.4</v>
      </c>
      <c r="J20" s="39"/>
      <c r="K20" s="39"/>
      <c r="L20" s="39"/>
      <c r="M20" s="39"/>
      <c r="N20" s="171" t="s">
        <v>1359</v>
      </c>
      <c r="O20" s="169">
        <v>6</v>
      </c>
      <c r="P20" s="67">
        <f ca="1" t="shared" si="0"/>
        <v>122.4</v>
      </c>
      <c r="Q20" s="67">
        <f t="shared" si="1"/>
        <v>2</v>
      </c>
      <c r="R20" s="67">
        <f ca="1" t="shared" si="2"/>
        <v>40.8</v>
      </c>
      <c r="S20" s="3"/>
    </row>
    <row r="21" ht="14.1" customHeight="1" spans="1:19">
      <c r="A21" s="20" t="s">
        <v>1278</v>
      </c>
      <c r="B21" s="91" t="s">
        <v>1304</v>
      </c>
      <c r="C21" s="23"/>
      <c r="D21" s="23" t="s">
        <v>434</v>
      </c>
      <c r="E21" s="24">
        <f>D3</f>
        <v>3</v>
      </c>
      <c r="F21" s="101">
        <v>180.62</v>
      </c>
      <c r="G21" s="151"/>
      <c r="H21" s="151"/>
      <c r="I21" s="39"/>
      <c r="J21" s="39"/>
      <c r="K21" s="39"/>
      <c r="L21" s="39"/>
      <c r="M21" s="39"/>
      <c r="N21" s="171" t="s">
        <v>1360</v>
      </c>
      <c r="O21" s="172">
        <v>2</v>
      </c>
      <c r="P21" s="67">
        <f ca="1" t="shared" si="0"/>
        <v>361.24</v>
      </c>
      <c r="Q21" s="67">
        <f t="shared" si="1"/>
        <v>1</v>
      </c>
      <c r="R21" s="67">
        <f ca="1" t="shared" si="2"/>
        <v>180.62</v>
      </c>
      <c r="S21" s="3"/>
    </row>
    <row r="22" ht="14.1" customHeight="1" spans="1:19">
      <c r="A22" s="20"/>
      <c r="B22" s="152" t="s">
        <v>1448</v>
      </c>
      <c r="C22" s="43"/>
      <c r="D22" s="23" t="s">
        <v>28</v>
      </c>
      <c r="E22" s="44">
        <f>(D3-2)*2</f>
        <v>2</v>
      </c>
      <c r="F22" s="195">
        <f>(G22+H22+I22+J22+K22+L22+M22)*1.1</f>
        <v>189.2</v>
      </c>
      <c r="G22" s="196"/>
      <c r="H22" s="196"/>
      <c r="I22" s="203">
        <v>128</v>
      </c>
      <c r="J22" s="203"/>
      <c r="K22" s="203">
        <v>34</v>
      </c>
      <c r="L22" s="203">
        <v>10</v>
      </c>
      <c r="M22" s="203"/>
      <c r="N22" s="168" t="s">
        <v>1447</v>
      </c>
      <c r="O22" s="172">
        <v>0</v>
      </c>
      <c r="P22" s="67">
        <f ca="1" t="shared" si="0"/>
        <v>0</v>
      </c>
      <c r="Q22" s="67">
        <f t="shared" si="1"/>
        <v>2</v>
      </c>
      <c r="R22" s="67">
        <f ca="1" t="shared" si="2"/>
        <v>378.4</v>
      </c>
      <c r="S22" s="3"/>
    </row>
    <row r="23" ht="14.1" customHeight="1" spans="1:19">
      <c r="A23" s="20"/>
      <c r="B23" s="91" t="s">
        <v>1310</v>
      </c>
      <c r="C23" s="23"/>
      <c r="D23" s="23" t="s">
        <v>434</v>
      </c>
      <c r="E23" s="24">
        <f>E7+E8</f>
        <v>6</v>
      </c>
      <c r="F23" s="101">
        <v>76.4</v>
      </c>
      <c r="G23" s="148"/>
      <c r="H23" s="148"/>
      <c r="I23" s="101"/>
      <c r="J23" s="101"/>
      <c r="K23" s="101"/>
      <c r="L23" s="101"/>
      <c r="M23" s="101"/>
      <c r="N23" s="120" t="s">
        <v>1361</v>
      </c>
      <c r="O23" s="167">
        <v>6</v>
      </c>
      <c r="P23" s="67">
        <f ca="1" t="shared" si="0"/>
        <v>458.4</v>
      </c>
      <c r="Q23" s="67">
        <f t="shared" si="1"/>
        <v>0</v>
      </c>
      <c r="R23" s="67">
        <f ca="1" t="shared" si="2"/>
        <v>0</v>
      </c>
      <c r="S23" s="3"/>
    </row>
    <row r="24" ht="14.1" customHeight="1" spans="1:19">
      <c r="A24" s="20"/>
      <c r="B24" s="91" t="s">
        <v>1280</v>
      </c>
      <c r="C24" s="23"/>
      <c r="D24" s="23" t="s">
        <v>434</v>
      </c>
      <c r="E24" s="28">
        <f>E6</f>
        <v>6</v>
      </c>
      <c r="F24" s="61">
        <v>85.93</v>
      </c>
      <c r="G24" s="95"/>
      <c r="H24" s="95"/>
      <c r="I24" s="61"/>
      <c r="J24" s="61"/>
      <c r="K24" s="61"/>
      <c r="L24" s="61"/>
      <c r="M24" s="61"/>
      <c r="N24" s="173" t="s">
        <v>1361</v>
      </c>
      <c r="O24" s="167">
        <v>4</v>
      </c>
      <c r="P24" s="67">
        <f ca="1" t="shared" si="0"/>
        <v>343.72</v>
      </c>
      <c r="Q24" s="67">
        <f t="shared" si="1"/>
        <v>2</v>
      </c>
      <c r="R24" s="67">
        <f ca="1" t="shared" si="2"/>
        <v>171.86</v>
      </c>
      <c r="S24" s="3"/>
    </row>
    <row r="25" ht="14.1" customHeight="1" spans="1:19">
      <c r="A25" s="20"/>
      <c r="B25" s="91" t="s">
        <v>1339</v>
      </c>
      <c r="C25" s="23"/>
      <c r="D25" s="23" t="s">
        <v>28</v>
      </c>
      <c r="E25" s="32">
        <f>E16</f>
        <v>5</v>
      </c>
      <c r="F25" s="101">
        <v>91.3</v>
      </c>
      <c r="G25" s="148"/>
      <c r="H25" s="148"/>
      <c r="I25" s="101"/>
      <c r="J25" s="101"/>
      <c r="K25" s="101"/>
      <c r="L25" s="101"/>
      <c r="M25" s="101"/>
      <c r="N25" s="120" t="s">
        <v>1362</v>
      </c>
      <c r="O25" s="167">
        <v>4</v>
      </c>
      <c r="P25" s="67">
        <f ca="1" t="shared" si="0"/>
        <v>365.2</v>
      </c>
      <c r="Q25" s="67">
        <f t="shared" si="1"/>
        <v>1</v>
      </c>
      <c r="R25" s="67">
        <f ca="1" t="shared" si="2"/>
        <v>91.3</v>
      </c>
      <c r="S25" s="3"/>
    </row>
    <row r="26" ht="14.1" customHeight="1" spans="1:19">
      <c r="A26" s="20"/>
      <c r="B26" s="91" t="s">
        <v>1282</v>
      </c>
      <c r="C26" s="23"/>
      <c r="D26" s="23" t="s">
        <v>434</v>
      </c>
      <c r="E26" s="24">
        <f>D3*2+F3*3</f>
        <v>12</v>
      </c>
      <c r="F26" s="101">
        <v>4.45</v>
      </c>
      <c r="G26" s="148"/>
      <c r="H26" s="148"/>
      <c r="I26" s="101"/>
      <c r="J26" s="101"/>
      <c r="K26" s="101"/>
      <c r="L26" s="101"/>
      <c r="M26" s="101"/>
      <c r="N26" s="120" t="s">
        <v>1363</v>
      </c>
      <c r="O26" s="169">
        <v>10</v>
      </c>
      <c r="P26" s="67">
        <f ca="1" t="shared" si="0"/>
        <v>44.5</v>
      </c>
      <c r="Q26" s="67">
        <f t="shared" si="1"/>
        <v>2</v>
      </c>
      <c r="R26" s="67">
        <f ca="1" t="shared" si="2"/>
        <v>8.9</v>
      </c>
      <c r="S26" s="3"/>
    </row>
    <row r="27" ht="14.1" customHeight="1" spans="1:19">
      <c r="A27" s="20"/>
      <c r="B27" s="91" t="s">
        <v>1284</v>
      </c>
      <c r="C27" s="23"/>
      <c r="D27" s="23" t="s">
        <v>434</v>
      </c>
      <c r="E27" s="24">
        <f>D3*2</f>
        <v>6</v>
      </c>
      <c r="F27" s="101">
        <v>6.51</v>
      </c>
      <c r="G27" s="148"/>
      <c r="H27" s="148"/>
      <c r="I27" s="101"/>
      <c r="J27" s="101"/>
      <c r="K27" s="101"/>
      <c r="L27" s="101"/>
      <c r="M27" s="101"/>
      <c r="N27" s="120" t="s">
        <v>1364</v>
      </c>
      <c r="O27" s="167">
        <v>4</v>
      </c>
      <c r="P27" s="67">
        <f ca="1" t="shared" si="0"/>
        <v>26.04</v>
      </c>
      <c r="Q27" s="67">
        <f t="shared" si="1"/>
        <v>2</v>
      </c>
      <c r="R27" s="67">
        <f ca="1" t="shared" si="2"/>
        <v>13.02</v>
      </c>
      <c r="S27" s="3"/>
    </row>
    <row r="28" ht="14.1" customHeight="1" spans="1:19">
      <c r="A28" s="20"/>
      <c r="B28" s="91" t="s">
        <v>519</v>
      </c>
      <c r="C28" s="23"/>
      <c r="D28" s="23" t="s">
        <v>434</v>
      </c>
      <c r="E28" s="24">
        <f>F3*2</f>
        <v>4</v>
      </c>
      <c r="F28" s="101">
        <v>13</v>
      </c>
      <c r="G28" s="151"/>
      <c r="H28" s="151"/>
      <c r="I28" s="39"/>
      <c r="J28" s="39"/>
      <c r="K28" s="39"/>
      <c r="L28" s="39"/>
      <c r="M28" s="39"/>
      <c r="N28" s="120" t="s">
        <v>1365</v>
      </c>
      <c r="O28" s="167">
        <v>4</v>
      </c>
      <c r="P28" s="67">
        <f ca="1" t="shared" si="0"/>
        <v>52</v>
      </c>
      <c r="Q28" s="67">
        <f t="shared" si="1"/>
        <v>0</v>
      </c>
      <c r="R28" s="67">
        <f ca="1" t="shared" si="2"/>
        <v>0</v>
      </c>
      <c r="S28" s="3"/>
    </row>
    <row r="29" ht="14.1" customHeight="1" spans="1:19">
      <c r="A29" s="31"/>
      <c r="B29" s="152" t="s">
        <v>551</v>
      </c>
      <c r="C29" s="43"/>
      <c r="D29" s="43" t="s">
        <v>434</v>
      </c>
      <c r="E29" s="150">
        <f>F3*2</f>
        <v>4</v>
      </c>
      <c r="F29" s="41">
        <v>15.5</v>
      </c>
      <c r="G29" s="99"/>
      <c r="H29" s="99"/>
      <c r="I29" s="41"/>
      <c r="J29" s="41"/>
      <c r="K29" s="41"/>
      <c r="L29" s="41"/>
      <c r="M29" s="41"/>
      <c r="N29" s="173" t="s">
        <v>1361</v>
      </c>
      <c r="O29" s="174">
        <v>4</v>
      </c>
      <c r="P29" s="67">
        <f ca="1" t="shared" si="0"/>
        <v>62</v>
      </c>
      <c r="Q29" s="67">
        <f t="shared" si="1"/>
        <v>0</v>
      </c>
      <c r="R29" s="67">
        <f ca="1" t="shared" si="2"/>
        <v>0</v>
      </c>
      <c r="S29" s="3"/>
    </row>
    <row r="30" ht="14.1" customHeight="1" spans="1:19">
      <c r="A30" s="153" t="s">
        <v>1216</v>
      </c>
      <c r="B30" s="91" t="s">
        <v>1366</v>
      </c>
      <c r="C30" s="23"/>
      <c r="D30" s="23" t="s">
        <v>612</v>
      </c>
      <c r="E30" s="24">
        <f>A3</f>
        <v>2</v>
      </c>
      <c r="F30" s="122">
        <f ca="1">(I30+J30)*1.1+30</f>
        <v>2708.90865</v>
      </c>
      <c r="G30" s="99">
        <v>23.61</v>
      </c>
      <c r="H30" s="99">
        <v>5</v>
      </c>
      <c r="I30" s="41">
        <f ca="1">G30*H30*'18变21米（人字203料）参数 '!E15*1.1</f>
        <v>2246.4915</v>
      </c>
      <c r="J30" s="41">
        <f>23.61*2*4</f>
        <v>188.88</v>
      </c>
      <c r="K30" s="41">
        <v>30</v>
      </c>
      <c r="L30" s="41"/>
      <c r="M30" s="41"/>
      <c r="N30" s="167" t="s">
        <v>1518</v>
      </c>
      <c r="O30" s="175">
        <v>1</v>
      </c>
      <c r="P30" s="67">
        <f ca="1" t="shared" si="0"/>
        <v>2708.90865</v>
      </c>
      <c r="Q30" s="67">
        <f t="shared" si="1"/>
        <v>1</v>
      </c>
      <c r="R30" s="67">
        <f ca="1" t="shared" si="2"/>
        <v>2708.90865</v>
      </c>
      <c r="S30" s="3"/>
    </row>
    <row r="31" ht="14.1" customHeight="1" spans="1:19">
      <c r="A31" s="153"/>
      <c r="B31" s="91" t="s">
        <v>1368</v>
      </c>
      <c r="C31" s="23"/>
      <c r="D31" s="23" t="s">
        <v>664</v>
      </c>
      <c r="E31" s="24">
        <f>F3</f>
        <v>2</v>
      </c>
      <c r="F31" s="122">
        <f ca="1">(I31+J31)*1.1+15</f>
        <v>1024.356502</v>
      </c>
      <c r="G31" s="148">
        <v>10.7</v>
      </c>
      <c r="H31" s="154">
        <v>4.62</v>
      </c>
      <c r="I31" s="101">
        <f ca="1">G31*H31*'18变21米（人字203料）参数 '!E14*1.1</f>
        <v>777.59682</v>
      </c>
      <c r="J31" s="101">
        <f>17.5*2*4</f>
        <v>140</v>
      </c>
      <c r="K31" s="101">
        <v>15</v>
      </c>
      <c r="L31" s="101"/>
      <c r="M31" s="101"/>
      <c r="N31" s="51" t="s">
        <v>1519</v>
      </c>
      <c r="O31" s="167">
        <v>2</v>
      </c>
      <c r="P31" s="67">
        <f ca="1" t="shared" si="0"/>
        <v>2048.713004</v>
      </c>
      <c r="Q31" s="67">
        <f t="shared" si="1"/>
        <v>0</v>
      </c>
      <c r="R31" s="67">
        <f ca="1" t="shared" si="2"/>
        <v>0</v>
      </c>
      <c r="S31" s="3"/>
    </row>
    <row r="32" ht="14.1" customHeight="1" spans="1:19">
      <c r="A32" s="155"/>
      <c r="B32" s="91" t="s">
        <v>1520</v>
      </c>
      <c r="C32" s="23"/>
      <c r="D32" s="23" t="s">
        <v>664</v>
      </c>
      <c r="E32" s="24">
        <f>F3*2</f>
        <v>4</v>
      </c>
      <c r="F32" s="122">
        <f ca="1">(I32+J32)*1.1+15</f>
        <v>588.3481358</v>
      </c>
      <c r="G32" s="156">
        <v>5.97</v>
      </c>
      <c r="H32" s="157">
        <v>5.38</v>
      </c>
      <c r="I32" s="101">
        <f ca="1">G32*H32*'18变21米（人字203料）参数 '!E14*1.1</f>
        <v>505.225578</v>
      </c>
      <c r="J32" s="71">
        <f>4*2*2</f>
        <v>16</v>
      </c>
      <c r="K32" s="71">
        <f>0.5*10</f>
        <v>5</v>
      </c>
      <c r="L32" s="71">
        <f>0.32*18</f>
        <v>5.76</v>
      </c>
      <c r="M32" s="71">
        <f>18*1</f>
        <v>18</v>
      </c>
      <c r="N32" s="120" t="s">
        <v>1524</v>
      </c>
      <c r="O32" s="167">
        <v>4</v>
      </c>
      <c r="P32" s="67">
        <f ca="1" t="shared" si="0"/>
        <v>2353.3925432</v>
      </c>
      <c r="Q32" s="67">
        <f t="shared" si="1"/>
        <v>0</v>
      </c>
      <c r="R32" s="67">
        <f ca="1" t="shared" si="2"/>
        <v>0</v>
      </c>
      <c r="S32" s="3"/>
    </row>
    <row r="33" ht="14.1" customHeight="1" spans="1:19">
      <c r="A33" s="155"/>
      <c r="B33" s="91" t="s">
        <v>1370</v>
      </c>
      <c r="C33" s="23"/>
      <c r="D33" s="23" t="s">
        <v>664</v>
      </c>
      <c r="E33" s="24">
        <f>A3*2+F3*2</f>
        <v>8</v>
      </c>
      <c r="F33" s="101">
        <f ca="1">I33+J33+K32+L33+M33</f>
        <v>548.08212</v>
      </c>
      <c r="G33" s="156">
        <v>5.2</v>
      </c>
      <c r="H33" s="157">
        <v>5.97</v>
      </c>
      <c r="I33" s="101">
        <f ca="1">G33*H33*'18变21米（人字203料）参数 '!E14*1.1+15</f>
        <v>503.32212</v>
      </c>
      <c r="J33" s="71">
        <f>4*2*2</f>
        <v>16</v>
      </c>
      <c r="K33" s="71">
        <f>0.5*10</f>
        <v>5</v>
      </c>
      <c r="L33" s="71">
        <f>0.32*18</f>
        <v>5.76</v>
      </c>
      <c r="M33" s="71">
        <f>18*1</f>
        <v>18</v>
      </c>
      <c r="N33" s="120" t="s">
        <v>1394</v>
      </c>
      <c r="O33" s="169">
        <v>6</v>
      </c>
      <c r="P33" s="67">
        <f ca="1" t="shared" si="0"/>
        <v>3288.49272</v>
      </c>
      <c r="Q33" s="67">
        <f t="shared" si="1"/>
        <v>2</v>
      </c>
      <c r="R33" s="67">
        <f ca="1" t="shared" si="2"/>
        <v>1096.16424</v>
      </c>
      <c r="S33" s="3"/>
    </row>
    <row r="34" ht="14.1" customHeight="1" spans="1:19">
      <c r="A34" s="20" t="s">
        <v>1235</v>
      </c>
      <c r="B34" s="138" t="s">
        <v>589</v>
      </c>
      <c r="C34" s="23"/>
      <c r="D34" s="23" t="s">
        <v>434</v>
      </c>
      <c r="E34" s="24">
        <f>D3*10+F3*2+E25*2</f>
        <v>44</v>
      </c>
      <c r="F34" s="101">
        <v>2.15</v>
      </c>
      <c r="G34" s="154"/>
      <c r="H34" s="154"/>
      <c r="I34" s="101"/>
      <c r="J34" s="101"/>
      <c r="K34" s="101"/>
      <c r="L34" s="101"/>
      <c r="M34" s="101"/>
      <c r="N34" s="120" t="s">
        <v>1372</v>
      </c>
      <c r="O34" s="167">
        <v>34</v>
      </c>
      <c r="P34" s="67">
        <f ca="1" t="shared" si="0"/>
        <v>73.1</v>
      </c>
      <c r="Q34" s="67">
        <f t="shared" si="1"/>
        <v>10</v>
      </c>
      <c r="R34" s="67">
        <f ca="1" t="shared" si="2"/>
        <v>21.5</v>
      </c>
      <c r="S34" s="3"/>
    </row>
    <row r="35" ht="14.1" customHeight="1" spans="1:19">
      <c r="A35" s="20"/>
      <c r="B35" s="109" t="s">
        <v>591</v>
      </c>
      <c r="C35" s="23"/>
      <c r="D35" s="23" t="s">
        <v>434</v>
      </c>
      <c r="E35" s="24">
        <f>D3*2+E25+E16</f>
        <v>16</v>
      </c>
      <c r="F35" s="101">
        <v>2.55</v>
      </c>
      <c r="G35" s="154"/>
      <c r="H35" s="154"/>
      <c r="I35" s="101"/>
      <c r="J35" s="101"/>
      <c r="K35" s="101"/>
      <c r="L35" s="101"/>
      <c r="M35" s="101"/>
      <c r="N35" s="120" t="s">
        <v>1373</v>
      </c>
      <c r="O35" s="172">
        <v>14</v>
      </c>
      <c r="P35" s="67">
        <f ca="1" t="shared" si="0"/>
        <v>35.7</v>
      </c>
      <c r="Q35" s="67">
        <f t="shared" si="1"/>
        <v>2</v>
      </c>
      <c r="R35" s="67">
        <f ca="1" t="shared" si="2"/>
        <v>5.1</v>
      </c>
      <c r="S35" s="3"/>
    </row>
    <row r="36" ht="14.1" customHeight="1" spans="1:19">
      <c r="A36" s="20"/>
      <c r="B36" s="159" t="s">
        <v>1423</v>
      </c>
      <c r="C36" s="43"/>
      <c r="D36" s="43" t="s">
        <v>434</v>
      </c>
      <c r="E36" s="44">
        <f>D3*2+4</f>
        <v>10</v>
      </c>
      <c r="F36" s="39">
        <v>1.95</v>
      </c>
      <c r="G36" s="160"/>
      <c r="H36" s="160"/>
      <c r="I36" s="39"/>
      <c r="J36" s="39"/>
      <c r="K36" s="39"/>
      <c r="L36" s="39"/>
      <c r="M36" s="39"/>
      <c r="N36" s="120" t="s">
        <v>1375</v>
      </c>
      <c r="O36" s="167">
        <v>8</v>
      </c>
      <c r="P36" s="67">
        <f ca="1" t="shared" si="0"/>
        <v>15.6</v>
      </c>
      <c r="Q36" s="67">
        <f t="shared" si="1"/>
        <v>2</v>
      </c>
      <c r="R36" s="67">
        <f ca="1" t="shared" si="2"/>
        <v>3.9</v>
      </c>
      <c r="S36" s="3"/>
    </row>
    <row r="37" ht="14.1" customHeight="1" spans="1:19">
      <c r="A37" s="20"/>
      <c r="B37" s="109" t="s">
        <v>554</v>
      </c>
      <c r="C37" s="23"/>
      <c r="D37" s="23" t="s">
        <v>555</v>
      </c>
      <c r="E37" s="28">
        <f>E23+E24+E16</f>
        <v>17</v>
      </c>
      <c r="F37" s="101">
        <v>1.46</v>
      </c>
      <c r="G37" s="154"/>
      <c r="H37" s="154"/>
      <c r="I37" s="101"/>
      <c r="J37" s="101"/>
      <c r="K37" s="101"/>
      <c r="L37" s="101"/>
      <c r="M37" s="101"/>
      <c r="N37" s="120" t="s">
        <v>1376</v>
      </c>
      <c r="O37" s="167">
        <v>15</v>
      </c>
      <c r="P37" s="67">
        <f ca="1" t="shared" si="0"/>
        <v>21.9</v>
      </c>
      <c r="Q37" s="67">
        <f t="shared" si="1"/>
        <v>2</v>
      </c>
      <c r="R37" s="67">
        <f ca="1" t="shared" si="2"/>
        <v>2.92</v>
      </c>
      <c r="S37" s="3"/>
    </row>
    <row r="38" spans="1:19">
      <c r="A38" s="50"/>
      <c r="B38" s="50" t="s">
        <v>1424</v>
      </c>
      <c r="C38" s="51"/>
      <c r="D38" s="51"/>
      <c r="E38" s="51"/>
      <c r="F38" s="50"/>
      <c r="G38" s="50"/>
      <c r="H38" s="50"/>
      <c r="I38" s="50"/>
      <c r="J38" s="50"/>
      <c r="K38" s="50"/>
      <c r="L38" s="50"/>
      <c r="M38" s="50"/>
      <c r="N38" s="50"/>
      <c r="O38" s="84" t="s">
        <v>1218</v>
      </c>
      <c r="P38" s="3">
        <f ca="1">SUM(P6:P37)</f>
        <v>43347.9810440944</v>
      </c>
      <c r="Q38" s="3" t="s">
        <v>1219</v>
      </c>
      <c r="R38" s="3">
        <f ca="1">SUM(R6:R37)</f>
        <v>16030.815152424</v>
      </c>
      <c r="S38" s="3"/>
    </row>
    <row r="39" spans="1:19">
      <c r="A39" s="50"/>
      <c r="B39" s="50" t="s">
        <v>1221</v>
      </c>
      <c r="C39" s="51"/>
      <c r="D39" s="51"/>
      <c r="E39" s="51"/>
      <c r="F39" s="50"/>
      <c r="G39" s="50"/>
      <c r="H39" s="50"/>
      <c r="I39" s="50"/>
      <c r="J39" s="50"/>
      <c r="K39" s="50"/>
      <c r="L39" s="50"/>
      <c r="M39" s="50"/>
      <c r="N39" s="50"/>
      <c r="P39" s="3"/>
      <c r="Q39" s="3"/>
      <c r="R39" s="3"/>
      <c r="S39" s="3"/>
    </row>
    <row r="40" spans="1:19">
      <c r="A40" s="50"/>
      <c r="B40" s="50"/>
      <c r="C40" s="51"/>
      <c r="D40" s="51"/>
      <c r="E40" s="51"/>
      <c r="F40" s="50"/>
      <c r="G40" s="50"/>
      <c r="H40" s="50"/>
      <c r="I40" s="50"/>
      <c r="J40" s="50"/>
      <c r="K40" s="50"/>
      <c r="L40" s="50"/>
      <c r="M40" s="50"/>
      <c r="N40" s="50"/>
      <c r="O40" s="50" t="s">
        <v>1377</v>
      </c>
      <c r="P40" s="3">
        <f ca="1">P38+R38</f>
        <v>59378.7961965184</v>
      </c>
      <c r="Q40" s="3"/>
      <c r="R40" s="3"/>
      <c r="S40" s="3"/>
    </row>
    <row r="41" spans="1:19">
      <c r="A41" s="50"/>
      <c r="B41" s="52"/>
      <c r="C41" s="52"/>
      <c r="D41" s="52"/>
      <c r="E41" s="52"/>
      <c r="F41" s="52"/>
      <c r="G41" s="52"/>
      <c r="H41" s="52"/>
      <c r="I41" s="52"/>
      <c r="J41" s="52"/>
      <c r="K41" s="52"/>
      <c r="L41" s="52"/>
      <c r="M41" s="52"/>
      <c r="N41" s="50"/>
      <c r="O41" s="50" t="s">
        <v>14</v>
      </c>
      <c r="P41" s="3">
        <f ca="1">P40/E2</f>
        <v>282.756172364373</v>
      </c>
      <c r="Q41" s="3"/>
      <c r="R41" s="3"/>
      <c r="S41" s="3"/>
    </row>
    <row r="42" spans="1:19">
      <c r="A42" s="50"/>
      <c r="B42" s="54"/>
      <c r="C42" s="54"/>
      <c r="D42" s="54"/>
      <c r="E42" s="54"/>
      <c r="F42" s="54"/>
      <c r="G42" s="53"/>
      <c r="H42" s="53"/>
      <c r="I42" s="53"/>
      <c r="J42" s="53"/>
      <c r="K42" s="53"/>
      <c r="L42" s="53"/>
      <c r="M42" s="53"/>
      <c r="N42" s="50"/>
      <c r="O42" s="50"/>
      <c r="P42" s="3"/>
      <c r="Q42" s="3"/>
      <c r="R42" s="3"/>
      <c r="S42" s="3"/>
    </row>
    <row r="43" spans="1:19">
      <c r="A43" s="50"/>
      <c r="B43" s="54"/>
      <c r="C43" s="54"/>
      <c r="D43" s="54"/>
      <c r="E43" s="54"/>
      <c r="F43" s="54"/>
      <c r="G43" s="53"/>
      <c r="H43" s="53"/>
      <c r="I43" s="53"/>
      <c r="J43" s="53"/>
      <c r="K43" s="53"/>
      <c r="L43" s="53"/>
      <c r="M43" s="53"/>
      <c r="N43" s="50"/>
      <c r="O43" s="50"/>
      <c r="P43" s="3"/>
      <c r="Q43" s="3"/>
      <c r="R43" s="3"/>
      <c r="S43" s="3"/>
    </row>
    <row r="44" spans="1:19">
      <c r="A44" s="50"/>
      <c r="B44" s="54"/>
      <c r="C44" s="54"/>
      <c r="D44" s="54"/>
      <c r="E44" s="54"/>
      <c r="F44" s="54"/>
      <c r="G44" s="53"/>
      <c r="H44" s="53"/>
      <c r="I44" s="53"/>
      <c r="J44" s="53"/>
      <c r="K44" s="53"/>
      <c r="L44" s="53"/>
      <c r="M44" s="53"/>
      <c r="N44" s="50"/>
      <c r="O44" s="50"/>
      <c r="P44" s="3"/>
      <c r="Q44" s="3"/>
      <c r="R44" s="3"/>
      <c r="S44" s="3"/>
    </row>
    <row r="45" spans="1:19">
      <c r="A45" s="50"/>
      <c r="B45" s="54"/>
      <c r="C45" s="54"/>
      <c r="D45" s="54"/>
      <c r="E45" s="54"/>
      <c r="F45" s="54"/>
      <c r="G45" s="53"/>
      <c r="H45" s="53"/>
      <c r="I45" s="53"/>
      <c r="J45" s="53"/>
      <c r="K45" s="53"/>
      <c r="L45" s="53"/>
      <c r="M45" s="53"/>
      <c r="N45" s="50"/>
      <c r="O45" s="50"/>
      <c r="P45" s="3"/>
      <c r="Q45" s="3"/>
      <c r="R45" s="3"/>
      <c r="S45" s="3"/>
    </row>
    <row r="46" spans="1:19">
      <c r="A46" s="50"/>
      <c r="B46" s="54"/>
      <c r="C46" s="54"/>
      <c r="D46" s="54"/>
      <c r="E46" s="54"/>
      <c r="F46" s="54"/>
      <c r="G46" s="53"/>
      <c r="H46" s="53"/>
      <c r="I46" s="53"/>
      <c r="J46" s="53"/>
      <c r="K46" s="53"/>
      <c r="L46" s="53"/>
      <c r="M46" s="53"/>
      <c r="N46" s="50"/>
      <c r="O46" s="50"/>
      <c r="P46" s="3"/>
      <c r="Q46" s="3"/>
      <c r="R46" s="3"/>
      <c r="S46" s="3"/>
    </row>
    <row r="47" spans="1:19">
      <c r="A47" s="50"/>
      <c r="B47" s="54"/>
      <c r="C47" s="54"/>
      <c r="D47" s="54"/>
      <c r="E47" s="54"/>
      <c r="F47" s="54"/>
      <c r="G47" s="53"/>
      <c r="H47" s="53"/>
      <c r="I47" s="53"/>
      <c r="J47" s="53"/>
      <c r="K47" s="53"/>
      <c r="L47" s="53"/>
      <c r="M47" s="53"/>
      <c r="N47" s="50"/>
      <c r="O47" s="50"/>
      <c r="P47" s="3"/>
      <c r="Q47" s="3"/>
      <c r="R47" s="3"/>
      <c r="S47" s="3"/>
    </row>
  </sheetData>
  <mergeCells count="12">
    <mergeCell ref="A1:O1"/>
    <mergeCell ref="A2:C2"/>
    <mergeCell ref="F2:N2"/>
    <mergeCell ref="A3:B3"/>
    <mergeCell ref="H3:N3"/>
    <mergeCell ref="A4:F4"/>
    <mergeCell ref="G4:H4"/>
    <mergeCell ref="I4:M4"/>
    <mergeCell ref="A6:A20"/>
    <mergeCell ref="A21:A29"/>
    <mergeCell ref="A30:A33"/>
    <mergeCell ref="A34:A37"/>
  </mergeCells>
  <dataValidations count="4">
    <dataValidation type="list" allowBlank="1" showInputMessage="1" showErrorMessage="1" sqref="B30">
      <formula1>"顶布[白]{全新},顶布[白]{A类},顶布[白]{B类},顶布[白]{C类},顶布[白]{D类}"</formula1>
    </dataValidation>
    <dataValidation type="list" allowBlank="1" showInputMessage="1" showErrorMessage="1" sqref="B31">
      <formula1>"山尖布[白]{全新},山尖布[白]{A类},山尖布[白]{B类},山尖布[白]{C类},山尖布[白]{D类}"</formula1>
    </dataValidation>
    <dataValidation allowBlank="1" showInputMessage="1" showErrorMessage="1" sqref="B32"/>
    <dataValidation type="list" allowBlank="1" showInputMessage="1" showErrorMessage="1" sqref="B33">
      <formula1>"围布[白]{全新},围布[白]{A类},围布[白]{B类},围布[白]{C类},围布[白]{D类},透光窗围布[白]{全新},透光窗围布[白]{A类},透光窗围布[白]{B类},透光窗围布[白]{C类},透光窗围布[白]{D类}"</formula1>
    </dataValidation>
  </dataValidations>
  <pageMargins left="0.75" right="0.75" top="1" bottom="1" header="0.509027777777778" footer="0.509027777777778"/>
  <headerFooter/>
</worksheet>
</file>

<file path=xl/worksheets/sheet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7030A0"/>
  </sheetPr>
  <dimension ref="A1:G21"/>
  <sheetViews>
    <sheetView showGridLines="0" workbookViewId="0">
      <selection activeCell="E31" sqref="E31"/>
    </sheetView>
  </sheetViews>
  <sheetFormatPr defaultColWidth="9" defaultRowHeight="14.25" outlineLevelCol="6"/>
  <cols>
    <col min="1" max="1" width="21.125" style="1" customWidth="1"/>
    <col min="2" max="2" width="19.125" style="1" customWidth="1"/>
    <col min="3" max="3" width="15.5" style="1" customWidth="1"/>
    <col min="4" max="4" width="11.375" style="1" customWidth="1"/>
    <col min="5" max="5" width="10.5" style="1" customWidth="1"/>
    <col min="6" max="6" width="9" style="1"/>
    <col min="7" max="7" width="12.625" style="1" customWidth="1"/>
    <col min="8" max="16384" width="9" style="1"/>
  </cols>
  <sheetData>
    <row r="1" spans="1:4">
      <c r="A1" s="2" t="str">
        <f ca="1">'数据修改（批量）'!A1</f>
        <v>上海有色铝锭价格</v>
      </c>
      <c r="B1" s="2"/>
      <c r="C1" s="2"/>
      <c r="D1" s="3"/>
    </row>
    <row r="2" spans="1:7">
      <c r="A2" s="4">
        <f ca="1">'数据修改（批量）'!A2</f>
        <v>16200</v>
      </c>
      <c r="B2" s="2" t="str">
        <f ca="1">'数据修改（批量）'!B2</f>
        <v>项目</v>
      </c>
      <c r="C2" s="2" t="str">
        <f ca="1">'数据修改（批量）'!C2</f>
        <v>加工费</v>
      </c>
      <c r="D2" s="2" t="str">
        <f ca="1">'数据修改（批量）'!D2</f>
        <v>包装物</v>
      </c>
      <c r="E2" s="2" t="str">
        <f ca="1">'数据修改（批量）'!E2</f>
        <v>运费</v>
      </c>
      <c r="F2" s="2" t="str">
        <f ca="1">'数据修改（批量）'!F2</f>
        <v>单价</v>
      </c>
      <c r="G2" s="2" t="str">
        <f ca="1">'数据修改（批量）'!G2</f>
        <v>每公斤价格</v>
      </c>
    </row>
    <row r="3" spans="1:7">
      <c r="A3" s="2"/>
      <c r="B3" s="2" t="str">
        <f ca="1">'数据修改（批量）'!B3</f>
        <v>203料</v>
      </c>
      <c r="C3" s="2">
        <f ca="1">'数据修改（批量）'!C3</f>
        <v>5500</v>
      </c>
      <c r="D3" s="2">
        <f ca="1">'数据修改（批量）'!D3</f>
        <v>868</v>
      </c>
      <c r="E3" s="2">
        <f ca="1">'数据修改（批量）'!E3</f>
        <v>80</v>
      </c>
      <c r="F3" s="2">
        <f ca="1">'数据修改（批量）'!F3</f>
        <v>22648</v>
      </c>
      <c r="G3" s="2">
        <f ca="1">'数据修改（批量）'!G3</f>
        <v>22.648</v>
      </c>
    </row>
    <row r="4" spans="1:7">
      <c r="A4" s="2"/>
      <c r="B4" s="2" t="str">
        <f ca="1">'数据修改（批量）'!B4</f>
        <v>203料氧化</v>
      </c>
      <c r="C4" s="2">
        <f ca="1">'数据修改（批量）'!C4</f>
        <v>6000</v>
      </c>
      <c r="D4" s="2">
        <f ca="1">'数据修改（批量）'!D4</f>
        <v>888</v>
      </c>
      <c r="E4" s="2">
        <f ca="1">'数据修改（批量）'!E4</f>
        <v>80</v>
      </c>
      <c r="F4" s="2">
        <f ca="1">'数据修改（批量）'!F4</f>
        <v>23168</v>
      </c>
      <c r="G4" s="2">
        <f ca="1">'数据修改（批量）'!G4</f>
        <v>23.168</v>
      </c>
    </row>
    <row r="5" spans="2:7">
      <c r="B5" s="2" t="str">
        <f ca="1">'数据修改（批量）'!B5</f>
        <v>小料加工费</v>
      </c>
      <c r="C5" s="2">
        <f ca="1">'数据修改（批量）'!C5</f>
        <v>4500</v>
      </c>
      <c r="D5" s="2">
        <f ca="1">'数据修改（批量）'!D5</f>
        <v>828</v>
      </c>
      <c r="E5" s="2">
        <f ca="1">'数据修改（批量）'!E5</f>
        <v>80</v>
      </c>
      <c r="F5" s="2">
        <f ca="1">'数据修改（批量）'!F5</f>
        <v>21608</v>
      </c>
      <c r="G5" s="2">
        <f ca="1">'数据修改（批量）'!G5</f>
        <v>21.608</v>
      </c>
    </row>
    <row r="6" spans="1:4">
      <c r="A6" s="2" t="str">
        <f ca="1">'数据修改（批量）'!A6</f>
        <v>南海有色铝锭价格</v>
      </c>
      <c r="D6" s="5"/>
    </row>
    <row r="7" spans="1:1">
      <c r="A7" s="4">
        <f ca="1">'数据修改（批量）'!A7</f>
        <v>16600</v>
      </c>
    </row>
    <row r="8" spans="2:7">
      <c r="B8" s="2" t="str">
        <f ca="1">'数据修改（批量）'!B8</f>
        <v>项目</v>
      </c>
      <c r="C8" s="2" t="str">
        <f ca="1">'数据修改（批量）'!C8</f>
        <v>加工费</v>
      </c>
      <c r="D8" s="2" t="str">
        <f ca="1">'数据修改（批量）'!D8</f>
        <v>包装物</v>
      </c>
      <c r="E8" s="2" t="str">
        <f ca="1">'数据修改（批量）'!E8</f>
        <v>运费</v>
      </c>
      <c r="F8" s="2" t="str">
        <f ca="1">'数据修改（批量）'!F8</f>
        <v>单价</v>
      </c>
      <c r="G8" s="2" t="str">
        <f ca="1">'数据修改（批量）'!G8</f>
        <v>每公斤价格</v>
      </c>
    </row>
    <row r="9" spans="2:7">
      <c r="B9" s="2" t="str">
        <f ca="1">'数据修改（批量）'!B9</f>
        <v>300/350料8米以上</v>
      </c>
      <c r="C9" s="2">
        <f ca="1">'数据修改（批量）'!C9</f>
        <v>7800</v>
      </c>
      <c r="D9" s="2">
        <f ca="1">'数据修改（批量）'!D9</f>
        <v>976</v>
      </c>
      <c r="E9" s="2">
        <f ca="1">'数据修改（批量）'!E9</f>
        <v>1000</v>
      </c>
      <c r="F9" s="2">
        <f ca="1">'数据修改（批量）'!F9</f>
        <v>26376</v>
      </c>
      <c r="G9" s="2">
        <f ca="1">'数据修改（批量）'!G9</f>
        <v>26.376</v>
      </c>
    </row>
    <row r="10" spans="2:7">
      <c r="B10" s="2" t="str">
        <f ca="1">'数据修改（批量）'!B10</f>
        <v>300/350料8米以下</v>
      </c>
      <c r="C10" s="2">
        <f ca="1">'数据修改（批量）'!C10</f>
        <v>7100</v>
      </c>
      <c r="D10" s="2">
        <f ca="1">'数据修改（批量）'!D10</f>
        <v>948</v>
      </c>
      <c r="E10" s="2">
        <f ca="1">'数据修改（批量）'!E10</f>
        <v>1000</v>
      </c>
      <c r="F10" s="2">
        <f ca="1">'数据修改（批量）'!F10</f>
        <v>25648</v>
      </c>
      <c r="G10" s="2">
        <f ca="1">'数据修改（批量）'!G10</f>
        <v>25.648</v>
      </c>
    </row>
    <row r="12" spans="1:4">
      <c r="A12" s="2" t="str">
        <f ca="1">'数据修改（批量）'!A12</f>
        <v>篷布</v>
      </c>
      <c r="B12" s="2"/>
      <c r="C12" s="2"/>
      <c r="D12" s="3"/>
    </row>
    <row r="13" spans="1:7">
      <c r="A13" s="2"/>
      <c r="B13" s="2" t="str">
        <f ca="1">'数据修改（批量）'!B13</f>
        <v>项目</v>
      </c>
      <c r="C13" s="2" t="str">
        <f ca="1">'数据修改（批量）'!C13</f>
        <v>运费</v>
      </c>
      <c r="D13" s="2" t="str">
        <f ca="1">'数据修改（批量）'!D13</f>
        <v>单价</v>
      </c>
      <c r="E13" s="2" t="str">
        <f ca="1">'数据修改（批量）'!E13</f>
        <v>每平价格</v>
      </c>
      <c r="F13" s="2"/>
      <c r="G13" s="2"/>
    </row>
    <row r="14" spans="1:7">
      <c r="A14" s="2"/>
      <c r="B14" s="2">
        <f ca="1">'数据修改（批量）'!B14</f>
        <v>650</v>
      </c>
      <c r="C14" s="2">
        <f ca="1">'数据修改（批量）'!C14</f>
        <v>0.5</v>
      </c>
      <c r="D14" s="4">
        <f ca="1">'数据修改（批量）'!D14</f>
        <v>13.8</v>
      </c>
      <c r="E14" s="2">
        <f ca="1">'数据修改（批量）'!E14</f>
        <v>14.3</v>
      </c>
      <c r="F14" s="2"/>
      <c r="G14" s="2"/>
    </row>
    <row r="15" spans="1:7">
      <c r="A15" s="2"/>
      <c r="B15" s="2">
        <f ca="1">'数据修改（批量）'!B15</f>
        <v>780</v>
      </c>
      <c r="C15" s="2">
        <f ca="1">'数据修改（批量）'!C15</f>
        <v>0.5</v>
      </c>
      <c r="D15" s="4">
        <f ca="1">'数据修改（批量）'!D15</f>
        <v>16.8</v>
      </c>
      <c r="E15" s="2">
        <f ca="1">'数据修改（批量）'!E15</f>
        <v>17.3</v>
      </c>
      <c r="F15" s="2"/>
      <c r="G15" s="2"/>
    </row>
    <row r="16" spans="2:7">
      <c r="B16" s="2">
        <f ca="1">'数据修改（批量）'!B16</f>
        <v>850</v>
      </c>
      <c r="C16" s="2">
        <f ca="1">'数据修改（批量）'!C16</f>
        <v>0.5</v>
      </c>
      <c r="D16" s="4">
        <f ca="1">'数据修改（批量）'!D16</f>
        <v>18</v>
      </c>
      <c r="E16" s="2">
        <f ca="1">'数据修改（批量）'!E16</f>
        <v>18.5</v>
      </c>
      <c r="F16" s="2"/>
      <c r="G16" s="2"/>
    </row>
    <row r="21" spans="1:7">
      <c r="A21" s="6" t="str">
        <f ca="1">'数据修改（批量）'!A21</f>
        <v>说明：黄色部分可以根据价格修改</v>
      </c>
      <c r="B21" s="6"/>
      <c r="C21" s="6"/>
      <c r="D21" s="6"/>
      <c r="E21" s="6"/>
      <c r="F21" s="6"/>
      <c r="G21" s="6"/>
    </row>
  </sheetData>
  <mergeCells count="1">
    <mergeCell ref="A21:G21"/>
  </mergeCells>
  <pageMargins left="0.75" right="0.75" top="1" bottom="1" header="0.509027777777778" footer="0.509027777777778"/>
  <pageSetup paperSize="9" orientation="portrait"/>
  <headerFooter/>
</worksheet>
</file>

<file path=xl/worksheets/sheet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FFFF00"/>
  </sheetPr>
  <dimension ref="A1:U45"/>
  <sheetViews>
    <sheetView showGridLines="0" workbookViewId="0">
      <selection activeCell="F12" sqref="F12"/>
    </sheetView>
  </sheetViews>
  <sheetFormatPr defaultColWidth="9" defaultRowHeight="14.25"/>
  <cols>
    <col min="1" max="1" width="2.875" style="50" customWidth="1"/>
    <col min="2" max="2" width="15.25" style="50" customWidth="1"/>
    <col min="3" max="5" width="9" style="51" customWidth="1"/>
    <col min="6" max="6" width="12.5" style="50" customWidth="1"/>
    <col min="7" max="8" width="12.25" style="50" customWidth="1"/>
    <col min="9" max="13" width="12.125" style="50" customWidth="1"/>
    <col min="14" max="14" width="72.75" style="50" customWidth="1"/>
    <col min="15" max="15" width="11.125" style="50" customWidth="1"/>
    <col min="16" max="16" width="15.25" style="3" customWidth="1"/>
    <col min="17" max="17" width="9" style="3"/>
    <col min="18" max="18" width="13.625" style="3" customWidth="1"/>
    <col min="19" max="21" width="9" style="3"/>
    <col min="22" max="16384" width="9" style="1"/>
  </cols>
  <sheetData>
    <row r="1" ht="17.1" customHeight="1" spans="1:15">
      <c r="A1" s="78" t="s">
        <v>1526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205"/>
      <c r="O1" s="161"/>
    </row>
    <row r="2" ht="14.1" customHeight="1" spans="1:21">
      <c r="A2" s="141" t="s">
        <v>1246</v>
      </c>
      <c r="B2" s="142"/>
      <c r="C2" s="142"/>
      <c r="D2" s="9" t="s">
        <v>1198</v>
      </c>
      <c r="E2" s="10">
        <f>A3*5*21</f>
        <v>210</v>
      </c>
      <c r="F2" s="11"/>
      <c r="G2" s="11"/>
      <c r="H2" s="11"/>
      <c r="I2" s="11"/>
      <c r="J2" s="11"/>
      <c r="K2" s="11"/>
      <c r="L2" s="11"/>
      <c r="M2" s="11"/>
      <c r="N2" s="11"/>
      <c r="O2" s="162"/>
      <c r="Q2" s="55"/>
      <c r="R2" s="55"/>
      <c r="T2" s="1"/>
      <c r="U2" s="1"/>
    </row>
    <row r="3" ht="14.1" customHeight="1" spans="1:21">
      <c r="A3" s="12">
        <v>2</v>
      </c>
      <c r="B3" s="12"/>
      <c r="C3" s="9" t="s">
        <v>1247</v>
      </c>
      <c r="D3" s="13">
        <v>3</v>
      </c>
      <c r="E3" s="11" t="s">
        <v>1248</v>
      </c>
      <c r="F3" s="12">
        <v>2</v>
      </c>
      <c r="G3" s="11" t="s">
        <v>1249</v>
      </c>
      <c r="H3" s="12"/>
      <c r="I3" s="12"/>
      <c r="J3" s="12"/>
      <c r="K3" s="12"/>
      <c r="L3" s="12"/>
      <c r="M3" s="12"/>
      <c r="N3" s="12"/>
      <c r="O3" s="162"/>
      <c r="Q3" s="55"/>
      <c r="R3" s="55"/>
      <c r="T3" s="1"/>
      <c r="U3" s="1"/>
    </row>
    <row r="4" ht="14.1" customHeight="1" spans="1:21">
      <c r="A4" s="190"/>
      <c r="B4" s="128"/>
      <c r="C4" s="128"/>
      <c r="D4" s="128"/>
      <c r="E4" s="128"/>
      <c r="F4" s="128"/>
      <c r="G4" s="180" t="s">
        <v>1345</v>
      </c>
      <c r="H4" s="191"/>
      <c r="I4" s="198" t="s">
        <v>1346</v>
      </c>
      <c r="J4" s="199"/>
      <c r="K4" s="199"/>
      <c r="L4" s="199"/>
      <c r="M4" s="200"/>
      <c r="N4" s="201"/>
      <c r="O4" s="162"/>
      <c r="Q4" s="55"/>
      <c r="R4" s="55"/>
      <c r="T4" s="1"/>
      <c r="U4" s="1"/>
    </row>
    <row r="5" ht="24" spans="1:18">
      <c r="A5" s="146" t="s">
        <v>1200</v>
      </c>
      <c r="B5" s="146" t="s">
        <v>1201</v>
      </c>
      <c r="C5" s="146" t="s">
        <v>1250</v>
      </c>
      <c r="D5" s="146" t="s">
        <v>22</v>
      </c>
      <c r="E5" s="147" t="s">
        <v>1251</v>
      </c>
      <c r="F5" s="75" t="s">
        <v>1204</v>
      </c>
      <c r="G5" s="19" t="s">
        <v>1205</v>
      </c>
      <c r="H5" s="17" t="s">
        <v>1253</v>
      </c>
      <c r="I5" s="17" t="s">
        <v>1254</v>
      </c>
      <c r="J5" s="17" t="s">
        <v>1255</v>
      </c>
      <c r="K5" s="17" t="s">
        <v>1209</v>
      </c>
      <c r="L5" s="17" t="s">
        <v>1420</v>
      </c>
      <c r="M5" s="17" t="s">
        <v>1211</v>
      </c>
      <c r="N5" s="163" t="s">
        <v>1257</v>
      </c>
      <c r="O5" s="164" t="s">
        <v>1212</v>
      </c>
      <c r="P5" s="165" t="s">
        <v>1213</v>
      </c>
      <c r="Q5" s="165" t="s">
        <v>1214</v>
      </c>
      <c r="R5" s="75" t="s">
        <v>1213</v>
      </c>
    </row>
    <row r="6" s="204" customFormat="1" ht="14.1" customHeight="1" spans="1:21">
      <c r="A6" s="20" t="s">
        <v>1215</v>
      </c>
      <c r="B6" s="91" t="s">
        <v>1224</v>
      </c>
      <c r="C6" s="23"/>
      <c r="D6" s="23" t="s">
        <v>28</v>
      </c>
      <c r="E6" s="24">
        <f>D3*2</f>
        <v>6</v>
      </c>
      <c r="F6" s="93">
        <f ca="1">I6+J6+K6+L6+M6</f>
        <v>899.193354992</v>
      </c>
      <c r="G6" s="94">
        <f>7.16/2</f>
        <v>3.58</v>
      </c>
      <c r="H6" s="94">
        <v>8.233</v>
      </c>
      <c r="I6" s="93">
        <f ca="1">G6*H6*'21米（人字203料）参数'!G3*1.1</f>
        <v>734.283354992</v>
      </c>
      <c r="J6" s="93">
        <f>48.55*2</f>
        <v>97.1</v>
      </c>
      <c r="K6" s="93">
        <v>45.91</v>
      </c>
      <c r="L6" s="93">
        <f>2.55*4</f>
        <v>10.2</v>
      </c>
      <c r="M6" s="93">
        <f>18*0.65</f>
        <v>11.7</v>
      </c>
      <c r="N6" s="166" t="s">
        <v>1421</v>
      </c>
      <c r="O6" s="23">
        <v>4</v>
      </c>
      <c r="P6" s="57">
        <f ca="1" t="shared" ref="P6:P35" si="0">F6*O6</f>
        <v>3596.773419968</v>
      </c>
      <c r="Q6" s="57">
        <f t="shared" ref="Q6:Q35" si="1">E6-O6</f>
        <v>2</v>
      </c>
      <c r="R6" s="57">
        <f ca="1" t="shared" ref="R6:R35" si="2">F6*Q6</f>
        <v>1798.386709984</v>
      </c>
      <c r="S6" s="84"/>
      <c r="T6" s="84"/>
      <c r="U6" s="84"/>
    </row>
    <row r="7" s="204" customFormat="1" ht="14.1" customHeight="1" spans="1:21">
      <c r="A7" s="20"/>
      <c r="B7" s="91" t="s">
        <v>1308</v>
      </c>
      <c r="C7" s="23"/>
      <c r="D7" s="23" t="s">
        <v>28</v>
      </c>
      <c r="E7" s="24">
        <f>F3*2</f>
        <v>4</v>
      </c>
      <c r="F7" s="101">
        <f ca="1">G7+H7+I7+J7+K7+L7+M7</f>
        <v>771.4092</v>
      </c>
      <c r="G7" s="148">
        <v>5</v>
      </c>
      <c r="H7" s="148">
        <v>5.3</v>
      </c>
      <c r="I7" s="101">
        <f ca="1">G7*H7*'21米（人字203料）参数'!G3*1.1</f>
        <v>660.1892</v>
      </c>
      <c r="J7" s="101"/>
      <c r="K7" s="101">
        <f>49.51+41.21</f>
        <v>90.72</v>
      </c>
      <c r="L7" s="101">
        <f>2.55*4</f>
        <v>10.2</v>
      </c>
      <c r="M7" s="101"/>
      <c r="N7" s="166" t="s">
        <v>1406</v>
      </c>
      <c r="O7" s="23">
        <v>4</v>
      </c>
      <c r="P7" s="57">
        <f ca="1" t="shared" si="0"/>
        <v>3085.6368</v>
      </c>
      <c r="Q7" s="57">
        <f t="shared" si="1"/>
        <v>0</v>
      </c>
      <c r="R7" s="57">
        <f ca="1" t="shared" si="2"/>
        <v>0</v>
      </c>
      <c r="S7" s="84"/>
      <c r="T7" s="84"/>
      <c r="U7" s="84"/>
    </row>
    <row r="8" s="204" customFormat="1" ht="14.1" customHeight="1" spans="1:21">
      <c r="A8" s="20"/>
      <c r="B8" s="91" t="s">
        <v>1435</v>
      </c>
      <c r="C8" s="23"/>
      <c r="D8" s="23" t="s">
        <v>28</v>
      </c>
      <c r="E8" s="24">
        <f>F3</f>
        <v>2</v>
      </c>
      <c r="F8" s="101">
        <f ca="1">G8+H8+I8+J8+K8+L8+M8</f>
        <v>931.054608</v>
      </c>
      <c r="G8" s="148">
        <v>6.2</v>
      </c>
      <c r="H8" s="148">
        <v>5.3</v>
      </c>
      <c r="I8" s="101">
        <f ca="1">G8*H8*'21米（人字203料）参数'!G3*1.1</f>
        <v>818.634608</v>
      </c>
      <c r="J8" s="101"/>
      <c r="K8" s="101">
        <f>49.51+41.21</f>
        <v>90.72</v>
      </c>
      <c r="L8" s="101">
        <f>2.55*4</f>
        <v>10.2</v>
      </c>
      <c r="M8" s="101"/>
      <c r="N8" s="166" t="s">
        <v>1482</v>
      </c>
      <c r="O8" s="23">
        <v>2</v>
      </c>
      <c r="P8" s="57">
        <f ca="1" t="shared" si="0"/>
        <v>1862.109216</v>
      </c>
      <c r="Q8" s="57">
        <f t="shared" si="1"/>
        <v>0</v>
      </c>
      <c r="R8" s="57">
        <f ca="1" t="shared" si="2"/>
        <v>0</v>
      </c>
      <c r="S8" s="84"/>
      <c r="T8" s="84"/>
      <c r="U8" s="84"/>
    </row>
    <row r="9" s="204" customFormat="1" ht="14.1" customHeight="1" spans="1:21">
      <c r="A9" s="20"/>
      <c r="B9" s="91" t="s">
        <v>1350</v>
      </c>
      <c r="C9" s="23"/>
      <c r="D9" s="23" t="s">
        <v>28</v>
      </c>
      <c r="E9" s="24">
        <f>D3*2</f>
        <v>6</v>
      </c>
      <c r="F9" s="61">
        <f ca="1">I9+J9+K9+L9+M9</f>
        <v>2337.04932288</v>
      </c>
      <c r="G9" s="95">
        <v>11.2</v>
      </c>
      <c r="H9" s="95">
        <v>8.233</v>
      </c>
      <c r="I9" s="61">
        <f ca="1">G9*H9*'21米（人字203料）参数'!G3*1.1</f>
        <v>2297.19932288</v>
      </c>
      <c r="J9" s="61">
        <f>2.5*8</f>
        <v>20</v>
      </c>
      <c r="K9" s="61">
        <v>11.85</v>
      </c>
      <c r="L9" s="61">
        <f>1*8</f>
        <v>8</v>
      </c>
      <c r="M9" s="61"/>
      <c r="N9" s="116" t="s">
        <v>1506</v>
      </c>
      <c r="O9" s="23">
        <v>4</v>
      </c>
      <c r="P9" s="57">
        <f ca="1" t="shared" si="0"/>
        <v>9348.19729152</v>
      </c>
      <c r="Q9" s="57">
        <f t="shared" si="1"/>
        <v>2</v>
      </c>
      <c r="R9" s="57">
        <f ca="1" t="shared" si="2"/>
        <v>4674.09864576</v>
      </c>
      <c r="S9" s="84"/>
      <c r="T9" s="84"/>
      <c r="U9" s="84"/>
    </row>
    <row r="10" s="204" customFormat="1" ht="14.1" customHeight="1" spans="1:21">
      <c r="A10" s="20"/>
      <c r="B10" s="91" t="s">
        <v>1226</v>
      </c>
      <c r="C10" s="23"/>
      <c r="D10" s="23" t="s">
        <v>28</v>
      </c>
      <c r="E10" s="24">
        <f>A3*6</f>
        <v>12</v>
      </c>
      <c r="F10" s="101">
        <f ca="1">I10+J10+K10+L10+M10</f>
        <v>195.0929650432</v>
      </c>
      <c r="G10" s="148">
        <v>4.882</v>
      </c>
      <c r="H10" s="148">
        <v>1.552</v>
      </c>
      <c r="I10" s="101">
        <f ca="1">G10*H10*'21米（人字203料）参数'!G5*1.1</f>
        <v>180.0929650432</v>
      </c>
      <c r="J10" s="101"/>
      <c r="K10" s="101"/>
      <c r="L10" s="101">
        <f>0.5*4</f>
        <v>2</v>
      </c>
      <c r="M10" s="101">
        <f>6.5*2</f>
        <v>13</v>
      </c>
      <c r="N10" s="120" t="s">
        <v>1352</v>
      </c>
      <c r="O10" s="23">
        <v>6</v>
      </c>
      <c r="P10" s="57">
        <f ca="1" t="shared" si="0"/>
        <v>1170.5577902592</v>
      </c>
      <c r="Q10" s="57">
        <f t="shared" si="1"/>
        <v>6</v>
      </c>
      <c r="R10" s="57">
        <f ca="1" t="shared" si="2"/>
        <v>1170.5577902592</v>
      </c>
      <c r="S10" s="84"/>
      <c r="T10" s="84"/>
      <c r="U10" s="84"/>
    </row>
    <row r="11" s="204" customFormat="1" ht="14.1" customHeight="1" spans="1:21">
      <c r="A11" s="20"/>
      <c r="B11" s="91" t="s">
        <v>1264</v>
      </c>
      <c r="C11" s="23"/>
      <c r="D11" s="23" t="s">
        <v>28</v>
      </c>
      <c r="E11" s="24">
        <f>A3*3</f>
        <v>6</v>
      </c>
      <c r="F11" s="101">
        <f ca="1">I11+J11+K11+L11+M11</f>
        <v>336.5448493136</v>
      </c>
      <c r="G11" s="148">
        <v>4.882</v>
      </c>
      <c r="H11" s="148">
        <v>2.771</v>
      </c>
      <c r="I11" s="101">
        <f ca="1">G11*H11*'21米（人字203料）参数'!G5*1.1</f>
        <v>321.5448493136</v>
      </c>
      <c r="J11" s="101"/>
      <c r="K11" s="101"/>
      <c r="L11" s="101">
        <f>0.5*4</f>
        <v>2</v>
      </c>
      <c r="M11" s="101">
        <f>6.5*2</f>
        <v>13</v>
      </c>
      <c r="N11" s="120" t="s">
        <v>1353</v>
      </c>
      <c r="O11" s="23">
        <v>3</v>
      </c>
      <c r="P11" s="57">
        <f ca="1" t="shared" si="0"/>
        <v>1009.6345479408</v>
      </c>
      <c r="Q11" s="57">
        <f t="shared" si="1"/>
        <v>3</v>
      </c>
      <c r="R11" s="57">
        <f ca="1" t="shared" si="2"/>
        <v>1009.6345479408</v>
      </c>
      <c r="S11" s="84"/>
      <c r="T11" s="84"/>
      <c r="U11" s="84"/>
    </row>
    <row r="12" s="204" customFormat="1" ht="14.1" customHeight="1" spans="1:21">
      <c r="A12" s="20"/>
      <c r="B12" s="91" t="s">
        <v>1266</v>
      </c>
      <c r="C12" s="23"/>
      <c r="D12" s="23" t="s">
        <v>28</v>
      </c>
      <c r="E12" s="24">
        <f>A3*2+F3*2</f>
        <v>8</v>
      </c>
      <c r="F12" s="101">
        <f ca="1">'数据修改（批量）'!A28</f>
        <v>95</v>
      </c>
      <c r="G12" s="148">
        <v>4.86</v>
      </c>
      <c r="H12" s="148">
        <v>1.345</v>
      </c>
      <c r="I12" s="101">
        <f ca="1">G12*H12*'21米（人字203料）参数'!G5*1.1</f>
        <v>155.36951496</v>
      </c>
      <c r="J12" s="101"/>
      <c r="K12" s="101"/>
      <c r="L12" s="101"/>
      <c r="M12" s="101"/>
      <c r="N12" s="120" t="s">
        <v>1354</v>
      </c>
      <c r="O12" s="23">
        <v>6</v>
      </c>
      <c r="P12" s="57">
        <f ca="1" t="shared" si="0"/>
        <v>570</v>
      </c>
      <c r="Q12" s="57">
        <f t="shared" si="1"/>
        <v>2</v>
      </c>
      <c r="R12" s="57">
        <f ca="1" t="shared" si="2"/>
        <v>190</v>
      </c>
      <c r="S12" s="84"/>
      <c r="T12" s="84"/>
      <c r="U12" s="84"/>
    </row>
    <row r="13" s="204" customFormat="1" ht="14.1" customHeight="1" spans="1:21">
      <c r="A13" s="20"/>
      <c r="B13" s="91" t="s">
        <v>1514</v>
      </c>
      <c r="C13" s="23"/>
      <c r="D13" s="23" t="s">
        <v>28</v>
      </c>
      <c r="E13" s="24">
        <f>F3*2</f>
        <v>4</v>
      </c>
      <c r="F13" s="101">
        <f ca="1">I13+J13+K13+L13+M13</f>
        <v>369.674111748</v>
      </c>
      <c r="G13" s="192">
        <v>5.385</v>
      </c>
      <c r="H13" s="148">
        <v>2.771</v>
      </c>
      <c r="I13" s="202">
        <f ca="1">G13*H13*'21米（人字203料）参数'!G5*1.1</f>
        <v>354.674111748</v>
      </c>
      <c r="J13" s="101"/>
      <c r="K13" s="101"/>
      <c r="L13" s="101">
        <f>0.5*4</f>
        <v>2</v>
      </c>
      <c r="M13" s="101">
        <f>6.5*2</f>
        <v>13</v>
      </c>
      <c r="N13" s="120" t="s">
        <v>1515</v>
      </c>
      <c r="O13" s="23">
        <v>4</v>
      </c>
      <c r="P13" s="57">
        <f ca="1" t="shared" si="0"/>
        <v>1478.696446992</v>
      </c>
      <c r="Q13" s="57">
        <f t="shared" si="1"/>
        <v>0</v>
      </c>
      <c r="R13" s="57">
        <f ca="1" t="shared" si="2"/>
        <v>0</v>
      </c>
      <c r="S13" s="84"/>
      <c r="T13" s="84"/>
      <c r="U13" s="84"/>
    </row>
    <row r="14" s="204" customFormat="1" ht="14.1" customHeight="1" spans="1:21">
      <c r="A14" s="20"/>
      <c r="B14" s="91" t="s">
        <v>1516</v>
      </c>
      <c r="C14" s="23"/>
      <c r="D14" s="23" t="s">
        <v>28</v>
      </c>
      <c r="E14" s="24">
        <f>F3*2</f>
        <v>4</v>
      </c>
      <c r="F14" s="101">
        <v>102.22</v>
      </c>
      <c r="G14" s="192">
        <v>5.36</v>
      </c>
      <c r="H14" s="148">
        <v>1.345</v>
      </c>
      <c r="I14" s="101">
        <f ca="1">G14*H14*'21米（人字203料）参数'!G5*1.1</f>
        <v>171.35403296</v>
      </c>
      <c r="J14" s="101"/>
      <c r="K14" s="101"/>
      <c r="L14" s="101"/>
      <c r="M14" s="101"/>
      <c r="N14" s="120" t="s">
        <v>1517</v>
      </c>
      <c r="O14" s="23">
        <v>4</v>
      </c>
      <c r="P14" s="57">
        <f ca="1" t="shared" si="0"/>
        <v>408.88</v>
      </c>
      <c r="Q14" s="57">
        <f t="shared" si="1"/>
        <v>0</v>
      </c>
      <c r="R14" s="57">
        <f ca="1" t="shared" si="2"/>
        <v>0</v>
      </c>
      <c r="S14" s="84"/>
      <c r="T14" s="84"/>
      <c r="U14" s="84"/>
    </row>
    <row r="15" s="204" customFormat="1" ht="14.1" customHeight="1" spans="1:21">
      <c r="A15" s="20"/>
      <c r="B15" s="91" t="s">
        <v>1272</v>
      </c>
      <c r="C15" s="23"/>
      <c r="D15" s="23" t="s">
        <v>28</v>
      </c>
      <c r="E15" s="30">
        <v>5</v>
      </c>
      <c r="F15" s="101">
        <f>I15+J15+K15+L15+M15</f>
        <v>109.5</v>
      </c>
      <c r="G15" s="148"/>
      <c r="H15" s="148"/>
      <c r="I15" s="101">
        <v>95</v>
      </c>
      <c r="J15" s="101">
        <v>6.5</v>
      </c>
      <c r="K15" s="101">
        <v>4</v>
      </c>
      <c r="L15" s="101">
        <v>3</v>
      </c>
      <c r="M15" s="101">
        <v>1</v>
      </c>
      <c r="N15" s="120" t="s">
        <v>1355</v>
      </c>
      <c r="O15" s="23">
        <v>4</v>
      </c>
      <c r="P15" s="57">
        <f ca="1" t="shared" si="0"/>
        <v>438</v>
      </c>
      <c r="Q15" s="57">
        <f t="shared" si="1"/>
        <v>1</v>
      </c>
      <c r="R15" s="57">
        <f ca="1" t="shared" si="2"/>
        <v>109.5</v>
      </c>
      <c r="S15" s="84"/>
      <c r="T15" s="84"/>
      <c r="U15" s="84"/>
    </row>
    <row r="16" s="204" customFormat="1" ht="14.1" customHeight="1" spans="1:21">
      <c r="A16" s="20"/>
      <c r="B16" s="91" t="s">
        <v>1356</v>
      </c>
      <c r="C16" s="23"/>
      <c r="D16" s="23" t="s">
        <v>28</v>
      </c>
      <c r="E16" s="24">
        <f>F3</f>
        <v>2</v>
      </c>
      <c r="F16" s="101">
        <f ca="1">I16+J16+K16+L16+M16</f>
        <v>90.133</v>
      </c>
      <c r="G16" s="148">
        <v>3.75</v>
      </c>
      <c r="H16" s="148">
        <v>1</v>
      </c>
      <c r="I16" s="101">
        <f ca="1">G16*H16*'21米（人字203料）参数'!G5*1.1</f>
        <v>89.133</v>
      </c>
      <c r="J16" s="101"/>
      <c r="K16" s="101"/>
      <c r="L16" s="101">
        <f>0.5*2</f>
        <v>1</v>
      </c>
      <c r="M16" s="101"/>
      <c r="N16" s="170" t="s">
        <v>1357</v>
      </c>
      <c r="O16" s="23">
        <v>2</v>
      </c>
      <c r="P16" s="57">
        <f ca="1" t="shared" si="0"/>
        <v>180.266</v>
      </c>
      <c r="Q16" s="57">
        <f t="shared" si="1"/>
        <v>0</v>
      </c>
      <c r="R16" s="57">
        <f ca="1" t="shared" si="2"/>
        <v>0</v>
      </c>
      <c r="S16" s="84"/>
      <c r="T16" s="84"/>
      <c r="U16" s="84"/>
    </row>
    <row r="17" s="204" customFormat="1" ht="14.1" customHeight="1" spans="1:21">
      <c r="A17" s="20"/>
      <c r="B17" s="91" t="s">
        <v>1276</v>
      </c>
      <c r="C17" s="23"/>
      <c r="D17" s="23" t="s">
        <v>28</v>
      </c>
      <c r="E17" s="28">
        <f>F3*2</f>
        <v>4</v>
      </c>
      <c r="F17" s="101">
        <f ca="1">I17+J17+K17+L17+M17</f>
        <v>348.2448493136</v>
      </c>
      <c r="G17" s="95">
        <v>4.882</v>
      </c>
      <c r="H17" s="95">
        <v>2.771</v>
      </c>
      <c r="I17" s="61">
        <f ca="1">G17*H17*'21米（人字203料）参数'!G5*1.1</f>
        <v>321.5448493136</v>
      </c>
      <c r="J17" s="61"/>
      <c r="K17" s="61">
        <v>15</v>
      </c>
      <c r="L17" s="61">
        <f>8*0.65</f>
        <v>5.2</v>
      </c>
      <c r="M17" s="61">
        <v>6.5</v>
      </c>
      <c r="N17" s="120" t="s">
        <v>1358</v>
      </c>
      <c r="O17" s="23">
        <v>4</v>
      </c>
      <c r="P17" s="57">
        <f ca="1" t="shared" si="0"/>
        <v>1392.9793972544</v>
      </c>
      <c r="Q17" s="57">
        <f t="shared" si="1"/>
        <v>0</v>
      </c>
      <c r="R17" s="57">
        <f ca="1" t="shared" si="2"/>
        <v>0</v>
      </c>
      <c r="S17" s="84"/>
      <c r="T17" s="84"/>
      <c r="U17" s="84"/>
    </row>
    <row r="18" s="204" customFormat="1" ht="14.1" customHeight="1" spans="1:21">
      <c r="A18" s="31"/>
      <c r="B18" s="193" t="s">
        <v>1485</v>
      </c>
      <c r="C18" s="43"/>
      <c r="D18" s="23" t="s">
        <v>28</v>
      </c>
      <c r="E18" s="44">
        <f>E30</f>
        <v>4</v>
      </c>
      <c r="F18" s="101">
        <f>I18+J18+K18+L18+M18</f>
        <v>17</v>
      </c>
      <c r="G18" s="194"/>
      <c r="H18" s="194"/>
      <c r="I18" s="203">
        <v>17</v>
      </c>
      <c r="J18" s="203"/>
      <c r="K18" s="203"/>
      <c r="L18" s="203"/>
      <c r="M18" s="203"/>
      <c r="N18" s="171"/>
      <c r="O18" s="23">
        <v>4</v>
      </c>
      <c r="P18" s="57">
        <f ca="1" t="shared" si="0"/>
        <v>68</v>
      </c>
      <c r="Q18" s="57">
        <f t="shared" si="1"/>
        <v>0</v>
      </c>
      <c r="R18" s="57">
        <f ca="1" t="shared" si="2"/>
        <v>0</v>
      </c>
      <c r="S18" s="84"/>
      <c r="T18" s="84"/>
      <c r="U18" s="84"/>
    </row>
    <row r="19" s="204" customFormat="1" ht="14.1" customHeight="1" spans="1:21">
      <c r="A19" s="31"/>
      <c r="B19" s="152" t="s">
        <v>1274</v>
      </c>
      <c r="C19" s="43"/>
      <c r="D19" s="43" t="s">
        <v>28</v>
      </c>
      <c r="E19" s="150">
        <f>A3*2+F3*2</f>
        <v>8</v>
      </c>
      <c r="F19" s="101">
        <f>(I19+J19+K19+L19+M19)</f>
        <v>20.4</v>
      </c>
      <c r="G19" s="151"/>
      <c r="H19" s="151"/>
      <c r="I19" s="39">
        <f>17*1.2</f>
        <v>20.4</v>
      </c>
      <c r="J19" s="39"/>
      <c r="K19" s="39"/>
      <c r="L19" s="39"/>
      <c r="M19" s="39"/>
      <c r="N19" s="171" t="s">
        <v>1359</v>
      </c>
      <c r="O19" s="23">
        <v>6</v>
      </c>
      <c r="P19" s="57">
        <f ca="1" t="shared" si="0"/>
        <v>122.4</v>
      </c>
      <c r="Q19" s="57">
        <f t="shared" si="1"/>
        <v>2</v>
      </c>
      <c r="R19" s="57">
        <f ca="1" t="shared" si="2"/>
        <v>40.8</v>
      </c>
      <c r="S19" s="84"/>
      <c r="T19" s="84"/>
      <c r="U19" s="84"/>
    </row>
    <row r="20" s="204" customFormat="1" ht="14.1" customHeight="1" spans="1:21">
      <c r="A20" s="20" t="s">
        <v>1278</v>
      </c>
      <c r="B20" s="91" t="s">
        <v>1304</v>
      </c>
      <c r="C20" s="23"/>
      <c r="D20" s="23" t="s">
        <v>434</v>
      </c>
      <c r="E20" s="24">
        <f>D3</f>
        <v>3</v>
      </c>
      <c r="F20" s="101">
        <v>180.62</v>
      </c>
      <c r="G20" s="151"/>
      <c r="H20" s="151"/>
      <c r="I20" s="39"/>
      <c r="J20" s="39"/>
      <c r="K20" s="39"/>
      <c r="L20" s="39"/>
      <c r="M20" s="39"/>
      <c r="N20" s="171" t="s">
        <v>1360</v>
      </c>
      <c r="O20" s="43">
        <v>2</v>
      </c>
      <c r="P20" s="57">
        <f ca="1" t="shared" si="0"/>
        <v>361.24</v>
      </c>
      <c r="Q20" s="57">
        <f t="shared" si="1"/>
        <v>1</v>
      </c>
      <c r="R20" s="57">
        <f ca="1" t="shared" si="2"/>
        <v>180.62</v>
      </c>
      <c r="S20" s="84"/>
      <c r="T20" s="84"/>
      <c r="U20" s="84"/>
    </row>
    <row r="21" s="204" customFormat="1" ht="14.1" customHeight="1" spans="1:21">
      <c r="A21" s="20"/>
      <c r="B21" s="91" t="s">
        <v>1310</v>
      </c>
      <c r="C21" s="23"/>
      <c r="D21" s="23" t="s">
        <v>434</v>
      </c>
      <c r="E21" s="24">
        <f>E7+E8</f>
        <v>6</v>
      </c>
      <c r="F21" s="101">
        <v>76.4</v>
      </c>
      <c r="G21" s="148"/>
      <c r="H21" s="148"/>
      <c r="I21" s="101"/>
      <c r="J21" s="101"/>
      <c r="K21" s="101"/>
      <c r="L21" s="101"/>
      <c r="M21" s="101"/>
      <c r="N21" s="120" t="s">
        <v>1361</v>
      </c>
      <c r="O21" s="23">
        <v>6</v>
      </c>
      <c r="P21" s="57">
        <f ca="1" t="shared" si="0"/>
        <v>458.4</v>
      </c>
      <c r="Q21" s="57">
        <f t="shared" si="1"/>
        <v>0</v>
      </c>
      <c r="R21" s="57">
        <f ca="1" t="shared" si="2"/>
        <v>0</v>
      </c>
      <c r="S21" s="84"/>
      <c r="T21" s="84"/>
      <c r="U21" s="84"/>
    </row>
    <row r="22" s="204" customFormat="1" ht="14.1" customHeight="1" spans="1:21">
      <c r="A22" s="20"/>
      <c r="B22" s="91" t="s">
        <v>1280</v>
      </c>
      <c r="C22" s="23"/>
      <c r="D22" s="23" t="s">
        <v>434</v>
      </c>
      <c r="E22" s="28">
        <f>E6</f>
        <v>6</v>
      </c>
      <c r="F22" s="61">
        <v>85.93</v>
      </c>
      <c r="G22" s="95"/>
      <c r="H22" s="95"/>
      <c r="I22" s="61"/>
      <c r="J22" s="61"/>
      <c r="K22" s="61"/>
      <c r="L22" s="61"/>
      <c r="M22" s="61"/>
      <c r="N22" s="173" t="s">
        <v>1361</v>
      </c>
      <c r="O22" s="23">
        <v>4</v>
      </c>
      <c r="P22" s="57">
        <f ca="1" t="shared" si="0"/>
        <v>343.72</v>
      </c>
      <c r="Q22" s="57">
        <f t="shared" si="1"/>
        <v>2</v>
      </c>
      <c r="R22" s="57">
        <f ca="1" t="shared" si="2"/>
        <v>171.86</v>
      </c>
      <c r="S22" s="84"/>
      <c r="T22" s="84"/>
      <c r="U22" s="84"/>
    </row>
    <row r="23" s="204" customFormat="1" ht="14.1" customHeight="1" spans="1:21">
      <c r="A23" s="20"/>
      <c r="B23" s="91" t="s">
        <v>1339</v>
      </c>
      <c r="C23" s="23"/>
      <c r="D23" s="23" t="s">
        <v>28</v>
      </c>
      <c r="E23" s="32">
        <f>E15</f>
        <v>5</v>
      </c>
      <c r="F23" s="101">
        <v>91.3</v>
      </c>
      <c r="G23" s="148"/>
      <c r="H23" s="148"/>
      <c r="I23" s="101"/>
      <c r="J23" s="101"/>
      <c r="K23" s="101"/>
      <c r="L23" s="101"/>
      <c r="M23" s="101"/>
      <c r="N23" s="120" t="s">
        <v>1362</v>
      </c>
      <c r="O23" s="23">
        <v>4</v>
      </c>
      <c r="P23" s="57">
        <f ca="1" t="shared" si="0"/>
        <v>365.2</v>
      </c>
      <c r="Q23" s="57">
        <f t="shared" si="1"/>
        <v>1</v>
      </c>
      <c r="R23" s="57">
        <f ca="1" t="shared" si="2"/>
        <v>91.3</v>
      </c>
      <c r="S23" s="84"/>
      <c r="T23" s="84"/>
      <c r="U23" s="84"/>
    </row>
    <row r="24" s="204" customFormat="1" ht="14.1" customHeight="1" spans="1:21">
      <c r="A24" s="20"/>
      <c r="B24" s="91" t="s">
        <v>1282</v>
      </c>
      <c r="C24" s="23"/>
      <c r="D24" s="23" t="s">
        <v>434</v>
      </c>
      <c r="E24" s="24">
        <f>D3*2+F3*3</f>
        <v>12</v>
      </c>
      <c r="F24" s="101">
        <v>4.45</v>
      </c>
      <c r="G24" s="148"/>
      <c r="H24" s="148"/>
      <c r="I24" s="101"/>
      <c r="J24" s="101"/>
      <c r="K24" s="101"/>
      <c r="L24" s="101"/>
      <c r="M24" s="101"/>
      <c r="N24" s="120" t="s">
        <v>1363</v>
      </c>
      <c r="O24" s="23">
        <v>10</v>
      </c>
      <c r="P24" s="57">
        <f ca="1" t="shared" si="0"/>
        <v>44.5</v>
      </c>
      <c r="Q24" s="57">
        <f t="shared" si="1"/>
        <v>2</v>
      </c>
      <c r="R24" s="57">
        <f ca="1" t="shared" si="2"/>
        <v>8.9</v>
      </c>
      <c r="S24" s="84"/>
      <c r="T24" s="84"/>
      <c r="U24" s="84"/>
    </row>
    <row r="25" s="204" customFormat="1" ht="14.1" customHeight="1" spans="1:21">
      <c r="A25" s="20"/>
      <c r="B25" s="91" t="s">
        <v>1284</v>
      </c>
      <c r="C25" s="23"/>
      <c r="D25" s="23" t="s">
        <v>434</v>
      </c>
      <c r="E25" s="24">
        <f>D3*2</f>
        <v>6</v>
      </c>
      <c r="F25" s="101">
        <v>6.51</v>
      </c>
      <c r="G25" s="148"/>
      <c r="H25" s="148"/>
      <c r="I25" s="101"/>
      <c r="J25" s="101"/>
      <c r="K25" s="101"/>
      <c r="L25" s="101"/>
      <c r="M25" s="101"/>
      <c r="N25" s="120" t="s">
        <v>1364</v>
      </c>
      <c r="O25" s="23">
        <v>4</v>
      </c>
      <c r="P25" s="57">
        <f ca="1" t="shared" si="0"/>
        <v>26.04</v>
      </c>
      <c r="Q25" s="57">
        <f t="shared" si="1"/>
        <v>2</v>
      </c>
      <c r="R25" s="57">
        <f ca="1" t="shared" si="2"/>
        <v>13.02</v>
      </c>
      <c r="S25" s="84"/>
      <c r="T25" s="84"/>
      <c r="U25" s="84"/>
    </row>
    <row r="26" s="204" customFormat="1" ht="14.1" customHeight="1" spans="1:21">
      <c r="A26" s="20"/>
      <c r="B26" s="91" t="s">
        <v>519</v>
      </c>
      <c r="C26" s="23"/>
      <c r="D26" s="23" t="s">
        <v>434</v>
      </c>
      <c r="E26" s="24">
        <f>F3*2</f>
        <v>4</v>
      </c>
      <c r="F26" s="101">
        <v>13</v>
      </c>
      <c r="G26" s="151"/>
      <c r="H26" s="151"/>
      <c r="I26" s="39"/>
      <c r="J26" s="39"/>
      <c r="K26" s="39"/>
      <c r="L26" s="39"/>
      <c r="M26" s="39"/>
      <c r="N26" s="120" t="s">
        <v>1365</v>
      </c>
      <c r="O26" s="23">
        <v>4</v>
      </c>
      <c r="P26" s="57">
        <f ca="1" t="shared" si="0"/>
        <v>52</v>
      </c>
      <c r="Q26" s="57">
        <f t="shared" si="1"/>
        <v>0</v>
      </c>
      <c r="R26" s="57">
        <f ca="1" t="shared" si="2"/>
        <v>0</v>
      </c>
      <c r="S26" s="84"/>
      <c r="T26" s="84"/>
      <c r="U26" s="84"/>
    </row>
    <row r="27" s="204" customFormat="1" ht="14.1" customHeight="1" spans="1:21">
      <c r="A27" s="31"/>
      <c r="B27" s="152" t="s">
        <v>551</v>
      </c>
      <c r="C27" s="43"/>
      <c r="D27" s="43" t="s">
        <v>434</v>
      </c>
      <c r="E27" s="150">
        <f>F3*2</f>
        <v>4</v>
      </c>
      <c r="F27" s="41">
        <v>15.5</v>
      </c>
      <c r="G27" s="99"/>
      <c r="H27" s="99"/>
      <c r="I27" s="41"/>
      <c r="J27" s="41"/>
      <c r="K27" s="41"/>
      <c r="L27" s="41"/>
      <c r="M27" s="41"/>
      <c r="N27" s="173" t="s">
        <v>1361</v>
      </c>
      <c r="O27" s="206">
        <v>4</v>
      </c>
      <c r="P27" s="57">
        <f ca="1" t="shared" si="0"/>
        <v>62</v>
      </c>
      <c r="Q27" s="57">
        <f t="shared" si="1"/>
        <v>0</v>
      </c>
      <c r="R27" s="57">
        <f ca="1" t="shared" si="2"/>
        <v>0</v>
      </c>
      <c r="S27" s="84"/>
      <c r="T27" s="84"/>
      <c r="U27" s="84"/>
    </row>
    <row r="28" s="204" customFormat="1" ht="14.1" customHeight="1" spans="1:21">
      <c r="A28" s="153" t="s">
        <v>1216</v>
      </c>
      <c r="B28" s="91" t="s">
        <v>1366</v>
      </c>
      <c r="C28" s="23"/>
      <c r="D28" s="23" t="s">
        <v>612</v>
      </c>
      <c r="E28" s="24">
        <f>A3</f>
        <v>2</v>
      </c>
      <c r="F28" s="122">
        <f ca="1">(I28+J28)*1.1+30</f>
        <v>2708.90865</v>
      </c>
      <c r="G28" s="99">
        <v>23.61</v>
      </c>
      <c r="H28" s="99">
        <v>5</v>
      </c>
      <c r="I28" s="41">
        <f ca="1">G28*H28*'21米（人字203料）参数'!E15*1.1</f>
        <v>2246.4915</v>
      </c>
      <c r="J28" s="41">
        <f>23.61*2*4</f>
        <v>188.88</v>
      </c>
      <c r="K28" s="41">
        <v>30</v>
      </c>
      <c r="L28" s="41"/>
      <c r="M28" s="41"/>
      <c r="N28" s="23" t="s">
        <v>1518</v>
      </c>
      <c r="O28" s="207">
        <v>1</v>
      </c>
      <c r="P28" s="57">
        <f ca="1" t="shared" si="0"/>
        <v>2708.90865</v>
      </c>
      <c r="Q28" s="57">
        <f t="shared" si="1"/>
        <v>1</v>
      </c>
      <c r="R28" s="57">
        <f ca="1" t="shared" si="2"/>
        <v>2708.90865</v>
      </c>
      <c r="S28" s="84"/>
      <c r="T28" s="84"/>
      <c r="U28" s="84"/>
    </row>
    <row r="29" s="204" customFormat="1" ht="14.1" customHeight="1" spans="1:21">
      <c r="A29" s="153"/>
      <c r="B29" s="91" t="s">
        <v>1368</v>
      </c>
      <c r="C29" s="23"/>
      <c r="D29" s="23" t="s">
        <v>664</v>
      </c>
      <c r="E29" s="24">
        <f>F3</f>
        <v>2</v>
      </c>
      <c r="F29" s="122">
        <f ca="1">(I29+J29)*1.1+15</f>
        <v>1024.356502</v>
      </c>
      <c r="G29" s="148">
        <v>10.7</v>
      </c>
      <c r="H29" s="154">
        <v>4.62</v>
      </c>
      <c r="I29" s="101">
        <f ca="1">G29*H29*'21米（人字203料）参数'!E14*1.1</f>
        <v>777.59682</v>
      </c>
      <c r="J29" s="101">
        <f>17.5*2*4</f>
        <v>140</v>
      </c>
      <c r="K29" s="101">
        <v>15</v>
      </c>
      <c r="L29" s="101"/>
      <c r="M29" s="101"/>
      <c r="N29" s="127" t="s">
        <v>1519</v>
      </c>
      <c r="O29" s="23">
        <v>2</v>
      </c>
      <c r="P29" s="57">
        <f ca="1" t="shared" si="0"/>
        <v>2048.713004</v>
      </c>
      <c r="Q29" s="57">
        <f t="shared" si="1"/>
        <v>0</v>
      </c>
      <c r="R29" s="57">
        <f ca="1" t="shared" si="2"/>
        <v>0</v>
      </c>
      <c r="S29" s="84"/>
      <c r="T29" s="84"/>
      <c r="U29" s="84"/>
    </row>
    <row r="30" s="204" customFormat="1" ht="14.1" customHeight="1" spans="1:21">
      <c r="A30" s="155"/>
      <c r="B30" s="91" t="s">
        <v>1520</v>
      </c>
      <c r="C30" s="23"/>
      <c r="D30" s="23" t="s">
        <v>664</v>
      </c>
      <c r="E30" s="24">
        <f>F3*2</f>
        <v>4</v>
      </c>
      <c r="F30" s="122">
        <f ca="1">(I30+J30)*1.1+15</f>
        <v>402.1678558</v>
      </c>
      <c r="G30" s="156">
        <v>3.97</v>
      </c>
      <c r="H30" s="157">
        <v>5.38</v>
      </c>
      <c r="I30" s="101">
        <f ca="1">G30*H30*'21米（人字203料）参数'!E14*1.1</f>
        <v>335.970778</v>
      </c>
      <c r="J30" s="71">
        <f>4*2*2</f>
        <v>16</v>
      </c>
      <c r="K30" s="71">
        <f>0.5*10</f>
        <v>5</v>
      </c>
      <c r="L30" s="71">
        <f>0.32*18</f>
        <v>5.76</v>
      </c>
      <c r="M30" s="71">
        <f>18*1</f>
        <v>18</v>
      </c>
      <c r="N30" s="120" t="s">
        <v>1521</v>
      </c>
      <c r="O30" s="23">
        <v>4</v>
      </c>
      <c r="P30" s="57">
        <f ca="1" t="shared" si="0"/>
        <v>1608.6714232</v>
      </c>
      <c r="Q30" s="57">
        <f t="shared" si="1"/>
        <v>0</v>
      </c>
      <c r="R30" s="57">
        <f ca="1" t="shared" si="2"/>
        <v>0</v>
      </c>
      <c r="S30" s="84"/>
      <c r="T30" s="84"/>
      <c r="U30" s="84"/>
    </row>
    <row r="31" s="204" customFormat="1" ht="14.1" customHeight="1" spans="1:21">
      <c r="A31" s="155"/>
      <c r="B31" s="91" t="s">
        <v>1370</v>
      </c>
      <c r="C31" s="23"/>
      <c r="D31" s="23" t="s">
        <v>664</v>
      </c>
      <c r="E31" s="24">
        <f>A3*2+F3*2</f>
        <v>8</v>
      </c>
      <c r="F31" s="101">
        <f ca="1">I31+J31+K30+L31+M31</f>
        <v>384.49012</v>
      </c>
      <c r="G31" s="156">
        <v>5.2</v>
      </c>
      <c r="H31" s="157">
        <v>3.97</v>
      </c>
      <c r="I31" s="101">
        <f ca="1">G31*H31*'21米（人字203料）参数'!E14*1.1+15</f>
        <v>339.73012</v>
      </c>
      <c r="J31" s="71">
        <f>4*2*2</f>
        <v>16</v>
      </c>
      <c r="K31" s="71">
        <f>0.5*10</f>
        <v>5</v>
      </c>
      <c r="L31" s="71">
        <f>0.32*18</f>
        <v>5.76</v>
      </c>
      <c r="M31" s="71">
        <f>18*1</f>
        <v>18</v>
      </c>
      <c r="N31" s="120" t="s">
        <v>1371</v>
      </c>
      <c r="O31" s="23">
        <v>6</v>
      </c>
      <c r="P31" s="57">
        <f ca="1" t="shared" si="0"/>
        <v>2306.94072</v>
      </c>
      <c r="Q31" s="57">
        <f t="shared" si="1"/>
        <v>2</v>
      </c>
      <c r="R31" s="57">
        <f ca="1" t="shared" si="2"/>
        <v>768.98024</v>
      </c>
      <c r="S31" s="84"/>
      <c r="T31" s="84"/>
      <c r="U31" s="84"/>
    </row>
    <row r="32" s="204" customFormat="1" ht="14.1" customHeight="1" spans="1:21">
      <c r="A32" s="20" t="s">
        <v>1235</v>
      </c>
      <c r="B32" s="138" t="s">
        <v>589</v>
      </c>
      <c r="C32" s="23"/>
      <c r="D32" s="23" t="s">
        <v>434</v>
      </c>
      <c r="E32" s="24">
        <f>D3*10+F3*2+E23*2</f>
        <v>44</v>
      </c>
      <c r="F32" s="101">
        <v>2.15</v>
      </c>
      <c r="G32" s="154"/>
      <c r="H32" s="154"/>
      <c r="I32" s="101"/>
      <c r="J32" s="101"/>
      <c r="K32" s="101"/>
      <c r="L32" s="101"/>
      <c r="M32" s="101"/>
      <c r="N32" s="120" t="s">
        <v>1372</v>
      </c>
      <c r="O32" s="23">
        <v>34</v>
      </c>
      <c r="P32" s="57">
        <f ca="1" t="shared" si="0"/>
        <v>73.1</v>
      </c>
      <c r="Q32" s="57">
        <f t="shared" si="1"/>
        <v>10</v>
      </c>
      <c r="R32" s="57">
        <f ca="1" t="shared" si="2"/>
        <v>21.5</v>
      </c>
      <c r="S32" s="84"/>
      <c r="T32" s="84"/>
      <c r="U32" s="84"/>
    </row>
    <row r="33" s="204" customFormat="1" ht="14.1" customHeight="1" spans="1:21">
      <c r="A33" s="20"/>
      <c r="B33" s="109" t="s">
        <v>591</v>
      </c>
      <c r="C33" s="23"/>
      <c r="D33" s="23" t="s">
        <v>434</v>
      </c>
      <c r="E33" s="24">
        <f>D3*2+E23+E15</f>
        <v>16</v>
      </c>
      <c r="F33" s="101">
        <v>2.55</v>
      </c>
      <c r="G33" s="154"/>
      <c r="H33" s="154"/>
      <c r="I33" s="101"/>
      <c r="J33" s="101"/>
      <c r="K33" s="101"/>
      <c r="L33" s="101"/>
      <c r="M33" s="101"/>
      <c r="N33" s="120" t="s">
        <v>1373</v>
      </c>
      <c r="O33" s="43">
        <v>14</v>
      </c>
      <c r="P33" s="57">
        <f ca="1" t="shared" si="0"/>
        <v>35.7</v>
      </c>
      <c r="Q33" s="57">
        <f t="shared" si="1"/>
        <v>2</v>
      </c>
      <c r="R33" s="57">
        <f ca="1" t="shared" si="2"/>
        <v>5.1</v>
      </c>
      <c r="S33" s="84"/>
      <c r="T33" s="84"/>
      <c r="U33" s="84"/>
    </row>
    <row r="34" s="204" customFormat="1" ht="14.1" customHeight="1" spans="1:21">
      <c r="A34" s="20"/>
      <c r="B34" s="159" t="s">
        <v>1423</v>
      </c>
      <c r="C34" s="43"/>
      <c r="D34" s="43" t="s">
        <v>434</v>
      </c>
      <c r="E34" s="44">
        <f>D3*2+4</f>
        <v>10</v>
      </c>
      <c r="F34" s="39">
        <v>1.95</v>
      </c>
      <c r="G34" s="160"/>
      <c r="H34" s="160"/>
      <c r="I34" s="39"/>
      <c r="J34" s="39"/>
      <c r="K34" s="39"/>
      <c r="L34" s="39"/>
      <c r="M34" s="39"/>
      <c r="N34" s="120" t="s">
        <v>1375</v>
      </c>
      <c r="O34" s="23">
        <v>8</v>
      </c>
      <c r="P34" s="57">
        <f ca="1" t="shared" si="0"/>
        <v>15.6</v>
      </c>
      <c r="Q34" s="57">
        <f t="shared" si="1"/>
        <v>2</v>
      </c>
      <c r="R34" s="57">
        <f ca="1" t="shared" si="2"/>
        <v>3.9</v>
      </c>
      <c r="S34" s="84"/>
      <c r="T34" s="84"/>
      <c r="U34" s="84"/>
    </row>
    <row r="35" s="204" customFormat="1" ht="14.1" customHeight="1" spans="1:21">
      <c r="A35" s="20"/>
      <c r="B35" s="109" t="s">
        <v>554</v>
      </c>
      <c r="C35" s="23"/>
      <c r="D35" s="23" t="s">
        <v>555</v>
      </c>
      <c r="E35" s="28">
        <f>E21+E22+E15</f>
        <v>17</v>
      </c>
      <c r="F35" s="101">
        <v>1.46</v>
      </c>
      <c r="G35" s="154"/>
      <c r="H35" s="154"/>
      <c r="I35" s="101"/>
      <c r="J35" s="101"/>
      <c r="K35" s="101"/>
      <c r="L35" s="101"/>
      <c r="M35" s="101"/>
      <c r="N35" s="120" t="s">
        <v>1376</v>
      </c>
      <c r="O35" s="23">
        <v>15</v>
      </c>
      <c r="P35" s="57">
        <f ca="1" t="shared" si="0"/>
        <v>21.9</v>
      </c>
      <c r="Q35" s="57">
        <f t="shared" si="1"/>
        <v>2</v>
      </c>
      <c r="R35" s="57">
        <f ca="1" t="shared" si="2"/>
        <v>2.92</v>
      </c>
      <c r="S35" s="84"/>
      <c r="T35" s="84"/>
      <c r="U35" s="84"/>
    </row>
    <row r="36" spans="15:18">
      <c r="O36" s="84" t="s">
        <v>1218</v>
      </c>
      <c r="P36" s="3">
        <f ca="1">SUM(P6:P35)</f>
        <v>35264.7647071344</v>
      </c>
      <c r="Q36" s="3" t="s">
        <v>1219</v>
      </c>
      <c r="R36" s="3">
        <f ca="1">SUM(R6:R35)</f>
        <v>12969.986583944</v>
      </c>
    </row>
    <row r="37" spans="2:2">
      <c r="B37" s="50" t="s">
        <v>1221</v>
      </c>
    </row>
    <row r="38" spans="15:16">
      <c r="O38" s="50" t="s">
        <v>1377</v>
      </c>
      <c r="P38" s="3">
        <f ca="1">P36+R36</f>
        <v>48234.7512910784</v>
      </c>
    </row>
    <row r="39" spans="2:16">
      <c r="B39" s="52"/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2"/>
      <c r="O39" s="50" t="s">
        <v>14</v>
      </c>
      <c r="P39" s="3">
        <f ca="1">P38/E2</f>
        <v>229.689291862278</v>
      </c>
    </row>
    <row r="40" spans="2:13">
      <c r="B40" s="54"/>
      <c r="C40" s="54"/>
      <c r="D40" s="54"/>
      <c r="E40" s="54"/>
      <c r="F40" s="54"/>
      <c r="G40" s="53"/>
      <c r="H40" s="53"/>
      <c r="I40" s="53"/>
      <c r="J40" s="53"/>
      <c r="K40" s="53"/>
      <c r="L40" s="53"/>
      <c r="M40" s="53"/>
    </row>
    <row r="41" spans="2:13">
      <c r="B41" s="54"/>
      <c r="C41" s="54"/>
      <c r="D41" s="54"/>
      <c r="E41" s="54"/>
      <c r="F41" s="54"/>
      <c r="G41" s="53"/>
      <c r="H41" s="53"/>
      <c r="I41" s="53"/>
      <c r="J41" s="53"/>
      <c r="K41" s="53"/>
      <c r="L41" s="53"/>
      <c r="M41" s="53"/>
    </row>
    <row r="42" spans="2:13">
      <c r="B42" s="54"/>
      <c r="C42" s="54"/>
      <c r="D42" s="54"/>
      <c r="E42" s="54"/>
      <c r="F42" s="54"/>
      <c r="G42" s="53"/>
      <c r="H42" s="53"/>
      <c r="I42" s="53"/>
      <c r="J42" s="53"/>
      <c r="K42" s="53"/>
      <c r="L42" s="53"/>
      <c r="M42" s="53"/>
    </row>
    <row r="43" spans="2:13">
      <c r="B43" s="54"/>
      <c r="C43" s="54"/>
      <c r="D43" s="54"/>
      <c r="E43" s="54"/>
      <c r="F43" s="54"/>
      <c r="G43" s="53"/>
      <c r="H43" s="53"/>
      <c r="I43" s="53"/>
      <c r="J43" s="53"/>
      <c r="K43" s="53"/>
      <c r="L43" s="53"/>
      <c r="M43" s="53"/>
    </row>
    <row r="44" spans="2:13">
      <c r="B44" s="54"/>
      <c r="C44" s="54"/>
      <c r="D44" s="54"/>
      <c r="E44" s="54"/>
      <c r="F44" s="54"/>
      <c r="G44" s="53"/>
      <c r="H44" s="53"/>
      <c r="I44" s="53"/>
      <c r="J44" s="53"/>
      <c r="K44" s="53"/>
      <c r="L44" s="53"/>
      <c r="M44" s="53"/>
    </row>
    <row r="45" spans="2:13">
      <c r="B45" s="54"/>
      <c r="C45" s="54"/>
      <c r="D45" s="54"/>
      <c r="E45" s="54"/>
      <c r="F45" s="54"/>
      <c r="G45" s="53"/>
      <c r="H45" s="53"/>
      <c r="I45" s="53"/>
      <c r="J45" s="53"/>
      <c r="K45" s="53"/>
      <c r="L45" s="53"/>
      <c r="M45" s="53"/>
    </row>
  </sheetData>
  <mergeCells count="12">
    <mergeCell ref="A1:N1"/>
    <mergeCell ref="A2:C2"/>
    <mergeCell ref="F2:N2"/>
    <mergeCell ref="A3:B3"/>
    <mergeCell ref="H3:N3"/>
    <mergeCell ref="A4:F4"/>
    <mergeCell ref="G4:H4"/>
    <mergeCell ref="I4:M4"/>
    <mergeCell ref="A6:A19"/>
    <mergeCell ref="A20:A27"/>
    <mergeCell ref="A28:A31"/>
    <mergeCell ref="A32:A35"/>
  </mergeCells>
  <dataValidations count="4">
    <dataValidation type="list" allowBlank="1" showInputMessage="1" showErrorMessage="1" sqref="B28">
      <formula1>"顶布[白]{全新},顶布[白]{A类},顶布[白]{B类},顶布[白]{C类},顶布[白]{D类}"</formula1>
    </dataValidation>
    <dataValidation type="list" allowBlank="1" showInputMessage="1" showErrorMessage="1" sqref="B29">
      <formula1>"山尖布[白]{全新},山尖布[白]{A类},山尖布[白]{B类},山尖布[白]{C类},山尖布[白]{D类}"</formula1>
    </dataValidation>
    <dataValidation allowBlank="1" showInputMessage="1" showErrorMessage="1" sqref="B30"/>
    <dataValidation type="list" allowBlank="1" showInputMessage="1" showErrorMessage="1" sqref="B31">
      <formula1>"围布[白]{全新},围布[白]{A类},围布[白]{B类},围布[白]{C类},围布[白]{D类},透光窗围布[白]{全新},透光窗围布[白]{A类},透光窗围布[白]{B类},透光窗围布[白]{C类},透光窗围布[白]{D类}"</formula1>
    </dataValidation>
  </dataValidations>
  <printOptions horizontalCentered="1"/>
  <pageMargins left="0.238888888888889" right="0.11875" top="0.159027777777778" bottom="0.259027777777778" header="0.159027777777778" footer="0.2"/>
  <pageSetup paperSize="9" orientation="portrait"/>
  <headerFooter alignWithMargins="0" scaleWithDoc="0">
    <oddFooter>&amp;L&amp;"SimSun"&amp;9&amp;C&amp;"SimSun"&amp;9第 &amp;P 页，共 &amp;N 页&amp;R&amp;"SimSun"&amp;9</oddFooter>
  </headerFooter>
</worksheet>
</file>

<file path=xl/worksheets/sheet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FFFF00"/>
  </sheetPr>
  <dimension ref="A1:R39"/>
  <sheetViews>
    <sheetView showGridLines="0" workbookViewId="0">
      <selection activeCell="F12" sqref="F12"/>
    </sheetView>
  </sheetViews>
  <sheetFormatPr defaultColWidth="9" defaultRowHeight="14.25"/>
  <cols>
    <col min="1" max="1" width="2.75" style="1" customWidth="1"/>
    <col min="2" max="2" width="16.25" style="1" customWidth="1"/>
    <col min="3" max="5" width="9" style="1"/>
    <col min="6" max="6" width="9" style="1" customWidth="1"/>
    <col min="7" max="8" width="10" style="1" customWidth="1"/>
    <col min="9" max="13" width="11.625" style="1" customWidth="1"/>
    <col min="14" max="14" width="72.875" style="1" customWidth="1"/>
    <col min="15" max="16384" width="9" style="1"/>
  </cols>
  <sheetData>
    <row r="1" ht="18.75" spans="1:18">
      <c r="A1" s="72" t="s">
        <v>1527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161"/>
      <c r="P1" s="3"/>
      <c r="Q1" s="3"/>
      <c r="R1" s="3"/>
    </row>
    <row r="2" spans="1:18">
      <c r="A2" s="141" t="s">
        <v>1246</v>
      </c>
      <c r="B2" s="142"/>
      <c r="C2" s="142"/>
      <c r="D2" s="9" t="s">
        <v>1198</v>
      </c>
      <c r="E2" s="176">
        <f>A3*5*21</f>
        <v>210</v>
      </c>
      <c r="F2" s="11"/>
      <c r="G2" s="11"/>
      <c r="H2" s="11"/>
      <c r="I2" s="11"/>
      <c r="J2" s="11"/>
      <c r="K2" s="11"/>
      <c r="L2" s="11"/>
      <c r="M2" s="11"/>
      <c r="N2" s="11"/>
      <c r="O2" s="162"/>
      <c r="P2" s="3"/>
      <c r="Q2" s="55"/>
      <c r="R2" s="55"/>
    </row>
    <row r="3" spans="1:18">
      <c r="A3" s="177">
        <v>2</v>
      </c>
      <c r="B3" s="177"/>
      <c r="C3" s="178" t="s">
        <v>1247</v>
      </c>
      <c r="D3" s="179">
        <v>3</v>
      </c>
      <c r="E3" s="180" t="s">
        <v>1248</v>
      </c>
      <c r="F3" s="12">
        <v>2</v>
      </c>
      <c r="G3" s="11" t="s">
        <v>1249</v>
      </c>
      <c r="H3" s="12"/>
      <c r="I3" s="12"/>
      <c r="J3" s="12"/>
      <c r="K3" s="12"/>
      <c r="L3" s="12"/>
      <c r="M3" s="12"/>
      <c r="N3" s="12"/>
      <c r="O3" s="162"/>
      <c r="P3" s="3"/>
      <c r="Q3" s="55"/>
      <c r="R3" s="55"/>
    </row>
    <row r="4" spans="1:18">
      <c r="A4" s="190"/>
      <c r="B4" s="128"/>
      <c r="C4" s="128"/>
      <c r="D4" s="128"/>
      <c r="E4" s="128"/>
      <c r="F4" s="128"/>
      <c r="G4" s="180" t="s">
        <v>1345</v>
      </c>
      <c r="H4" s="191"/>
      <c r="I4" s="198" t="s">
        <v>1346</v>
      </c>
      <c r="J4" s="199"/>
      <c r="K4" s="199"/>
      <c r="L4" s="199"/>
      <c r="M4" s="200"/>
      <c r="N4" s="201"/>
      <c r="O4" s="162"/>
      <c r="P4" s="3"/>
      <c r="Q4" s="55"/>
      <c r="R4" s="55"/>
    </row>
    <row r="5" ht="24" spans="1:18">
      <c r="A5" s="146" t="s">
        <v>1200</v>
      </c>
      <c r="B5" s="146" t="s">
        <v>1201</v>
      </c>
      <c r="C5" s="146" t="s">
        <v>1250</v>
      </c>
      <c r="D5" s="146" t="s">
        <v>22</v>
      </c>
      <c r="E5" s="147" t="s">
        <v>1251</v>
      </c>
      <c r="F5" s="75" t="s">
        <v>1204</v>
      </c>
      <c r="G5" s="19" t="s">
        <v>1205</v>
      </c>
      <c r="H5" s="17" t="s">
        <v>1253</v>
      </c>
      <c r="I5" s="17" t="s">
        <v>1254</v>
      </c>
      <c r="J5" s="17" t="s">
        <v>1255</v>
      </c>
      <c r="K5" s="17" t="s">
        <v>1209</v>
      </c>
      <c r="L5" s="17" t="s">
        <v>1420</v>
      </c>
      <c r="M5" s="17" t="s">
        <v>1211</v>
      </c>
      <c r="N5" s="163" t="s">
        <v>1257</v>
      </c>
      <c r="O5" s="164" t="s">
        <v>1212</v>
      </c>
      <c r="P5" s="165" t="s">
        <v>1213</v>
      </c>
      <c r="Q5" s="165" t="s">
        <v>1214</v>
      </c>
      <c r="R5" s="75" t="s">
        <v>1213</v>
      </c>
    </row>
    <row r="6" ht="12.95" customHeight="1" spans="1:18">
      <c r="A6" s="20" t="s">
        <v>1215</v>
      </c>
      <c r="B6" s="91" t="s">
        <v>1224</v>
      </c>
      <c r="C6" s="23"/>
      <c r="D6" s="23" t="s">
        <v>28</v>
      </c>
      <c r="E6" s="24">
        <f>D3*2</f>
        <v>6</v>
      </c>
      <c r="F6" s="93">
        <f ca="1">I6+J6+K6+L6+M6</f>
        <v>1104.300437392</v>
      </c>
      <c r="G6" s="94">
        <v>4.58</v>
      </c>
      <c r="H6" s="94">
        <v>8.233</v>
      </c>
      <c r="I6" s="93">
        <f ca="1">G6*H6*'21米（人字203料）参数'!G3*1.1</f>
        <v>939.390437392</v>
      </c>
      <c r="J6" s="93">
        <f>48.55*2</f>
        <v>97.1</v>
      </c>
      <c r="K6" s="93">
        <v>45.91</v>
      </c>
      <c r="L6" s="93">
        <f>2.55*4</f>
        <v>10.2</v>
      </c>
      <c r="M6" s="93">
        <f>18*0.65</f>
        <v>11.7</v>
      </c>
      <c r="N6" s="166" t="s">
        <v>1502</v>
      </c>
      <c r="O6" s="167">
        <v>4</v>
      </c>
      <c r="P6" s="67">
        <f ca="1" t="shared" ref="P6:P35" si="0">F6*O6</f>
        <v>4417.201749568</v>
      </c>
      <c r="Q6" s="67">
        <f t="shared" ref="Q6:Q35" si="1">E6-O6</f>
        <v>2</v>
      </c>
      <c r="R6" s="67">
        <f ca="1">F6*Q6</f>
        <v>2208.600874784</v>
      </c>
    </row>
    <row r="7" ht="12.95" customHeight="1" spans="1:18">
      <c r="A7" s="20"/>
      <c r="B7" s="91" t="s">
        <v>1308</v>
      </c>
      <c r="C7" s="23"/>
      <c r="D7" s="23" t="s">
        <v>28</v>
      </c>
      <c r="E7" s="24">
        <f>F3*2</f>
        <v>4</v>
      </c>
      <c r="F7" s="101">
        <f ca="1">G7+H7+I7+J7+K7+L7+M7</f>
        <v>904.44704</v>
      </c>
      <c r="G7" s="148">
        <v>6</v>
      </c>
      <c r="H7" s="148">
        <v>5.3</v>
      </c>
      <c r="I7" s="101">
        <f ca="1">G7*H7*'21米（人字203料）参数'!G3*1.1</f>
        <v>792.22704</v>
      </c>
      <c r="J7" s="101"/>
      <c r="K7" s="101">
        <f>49.51+41.21</f>
        <v>90.72</v>
      </c>
      <c r="L7" s="101">
        <f>2.55*4</f>
        <v>10.2</v>
      </c>
      <c r="M7" s="101"/>
      <c r="N7" s="166" t="s">
        <v>1427</v>
      </c>
      <c r="O7" s="167">
        <v>4</v>
      </c>
      <c r="P7" s="67">
        <f ca="1" t="shared" si="0"/>
        <v>3617.78816</v>
      </c>
      <c r="Q7" s="67">
        <f t="shared" si="1"/>
        <v>0</v>
      </c>
      <c r="R7" s="67">
        <f ca="1">F7*Q7</f>
        <v>0</v>
      </c>
    </row>
    <row r="8" ht="12.95" customHeight="1" spans="1:18">
      <c r="A8" s="20"/>
      <c r="B8" s="91" t="s">
        <v>1435</v>
      </c>
      <c r="C8" s="23"/>
      <c r="D8" s="23" t="s">
        <v>28</v>
      </c>
      <c r="E8" s="24">
        <f>F3</f>
        <v>2</v>
      </c>
      <c r="F8" s="101">
        <f ca="1">G8+H8+I8+J8+K8+L8+M8</f>
        <v>1064.092448</v>
      </c>
      <c r="G8" s="148">
        <v>7.2</v>
      </c>
      <c r="H8" s="148">
        <v>5.3</v>
      </c>
      <c r="I8" s="101">
        <f ca="1">G8*H8*'21米（人字203料）参数'!G3*1.1</f>
        <v>950.672448</v>
      </c>
      <c r="J8" s="101"/>
      <c r="K8" s="101">
        <f>49.51+41.21</f>
        <v>90.72</v>
      </c>
      <c r="L8" s="101">
        <f>2.55*4</f>
        <v>10.2</v>
      </c>
      <c r="M8" s="101"/>
      <c r="N8" s="166" t="s">
        <v>1490</v>
      </c>
      <c r="O8" s="167">
        <v>2</v>
      </c>
      <c r="P8" s="67">
        <f ca="1" t="shared" si="0"/>
        <v>2128.184896</v>
      </c>
      <c r="Q8" s="67">
        <f t="shared" si="1"/>
        <v>0</v>
      </c>
      <c r="R8" s="67">
        <f ca="1" t="shared" ref="R8:R35" si="2">F8*Q8</f>
        <v>0</v>
      </c>
    </row>
    <row r="9" ht="12.95" customHeight="1" spans="1:18">
      <c r="A9" s="20"/>
      <c r="B9" s="91" t="s">
        <v>1350</v>
      </c>
      <c r="C9" s="23"/>
      <c r="D9" s="23" t="s">
        <v>28</v>
      </c>
      <c r="E9" s="24">
        <f>D3*2</f>
        <v>6</v>
      </c>
      <c r="F9" s="61">
        <f ca="1">I9+J9+K9+L9+M9</f>
        <v>2337.04932288</v>
      </c>
      <c r="G9" s="95">
        <v>11.2</v>
      </c>
      <c r="H9" s="95">
        <v>8.233</v>
      </c>
      <c r="I9" s="61">
        <f ca="1">G9*H9*'21米（人字203料）参数'!G3*1.1</f>
        <v>2297.19932288</v>
      </c>
      <c r="J9" s="61">
        <f>2.5*8</f>
        <v>20</v>
      </c>
      <c r="K9" s="61">
        <v>11.85</v>
      </c>
      <c r="L9" s="61">
        <f>1*8</f>
        <v>8</v>
      </c>
      <c r="M9" s="61"/>
      <c r="N9" s="116" t="s">
        <v>1506</v>
      </c>
      <c r="O9" s="167">
        <v>4</v>
      </c>
      <c r="P9" s="67">
        <f ca="1" t="shared" si="0"/>
        <v>9348.19729152</v>
      </c>
      <c r="Q9" s="67">
        <f t="shared" si="1"/>
        <v>2</v>
      </c>
      <c r="R9" s="67">
        <f ca="1" t="shared" si="2"/>
        <v>4674.09864576</v>
      </c>
    </row>
    <row r="10" ht="12.95" customHeight="1" spans="1:18">
      <c r="A10" s="20"/>
      <c r="B10" s="91" t="s">
        <v>1226</v>
      </c>
      <c r="C10" s="23"/>
      <c r="D10" s="23" t="s">
        <v>28</v>
      </c>
      <c r="E10" s="24">
        <f>A3*6</f>
        <v>12</v>
      </c>
      <c r="F10" s="101">
        <f ca="1">I10+J10+K10+L10+M10</f>
        <v>195.0929650432</v>
      </c>
      <c r="G10" s="148">
        <v>4.882</v>
      </c>
      <c r="H10" s="148">
        <v>1.552</v>
      </c>
      <c r="I10" s="101">
        <f ca="1">G10*H10*'21米（人字203料）参数'!G5*1.1</f>
        <v>180.0929650432</v>
      </c>
      <c r="J10" s="101"/>
      <c r="K10" s="101"/>
      <c r="L10" s="101">
        <f>0.5*4</f>
        <v>2</v>
      </c>
      <c r="M10" s="101">
        <f>6.5*2</f>
        <v>13</v>
      </c>
      <c r="N10" s="120" t="s">
        <v>1352</v>
      </c>
      <c r="O10" s="167">
        <v>6</v>
      </c>
      <c r="P10" s="67">
        <f ca="1" t="shared" si="0"/>
        <v>1170.5577902592</v>
      </c>
      <c r="Q10" s="67">
        <f t="shared" si="1"/>
        <v>6</v>
      </c>
      <c r="R10" s="67">
        <f ca="1" t="shared" si="2"/>
        <v>1170.5577902592</v>
      </c>
    </row>
    <row r="11" ht="12.95" customHeight="1" spans="1:18">
      <c r="A11" s="20"/>
      <c r="B11" s="91" t="s">
        <v>1264</v>
      </c>
      <c r="C11" s="23"/>
      <c r="D11" s="23" t="s">
        <v>28</v>
      </c>
      <c r="E11" s="24">
        <f>A3*3</f>
        <v>6</v>
      </c>
      <c r="F11" s="101">
        <f ca="1">I11+J11+K11+L11+M11</f>
        <v>336.5448493136</v>
      </c>
      <c r="G11" s="148">
        <v>4.882</v>
      </c>
      <c r="H11" s="148">
        <v>2.771</v>
      </c>
      <c r="I11" s="101">
        <f ca="1">G11*H11*'21米（人字203料）参数'!G5*1.1</f>
        <v>321.5448493136</v>
      </c>
      <c r="J11" s="101"/>
      <c r="K11" s="101"/>
      <c r="L11" s="101">
        <f>0.5*4</f>
        <v>2</v>
      </c>
      <c r="M11" s="101">
        <f>6.5*2</f>
        <v>13</v>
      </c>
      <c r="N11" s="120" t="s">
        <v>1353</v>
      </c>
      <c r="O11" s="169">
        <v>3</v>
      </c>
      <c r="P11" s="67">
        <f ca="1" t="shared" si="0"/>
        <v>1009.6345479408</v>
      </c>
      <c r="Q11" s="67">
        <f t="shared" si="1"/>
        <v>3</v>
      </c>
      <c r="R11" s="67">
        <f ca="1" t="shared" si="2"/>
        <v>1009.6345479408</v>
      </c>
    </row>
    <row r="12" ht="12.95" customHeight="1" spans="1:18">
      <c r="A12" s="20"/>
      <c r="B12" s="91" t="s">
        <v>1266</v>
      </c>
      <c r="C12" s="23"/>
      <c r="D12" s="23" t="s">
        <v>28</v>
      </c>
      <c r="E12" s="24">
        <f>A3*2+F3*2</f>
        <v>8</v>
      </c>
      <c r="F12" s="101">
        <f ca="1">'数据修改（批量）'!A28</f>
        <v>95</v>
      </c>
      <c r="G12" s="148">
        <v>4.86</v>
      </c>
      <c r="H12" s="148">
        <v>1.345</v>
      </c>
      <c r="I12" s="101">
        <f ca="1">G12*H12*'21米（人字203料）参数'!G5*1.1</f>
        <v>155.36951496</v>
      </c>
      <c r="J12" s="101"/>
      <c r="K12" s="101"/>
      <c r="L12" s="101"/>
      <c r="M12" s="101"/>
      <c r="N12" s="120" t="s">
        <v>1354</v>
      </c>
      <c r="O12" s="169">
        <v>6</v>
      </c>
      <c r="P12" s="67">
        <f ca="1" t="shared" si="0"/>
        <v>570</v>
      </c>
      <c r="Q12" s="67">
        <f t="shared" si="1"/>
        <v>2</v>
      </c>
      <c r="R12" s="67">
        <f ca="1" t="shared" si="2"/>
        <v>190</v>
      </c>
    </row>
    <row r="13" ht="12.95" customHeight="1" spans="1:18">
      <c r="A13" s="20"/>
      <c r="B13" s="91" t="s">
        <v>1514</v>
      </c>
      <c r="C13" s="23"/>
      <c r="D13" s="23" t="s">
        <v>28</v>
      </c>
      <c r="E13" s="24">
        <f>F3*2</f>
        <v>4</v>
      </c>
      <c r="F13" s="101">
        <f ca="1">I13+J13+K13+L13+M13</f>
        <v>369.674111748</v>
      </c>
      <c r="G13" s="192">
        <v>5.385</v>
      </c>
      <c r="H13" s="148">
        <v>2.771</v>
      </c>
      <c r="I13" s="202">
        <f ca="1">G13*H13*'21米（人字203料）参数'!G5*1.1</f>
        <v>354.674111748</v>
      </c>
      <c r="J13" s="101"/>
      <c r="K13" s="101"/>
      <c r="L13" s="101">
        <f>0.5*4</f>
        <v>2</v>
      </c>
      <c r="M13" s="101">
        <f>6.5*2</f>
        <v>13</v>
      </c>
      <c r="N13" s="120" t="s">
        <v>1515</v>
      </c>
      <c r="O13" s="167">
        <v>4</v>
      </c>
      <c r="P13" s="67">
        <f ca="1" t="shared" si="0"/>
        <v>1478.696446992</v>
      </c>
      <c r="Q13" s="67">
        <f t="shared" si="1"/>
        <v>0</v>
      </c>
      <c r="R13" s="67">
        <f ca="1" t="shared" si="2"/>
        <v>0</v>
      </c>
    </row>
    <row r="14" ht="12.95" customHeight="1" spans="1:18">
      <c r="A14" s="20"/>
      <c r="B14" s="91" t="s">
        <v>1516</v>
      </c>
      <c r="C14" s="23"/>
      <c r="D14" s="23" t="s">
        <v>28</v>
      </c>
      <c r="E14" s="24">
        <f>F3*2</f>
        <v>4</v>
      </c>
      <c r="F14" s="101">
        <v>102.22</v>
      </c>
      <c r="G14" s="192">
        <v>5.36</v>
      </c>
      <c r="H14" s="148">
        <v>1.345</v>
      </c>
      <c r="I14" s="101">
        <f ca="1">G14*H14*'21米（人字203料）参数'!G5*1.1</f>
        <v>171.35403296</v>
      </c>
      <c r="J14" s="101"/>
      <c r="K14" s="101"/>
      <c r="L14" s="101"/>
      <c r="M14" s="101"/>
      <c r="N14" s="120" t="s">
        <v>1517</v>
      </c>
      <c r="O14" s="167">
        <v>4</v>
      </c>
      <c r="P14" s="67">
        <f ca="1" t="shared" si="0"/>
        <v>408.88</v>
      </c>
      <c r="Q14" s="67">
        <f t="shared" si="1"/>
        <v>0</v>
      </c>
      <c r="R14" s="67">
        <f ca="1" t="shared" si="2"/>
        <v>0</v>
      </c>
    </row>
    <row r="15" ht="12.95" customHeight="1" spans="1:18">
      <c r="A15" s="20"/>
      <c r="B15" s="91" t="s">
        <v>1272</v>
      </c>
      <c r="C15" s="23"/>
      <c r="D15" s="23" t="s">
        <v>28</v>
      </c>
      <c r="E15" s="30">
        <v>5</v>
      </c>
      <c r="F15" s="101">
        <f>I15+J15+K15+L15+M15</f>
        <v>124.5</v>
      </c>
      <c r="G15" s="148"/>
      <c r="H15" s="148"/>
      <c r="I15" s="101">
        <v>110</v>
      </c>
      <c r="J15" s="101">
        <v>6.5</v>
      </c>
      <c r="K15" s="101">
        <v>4</v>
      </c>
      <c r="L15" s="101">
        <v>3</v>
      </c>
      <c r="M15" s="101">
        <v>1</v>
      </c>
      <c r="N15" s="120" t="s">
        <v>1355</v>
      </c>
      <c r="O15" s="167">
        <v>4</v>
      </c>
      <c r="P15" s="67">
        <f ca="1" t="shared" si="0"/>
        <v>498</v>
      </c>
      <c r="Q15" s="67">
        <f t="shared" si="1"/>
        <v>1</v>
      </c>
      <c r="R15" s="67">
        <f ca="1" t="shared" si="2"/>
        <v>124.5</v>
      </c>
    </row>
    <row r="16" ht="12.95" customHeight="1" spans="1:18">
      <c r="A16" s="20"/>
      <c r="B16" s="91" t="s">
        <v>1356</v>
      </c>
      <c r="C16" s="23"/>
      <c r="D16" s="23" t="s">
        <v>28</v>
      </c>
      <c r="E16" s="24">
        <f>F3</f>
        <v>2</v>
      </c>
      <c r="F16" s="101">
        <f ca="1">I16+J16+K16+L16+M16</f>
        <v>90.133</v>
      </c>
      <c r="G16" s="148">
        <v>3.75</v>
      </c>
      <c r="H16" s="148">
        <v>1</v>
      </c>
      <c r="I16" s="101">
        <f ca="1">G16*H16*'21米（人字203料）参数'!G5*1.1</f>
        <v>89.133</v>
      </c>
      <c r="J16" s="101"/>
      <c r="K16" s="101"/>
      <c r="L16" s="101">
        <f>0.5*2</f>
        <v>1</v>
      </c>
      <c r="M16" s="101"/>
      <c r="N16" s="170" t="s">
        <v>1357</v>
      </c>
      <c r="O16" s="167">
        <v>2</v>
      </c>
      <c r="P16" s="67">
        <f ca="1" t="shared" si="0"/>
        <v>180.266</v>
      </c>
      <c r="Q16" s="67">
        <f t="shared" si="1"/>
        <v>0</v>
      </c>
      <c r="R16" s="67">
        <f ca="1" t="shared" si="2"/>
        <v>0</v>
      </c>
    </row>
    <row r="17" ht="12.95" customHeight="1" spans="1:18">
      <c r="A17" s="20"/>
      <c r="B17" s="91" t="s">
        <v>1276</v>
      </c>
      <c r="C17" s="23"/>
      <c r="D17" s="23" t="s">
        <v>28</v>
      </c>
      <c r="E17" s="28">
        <f>F3*2</f>
        <v>4</v>
      </c>
      <c r="F17" s="101">
        <f ca="1">I17+J17+K17+L17+M17</f>
        <v>348.2448493136</v>
      </c>
      <c r="G17" s="95">
        <v>4.882</v>
      </c>
      <c r="H17" s="95">
        <v>2.771</v>
      </c>
      <c r="I17" s="61">
        <f ca="1">G17*H17*'21米（人字203料）参数'!G5*1.1</f>
        <v>321.5448493136</v>
      </c>
      <c r="J17" s="61"/>
      <c r="K17" s="61">
        <v>15</v>
      </c>
      <c r="L17" s="61">
        <f>8*0.65</f>
        <v>5.2</v>
      </c>
      <c r="M17" s="61">
        <v>6.5</v>
      </c>
      <c r="N17" s="120" t="s">
        <v>1358</v>
      </c>
      <c r="O17" s="167">
        <v>4</v>
      </c>
      <c r="P17" s="67">
        <f ca="1" t="shared" si="0"/>
        <v>1392.9793972544</v>
      </c>
      <c r="Q17" s="67">
        <f t="shared" si="1"/>
        <v>0</v>
      </c>
      <c r="R17" s="67">
        <f ca="1" t="shared" si="2"/>
        <v>0</v>
      </c>
    </row>
    <row r="18" ht="12.95" customHeight="1" spans="1:18">
      <c r="A18" s="31"/>
      <c r="B18" s="193" t="s">
        <v>1485</v>
      </c>
      <c r="C18" s="43"/>
      <c r="D18" s="23" t="s">
        <v>28</v>
      </c>
      <c r="E18" s="44">
        <f>E30</f>
        <v>4</v>
      </c>
      <c r="F18" s="101">
        <f>I18+J18+K18+L18+M18</f>
        <v>17</v>
      </c>
      <c r="G18" s="194"/>
      <c r="H18" s="194"/>
      <c r="I18" s="203">
        <v>17</v>
      </c>
      <c r="J18" s="203"/>
      <c r="K18" s="203"/>
      <c r="L18" s="203"/>
      <c r="M18" s="203"/>
      <c r="N18" s="171"/>
      <c r="O18" s="167">
        <v>4</v>
      </c>
      <c r="P18" s="67">
        <f ca="1" t="shared" si="0"/>
        <v>68</v>
      </c>
      <c r="Q18" s="67">
        <f t="shared" si="1"/>
        <v>0</v>
      </c>
      <c r="R18" s="67">
        <f ca="1" t="shared" si="2"/>
        <v>0</v>
      </c>
    </row>
    <row r="19" ht="12.95" customHeight="1" spans="1:18">
      <c r="A19" s="31"/>
      <c r="B19" s="152" t="s">
        <v>1274</v>
      </c>
      <c r="C19" s="43"/>
      <c r="D19" s="43" t="s">
        <v>28</v>
      </c>
      <c r="E19" s="150">
        <f>A3*2+F3*2</f>
        <v>8</v>
      </c>
      <c r="F19" s="101">
        <f>(I19+J19+K19+L19+M19)</f>
        <v>20.4</v>
      </c>
      <c r="G19" s="151"/>
      <c r="H19" s="151"/>
      <c r="I19" s="39">
        <f>17*1.2</f>
        <v>20.4</v>
      </c>
      <c r="J19" s="39"/>
      <c r="K19" s="39"/>
      <c r="L19" s="39"/>
      <c r="M19" s="39"/>
      <c r="N19" s="171" t="s">
        <v>1359</v>
      </c>
      <c r="O19" s="169">
        <v>6</v>
      </c>
      <c r="P19" s="67">
        <f ca="1" t="shared" si="0"/>
        <v>122.4</v>
      </c>
      <c r="Q19" s="67">
        <f t="shared" si="1"/>
        <v>2</v>
      </c>
      <c r="R19" s="67">
        <f ca="1" t="shared" si="2"/>
        <v>40.8</v>
      </c>
    </row>
    <row r="20" ht="12.95" customHeight="1" spans="1:18">
      <c r="A20" s="20" t="s">
        <v>1278</v>
      </c>
      <c r="B20" s="91" t="s">
        <v>1304</v>
      </c>
      <c r="C20" s="23"/>
      <c r="D20" s="23" t="s">
        <v>434</v>
      </c>
      <c r="E20" s="24">
        <f>D3</f>
        <v>3</v>
      </c>
      <c r="F20" s="101">
        <v>180.62</v>
      </c>
      <c r="G20" s="151"/>
      <c r="H20" s="151"/>
      <c r="I20" s="39"/>
      <c r="J20" s="39"/>
      <c r="K20" s="39"/>
      <c r="L20" s="39"/>
      <c r="M20" s="39"/>
      <c r="N20" s="171" t="s">
        <v>1360</v>
      </c>
      <c r="O20" s="172">
        <v>2</v>
      </c>
      <c r="P20" s="67">
        <f ca="1" t="shared" si="0"/>
        <v>361.24</v>
      </c>
      <c r="Q20" s="67">
        <f t="shared" si="1"/>
        <v>1</v>
      </c>
      <c r="R20" s="67">
        <f ca="1" t="shared" si="2"/>
        <v>180.62</v>
      </c>
    </row>
    <row r="21" ht="12.95" customHeight="1" spans="1:18">
      <c r="A21" s="20"/>
      <c r="B21" s="91" t="s">
        <v>1310</v>
      </c>
      <c r="C21" s="23"/>
      <c r="D21" s="23" t="s">
        <v>434</v>
      </c>
      <c r="E21" s="24">
        <f>E7+E8</f>
        <v>6</v>
      </c>
      <c r="F21" s="101">
        <v>76.4</v>
      </c>
      <c r="G21" s="148"/>
      <c r="H21" s="148"/>
      <c r="I21" s="101"/>
      <c r="J21" s="101"/>
      <c r="K21" s="101"/>
      <c r="L21" s="101"/>
      <c r="M21" s="101"/>
      <c r="N21" s="120" t="s">
        <v>1361</v>
      </c>
      <c r="O21" s="167">
        <v>6</v>
      </c>
      <c r="P21" s="67">
        <f ca="1" t="shared" si="0"/>
        <v>458.4</v>
      </c>
      <c r="Q21" s="67">
        <f t="shared" si="1"/>
        <v>0</v>
      </c>
      <c r="R21" s="67">
        <f ca="1" t="shared" si="2"/>
        <v>0</v>
      </c>
    </row>
    <row r="22" ht="12.95" customHeight="1" spans="1:18">
      <c r="A22" s="20"/>
      <c r="B22" s="91" t="s">
        <v>1280</v>
      </c>
      <c r="C22" s="23"/>
      <c r="D22" s="23" t="s">
        <v>434</v>
      </c>
      <c r="E22" s="28">
        <f>E6</f>
        <v>6</v>
      </c>
      <c r="F22" s="61">
        <v>85.93</v>
      </c>
      <c r="G22" s="95"/>
      <c r="H22" s="95"/>
      <c r="I22" s="61"/>
      <c r="J22" s="61"/>
      <c r="K22" s="61"/>
      <c r="L22" s="61"/>
      <c r="M22" s="61"/>
      <c r="N22" s="173" t="s">
        <v>1361</v>
      </c>
      <c r="O22" s="167">
        <v>4</v>
      </c>
      <c r="P22" s="67">
        <f ca="1" t="shared" si="0"/>
        <v>343.72</v>
      </c>
      <c r="Q22" s="67">
        <f t="shared" si="1"/>
        <v>2</v>
      </c>
      <c r="R22" s="67">
        <f ca="1" t="shared" si="2"/>
        <v>171.86</v>
      </c>
    </row>
    <row r="23" ht="12.95" customHeight="1" spans="1:18">
      <c r="A23" s="20"/>
      <c r="B23" s="91" t="s">
        <v>1339</v>
      </c>
      <c r="C23" s="23"/>
      <c r="D23" s="23" t="s">
        <v>28</v>
      </c>
      <c r="E23" s="32">
        <f>E15</f>
        <v>5</v>
      </c>
      <c r="F23" s="101">
        <v>91.3</v>
      </c>
      <c r="G23" s="148"/>
      <c r="H23" s="148"/>
      <c r="I23" s="101"/>
      <c r="J23" s="101"/>
      <c r="K23" s="101"/>
      <c r="L23" s="101"/>
      <c r="M23" s="101"/>
      <c r="N23" s="120" t="s">
        <v>1362</v>
      </c>
      <c r="O23" s="167">
        <v>4</v>
      </c>
      <c r="P23" s="67">
        <f ca="1" t="shared" si="0"/>
        <v>365.2</v>
      </c>
      <c r="Q23" s="67">
        <f t="shared" si="1"/>
        <v>1</v>
      </c>
      <c r="R23" s="67">
        <f ca="1" t="shared" si="2"/>
        <v>91.3</v>
      </c>
    </row>
    <row r="24" ht="12.95" customHeight="1" spans="1:18">
      <c r="A24" s="20"/>
      <c r="B24" s="91" t="s">
        <v>1282</v>
      </c>
      <c r="C24" s="23"/>
      <c r="D24" s="23" t="s">
        <v>434</v>
      </c>
      <c r="E24" s="24">
        <f>D3*2+F3*3</f>
        <v>12</v>
      </c>
      <c r="F24" s="101">
        <v>4.45</v>
      </c>
      <c r="G24" s="148"/>
      <c r="H24" s="148"/>
      <c r="I24" s="101"/>
      <c r="J24" s="101"/>
      <c r="K24" s="101"/>
      <c r="L24" s="101"/>
      <c r="M24" s="101"/>
      <c r="N24" s="120" t="s">
        <v>1363</v>
      </c>
      <c r="O24" s="169">
        <v>10</v>
      </c>
      <c r="P24" s="67">
        <f ca="1" t="shared" si="0"/>
        <v>44.5</v>
      </c>
      <c r="Q24" s="67">
        <f t="shared" si="1"/>
        <v>2</v>
      </c>
      <c r="R24" s="67">
        <f ca="1" t="shared" si="2"/>
        <v>8.9</v>
      </c>
    </row>
    <row r="25" ht="12.95" customHeight="1" spans="1:18">
      <c r="A25" s="20"/>
      <c r="B25" s="91" t="s">
        <v>1284</v>
      </c>
      <c r="C25" s="23"/>
      <c r="D25" s="23" t="s">
        <v>434</v>
      </c>
      <c r="E25" s="24">
        <f>D3*2</f>
        <v>6</v>
      </c>
      <c r="F25" s="101">
        <v>6.51</v>
      </c>
      <c r="G25" s="148"/>
      <c r="H25" s="148"/>
      <c r="I25" s="101"/>
      <c r="J25" s="101"/>
      <c r="K25" s="101"/>
      <c r="L25" s="101"/>
      <c r="M25" s="101"/>
      <c r="N25" s="120" t="s">
        <v>1364</v>
      </c>
      <c r="O25" s="167">
        <v>4</v>
      </c>
      <c r="P25" s="67">
        <f ca="1" t="shared" si="0"/>
        <v>26.04</v>
      </c>
      <c r="Q25" s="67">
        <f t="shared" si="1"/>
        <v>2</v>
      </c>
      <c r="R25" s="67">
        <f ca="1" t="shared" si="2"/>
        <v>13.02</v>
      </c>
    </row>
    <row r="26" ht="12.95" customHeight="1" spans="1:18">
      <c r="A26" s="20"/>
      <c r="B26" s="91" t="s">
        <v>519</v>
      </c>
      <c r="C26" s="23"/>
      <c r="D26" s="23" t="s">
        <v>434</v>
      </c>
      <c r="E26" s="24">
        <f>F3*2</f>
        <v>4</v>
      </c>
      <c r="F26" s="101">
        <v>13</v>
      </c>
      <c r="G26" s="151"/>
      <c r="H26" s="151"/>
      <c r="I26" s="39"/>
      <c r="J26" s="39"/>
      <c r="K26" s="39"/>
      <c r="L26" s="39"/>
      <c r="M26" s="39"/>
      <c r="N26" s="120" t="s">
        <v>1365</v>
      </c>
      <c r="O26" s="167">
        <v>4</v>
      </c>
      <c r="P26" s="67">
        <f ca="1" t="shared" si="0"/>
        <v>52</v>
      </c>
      <c r="Q26" s="67">
        <f t="shared" si="1"/>
        <v>0</v>
      </c>
      <c r="R26" s="67">
        <f ca="1" t="shared" si="2"/>
        <v>0</v>
      </c>
    </row>
    <row r="27" ht="12.95" customHeight="1" spans="1:18">
      <c r="A27" s="31"/>
      <c r="B27" s="152" t="s">
        <v>551</v>
      </c>
      <c r="C27" s="43"/>
      <c r="D27" s="43" t="s">
        <v>434</v>
      </c>
      <c r="E27" s="150">
        <f>F3*2</f>
        <v>4</v>
      </c>
      <c r="F27" s="41">
        <v>15.5</v>
      </c>
      <c r="G27" s="99"/>
      <c r="H27" s="99"/>
      <c r="I27" s="41"/>
      <c r="J27" s="41"/>
      <c r="K27" s="41"/>
      <c r="L27" s="41"/>
      <c r="M27" s="41"/>
      <c r="N27" s="173" t="s">
        <v>1361</v>
      </c>
      <c r="O27" s="174">
        <v>4</v>
      </c>
      <c r="P27" s="67">
        <f ca="1" t="shared" si="0"/>
        <v>62</v>
      </c>
      <c r="Q27" s="67">
        <f t="shared" si="1"/>
        <v>0</v>
      </c>
      <c r="R27" s="67">
        <f ca="1" t="shared" si="2"/>
        <v>0</v>
      </c>
    </row>
    <row r="28" ht="12.95" customHeight="1" spans="1:18">
      <c r="A28" s="153" t="s">
        <v>1216</v>
      </c>
      <c r="B28" s="91" t="s">
        <v>1366</v>
      </c>
      <c r="C28" s="23"/>
      <c r="D28" s="23" t="s">
        <v>612</v>
      </c>
      <c r="E28" s="24">
        <f>A3</f>
        <v>2</v>
      </c>
      <c r="F28" s="122">
        <f ca="1">(I28+J28)*1.1+30</f>
        <v>2708.90865</v>
      </c>
      <c r="G28" s="99">
        <v>23.61</v>
      </c>
      <c r="H28" s="99">
        <v>5</v>
      </c>
      <c r="I28" s="41">
        <f ca="1">G28*H28*'21米（人字203料）参数'!E15*1.1</f>
        <v>2246.4915</v>
      </c>
      <c r="J28" s="41">
        <f>23.61*2*4</f>
        <v>188.88</v>
      </c>
      <c r="K28" s="41">
        <v>30</v>
      </c>
      <c r="L28" s="41"/>
      <c r="M28" s="41"/>
      <c r="N28" s="167" t="s">
        <v>1518</v>
      </c>
      <c r="O28" s="175">
        <v>1</v>
      </c>
      <c r="P28" s="67">
        <f ca="1" t="shared" si="0"/>
        <v>2708.90865</v>
      </c>
      <c r="Q28" s="67">
        <f t="shared" si="1"/>
        <v>1</v>
      </c>
      <c r="R28" s="67">
        <f ca="1" t="shared" si="2"/>
        <v>2708.90865</v>
      </c>
    </row>
    <row r="29" ht="12.95" customHeight="1" spans="1:18">
      <c r="A29" s="153"/>
      <c r="B29" s="91" t="s">
        <v>1368</v>
      </c>
      <c r="C29" s="23"/>
      <c r="D29" s="23" t="s">
        <v>664</v>
      </c>
      <c r="E29" s="24">
        <f>F3</f>
        <v>2</v>
      </c>
      <c r="F29" s="122">
        <f ca="1">(I29+J29)*1.1+15</f>
        <v>1024.356502</v>
      </c>
      <c r="G29" s="148">
        <v>10.7</v>
      </c>
      <c r="H29" s="154">
        <v>4.62</v>
      </c>
      <c r="I29" s="101">
        <f ca="1">G29*H29*'21米（人字203料）参数'!E14*1.1</f>
        <v>777.59682</v>
      </c>
      <c r="J29" s="101">
        <f>17.5*2*4</f>
        <v>140</v>
      </c>
      <c r="K29" s="101">
        <v>15</v>
      </c>
      <c r="L29" s="101"/>
      <c r="M29" s="101"/>
      <c r="N29" s="51" t="s">
        <v>1519</v>
      </c>
      <c r="O29" s="167">
        <v>2</v>
      </c>
      <c r="P29" s="67">
        <f ca="1" t="shared" si="0"/>
        <v>2048.713004</v>
      </c>
      <c r="Q29" s="67">
        <f t="shared" si="1"/>
        <v>0</v>
      </c>
      <c r="R29" s="67">
        <f ca="1" t="shared" si="2"/>
        <v>0</v>
      </c>
    </row>
    <row r="30" ht="12.95" customHeight="1" spans="1:18">
      <c r="A30" s="155"/>
      <c r="B30" s="91" t="s">
        <v>1520</v>
      </c>
      <c r="C30" s="23"/>
      <c r="D30" s="23" t="s">
        <v>664</v>
      </c>
      <c r="E30" s="24">
        <f>F3*2</f>
        <v>4</v>
      </c>
      <c r="F30" s="122">
        <f ca="1">(I30+J30)*1.1+15</f>
        <v>495.2579958</v>
      </c>
      <c r="G30" s="156">
        <v>4.97</v>
      </c>
      <c r="H30" s="157">
        <v>5.38</v>
      </c>
      <c r="I30" s="101">
        <f ca="1">G30*H30*'21米（人字203料）参数'!E14*1.1</f>
        <v>420.598178</v>
      </c>
      <c r="J30" s="71">
        <f>4*2*2</f>
        <v>16</v>
      </c>
      <c r="K30" s="71">
        <f>0.5*10</f>
        <v>5</v>
      </c>
      <c r="L30" s="71">
        <f>0.32*18</f>
        <v>5.76</v>
      </c>
      <c r="M30" s="71">
        <f>18*1</f>
        <v>18</v>
      </c>
      <c r="N30" s="120" t="s">
        <v>1524</v>
      </c>
      <c r="O30" s="167">
        <v>4</v>
      </c>
      <c r="P30" s="67">
        <f ca="1" t="shared" si="0"/>
        <v>1981.0319832</v>
      </c>
      <c r="Q30" s="67">
        <f t="shared" si="1"/>
        <v>0</v>
      </c>
      <c r="R30" s="67">
        <f ca="1" t="shared" si="2"/>
        <v>0</v>
      </c>
    </row>
    <row r="31" ht="12.95" customHeight="1" spans="1:18">
      <c r="A31" s="155"/>
      <c r="B31" s="91" t="s">
        <v>1370</v>
      </c>
      <c r="C31" s="23"/>
      <c r="D31" s="23" t="s">
        <v>664</v>
      </c>
      <c r="E31" s="24">
        <f>A3*2+F3*2</f>
        <v>8</v>
      </c>
      <c r="F31" s="101">
        <f ca="1">I31+J31+K30+L31+M31</f>
        <v>466.28612</v>
      </c>
      <c r="G31" s="156">
        <v>5.2</v>
      </c>
      <c r="H31" s="157">
        <v>4.97</v>
      </c>
      <c r="I31" s="101">
        <f ca="1">G31*H31*'21米（人字203料）参数'!E14*1.1+15</f>
        <v>421.52612</v>
      </c>
      <c r="J31" s="71">
        <f>4*2*2</f>
        <v>16</v>
      </c>
      <c r="K31" s="71">
        <f>0.5*10</f>
        <v>5</v>
      </c>
      <c r="L31" s="71">
        <f>0.32*18</f>
        <v>5.76</v>
      </c>
      <c r="M31" s="71">
        <f>18*1</f>
        <v>18</v>
      </c>
      <c r="N31" s="120" t="s">
        <v>1394</v>
      </c>
      <c r="O31" s="169">
        <v>6</v>
      </c>
      <c r="P31" s="67">
        <f ca="1" t="shared" si="0"/>
        <v>2797.71672</v>
      </c>
      <c r="Q31" s="67">
        <f t="shared" si="1"/>
        <v>2</v>
      </c>
      <c r="R31" s="67">
        <f ca="1" t="shared" si="2"/>
        <v>932.57224</v>
      </c>
    </row>
    <row r="32" ht="12.95" customHeight="1" spans="1:18">
      <c r="A32" s="20" t="s">
        <v>1235</v>
      </c>
      <c r="B32" s="138" t="s">
        <v>589</v>
      </c>
      <c r="C32" s="23"/>
      <c r="D32" s="23" t="s">
        <v>434</v>
      </c>
      <c r="E32" s="24">
        <f>D3*10+F3*2+E23*2</f>
        <v>44</v>
      </c>
      <c r="F32" s="101">
        <v>2.15</v>
      </c>
      <c r="G32" s="154"/>
      <c r="H32" s="154"/>
      <c r="I32" s="101"/>
      <c r="J32" s="101"/>
      <c r="K32" s="101"/>
      <c r="L32" s="101"/>
      <c r="M32" s="101"/>
      <c r="N32" s="120" t="s">
        <v>1372</v>
      </c>
      <c r="O32" s="167">
        <v>34</v>
      </c>
      <c r="P32" s="67">
        <f ca="1" t="shared" si="0"/>
        <v>73.1</v>
      </c>
      <c r="Q32" s="67">
        <f t="shared" si="1"/>
        <v>10</v>
      </c>
      <c r="R32" s="67">
        <f ca="1" t="shared" si="2"/>
        <v>21.5</v>
      </c>
    </row>
    <row r="33" ht="12.95" customHeight="1" spans="1:18">
      <c r="A33" s="20"/>
      <c r="B33" s="109" t="s">
        <v>591</v>
      </c>
      <c r="C33" s="23"/>
      <c r="D33" s="23" t="s">
        <v>434</v>
      </c>
      <c r="E33" s="24">
        <f>D3*2+E23+E15</f>
        <v>16</v>
      </c>
      <c r="F33" s="101">
        <v>2.55</v>
      </c>
      <c r="G33" s="154"/>
      <c r="H33" s="154"/>
      <c r="I33" s="101"/>
      <c r="J33" s="101"/>
      <c r="K33" s="101"/>
      <c r="L33" s="101"/>
      <c r="M33" s="101"/>
      <c r="N33" s="120" t="s">
        <v>1373</v>
      </c>
      <c r="O33" s="172">
        <v>14</v>
      </c>
      <c r="P33" s="67">
        <f ca="1" t="shared" si="0"/>
        <v>35.7</v>
      </c>
      <c r="Q33" s="67">
        <f t="shared" si="1"/>
        <v>2</v>
      </c>
      <c r="R33" s="67">
        <f ca="1" t="shared" si="2"/>
        <v>5.1</v>
      </c>
    </row>
    <row r="34" ht="12.95" customHeight="1" spans="1:18">
      <c r="A34" s="20"/>
      <c r="B34" s="159" t="s">
        <v>1423</v>
      </c>
      <c r="C34" s="43"/>
      <c r="D34" s="43" t="s">
        <v>434</v>
      </c>
      <c r="E34" s="44">
        <f>D3*2+4</f>
        <v>10</v>
      </c>
      <c r="F34" s="39">
        <v>1.95</v>
      </c>
      <c r="G34" s="160"/>
      <c r="H34" s="160"/>
      <c r="I34" s="39"/>
      <c r="J34" s="39"/>
      <c r="K34" s="39"/>
      <c r="L34" s="39"/>
      <c r="M34" s="39"/>
      <c r="N34" s="120" t="s">
        <v>1375</v>
      </c>
      <c r="O34" s="167">
        <v>8</v>
      </c>
      <c r="P34" s="67">
        <f ca="1" t="shared" si="0"/>
        <v>15.6</v>
      </c>
      <c r="Q34" s="67">
        <f t="shared" si="1"/>
        <v>2</v>
      </c>
      <c r="R34" s="67">
        <f ca="1" t="shared" si="2"/>
        <v>3.9</v>
      </c>
    </row>
    <row r="35" ht="12.95" customHeight="1" spans="1:18">
      <c r="A35" s="20"/>
      <c r="B35" s="109" t="s">
        <v>554</v>
      </c>
      <c r="C35" s="23"/>
      <c r="D35" s="23" t="s">
        <v>555</v>
      </c>
      <c r="E35" s="28">
        <f>E21+E22+E15</f>
        <v>17</v>
      </c>
      <c r="F35" s="101">
        <v>1.46</v>
      </c>
      <c r="G35" s="154"/>
      <c r="H35" s="154"/>
      <c r="I35" s="101"/>
      <c r="J35" s="101"/>
      <c r="K35" s="101"/>
      <c r="L35" s="101"/>
      <c r="M35" s="101"/>
      <c r="N35" s="120" t="s">
        <v>1376</v>
      </c>
      <c r="O35" s="167">
        <v>15</v>
      </c>
      <c r="P35" s="67">
        <f ca="1" t="shared" si="0"/>
        <v>21.9</v>
      </c>
      <c r="Q35" s="67">
        <f t="shared" si="1"/>
        <v>2</v>
      </c>
      <c r="R35" s="67">
        <f ca="1" t="shared" si="2"/>
        <v>2.92</v>
      </c>
    </row>
    <row r="36" spans="1:18">
      <c r="A36" s="50"/>
      <c r="B36" s="50"/>
      <c r="C36" s="51"/>
      <c r="D36" s="51"/>
      <c r="E36" s="51"/>
      <c r="F36" s="50"/>
      <c r="G36" s="50"/>
      <c r="H36" s="50"/>
      <c r="I36" s="50"/>
      <c r="J36" s="50"/>
      <c r="K36" s="50"/>
      <c r="L36" s="50"/>
      <c r="M36" s="50"/>
      <c r="N36" s="50"/>
      <c r="O36" s="84" t="s">
        <v>1218</v>
      </c>
      <c r="P36" s="3">
        <f ca="1">SUM(P6:P35)</f>
        <v>37806.5566367344</v>
      </c>
      <c r="Q36" s="3" t="s">
        <v>1219</v>
      </c>
      <c r="R36" s="3">
        <f ca="1">SUM(R6:R35)</f>
        <v>13558.792748744</v>
      </c>
    </row>
    <row r="37" spans="1:18">
      <c r="A37" s="50"/>
      <c r="B37" s="50" t="s">
        <v>1221</v>
      </c>
      <c r="C37" s="51"/>
      <c r="D37" s="51"/>
      <c r="E37" s="51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3"/>
      <c r="Q37" s="3"/>
      <c r="R37" s="3"/>
    </row>
    <row r="38" spans="1:18">
      <c r="A38" s="50"/>
      <c r="B38" s="50"/>
      <c r="C38" s="51"/>
      <c r="D38" s="51"/>
      <c r="E38" s="51"/>
      <c r="F38" s="50"/>
      <c r="G38" s="50"/>
      <c r="H38" s="50"/>
      <c r="I38" s="50"/>
      <c r="J38" s="50"/>
      <c r="K38" s="50"/>
      <c r="L38" s="50"/>
      <c r="M38" s="50"/>
      <c r="N38" s="50"/>
      <c r="O38" s="50" t="s">
        <v>1377</v>
      </c>
      <c r="P38" s="3">
        <f ca="1">P36+R36</f>
        <v>51365.3493854784</v>
      </c>
      <c r="Q38" s="3"/>
      <c r="R38" s="3"/>
    </row>
    <row r="39" spans="1:18">
      <c r="A39" s="50"/>
      <c r="B39" s="52"/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0"/>
      <c r="O39" s="50" t="s">
        <v>14</v>
      </c>
      <c r="P39" s="3">
        <f ca="1">P38/E2</f>
        <v>244.596901835611</v>
      </c>
      <c r="Q39" s="3"/>
      <c r="R39" s="3"/>
    </row>
  </sheetData>
  <mergeCells count="12">
    <mergeCell ref="A1:N1"/>
    <mergeCell ref="A2:C2"/>
    <mergeCell ref="F2:N2"/>
    <mergeCell ref="A3:B3"/>
    <mergeCell ref="H3:N3"/>
    <mergeCell ref="A4:F4"/>
    <mergeCell ref="G4:H4"/>
    <mergeCell ref="I4:M4"/>
    <mergeCell ref="A6:A19"/>
    <mergeCell ref="A20:A27"/>
    <mergeCell ref="A28:A31"/>
    <mergeCell ref="A32:A35"/>
  </mergeCells>
  <dataValidations count="4">
    <dataValidation type="list" allowBlank="1" showInputMessage="1" showErrorMessage="1" sqref="B28">
      <formula1>"顶布[白]{全新},顶布[白]{A类},顶布[白]{B类},顶布[白]{C类},顶布[白]{D类}"</formula1>
    </dataValidation>
    <dataValidation type="list" allowBlank="1" showInputMessage="1" showErrorMessage="1" sqref="B29">
      <formula1>"山尖布[白]{全新},山尖布[白]{A类},山尖布[白]{B类},山尖布[白]{C类},山尖布[白]{D类}"</formula1>
    </dataValidation>
    <dataValidation allowBlank="1" showInputMessage="1" showErrorMessage="1" sqref="B30"/>
    <dataValidation type="list" allowBlank="1" showInputMessage="1" showErrorMessage="1" sqref="B31">
      <formula1>"围布[白]{全新},围布[白]{A类},围布[白]{B类},围布[白]{C类},围布[白]{D类},透光窗围布[白]{全新},透光窗围布[白]{A类},透光窗围布[白]{B类},透光窗围布[白]{C类},透光窗围布[白]{D类}"</formula1>
    </dataValidation>
  </dataValidations>
  <pageMargins left="0.75" right="0.75" top="1" bottom="1" header="0.509027777777778" footer="0.509027777777778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35"/>
  <sheetViews>
    <sheetView workbookViewId="0">
      <selection activeCell="A1" sqref="A1:F2"/>
    </sheetView>
  </sheetViews>
  <sheetFormatPr defaultColWidth="9" defaultRowHeight="13.5" outlineLevelCol="6"/>
  <cols>
    <col min="1" max="1" width="10.625" style="323" customWidth="1"/>
    <col min="2" max="2" width="16.875" style="324" customWidth="1"/>
    <col min="3" max="3" width="24.5" customWidth="1"/>
    <col min="4" max="4" width="16.9583333333333" customWidth="1"/>
  </cols>
  <sheetData>
    <row r="1" ht="18.75" spans="1:6">
      <c r="A1" s="315" t="s">
        <v>17</v>
      </c>
      <c r="B1" s="316"/>
      <c r="C1" s="317"/>
      <c r="D1" s="317"/>
      <c r="E1" s="317"/>
      <c r="F1" s="318"/>
    </row>
    <row r="2" spans="1:6">
      <c r="A2" s="319" t="s">
        <v>18</v>
      </c>
      <c r="B2" s="319" t="s">
        <v>19</v>
      </c>
      <c r="C2" s="319" t="s">
        <v>20</v>
      </c>
      <c r="D2" s="319" t="s">
        <v>21</v>
      </c>
      <c r="E2" s="319" t="s">
        <v>22</v>
      </c>
      <c r="F2" s="320" t="s">
        <v>23</v>
      </c>
    </row>
    <row r="3" spans="1:7">
      <c r="A3" s="325" t="s">
        <v>1025</v>
      </c>
      <c r="B3" s="23" t="s">
        <v>1026</v>
      </c>
      <c r="C3" s="91" t="s">
        <v>1027</v>
      </c>
      <c r="D3" s="23"/>
      <c r="E3" s="23" t="s">
        <v>555</v>
      </c>
      <c r="F3" s="326">
        <v>1</v>
      </c>
      <c r="G3" s="127"/>
    </row>
    <row r="4" spans="1:7">
      <c r="A4" s="327"/>
      <c r="B4" s="23" t="s">
        <v>1028</v>
      </c>
      <c r="C4" s="91" t="s">
        <v>1029</v>
      </c>
      <c r="D4" s="23"/>
      <c r="E4" s="23" t="s">
        <v>612</v>
      </c>
      <c r="F4" s="326">
        <v>1</v>
      </c>
      <c r="G4" s="127"/>
    </row>
    <row r="5" spans="1:7">
      <c r="A5" s="327"/>
      <c r="B5" s="23" t="s">
        <v>1030</v>
      </c>
      <c r="C5" s="91" t="s">
        <v>1031</v>
      </c>
      <c r="D5" s="23"/>
      <c r="E5" s="23" t="s">
        <v>612</v>
      </c>
      <c r="F5" s="326"/>
      <c r="G5" s="127"/>
    </row>
    <row r="6" spans="1:7">
      <c r="A6" s="327"/>
      <c r="B6" s="23" t="s">
        <v>1032</v>
      </c>
      <c r="C6" s="91" t="s">
        <v>1033</v>
      </c>
      <c r="D6" s="23"/>
      <c r="E6" s="23" t="s">
        <v>434</v>
      </c>
      <c r="F6" s="326">
        <v>1</v>
      </c>
      <c r="G6" s="127"/>
    </row>
    <row r="7" spans="1:7">
      <c r="A7" s="327"/>
      <c r="B7" s="23" t="s">
        <v>1034</v>
      </c>
      <c r="C7" s="91" t="s">
        <v>1035</v>
      </c>
      <c r="D7" s="23"/>
      <c r="E7" s="23" t="s">
        <v>28</v>
      </c>
      <c r="F7" s="326">
        <v>1</v>
      </c>
      <c r="G7" s="328"/>
    </row>
    <row r="8" spans="1:7">
      <c r="A8" s="327"/>
      <c r="B8" s="23" t="s">
        <v>1036</v>
      </c>
      <c r="C8" s="91" t="s">
        <v>1037</v>
      </c>
      <c r="D8" s="23"/>
      <c r="E8" s="23" t="s">
        <v>28</v>
      </c>
      <c r="F8" s="326">
        <v>1</v>
      </c>
      <c r="G8" s="127"/>
    </row>
    <row r="9" ht="14.25" spans="1:7">
      <c r="A9" s="327"/>
      <c r="B9" s="23" t="s">
        <v>1038</v>
      </c>
      <c r="C9" s="91" t="s">
        <v>1039</v>
      </c>
      <c r="D9" s="23"/>
      <c r="E9" s="23" t="s">
        <v>28</v>
      </c>
      <c r="F9" s="326">
        <v>1</v>
      </c>
      <c r="G9" s="1"/>
    </row>
    <row r="10" ht="14.25" spans="1:7">
      <c r="A10" s="327"/>
      <c r="B10" s="23" t="s">
        <v>1040</v>
      </c>
      <c r="C10" s="91" t="s">
        <v>1041</v>
      </c>
      <c r="D10" s="23"/>
      <c r="E10" s="23" t="s">
        <v>28</v>
      </c>
      <c r="F10" s="326">
        <v>1</v>
      </c>
      <c r="G10" s="1"/>
    </row>
    <row r="11" ht="14.25" spans="1:7">
      <c r="A11" s="327"/>
      <c r="B11" s="23" t="s">
        <v>1042</v>
      </c>
      <c r="C11" s="91" t="s">
        <v>1043</v>
      </c>
      <c r="D11" s="23"/>
      <c r="E11" s="23" t="s">
        <v>28</v>
      </c>
      <c r="F11" s="326">
        <v>1</v>
      </c>
      <c r="G11" s="1"/>
    </row>
    <row r="12" ht="14.25" spans="1:7">
      <c r="A12" s="327"/>
      <c r="B12" s="23" t="s">
        <v>1044</v>
      </c>
      <c r="C12" s="91" t="s">
        <v>1045</v>
      </c>
      <c r="D12" s="23"/>
      <c r="E12" s="23" t="s">
        <v>28</v>
      </c>
      <c r="F12" s="326">
        <v>1</v>
      </c>
      <c r="G12" s="1"/>
    </row>
    <row r="13" ht="14.25" spans="1:7">
      <c r="A13" s="327"/>
      <c r="B13" s="23" t="s">
        <v>1046</v>
      </c>
      <c r="C13" s="91" t="s">
        <v>1047</v>
      </c>
      <c r="D13" s="23"/>
      <c r="E13" s="23" t="s">
        <v>28</v>
      </c>
      <c r="F13" s="326">
        <v>1</v>
      </c>
      <c r="G13" s="1"/>
    </row>
    <row r="14" ht="14.25" spans="1:7">
      <c r="A14" s="327"/>
      <c r="B14" s="23" t="s">
        <v>1048</v>
      </c>
      <c r="C14" s="91" t="s">
        <v>1049</v>
      </c>
      <c r="D14" s="23"/>
      <c r="E14" s="23" t="s">
        <v>28</v>
      </c>
      <c r="F14" s="326">
        <v>1</v>
      </c>
      <c r="G14" s="1"/>
    </row>
    <row r="15" ht="14.25" spans="1:7">
      <c r="A15" s="327"/>
      <c r="B15" s="23" t="s">
        <v>1050</v>
      </c>
      <c r="C15" s="91" t="s">
        <v>1051</v>
      </c>
      <c r="D15" s="23"/>
      <c r="E15" s="23" t="s">
        <v>434</v>
      </c>
      <c r="F15" s="326">
        <v>1</v>
      </c>
      <c r="G15" s="1"/>
    </row>
    <row r="16" spans="1:7">
      <c r="A16" s="325" t="s">
        <v>1052</v>
      </c>
      <c r="B16" s="23" t="s">
        <v>1053</v>
      </c>
      <c r="C16" s="91" t="s">
        <v>1054</v>
      </c>
      <c r="D16" s="23"/>
      <c r="E16" s="23" t="s">
        <v>555</v>
      </c>
      <c r="F16" s="326">
        <v>1</v>
      </c>
      <c r="G16" s="127"/>
    </row>
    <row r="17" spans="1:7">
      <c r="A17" s="327"/>
      <c r="B17" s="23" t="s">
        <v>1055</v>
      </c>
      <c r="C17" s="91" t="s">
        <v>1056</v>
      </c>
      <c r="D17" s="23"/>
      <c r="E17" s="23" t="s">
        <v>612</v>
      </c>
      <c r="F17" s="326">
        <v>1</v>
      </c>
      <c r="G17" s="127"/>
    </row>
    <row r="18" spans="1:7">
      <c r="A18" s="327"/>
      <c r="B18" s="23" t="s">
        <v>1057</v>
      </c>
      <c r="C18" s="91" t="s">
        <v>1033</v>
      </c>
      <c r="D18" s="23"/>
      <c r="E18" s="23" t="s">
        <v>434</v>
      </c>
      <c r="F18" s="326">
        <v>1</v>
      </c>
      <c r="G18" s="127"/>
    </row>
    <row r="19" spans="1:7">
      <c r="A19" s="327"/>
      <c r="B19" s="23" t="s">
        <v>1058</v>
      </c>
      <c r="C19" s="91" t="s">
        <v>1059</v>
      </c>
      <c r="D19" s="23"/>
      <c r="E19" s="23" t="s">
        <v>434</v>
      </c>
      <c r="F19" s="326">
        <v>1</v>
      </c>
      <c r="G19" s="328"/>
    </row>
    <row r="20" spans="1:7">
      <c r="A20" s="327"/>
      <c r="B20" s="23" t="s">
        <v>1060</v>
      </c>
      <c r="C20" s="91" t="s">
        <v>1061</v>
      </c>
      <c r="D20" s="23"/>
      <c r="E20" s="23" t="s">
        <v>434</v>
      </c>
      <c r="F20" s="326">
        <v>1</v>
      </c>
      <c r="G20" s="127"/>
    </row>
    <row r="21" ht="14.25" spans="1:7">
      <c r="A21" s="327"/>
      <c r="B21" s="23" t="s">
        <v>1062</v>
      </c>
      <c r="C21" s="91" t="s">
        <v>1063</v>
      </c>
      <c r="D21" s="23"/>
      <c r="E21" s="23" t="s">
        <v>434</v>
      </c>
      <c r="F21" s="326">
        <v>1</v>
      </c>
      <c r="G21" s="1"/>
    </row>
    <row r="22" ht="14.25" spans="1:7">
      <c r="A22" s="327"/>
      <c r="B22" s="23" t="s">
        <v>1064</v>
      </c>
      <c r="C22" s="91" t="s">
        <v>1065</v>
      </c>
      <c r="D22" s="23"/>
      <c r="E22" s="23" t="s">
        <v>434</v>
      </c>
      <c r="F22" s="326">
        <v>1</v>
      </c>
      <c r="G22" s="1"/>
    </row>
    <row r="23" ht="14.25" spans="1:7">
      <c r="A23" s="327"/>
      <c r="B23" s="23" t="s">
        <v>1066</v>
      </c>
      <c r="C23" s="91" t="s">
        <v>1067</v>
      </c>
      <c r="D23" s="23"/>
      <c r="E23" s="23" t="s">
        <v>434</v>
      </c>
      <c r="F23" s="326">
        <v>1</v>
      </c>
      <c r="G23" s="1"/>
    </row>
    <row r="24" ht="14.25" spans="1:7">
      <c r="A24" s="327"/>
      <c r="B24" s="23" t="s">
        <v>1068</v>
      </c>
      <c r="C24" s="91" t="s">
        <v>1069</v>
      </c>
      <c r="D24" s="23"/>
      <c r="E24" s="23" t="s">
        <v>434</v>
      </c>
      <c r="F24" s="326">
        <v>1</v>
      </c>
      <c r="G24" s="1"/>
    </row>
    <row r="25" ht="14.25" spans="1:7">
      <c r="A25" s="327"/>
      <c r="B25" s="23" t="s">
        <v>1070</v>
      </c>
      <c r="C25" s="91" t="s">
        <v>1071</v>
      </c>
      <c r="D25" s="23"/>
      <c r="E25" s="23" t="s">
        <v>434</v>
      </c>
      <c r="F25" s="326">
        <v>1</v>
      </c>
      <c r="G25" s="1"/>
    </row>
    <row r="26" ht="14.25" spans="1:7">
      <c r="A26" s="327"/>
      <c r="B26" s="23" t="s">
        <v>1072</v>
      </c>
      <c r="C26" s="91" t="s">
        <v>1073</v>
      </c>
      <c r="D26" s="23"/>
      <c r="E26" s="23" t="s">
        <v>434</v>
      </c>
      <c r="F26" s="326">
        <v>1</v>
      </c>
      <c r="G26" s="1"/>
    </row>
    <row r="27" ht="14.25" spans="1:7">
      <c r="A27" s="327"/>
      <c r="B27" s="23" t="s">
        <v>1074</v>
      </c>
      <c r="C27" s="91" t="s">
        <v>1075</v>
      </c>
      <c r="D27" s="23"/>
      <c r="E27" s="23" t="s">
        <v>434</v>
      </c>
      <c r="F27" s="326">
        <v>1</v>
      </c>
      <c r="G27" s="1"/>
    </row>
    <row r="28" ht="14.25" spans="1:7">
      <c r="A28" s="327"/>
      <c r="B28" s="23" t="s">
        <v>1076</v>
      </c>
      <c r="C28" s="91" t="s">
        <v>1077</v>
      </c>
      <c r="D28" s="23"/>
      <c r="E28" s="23" t="s">
        <v>434</v>
      </c>
      <c r="F28" s="326">
        <v>1</v>
      </c>
      <c r="G28" s="1"/>
    </row>
    <row r="29" ht="15" customHeight="1" spans="1:7">
      <c r="A29" s="329"/>
      <c r="B29" s="23" t="s">
        <v>1078</v>
      </c>
      <c r="C29" s="91" t="s">
        <v>1079</v>
      </c>
      <c r="D29" s="23"/>
      <c r="E29" s="23" t="s">
        <v>787</v>
      </c>
      <c r="F29" s="326">
        <v>1</v>
      </c>
      <c r="G29" s="1"/>
    </row>
    <row r="30" ht="14" customHeight="1" spans="1:7">
      <c r="A30" s="325" t="s">
        <v>1080</v>
      </c>
      <c r="B30" s="23" t="s">
        <v>1081</v>
      </c>
      <c r="C30" s="91" t="s">
        <v>1082</v>
      </c>
      <c r="D30" s="23"/>
      <c r="E30" s="23" t="s">
        <v>612</v>
      </c>
      <c r="F30" s="326">
        <v>1</v>
      </c>
      <c r="G30" s="1"/>
    </row>
    <row r="31" ht="14" customHeight="1" spans="1:7">
      <c r="A31" s="327"/>
      <c r="B31" s="23" t="s">
        <v>1083</v>
      </c>
      <c r="C31" s="91" t="s">
        <v>1084</v>
      </c>
      <c r="D31" s="23"/>
      <c r="E31" s="23" t="s">
        <v>612</v>
      </c>
      <c r="F31" s="326">
        <v>1</v>
      </c>
      <c r="G31" s="1"/>
    </row>
    <row r="32" ht="14" customHeight="1" spans="1:7">
      <c r="A32" s="327"/>
      <c r="B32" s="23" t="s">
        <v>1085</v>
      </c>
      <c r="C32" s="91" t="s">
        <v>1086</v>
      </c>
      <c r="D32" s="23" t="s">
        <v>1087</v>
      </c>
      <c r="E32" s="23" t="s">
        <v>612</v>
      </c>
      <c r="F32" s="326">
        <v>1</v>
      </c>
      <c r="G32" s="1"/>
    </row>
    <row r="33" ht="14" customHeight="1" spans="1:6">
      <c r="A33" s="329"/>
      <c r="B33" s="23" t="s">
        <v>1088</v>
      </c>
      <c r="C33" s="91" t="s">
        <v>1089</v>
      </c>
      <c r="D33" s="23" t="s">
        <v>1090</v>
      </c>
      <c r="E33" s="23" t="s">
        <v>28</v>
      </c>
      <c r="F33" s="326">
        <v>1</v>
      </c>
    </row>
    <row r="34" ht="15" customHeight="1" spans="1:6">
      <c r="A34" s="325" t="s">
        <v>1091</v>
      </c>
      <c r="B34" s="206" t="s">
        <v>1092</v>
      </c>
      <c r="C34" s="91" t="s">
        <v>1093</v>
      </c>
      <c r="D34" s="23"/>
      <c r="E34" s="23" t="s">
        <v>1094</v>
      </c>
      <c r="F34" s="326">
        <v>1</v>
      </c>
    </row>
    <row r="35" spans="1:6">
      <c r="A35" s="329"/>
      <c r="B35" s="206" t="s">
        <v>1095</v>
      </c>
      <c r="C35" s="91" t="s">
        <v>1096</v>
      </c>
      <c r="D35" s="23"/>
      <c r="E35" s="23" t="s">
        <v>1094</v>
      </c>
      <c r="F35" s="326">
        <v>1</v>
      </c>
    </row>
  </sheetData>
  <mergeCells count="4">
    <mergeCell ref="A3:A15"/>
    <mergeCell ref="A16:A29"/>
    <mergeCell ref="A30:A33"/>
    <mergeCell ref="A34:A35"/>
  </mergeCells>
  <conditionalFormatting sqref="C34">
    <cfRule type="duplicateValues" dxfId="0" priority="2"/>
  </conditionalFormatting>
  <conditionalFormatting sqref="C35">
    <cfRule type="duplicateValues" dxfId="0" priority="1"/>
  </conditionalFormatting>
  <conditionalFormatting sqref="B34:B35">
    <cfRule type="duplicateValues" dxfId="0" priority="54"/>
  </conditionalFormatting>
  <conditionalFormatting sqref="C2 C36:C1048576">
    <cfRule type="duplicateValues" dxfId="0" priority="55"/>
  </conditionalFormatting>
  <dataValidations count="1">
    <dataValidation type="custom" allowBlank="1" showErrorMessage="1" errorTitle="拒绝重复输入" error="当前输入的内容，与本区域的其他单元格内容重复。" sqref="C5 C9 C14 C15 B16 C16 C21 C26 C31 C33 B3:B15 B17:B29 B30:B33 C3:C4 C6:C8 C10:C13 C17:C20 C22:C25 C27:C28 C29:C30" errorStyle="warning">
      <formula1>COUNTIF($B:$B,B3)&lt;2</formula1>
    </dataValidation>
  </dataValidations>
  <pageMargins left="0.75" right="0.75" top="1" bottom="1" header="0.511805555555556" footer="0.511805555555556"/>
  <headerFooter/>
</worksheet>
</file>

<file path=xl/worksheets/sheet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FFFF00"/>
  </sheetPr>
  <dimension ref="A1:R40"/>
  <sheetViews>
    <sheetView showGridLines="0" workbookViewId="0">
      <selection activeCell="F12" sqref="F12"/>
    </sheetView>
  </sheetViews>
  <sheetFormatPr defaultColWidth="9" defaultRowHeight="14.25"/>
  <cols>
    <col min="1" max="1" width="3.125" style="1" customWidth="1"/>
    <col min="2" max="2" width="16" style="1" customWidth="1"/>
    <col min="3" max="5" width="9" style="1"/>
    <col min="6" max="13" width="9" style="1" customWidth="1"/>
    <col min="14" max="14" width="64" style="1" customWidth="1"/>
    <col min="15" max="15" width="9" style="1"/>
    <col min="16" max="16" width="14.625" style="1" customWidth="1"/>
    <col min="17" max="17" width="9" style="1"/>
    <col min="18" max="18" width="14.625" style="1" customWidth="1"/>
    <col min="19" max="16384" width="9" style="1"/>
  </cols>
  <sheetData>
    <row r="1" ht="18.75" spans="1:18">
      <c r="A1" s="72" t="s">
        <v>1528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161"/>
      <c r="P1" s="3"/>
      <c r="Q1" s="3"/>
      <c r="R1" s="3"/>
    </row>
    <row r="2" spans="1:18">
      <c r="A2" s="141" t="s">
        <v>1246</v>
      </c>
      <c r="B2" s="142"/>
      <c r="C2" s="142"/>
      <c r="D2" s="9" t="s">
        <v>1198</v>
      </c>
      <c r="E2" s="176">
        <f>A3*5*21</f>
        <v>210</v>
      </c>
      <c r="F2" s="186"/>
      <c r="G2" s="187"/>
      <c r="H2" s="187"/>
      <c r="I2" s="187"/>
      <c r="J2" s="187"/>
      <c r="K2" s="187"/>
      <c r="L2" s="187"/>
      <c r="M2" s="187"/>
      <c r="N2" s="197"/>
      <c r="O2" s="162"/>
      <c r="P2" s="3"/>
      <c r="Q2" s="55"/>
      <c r="R2" s="55"/>
    </row>
    <row r="3" spans="1:18">
      <c r="A3" s="177">
        <v>2</v>
      </c>
      <c r="B3" s="177"/>
      <c r="C3" s="178" t="s">
        <v>1247</v>
      </c>
      <c r="D3" s="179">
        <v>3</v>
      </c>
      <c r="E3" s="180" t="s">
        <v>1248</v>
      </c>
      <c r="F3" s="188">
        <v>2</v>
      </c>
      <c r="G3" s="189" t="s">
        <v>1249</v>
      </c>
      <c r="H3" s="143"/>
      <c r="I3" s="144"/>
      <c r="J3" s="144"/>
      <c r="K3" s="144"/>
      <c r="L3" s="144"/>
      <c r="M3" s="144"/>
      <c r="N3" s="145"/>
      <c r="O3" s="162"/>
      <c r="P3" s="3"/>
      <c r="Q3" s="55"/>
      <c r="R3" s="55"/>
    </row>
    <row r="4" spans="1:18">
      <c r="A4" s="190"/>
      <c r="B4" s="128"/>
      <c r="C4" s="128"/>
      <c r="D4" s="128"/>
      <c r="E4" s="128"/>
      <c r="F4" s="128"/>
      <c r="G4" s="180" t="s">
        <v>1345</v>
      </c>
      <c r="H4" s="191"/>
      <c r="I4" s="198" t="s">
        <v>1346</v>
      </c>
      <c r="J4" s="199"/>
      <c r="K4" s="199"/>
      <c r="L4" s="199"/>
      <c r="M4" s="200"/>
      <c r="N4" s="201"/>
      <c r="O4" s="162"/>
      <c r="P4" s="3"/>
      <c r="Q4" s="55"/>
      <c r="R4" s="55"/>
    </row>
    <row r="5" ht="24" spans="1:18">
      <c r="A5" s="146" t="s">
        <v>1200</v>
      </c>
      <c r="B5" s="146" t="s">
        <v>1201</v>
      </c>
      <c r="C5" s="146" t="s">
        <v>1250</v>
      </c>
      <c r="D5" s="146" t="s">
        <v>22</v>
      </c>
      <c r="E5" s="147" t="s">
        <v>1251</v>
      </c>
      <c r="F5" s="75" t="s">
        <v>1204</v>
      </c>
      <c r="G5" s="19" t="s">
        <v>1205</v>
      </c>
      <c r="H5" s="17" t="s">
        <v>1253</v>
      </c>
      <c r="I5" s="17" t="s">
        <v>1254</v>
      </c>
      <c r="J5" s="17" t="s">
        <v>1255</v>
      </c>
      <c r="K5" s="17" t="s">
        <v>1209</v>
      </c>
      <c r="L5" s="17" t="s">
        <v>1420</v>
      </c>
      <c r="M5" s="17" t="s">
        <v>1211</v>
      </c>
      <c r="N5" s="163" t="s">
        <v>1257</v>
      </c>
      <c r="O5" s="164" t="s">
        <v>1212</v>
      </c>
      <c r="P5" s="165" t="s">
        <v>1213</v>
      </c>
      <c r="Q5" s="165" t="s">
        <v>1214</v>
      </c>
      <c r="R5" s="75" t="s">
        <v>1213</v>
      </c>
    </row>
    <row r="6" ht="15" customHeight="1" spans="1:18">
      <c r="A6" s="20" t="s">
        <v>1215</v>
      </c>
      <c r="B6" s="91" t="s">
        <v>1224</v>
      </c>
      <c r="C6" s="23"/>
      <c r="D6" s="23" t="s">
        <v>28</v>
      </c>
      <c r="E6" s="24">
        <f>D3*2</f>
        <v>6</v>
      </c>
      <c r="F6" s="93">
        <f ca="1">I6+J6+K6+L6+M6</f>
        <v>1809.407519792</v>
      </c>
      <c r="G6" s="94">
        <v>5.58</v>
      </c>
      <c r="H6" s="94">
        <v>8.233</v>
      </c>
      <c r="I6" s="93">
        <f ca="1">G6*H6*'21米（人字203料）参数'!G3*1.1</f>
        <v>1144.497519792</v>
      </c>
      <c r="J6" s="93">
        <f>48.55*2</f>
        <v>97.1</v>
      </c>
      <c r="K6" s="93">
        <f>500+45.91</f>
        <v>545.91</v>
      </c>
      <c r="L6" s="93">
        <f>2.55*4</f>
        <v>10.2</v>
      </c>
      <c r="M6" s="93">
        <f>18*0.65</f>
        <v>11.7</v>
      </c>
      <c r="N6" s="166" t="s">
        <v>1502</v>
      </c>
      <c r="O6" s="167">
        <v>4</v>
      </c>
      <c r="P6" s="67">
        <f ca="1" t="shared" ref="P6:P36" si="0">F6*O6</f>
        <v>7237.630079168</v>
      </c>
      <c r="Q6" s="67">
        <f t="shared" ref="Q6:Q36" si="1">E6-O6</f>
        <v>2</v>
      </c>
      <c r="R6" s="67">
        <f ca="1" t="shared" ref="R6:R36" si="2">F6*Q6</f>
        <v>3618.815039584</v>
      </c>
    </row>
    <row r="7" ht="15" customHeight="1" spans="1:18">
      <c r="A7" s="20"/>
      <c r="B7" s="91" t="s">
        <v>1308</v>
      </c>
      <c r="C7" s="23"/>
      <c r="D7" s="23" t="s">
        <v>28</v>
      </c>
      <c r="E7" s="24">
        <f>F3*2</f>
        <v>4</v>
      </c>
      <c r="F7" s="101">
        <f ca="1">G7+H7+I7+J7+K7+L7+M7</f>
        <v>1037.48488</v>
      </c>
      <c r="G7" s="148">
        <v>7</v>
      </c>
      <c r="H7" s="148">
        <v>5.3</v>
      </c>
      <c r="I7" s="101">
        <f ca="1">G7*H7*'21米（人字203料）参数'!G3*1.1</f>
        <v>924.26488</v>
      </c>
      <c r="J7" s="101"/>
      <c r="K7" s="101">
        <f>49.51+41.21</f>
        <v>90.72</v>
      </c>
      <c r="L7" s="101">
        <f>2.55*4</f>
        <v>10.2</v>
      </c>
      <c r="M7" s="101"/>
      <c r="N7" s="166" t="s">
        <v>1427</v>
      </c>
      <c r="O7" s="167">
        <v>4</v>
      </c>
      <c r="P7" s="67">
        <f ca="1" t="shared" si="0"/>
        <v>4149.93952</v>
      </c>
      <c r="Q7" s="67">
        <f t="shared" si="1"/>
        <v>0</v>
      </c>
      <c r="R7" s="67">
        <f ca="1" t="shared" si="2"/>
        <v>0</v>
      </c>
    </row>
    <row r="8" ht="15" customHeight="1" spans="1:18">
      <c r="A8" s="20"/>
      <c r="B8" s="91" t="s">
        <v>1435</v>
      </c>
      <c r="C8" s="23"/>
      <c r="D8" s="23" t="s">
        <v>28</v>
      </c>
      <c r="E8" s="24">
        <f>F3</f>
        <v>2</v>
      </c>
      <c r="F8" s="101">
        <f ca="1">G8+H8+I8+J8+K8+L8+M8</f>
        <v>1197.130288</v>
      </c>
      <c r="G8" s="148">
        <v>8.2</v>
      </c>
      <c r="H8" s="148">
        <v>5.3</v>
      </c>
      <c r="I8" s="101">
        <f ca="1">G8*H8*'21米（人字203料）参数'!G3*1.1</f>
        <v>1082.710288</v>
      </c>
      <c r="J8" s="101"/>
      <c r="K8" s="101">
        <f>49.51+41.21</f>
        <v>90.72</v>
      </c>
      <c r="L8" s="101">
        <f>2.55*4</f>
        <v>10.2</v>
      </c>
      <c r="M8" s="101"/>
      <c r="N8" s="166" t="s">
        <v>1490</v>
      </c>
      <c r="O8" s="167">
        <v>2</v>
      </c>
      <c r="P8" s="67">
        <f ca="1" t="shared" si="0"/>
        <v>2394.260576</v>
      </c>
      <c r="Q8" s="67">
        <f t="shared" si="1"/>
        <v>0</v>
      </c>
      <c r="R8" s="67">
        <f ca="1" t="shared" si="2"/>
        <v>0</v>
      </c>
    </row>
    <row r="9" ht="15" customHeight="1" spans="1:18">
      <c r="A9" s="20"/>
      <c r="B9" s="91" t="s">
        <v>1350</v>
      </c>
      <c r="C9" s="23"/>
      <c r="D9" s="23" t="s">
        <v>28</v>
      </c>
      <c r="E9" s="24">
        <f>D3*2</f>
        <v>6</v>
      </c>
      <c r="F9" s="61">
        <f ca="1">I9+J9+K9+L9+M9</f>
        <v>2337.04932288</v>
      </c>
      <c r="G9" s="95">
        <v>11.2</v>
      </c>
      <c r="H9" s="95">
        <v>8.233</v>
      </c>
      <c r="I9" s="61">
        <f ca="1">G9*H9*'21米（人字203料）参数'!G3*1.1</f>
        <v>2297.19932288</v>
      </c>
      <c r="J9" s="61">
        <f>2.5*8</f>
        <v>20</v>
      </c>
      <c r="K9" s="61">
        <v>11.85</v>
      </c>
      <c r="L9" s="61">
        <f>1*8</f>
        <v>8</v>
      </c>
      <c r="M9" s="61"/>
      <c r="N9" s="116" t="s">
        <v>1506</v>
      </c>
      <c r="O9" s="167">
        <v>4</v>
      </c>
      <c r="P9" s="67">
        <f ca="1" t="shared" si="0"/>
        <v>9348.19729152</v>
      </c>
      <c r="Q9" s="67">
        <f t="shared" si="1"/>
        <v>2</v>
      </c>
      <c r="R9" s="67">
        <f ca="1" t="shared" si="2"/>
        <v>4674.09864576</v>
      </c>
    </row>
    <row r="10" ht="15" customHeight="1" spans="1:18">
      <c r="A10" s="20"/>
      <c r="B10" s="91" t="s">
        <v>1226</v>
      </c>
      <c r="C10" s="23"/>
      <c r="D10" s="23" t="s">
        <v>28</v>
      </c>
      <c r="E10" s="24">
        <f>A3*6</f>
        <v>12</v>
      </c>
      <c r="F10" s="101">
        <f ca="1">I10+J10+K10+L10+M10</f>
        <v>195.0929650432</v>
      </c>
      <c r="G10" s="148">
        <v>4.882</v>
      </c>
      <c r="H10" s="148">
        <v>1.552</v>
      </c>
      <c r="I10" s="101">
        <f ca="1">G10*H10*'21米（人字203料）参数'!G5*1.1</f>
        <v>180.0929650432</v>
      </c>
      <c r="J10" s="101"/>
      <c r="K10" s="101"/>
      <c r="L10" s="101">
        <f>0.5*4</f>
        <v>2</v>
      </c>
      <c r="M10" s="101">
        <f>6.5*2</f>
        <v>13</v>
      </c>
      <c r="N10" s="120" t="s">
        <v>1352</v>
      </c>
      <c r="O10" s="167">
        <v>6</v>
      </c>
      <c r="P10" s="67">
        <f ca="1" t="shared" si="0"/>
        <v>1170.5577902592</v>
      </c>
      <c r="Q10" s="67">
        <f t="shared" si="1"/>
        <v>6</v>
      </c>
      <c r="R10" s="67">
        <f ca="1" t="shared" si="2"/>
        <v>1170.5577902592</v>
      </c>
    </row>
    <row r="11" ht="15" customHeight="1" spans="1:18">
      <c r="A11" s="20"/>
      <c r="B11" s="91" t="s">
        <v>1264</v>
      </c>
      <c r="C11" s="23"/>
      <c r="D11" s="23" t="s">
        <v>28</v>
      </c>
      <c r="E11" s="24">
        <f>A3*3</f>
        <v>6</v>
      </c>
      <c r="F11" s="101">
        <f ca="1">I11+J11+K11+L11+M11</f>
        <v>336.5448493136</v>
      </c>
      <c r="G11" s="148">
        <v>4.882</v>
      </c>
      <c r="H11" s="148">
        <v>2.771</v>
      </c>
      <c r="I11" s="101">
        <f ca="1">G11*H11*'21米（人字203料）参数'!G5*1.1</f>
        <v>321.5448493136</v>
      </c>
      <c r="J11" s="101"/>
      <c r="K11" s="101"/>
      <c r="L11" s="101">
        <f>0.5*4</f>
        <v>2</v>
      </c>
      <c r="M11" s="101">
        <f>6.5*2</f>
        <v>13</v>
      </c>
      <c r="N11" s="120" t="s">
        <v>1353</v>
      </c>
      <c r="O11" s="169">
        <v>3</v>
      </c>
      <c r="P11" s="67">
        <f ca="1" t="shared" si="0"/>
        <v>1009.6345479408</v>
      </c>
      <c r="Q11" s="67">
        <f t="shared" si="1"/>
        <v>3</v>
      </c>
      <c r="R11" s="67">
        <f ca="1" t="shared" si="2"/>
        <v>1009.6345479408</v>
      </c>
    </row>
    <row r="12" ht="15" customHeight="1" spans="1:18">
      <c r="A12" s="20"/>
      <c r="B12" s="91" t="s">
        <v>1266</v>
      </c>
      <c r="C12" s="23"/>
      <c r="D12" s="23" t="s">
        <v>28</v>
      </c>
      <c r="E12" s="24">
        <f>A3*2+F3*2</f>
        <v>8</v>
      </c>
      <c r="F12" s="101">
        <f ca="1">'数据修改（批量）'!A28</f>
        <v>95</v>
      </c>
      <c r="G12" s="148">
        <v>4.86</v>
      </c>
      <c r="H12" s="148">
        <v>1.345</v>
      </c>
      <c r="I12" s="101">
        <f ca="1">G12*H12*'21米（人字203料）参数'!G5*1.1</f>
        <v>155.36951496</v>
      </c>
      <c r="J12" s="101"/>
      <c r="K12" s="101"/>
      <c r="L12" s="101"/>
      <c r="M12" s="101"/>
      <c r="N12" s="120" t="s">
        <v>1354</v>
      </c>
      <c r="O12" s="169">
        <v>6</v>
      </c>
      <c r="P12" s="67">
        <f ca="1" t="shared" si="0"/>
        <v>570</v>
      </c>
      <c r="Q12" s="67">
        <f t="shared" si="1"/>
        <v>2</v>
      </c>
      <c r="R12" s="67">
        <f ca="1" t="shared" si="2"/>
        <v>190</v>
      </c>
    </row>
    <row r="13" ht="15" customHeight="1" spans="1:18">
      <c r="A13" s="20"/>
      <c r="B13" s="91" t="s">
        <v>1514</v>
      </c>
      <c r="C13" s="23"/>
      <c r="D13" s="23" t="s">
        <v>28</v>
      </c>
      <c r="E13" s="24">
        <f>F3*2</f>
        <v>4</v>
      </c>
      <c r="F13" s="101">
        <f ca="1">I13+J13+K13+L13+M13</f>
        <v>369.674111748</v>
      </c>
      <c r="G13" s="192">
        <v>5.385</v>
      </c>
      <c r="H13" s="148">
        <v>2.771</v>
      </c>
      <c r="I13" s="202">
        <f ca="1">G13*H13*'21米（人字203料）参数'!G5*1.1</f>
        <v>354.674111748</v>
      </c>
      <c r="J13" s="101"/>
      <c r="K13" s="101"/>
      <c r="L13" s="101">
        <f>0.5*4</f>
        <v>2</v>
      </c>
      <c r="M13" s="101">
        <f>6.5*2</f>
        <v>13</v>
      </c>
      <c r="N13" s="120" t="s">
        <v>1515</v>
      </c>
      <c r="O13" s="167">
        <v>4</v>
      </c>
      <c r="P13" s="67">
        <f ca="1" t="shared" si="0"/>
        <v>1478.696446992</v>
      </c>
      <c r="Q13" s="67">
        <f t="shared" si="1"/>
        <v>0</v>
      </c>
      <c r="R13" s="67">
        <f ca="1" t="shared" si="2"/>
        <v>0</v>
      </c>
    </row>
    <row r="14" ht="15" customHeight="1" spans="1:18">
      <c r="A14" s="20"/>
      <c r="B14" s="91" t="s">
        <v>1516</v>
      </c>
      <c r="C14" s="23"/>
      <c r="D14" s="23" t="s">
        <v>28</v>
      </c>
      <c r="E14" s="24">
        <f>F3*2</f>
        <v>4</v>
      </c>
      <c r="F14" s="101">
        <v>102.22</v>
      </c>
      <c r="G14" s="192">
        <v>5.36</v>
      </c>
      <c r="H14" s="148">
        <v>1.345</v>
      </c>
      <c r="I14" s="101">
        <f ca="1">G14*H14*'21米（人字203料）参数'!G5*1.1</f>
        <v>171.35403296</v>
      </c>
      <c r="J14" s="101"/>
      <c r="K14" s="101"/>
      <c r="L14" s="101"/>
      <c r="M14" s="101"/>
      <c r="N14" s="120" t="s">
        <v>1517</v>
      </c>
      <c r="O14" s="167">
        <v>4</v>
      </c>
      <c r="P14" s="67">
        <f ca="1" t="shared" si="0"/>
        <v>408.88</v>
      </c>
      <c r="Q14" s="67">
        <f t="shared" si="1"/>
        <v>0</v>
      </c>
      <c r="R14" s="67">
        <f ca="1" t="shared" si="2"/>
        <v>0</v>
      </c>
    </row>
    <row r="15" ht="15" customHeight="1" spans="1:18">
      <c r="A15" s="20"/>
      <c r="B15" s="91" t="s">
        <v>1272</v>
      </c>
      <c r="C15" s="23"/>
      <c r="D15" s="23" t="s">
        <v>28</v>
      </c>
      <c r="E15" s="30">
        <v>5</v>
      </c>
      <c r="F15" s="101">
        <f>I15+J15+K15+L15+M15</f>
        <v>134.5</v>
      </c>
      <c r="G15" s="148"/>
      <c r="H15" s="148"/>
      <c r="I15" s="101">
        <v>120</v>
      </c>
      <c r="J15" s="101">
        <v>6.5</v>
      </c>
      <c r="K15" s="101">
        <v>4</v>
      </c>
      <c r="L15" s="101">
        <v>3</v>
      </c>
      <c r="M15" s="101">
        <v>1</v>
      </c>
      <c r="N15" s="120" t="s">
        <v>1355</v>
      </c>
      <c r="O15" s="167">
        <v>4</v>
      </c>
      <c r="P15" s="67">
        <f ca="1" t="shared" si="0"/>
        <v>538</v>
      </c>
      <c r="Q15" s="67">
        <f t="shared" si="1"/>
        <v>1</v>
      </c>
      <c r="R15" s="67">
        <f ca="1" t="shared" si="2"/>
        <v>134.5</v>
      </c>
    </row>
    <row r="16" ht="15" customHeight="1" spans="1:18">
      <c r="A16" s="20"/>
      <c r="B16" s="91" t="s">
        <v>1356</v>
      </c>
      <c r="C16" s="23"/>
      <c r="D16" s="23" t="s">
        <v>28</v>
      </c>
      <c r="E16" s="24">
        <f>F3</f>
        <v>2</v>
      </c>
      <c r="F16" s="101">
        <f ca="1">I16+J16+K16+L16+M16</f>
        <v>90.133</v>
      </c>
      <c r="G16" s="148">
        <v>3.75</v>
      </c>
      <c r="H16" s="148">
        <v>1</v>
      </c>
      <c r="I16" s="101">
        <f ca="1">G16*H16*'21米（人字203料）参数'!G5*1.1</f>
        <v>89.133</v>
      </c>
      <c r="J16" s="101"/>
      <c r="K16" s="101"/>
      <c r="L16" s="101">
        <f>0.5*2</f>
        <v>1</v>
      </c>
      <c r="M16" s="101"/>
      <c r="N16" s="170" t="s">
        <v>1357</v>
      </c>
      <c r="O16" s="167">
        <v>2</v>
      </c>
      <c r="P16" s="67">
        <f ca="1" t="shared" si="0"/>
        <v>180.266</v>
      </c>
      <c r="Q16" s="67">
        <f t="shared" si="1"/>
        <v>0</v>
      </c>
      <c r="R16" s="67">
        <f ca="1" t="shared" si="2"/>
        <v>0</v>
      </c>
    </row>
    <row r="17" ht="15" customHeight="1" spans="1:18">
      <c r="A17" s="20"/>
      <c r="B17" s="91" t="s">
        <v>1276</v>
      </c>
      <c r="C17" s="23"/>
      <c r="D17" s="23" t="s">
        <v>28</v>
      </c>
      <c r="E17" s="28">
        <f>F3*2</f>
        <v>4</v>
      </c>
      <c r="F17" s="101">
        <f ca="1">I17+J17+K17+L17+M17</f>
        <v>348.2448493136</v>
      </c>
      <c r="G17" s="95">
        <v>4.882</v>
      </c>
      <c r="H17" s="95">
        <v>2.771</v>
      </c>
      <c r="I17" s="61">
        <f ca="1">G17*H17*'21米（人字203料）参数'!G5*1.1</f>
        <v>321.5448493136</v>
      </c>
      <c r="J17" s="61"/>
      <c r="K17" s="61">
        <v>15</v>
      </c>
      <c r="L17" s="61">
        <f>8*0.65</f>
        <v>5.2</v>
      </c>
      <c r="M17" s="61">
        <v>6.5</v>
      </c>
      <c r="N17" s="120" t="s">
        <v>1358</v>
      </c>
      <c r="O17" s="167">
        <v>4</v>
      </c>
      <c r="P17" s="67">
        <f ca="1" t="shared" si="0"/>
        <v>1392.9793972544</v>
      </c>
      <c r="Q17" s="67">
        <f t="shared" si="1"/>
        <v>0</v>
      </c>
      <c r="R17" s="67">
        <f ca="1" t="shared" si="2"/>
        <v>0</v>
      </c>
    </row>
    <row r="18" ht="15" customHeight="1" spans="1:18">
      <c r="A18" s="31"/>
      <c r="B18" s="193" t="s">
        <v>1485</v>
      </c>
      <c r="C18" s="43"/>
      <c r="D18" s="23" t="s">
        <v>28</v>
      </c>
      <c r="E18" s="44">
        <f>E31</f>
        <v>4</v>
      </c>
      <c r="F18" s="101">
        <f>I18+J18+K18+L18+M18</f>
        <v>17</v>
      </c>
      <c r="G18" s="194"/>
      <c r="H18" s="194"/>
      <c r="I18" s="203">
        <v>17</v>
      </c>
      <c r="J18" s="203"/>
      <c r="K18" s="203"/>
      <c r="L18" s="203"/>
      <c r="M18" s="203"/>
      <c r="N18" s="171"/>
      <c r="O18" s="167">
        <v>4</v>
      </c>
      <c r="P18" s="67">
        <f ca="1" t="shared" si="0"/>
        <v>68</v>
      </c>
      <c r="Q18" s="67">
        <f t="shared" si="1"/>
        <v>0</v>
      </c>
      <c r="R18" s="67">
        <f ca="1" t="shared" si="2"/>
        <v>0</v>
      </c>
    </row>
    <row r="19" ht="15" customHeight="1" spans="1:18">
      <c r="A19" s="31"/>
      <c r="B19" s="149" t="s">
        <v>1274</v>
      </c>
      <c r="C19" s="43"/>
      <c r="D19" s="43" t="s">
        <v>28</v>
      </c>
      <c r="E19" s="150">
        <f>A3*2+F3*2</f>
        <v>8</v>
      </c>
      <c r="F19" s="101">
        <f>(I19+J19+K19+L19+M19)</f>
        <v>20.4</v>
      </c>
      <c r="G19" s="151"/>
      <c r="H19" s="151"/>
      <c r="I19" s="39">
        <f>17*1.2</f>
        <v>20.4</v>
      </c>
      <c r="J19" s="39"/>
      <c r="K19" s="39"/>
      <c r="L19" s="39"/>
      <c r="M19" s="39"/>
      <c r="N19" s="171" t="s">
        <v>1359</v>
      </c>
      <c r="O19" s="169">
        <v>6</v>
      </c>
      <c r="P19" s="67">
        <f ca="1" t="shared" si="0"/>
        <v>122.4</v>
      </c>
      <c r="Q19" s="67">
        <f t="shared" si="1"/>
        <v>2</v>
      </c>
      <c r="R19" s="67">
        <f ca="1" t="shared" si="2"/>
        <v>40.8</v>
      </c>
    </row>
    <row r="20" ht="15" customHeight="1" spans="1:18">
      <c r="A20" s="20" t="s">
        <v>1278</v>
      </c>
      <c r="B20" s="91" t="s">
        <v>1304</v>
      </c>
      <c r="C20" s="23"/>
      <c r="D20" s="23" t="s">
        <v>434</v>
      </c>
      <c r="E20" s="24">
        <f>D3</f>
        <v>3</v>
      </c>
      <c r="F20" s="101">
        <v>180.62</v>
      </c>
      <c r="G20" s="151"/>
      <c r="H20" s="151"/>
      <c r="I20" s="39"/>
      <c r="J20" s="39"/>
      <c r="K20" s="39"/>
      <c r="L20" s="39"/>
      <c r="M20" s="39"/>
      <c r="N20" s="171" t="s">
        <v>1360</v>
      </c>
      <c r="O20" s="172">
        <v>2</v>
      </c>
      <c r="P20" s="67">
        <f ca="1" t="shared" si="0"/>
        <v>361.24</v>
      </c>
      <c r="Q20" s="67">
        <f t="shared" si="1"/>
        <v>1</v>
      </c>
      <c r="R20" s="67">
        <f ca="1" t="shared" si="2"/>
        <v>180.62</v>
      </c>
    </row>
    <row r="21" ht="15" customHeight="1" spans="1:18">
      <c r="A21" s="20"/>
      <c r="B21" s="152" t="s">
        <v>1448</v>
      </c>
      <c r="C21" s="43"/>
      <c r="D21" s="23" t="s">
        <v>28</v>
      </c>
      <c r="E21" s="44">
        <f>(D3-2)*2</f>
        <v>2</v>
      </c>
      <c r="F21" s="195">
        <f>(G21+H21+I21+J21+K21+L21+M21)*1.1</f>
        <v>189.2</v>
      </c>
      <c r="G21" s="196"/>
      <c r="H21" s="196"/>
      <c r="I21" s="203">
        <v>128</v>
      </c>
      <c r="J21" s="203"/>
      <c r="K21" s="203">
        <v>34</v>
      </c>
      <c r="L21" s="203">
        <v>10</v>
      </c>
      <c r="M21" s="203"/>
      <c r="N21" s="168" t="s">
        <v>1447</v>
      </c>
      <c r="O21" s="172">
        <v>0</v>
      </c>
      <c r="P21" s="67">
        <f ca="1" t="shared" si="0"/>
        <v>0</v>
      </c>
      <c r="Q21" s="67">
        <f t="shared" si="1"/>
        <v>2</v>
      </c>
      <c r="R21" s="67">
        <f ca="1" t="shared" si="2"/>
        <v>378.4</v>
      </c>
    </row>
    <row r="22" ht="15" customHeight="1" spans="1:18">
      <c r="A22" s="20"/>
      <c r="B22" s="91" t="s">
        <v>1310</v>
      </c>
      <c r="C22" s="23"/>
      <c r="D22" s="23" t="s">
        <v>434</v>
      </c>
      <c r="E22" s="24">
        <f>E7+E8</f>
        <v>6</v>
      </c>
      <c r="F22" s="101">
        <v>76.4</v>
      </c>
      <c r="G22" s="148"/>
      <c r="H22" s="148"/>
      <c r="I22" s="101"/>
      <c r="J22" s="101"/>
      <c r="K22" s="101"/>
      <c r="L22" s="101"/>
      <c r="M22" s="101"/>
      <c r="N22" s="120" t="s">
        <v>1361</v>
      </c>
      <c r="O22" s="167">
        <v>6</v>
      </c>
      <c r="P22" s="67">
        <f ca="1" t="shared" si="0"/>
        <v>458.4</v>
      </c>
      <c r="Q22" s="67">
        <f t="shared" si="1"/>
        <v>0</v>
      </c>
      <c r="R22" s="67">
        <f ca="1" t="shared" si="2"/>
        <v>0</v>
      </c>
    </row>
    <row r="23" ht="15" customHeight="1" spans="1:18">
      <c r="A23" s="20"/>
      <c r="B23" s="91" t="s">
        <v>1280</v>
      </c>
      <c r="C23" s="23"/>
      <c r="D23" s="23" t="s">
        <v>434</v>
      </c>
      <c r="E23" s="28">
        <f>E6</f>
        <v>6</v>
      </c>
      <c r="F23" s="61">
        <v>85.93</v>
      </c>
      <c r="G23" s="95"/>
      <c r="H23" s="95"/>
      <c r="I23" s="61"/>
      <c r="J23" s="61"/>
      <c r="K23" s="61"/>
      <c r="L23" s="61"/>
      <c r="M23" s="61"/>
      <c r="N23" s="173" t="s">
        <v>1361</v>
      </c>
      <c r="O23" s="167">
        <v>4</v>
      </c>
      <c r="P23" s="67">
        <f ca="1" t="shared" si="0"/>
        <v>343.72</v>
      </c>
      <c r="Q23" s="67">
        <f t="shared" si="1"/>
        <v>2</v>
      </c>
      <c r="R23" s="67">
        <f ca="1" t="shared" si="2"/>
        <v>171.86</v>
      </c>
    </row>
    <row r="24" ht="15" customHeight="1" spans="1:18">
      <c r="A24" s="20"/>
      <c r="B24" s="91" t="s">
        <v>1339</v>
      </c>
      <c r="C24" s="23"/>
      <c r="D24" s="23" t="s">
        <v>28</v>
      </c>
      <c r="E24" s="32">
        <f>E15</f>
        <v>5</v>
      </c>
      <c r="F24" s="101">
        <v>91.3</v>
      </c>
      <c r="G24" s="148"/>
      <c r="H24" s="148"/>
      <c r="I24" s="101"/>
      <c r="J24" s="101"/>
      <c r="K24" s="101"/>
      <c r="L24" s="101"/>
      <c r="M24" s="101"/>
      <c r="N24" s="120" t="s">
        <v>1362</v>
      </c>
      <c r="O24" s="167">
        <v>4</v>
      </c>
      <c r="P24" s="67">
        <f ca="1" t="shared" si="0"/>
        <v>365.2</v>
      </c>
      <c r="Q24" s="67">
        <f t="shared" si="1"/>
        <v>1</v>
      </c>
      <c r="R24" s="67">
        <f ca="1" t="shared" si="2"/>
        <v>91.3</v>
      </c>
    </row>
    <row r="25" ht="15" customHeight="1" spans="1:18">
      <c r="A25" s="20"/>
      <c r="B25" s="91" t="s">
        <v>1282</v>
      </c>
      <c r="C25" s="23"/>
      <c r="D25" s="23" t="s">
        <v>434</v>
      </c>
      <c r="E25" s="24">
        <f>D3*2+F3*3</f>
        <v>12</v>
      </c>
      <c r="F25" s="101">
        <v>4.45</v>
      </c>
      <c r="G25" s="148"/>
      <c r="H25" s="148"/>
      <c r="I25" s="101"/>
      <c r="J25" s="101"/>
      <c r="K25" s="101"/>
      <c r="L25" s="101"/>
      <c r="M25" s="101"/>
      <c r="N25" s="120" t="s">
        <v>1363</v>
      </c>
      <c r="O25" s="169">
        <v>10</v>
      </c>
      <c r="P25" s="67">
        <f ca="1" t="shared" si="0"/>
        <v>44.5</v>
      </c>
      <c r="Q25" s="67">
        <f t="shared" si="1"/>
        <v>2</v>
      </c>
      <c r="R25" s="67">
        <f ca="1" t="shared" si="2"/>
        <v>8.9</v>
      </c>
    </row>
    <row r="26" ht="15" customHeight="1" spans="1:18">
      <c r="A26" s="20"/>
      <c r="B26" s="91" t="s">
        <v>1284</v>
      </c>
      <c r="C26" s="23"/>
      <c r="D26" s="23" t="s">
        <v>434</v>
      </c>
      <c r="E26" s="24">
        <f>D3*2</f>
        <v>6</v>
      </c>
      <c r="F26" s="101">
        <v>6.51</v>
      </c>
      <c r="G26" s="148"/>
      <c r="H26" s="148"/>
      <c r="I26" s="101"/>
      <c r="J26" s="101"/>
      <c r="K26" s="101"/>
      <c r="L26" s="101"/>
      <c r="M26" s="101"/>
      <c r="N26" s="120" t="s">
        <v>1364</v>
      </c>
      <c r="O26" s="167">
        <v>4</v>
      </c>
      <c r="P26" s="67">
        <f ca="1" t="shared" si="0"/>
        <v>26.04</v>
      </c>
      <c r="Q26" s="67">
        <f t="shared" si="1"/>
        <v>2</v>
      </c>
      <c r="R26" s="67">
        <f ca="1" t="shared" si="2"/>
        <v>13.02</v>
      </c>
    </row>
    <row r="27" ht="15" customHeight="1" spans="1:18">
      <c r="A27" s="20"/>
      <c r="B27" s="91" t="s">
        <v>519</v>
      </c>
      <c r="C27" s="23"/>
      <c r="D27" s="23" t="s">
        <v>434</v>
      </c>
      <c r="E27" s="24">
        <f>F3*2</f>
        <v>4</v>
      </c>
      <c r="F27" s="101">
        <v>13</v>
      </c>
      <c r="G27" s="151"/>
      <c r="H27" s="151"/>
      <c r="I27" s="39"/>
      <c r="J27" s="39"/>
      <c r="K27" s="39"/>
      <c r="L27" s="39"/>
      <c r="M27" s="39"/>
      <c r="N27" s="120" t="s">
        <v>1365</v>
      </c>
      <c r="O27" s="167">
        <v>4</v>
      </c>
      <c r="P27" s="67">
        <f ca="1" t="shared" si="0"/>
        <v>52</v>
      </c>
      <c r="Q27" s="67">
        <f t="shared" si="1"/>
        <v>0</v>
      </c>
      <c r="R27" s="67">
        <f ca="1" t="shared" si="2"/>
        <v>0</v>
      </c>
    </row>
    <row r="28" ht="15" customHeight="1" spans="1:18">
      <c r="A28" s="31"/>
      <c r="B28" s="152" t="s">
        <v>551</v>
      </c>
      <c r="C28" s="43"/>
      <c r="D28" s="43" t="s">
        <v>434</v>
      </c>
      <c r="E28" s="150">
        <f>F3*2</f>
        <v>4</v>
      </c>
      <c r="F28" s="41">
        <v>15.5</v>
      </c>
      <c r="G28" s="99"/>
      <c r="H28" s="99"/>
      <c r="I28" s="41"/>
      <c r="J28" s="41"/>
      <c r="K28" s="41"/>
      <c r="L28" s="41"/>
      <c r="M28" s="41"/>
      <c r="N28" s="173" t="s">
        <v>1361</v>
      </c>
      <c r="O28" s="174">
        <v>4</v>
      </c>
      <c r="P28" s="67">
        <f ca="1" t="shared" si="0"/>
        <v>62</v>
      </c>
      <c r="Q28" s="67">
        <f t="shared" si="1"/>
        <v>0</v>
      </c>
      <c r="R28" s="67">
        <f ca="1" t="shared" si="2"/>
        <v>0</v>
      </c>
    </row>
    <row r="29" ht="15" customHeight="1" spans="1:18">
      <c r="A29" s="153" t="s">
        <v>1216</v>
      </c>
      <c r="B29" s="91" t="s">
        <v>1366</v>
      </c>
      <c r="C29" s="23"/>
      <c r="D29" s="23" t="s">
        <v>612</v>
      </c>
      <c r="E29" s="24">
        <f>A3</f>
        <v>2</v>
      </c>
      <c r="F29" s="122">
        <f ca="1">(I29+J29)*1.1+30</f>
        <v>2708.90865</v>
      </c>
      <c r="G29" s="99">
        <v>23.61</v>
      </c>
      <c r="H29" s="99">
        <v>5</v>
      </c>
      <c r="I29" s="41">
        <f ca="1">G29*H29*'21米（人字203料）参数'!E15*1.1</f>
        <v>2246.4915</v>
      </c>
      <c r="J29" s="41">
        <f>23.61*2*4</f>
        <v>188.88</v>
      </c>
      <c r="K29" s="41">
        <v>30</v>
      </c>
      <c r="L29" s="41"/>
      <c r="M29" s="41"/>
      <c r="N29" s="167" t="s">
        <v>1518</v>
      </c>
      <c r="O29" s="175">
        <v>1</v>
      </c>
      <c r="P29" s="67">
        <f ca="1" t="shared" si="0"/>
        <v>2708.90865</v>
      </c>
      <c r="Q29" s="67">
        <f t="shared" si="1"/>
        <v>1</v>
      </c>
      <c r="R29" s="67">
        <f ca="1" t="shared" si="2"/>
        <v>2708.90865</v>
      </c>
    </row>
    <row r="30" ht="15" customHeight="1" spans="1:18">
      <c r="A30" s="153"/>
      <c r="B30" s="91" t="s">
        <v>1368</v>
      </c>
      <c r="C30" s="23"/>
      <c r="D30" s="23" t="s">
        <v>664</v>
      </c>
      <c r="E30" s="24">
        <f>F3</f>
        <v>2</v>
      </c>
      <c r="F30" s="122">
        <f ca="1">(I30+J30)*1.1+15</f>
        <v>1024.356502</v>
      </c>
      <c r="G30" s="148">
        <v>10.7</v>
      </c>
      <c r="H30" s="154">
        <v>4.62</v>
      </c>
      <c r="I30" s="101">
        <f ca="1">G30*H30*'21米（人字203料）参数'!E14*1.1</f>
        <v>777.59682</v>
      </c>
      <c r="J30" s="101">
        <f>17.5*2*4</f>
        <v>140</v>
      </c>
      <c r="K30" s="101">
        <v>15</v>
      </c>
      <c r="L30" s="101"/>
      <c r="M30" s="101"/>
      <c r="N30" s="51" t="s">
        <v>1519</v>
      </c>
      <c r="O30" s="167">
        <v>2</v>
      </c>
      <c r="P30" s="67">
        <f ca="1" t="shared" si="0"/>
        <v>2048.713004</v>
      </c>
      <c r="Q30" s="67">
        <f t="shared" si="1"/>
        <v>0</v>
      </c>
      <c r="R30" s="67">
        <f ca="1" t="shared" si="2"/>
        <v>0</v>
      </c>
    </row>
    <row r="31" ht="15" customHeight="1" spans="1:18">
      <c r="A31" s="155"/>
      <c r="B31" s="91" t="s">
        <v>1520</v>
      </c>
      <c r="C31" s="23"/>
      <c r="D31" s="23" t="s">
        <v>664</v>
      </c>
      <c r="E31" s="24">
        <f>F3*2</f>
        <v>4</v>
      </c>
      <c r="F31" s="122">
        <f ca="1">(I31+J31)*1.1+15</f>
        <v>588.3481358</v>
      </c>
      <c r="G31" s="156">
        <v>5.97</v>
      </c>
      <c r="H31" s="157">
        <v>5.38</v>
      </c>
      <c r="I31" s="101">
        <f ca="1">G31*H31*'21米（人字203料）参数'!E14*1.1</f>
        <v>505.225578</v>
      </c>
      <c r="J31" s="71">
        <f>4*2*2</f>
        <v>16</v>
      </c>
      <c r="K31" s="71">
        <f>0.5*10</f>
        <v>5</v>
      </c>
      <c r="L31" s="71">
        <f>0.32*18</f>
        <v>5.76</v>
      </c>
      <c r="M31" s="71">
        <f>18*1</f>
        <v>18</v>
      </c>
      <c r="N31" s="120" t="s">
        <v>1529</v>
      </c>
      <c r="O31" s="167">
        <v>4</v>
      </c>
      <c r="P31" s="67">
        <f ca="1" t="shared" si="0"/>
        <v>2353.3925432</v>
      </c>
      <c r="Q31" s="67">
        <f t="shared" si="1"/>
        <v>0</v>
      </c>
      <c r="R31" s="67">
        <f ca="1" t="shared" si="2"/>
        <v>0</v>
      </c>
    </row>
    <row r="32" ht="15" customHeight="1" spans="1:18">
      <c r="A32" s="155"/>
      <c r="B32" s="91" t="s">
        <v>1370</v>
      </c>
      <c r="C32" s="23"/>
      <c r="D32" s="23" t="s">
        <v>664</v>
      </c>
      <c r="E32" s="24">
        <f>A3*2+F3*2</f>
        <v>8</v>
      </c>
      <c r="F32" s="101">
        <f ca="1">I32+J32+K31+L32+M32</f>
        <v>548.08212</v>
      </c>
      <c r="G32" s="156">
        <v>5.2</v>
      </c>
      <c r="H32" s="157">
        <v>5.97</v>
      </c>
      <c r="I32" s="101">
        <f ca="1">G32*H32*'21米（人字203料）参数'!E14*1.1+15</f>
        <v>503.32212</v>
      </c>
      <c r="J32" s="71">
        <f>4*2*2</f>
        <v>16</v>
      </c>
      <c r="K32" s="71">
        <f>0.5*10</f>
        <v>5</v>
      </c>
      <c r="L32" s="71">
        <f>0.32*18</f>
        <v>5.76</v>
      </c>
      <c r="M32" s="71">
        <f>18*1</f>
        <v>18</v>
      </c>
      <c r="N32" s="120" t="s">
        <v>1498</v>
      </c>
      <c r="O32" s="169">
        <v>6</v>
      </c>
      <c r="P32" s="67">
        <f ca="1" t="shared" si="0"/>
        <v>3288.49272</v>
      </c>
      <c r="Q32" s="67">
        <f t="shared" si="1"/>
        <v>2</v>
      </c>
      <c r="R32" s="67">
        <f ca="1" t="shared" si="2"/>
        <v>1096.16424</v>
      </c>
    </row>
    <row r="33" ht="15" customHeight="1" spans="1:18">
      <c r="A33" s="20" t="s">
        <v>1235</v>
      </c>
      <c r="B33" s="158" t="s">
        <v>589</v>
      </c>
      <c r="C33" s="23"/>
      <c r="D33" s="23" t="s">
        <v>434</v>
      </c>
      <c r="E33" s="24">
        <f>D3*10+F3*2+E24*2</f>
        <v>44</v>
      </c>
      <c r="F33" s="101">
        <v>2.15</v>
      </c>
      <c r="G33" s="154"/>
      <c r="H33" s="154"/>
      <c r="I33" s="101"/>
      <c r="J33" s="101"/>
      <c r="K33" s="101"/>
      <c r="L33" s="101"/>
      <c r="M33" s="101"/>
      <c r="N33" s="120" t="s">
        <v>1372</v>
      </c>
      <c r="O33" s="167">
        <v>34</v>
      </c>
      <c r="P33" s="67">
        <f ca="1" t="shared" si="0"/>
        <v>73.1</v>
      </c>
      <c r="Q33" s="67">
        <f t="shared" si="1"/>
        <v>10</v>
      </c>
      <c r="R33" s="67">
        <f ca="1" t="shared" si="2"/>
        <v>21.5</v>
      </c>
    </row>
    <row r="34" ht="15" customHeight="1" spans="1:18">
      <c r="A34" s="20"/>
      <c r="B34" s="109" t="s">
        <v>591</v>
      </c>
      <c r="C34" s="23"/>
      <c r="D34" s="23" t="s">
        <v>434</v>
      </c>
      <c r="E34" s="24">
        <f>D3*2+E24+E15</f>
        <v>16</v>
      </c>
      <c r="F34" s="101">
        <v>2.55</v>
      </c>
      <c r="G34" s="154"/>
      <c r="H34" s="154"/>
      <c r="I34" s="101"/>
      <c r="J34" s="101"/>
      <c r="K34" s="101"/>
      <c r="L34" s="101"/>
      <c r="M34" s="101"/>
      <c r="N34" s="120" t="s">
        <v>1373</v>
      </c>
      <c r="O34" s="172">
        <v>14</v>
      </c>
      <c r="P34" s="67">
        <f ca="1" t="shared" si="0"/>
        <v>35.7</v>
      </c>
      <c r="Q34" s="67">
        <f t="shared" si="1"/>
        <v>2</v>
      </c>
      <c r="R34" s="67">
        <f ca="1" t="shared" si="2"/>
        <v>5.1</v>
      </c>
    </row>
    <row r="35" ht="15" customHeight="1" spans="1:18">
      <c r="A35" s="20"/>
      <c r="B35" s="159" t="s">
        <v>1423</v>
      </c>
      <c r="C35" s="43"/>
      <c r="D35" s="43" t="s">
        <v>434</v>
      </c>
      <c r="E35" s="44">
        <f>D3*2+4</f>
        <v>10</v>
      </c>
      <c r="F35" s="39">
        <v>1.95</v>
      </c>
      <c r="G35" s="160"/>
      <c r="H35" s="160"/>
      <c r="I35" s="39"/>
      <c r="J35" s="39"/>
      <c r="K35" s="39"/>
      <c r="L35" s="39"/>
      <c r="M35" s="39"/>
      <c r="N35" s="120" t="s">
        <v>1375</v>
      </c>
      <c r="O35" s="167">
        <v>8</v>
      </c>
      <c r="P35" s="67">
        <f ca="1" t="shared" si="0"/>
        <v>15.6</v>
      </c>
      <c r="Q35" s="67">
        <f t="shared" si="1"/>
        <v>2</v>
      </c>
      <c r="R35" s="67">
        <f ca="1" t="shared" si="2"/>
        <v>3.9</v>
      </c>
    </row>
    <row r="36" ht="15" customHeight="1" spans="1:18">
      <c r="A36" s="20"/>
      <c r="B36" s="109" t="s">
        <v>554</v>
      </c>
      <c r="C36" s="23"/>
      <c r="D36" s="23" t="s">
        <v>555</v>
      </c>
      <c r="E36" s="28">
        <f>E22+E23+E15</f>
        <v>17</v>
      </c>
      <c r="F36" s="101">
        <v>1.46</v>
      </c>
      <c r="G36" s="154"/>
      <c r="H36" s="154"/>
      <c r="I36" s="101"/>
      <c r="J36" s="101"/>
      <c r="K36" s="101"/>
      <c r="L36" s="101"/>
      <c r="M36" s="101"/>
      <c r="N36" s="120" t="s">
        <v>1376</v>
      </c>
      <c r="O36" s="167">
        <v>15</v>
      </c>
      <c r="P36" s="67">
        <f ca="1" t="shared" si="0"/>
        <v>21.9</v>
      </c>
      <c r="Q36" s="67">
        <f t="shared" si="1"/>
        <v>2</v>
      </c>
      <c r="R36" s="67">
        <f ca="1" t="shared" si="2"/>
        <v>2.92</v>
      </c>
    </row>
    <row r="37" spans="1:18">
      <c r="A37" s="50"/>
      <c r="B37" s="50" t="s">
        <v>1424</v>
      </c>
      <c r="C37" s="51"/>
      <c r="D37" s="51"/>
      <c r="E37" s="51"/>
      <c r="F37" s="50"/>
      <c r="G37" s="50"/>
      <c r="H37" s="50"/>
      <c r="I37" s="50"/>
      <c r="J37" s="50"/>
      <c r="K37" s="50"/>
      <c r="L37" s="50"/>
      <c r="M37" s="50"/>
      <c r="N37" s="50"/>
      <c r="O37" s="84" t="s">
        <v>1218</v>
      </c>
      <c r="P37" s="3">
        <f ca="1">SUM(P6:P36)</f>
        <v>42328.3485663344</v>
      </c>
      <c r="Q37" s="3" t="s">
        <v>1219</v>
      </c>
      <c r="R37" s="3">
        <f ca="1">SUM(R6:R36)</f>
        <v>15520.998913544</v>
      </c>
    </row>
    <row r="38" spans="1:18">
      <c r="A38" s="50"/>
      <c r="B38" s="50" t="s">
        <v>1221</v>
      </c>
      <c r="C38" s="51"/>
      <c r="D38" s="51"/>
      <c r="E38" s="51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3"/>
      <c r="Q38" s="3"/>
      <c r="R38" s="3"/>
    </row>
    <row r="39" spans="1:18">
      <c r="A39" s="50"/>
      <c r="B39" s="50"/>
      <c r="C39" s="51"/>
      <c r="D39" s="51"/>
      <c r="E39" s="51"/>
      <c r="F39" s="50"/>
      <c r="G39" s="50"/>
      <c r="H39" s="50"/>
      <c r="I39" s="50"/>
      <c r="J39" s="50"/>
      <c r="K39" s="50"/>
      <c r="L39" s="50"/>
      <c r="M39" s="50"/>
      <c r="N39" s="50"/>
      <c r="O39" s="50" t="s">
        <v>1377</v>
      </c>
      <c r="P39" s="3">
        <f ca="1">P37+R37</f>
        <v>57849.3474798784</v>
      </c>
      <c r="Q39" s="3"/>
      <c r="R39" s="3"/>
    </row>
    <row r="40" spans="1:18">
      <c r="A40" s="50"/>
      <c r="B40" s="52"/>
      <c r="C40" s="52"/>
      <c r="D40" s="52"/>
      <c r="E40" s="52"/>
      <c r="F40" s="52"/>
      <c r="G40" s="52"/>
      <c r="H40" s="52"/>
      <c r="I40" s="52"/>
      <c r="J40" s="52"/>
      <c r="K40" s="52"/>
      <c r="L40" s="52"/>
      <c r="M40" s="52"/>
      <c r="N40" s="50"/>
      <c r="O40" s="50" t="s">
        <v>14</v>
      </c>
      <c r="P40" s="3">
        <f ca="1">P39/E2</f>
        <v>275.473083237516</v>
      </c>
      <c r="Q40" s="3"/>
      <c r="R40" s="3"/>
    </row>
  </sheetData>
  <mergeCells count="12">
    <mergeCell ref="A1:N1"/>
    <mergeCell ref="A2:C2"/>
    <mergeCell ref="F2:N2"/>
    <mergeCell ref="A3:B3"/>
    <mergeCell ref="H3:N3"/>
    <mergeCell ref="A4:F4"/>
    <mergeCell ref="G4:H4"/>
    <mergeCell ref="I4:M4"/>
    <mergeCell ref="A6:A19"/>
    <mergeCell ref="A20:A28"/>
    <mergeCell ref="A29:A32"/>
    <mergeCell ref="A33:A36"/>
  </mergeCells>
  <dataValidations count="4">
    <dataValidation type="list" allowBlank="1" showInputMessage="1" showErrorMessage="1" sqref="B29">
      <formula1>"顶布[白]{全新},顶布[白]{A类},顶布[白]{B类},顶布[白]{C类},顶布[白]{D类}"</formula1>
    </dataValidation>
    <dataValidation type="list" allowBlank="1" showInputMessage="1" showErrorMessage="1" sqref="B30">
      <formula1>"山尖布[白]{全新},山尖布[白]{A类},山尖布[白]{B类},山尖布[白]{C类},山尖布[白]{D类}"</formula1>
    </dataValidation>
    <dataValidation allowBlank="1" showInputMessage="1" showErrorMessage="1" sqref="B31"/>
    <dataValidation type="list" allowBlank="1" showInputMessage="1" showErrorMessage="1" sqref="B32">
      <formula1>"围布[白]{全新},围布[白]{A类},围布[白]{B类},围布[白]{C类},围布[白]{D类},透光窗围布[白]{全新},透光窗围布[白]{A类},透光窗围布[白]{B类},透光窗围布[白]{C类},透光窗围布[白]{D类}"</formula1>
    </dataValidation>
  </dataValidations>
  <pageMargins left="0.75" right="0.75" top="1" bottom="1" header="0.509027777777778" footer="0.509027777777778"/>
  <headerFooter/>
</worksheet>
</file>

<file path=xl/worksheets/sheet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7030A0"/>
  </sheetPr>
  <dimension ref="A1:G21"/>
  <sheetViews>
    <sheetView showGridLines="0" workbookViewId="0">
      <selection activeCell="E31" sqref="E31"/>
    </sheetView>
  </sheetViews>
  <sheetFormatPr defaultColWidth="9" defaultRowHeight="14.25" outlineLevelCol="6"/>
  <cols>
    <col min="1" max="1" width="21.125" style="1" customWidth="1"/>
    <col min="2" max="2" width="19.125" style="1" customWidth="1"/>
    <col min="3" max="3" width="15.5" style="1" customWidth="1"/>
    <col min="4" max="4" width="11.375" style="1" customWidth="1"/>
    <col min="5" max="5" width="10.5" style="1" customWidth="1"/>
    <col min="6" max="6" width="9" style="1"/>
    <col min="7" max="7" width="12.625" style="1" customWidth="1"/>
    <col min="8" max="16384" width="9" style="1"/>
  </cols>
  <sheetData>
    <row r="1" spans="1:4">
      <c r="A1" s="2" t="str">
        <f ca="1">'数据修改（批量）'!A1</f>
        <v>上海有色铝锭价格</v>
      </c>
      <c r="B1" s="2"/>
      <c r="C1" s="2"/>
      <c r="D1" s="3"/>
    </row>
    <row r="2" spans="1:7">
      <c r="A2" s="4">
        <f ca="1">'数据修改（批量）'!A2</f>
        <v>16200</v>
      </c>
      <c r="B2" s="2" t="str">
        <f ca="1">'数据修改（批量）'!B2</f>
        <v>项目</v>
      </c>
      <c r="C2" s="2" t="str">
        <f ca="1">'数据修改（批量）'!C2</f>
        <v>加工费</v>
      </c>
      <c r="D2" s="2" t="str">
        <f ca="1">'数据修改（批量）'!D2</f>
        <v>包装物</v>
      </c>
      <c r="E2" s="2" t="str">
        <f ca="1">'数据修改（批量）'!E2</f>
        <v>运费</v>
      </c>
      <c r="F2" s="2" t="str">
        <f ca="1">'数据修改（批量）'!F2</f>
        <v>单价</v>
      </c>
      <c r="G2" s="2" t="str">
        <f ca="1">'数据修改（批量）'!G2</f>
        <v>每公斤价格</v>
      </c>
    </row>
    <row r="3" spans="1:7">
      <c r="A3" s="2"/>
      <c r="B3" s="2" t="str">
        <f ca="1">'数据修改（批量）'!B3</f>
        <v>203料</v>
      </c>
      <c r="C3" s="2">
        <f ca="1">'数据修改（批量）'!C3</f>
        <v>5500</v>
      </c>
      <c r="D3" s="2">
        <f ca="1">'数据修改（批量）'!D3</f>
        <v>868</v>
      </c>
      <c r="E3" s="2">
        <f ca="1">'数据修改（批量）'!E3</f>
        <v>80</v>
      </c>
      <c r="F3" s="2">
        <f ca="1">'数据修改（批量）'!F3</f>
        <v>22648</v>
      </c>
      <c r="G3" s="2">
        <f ca="1">'数据修改（批量）'!G3</f>
        <v>22.648</v>
      </c>
    </row>
    <row r="4" spans="1:7">
      <c r="A4" s="2"/>
      <c r="B4" s="2" t="str">
        <f ca="1">'数据修改（批量）'!B4</f>
        <v>203料氧化</v>
      </c>
      <c r="C4" s="2">
        <f ca="1">'数据修改（批量）'!C4</f>
        <v>6000</v>
      </c>
      <c r="D4" s="2">
        <f ca="1">'数据修改（批量）'!D4</f>
        <v>888</v>
      </c>
      <c r="E4" s="2">
        <f ca="1">'数据修改（批量）'!E4</f>
        <v>80</v>
      </c>
      <c r="F4" s="2">
        <f ca="1">'数据修改（批量）'!F4</f>
        <v>23168</v>
      </c>
      <c r="G4" s="2">
        <f ca="1">'数据修改（批量）'!G4</f>
        <v>23.168</v>
      </c>
    </row>
    <row r="5" spans="2:7">
      <c r="B5" s="2" t="str">
        <f ca="1">'数据修改（批量）'!B5</f>
        <v>小料加工费</v>
      </c>
      <c r="C5" s="2">
        <f ca="1">'数据修改（批量）'!C5</f>
        <v>4500</v>
      </c>
      <c r="D5" s="2">
        <f ca="1">'数据修改（批量）'!D5</f>
        <v>828</v>
      </c>
      <c r="E5" s="2">
        <f ca="1">'数据修改（批量）'!E5</f>
        <v>80</v>
      </c>
      <c r="F5" s="2">
        <f ca="1">'数据修改（批量）'!F5</f>
        <v>21608</v>
      </c>
      <c r="G5" s="2">
        <f ca="1">'数据修改（批量）'!G5</f>
        <v>21.608</v>
      </c>
    </row>
    <row r="6" spans="1:4">
      <c r="A6" s="2" t="str">
        <f ca="1">'数据修改（批量）'!A6</f>
        <v>南海有色铝锭价格</v>
      </c>
      <c r="D6" s="5"/>
    </row>
    <row r="7" spans="1:1">
      <c r="A7" s="4">
        <f ca="1">'数据修改（批量）'!A7</f>
        <v>16600</v>
      </c>
    </row>
    <row r="8" spans="2:7">
      <c r="B8" s="2" t="str">
        <f ca="1">'数据修改（批量）'!B8</f>
        <v>项目</v>
      </c>
      <c r="C8" s="2" t="str">
        <f ca="1">'数据修改（批量）'!C8</f>
        <v>加工费</v>
      </c>
      <c r="D8" s="2" t="str">
        <f ca="1">'数据修改（批量）'!D8</f>
        <v>包装物</v>
      </c>
      <c r="E8" s="2" t="str">
        <f ca="1">'数据修改（批量）'!E8</f>
        <v>运费</v>
      </c>
      <c r="F8" s="2" t="str">
        <f ca="1">'数据修改（批量）'!F8</f>
        <v>单价</v>
      </c>
      <c r="G8" s="2" t="str">
        <f ca="1">'数据修改（批量）'!G8</f>
        <v>每公斤价格</v>
      </c>
    </row>
    <row r="9" spans="2:7">
      <c r="B9" s="2" t="str">
        <f ca="1">'数据修改（批量）'!B9</f>
        <v>300/350料8米以上</v>
      </c>
      <c r="C9" s="2">
        <f ca="1">'数据修改（批量）'!C9</f>
        <v>7800</v>
      </c>
      <c r="D9" s="2">
        <f ca="1">'数据修改（批量）'!D9</f>
        <v>976</v>
      </c>
      <c r="E9" s="2">
        <f ca="1">'数据修改（批量）'!E9</f>
        <v>1000</v>
      </c>
      <c r="F9" s="2">
        <f ca="1">'数据修改（批量）'!F9</f>
        <v>26376</v>
      </c>
      <c r="G9" s="2">
        <f ca="1">'数据修改（批量）'!G9</f>
        <v>26.376</v>
      </c>
    </row>
    <row r="10" spans="2:7">
      <c r="B10" s="2" t="str">
        <f ca="1">'数据修改（批量）'!B10</f>
        <v>300/350料8米以下</v>
      </c>
      <c r="C10" s="2">
        <f ca="1">'数据修改（批量）'!C10</f>
        <v>7100</v>
      </c>
      <c r="D10" s="2">
        <f ca="1">'数据修改（批量）'!D10</f>
        <v>948</v>
      </c>
      <c r="E10" s="2">
        <f ca="1">'数据修改（批量）'!E10</f>
        <v>1000</v>
      </c>
      <c r="F10" s="2">
        <f ca="1">'数据修改（批量）'!F10</f>
        <v>25648</v>
      </c>
      <c r="G10" s="2">
        <f ca="1">'数据修改（批量）'!G10</f>
        <v>25.648</v>
      </c>
    </row>
    <row r="12" spans="1:4">
      <c r="A12" s="2" t="str">
        <f ca="1">'数据修改（批量）'!A12</f>
        <v>篷布</v>
      </c>
      <c r="B12" s="2"/>
      <c r="C12" s="2"/>
      <c r="D12" s="3"/>
    </row>
    <row r="13" spans="1:7">
      <c r="A13" s="2"/>
      <c r="B13" s="2" t="str">
        <f ca="1">'数据修改（批量）'!B13</f>
        <v>项目</v>
      </c>
      <c r="C13" s="2" t="str">
        <f ca="1">'数据修改（批量）'!C13</f>
        <v>运费</v>
      </c>
      <c r="D13" s="2" t="str">
        <f ca="1">'数据修改（批量）'!D13</f>
        <v>单价</v>
      </c>
      <c r="E13" s="2" t="str">
        <f ca="1">'数据修改（批量）'!E13</f>
        <v>每平价格</v>
      </c>
      <c r="F13" s="2"/>
      <c r="G13" s="2"/>
    </row>
    <row r="14" spans="1:7">
      <c r="A14" s="2"/>
      <c r="B14" s="2">
        <f ca="1">'数据修改（批量）'!B14</f>
        <v>650</v>
      </c>
      <c r="C14" s="2">
        <f ca="1">'数据修改（批量）'!C14</f>
        <v>0.5</v>
      </c>
      <c r="D14" s="4">
        <f ca="1">'数据修改（批量）'!D14</f>
        <v>13.8</v>
      </c>
      <c r="E14" s="2">
        <f ca="1">'数据修改（批量）'!E14</f>
        <v>14.3</v>
      </c>
      <c r="F14" s="2"/>
      <c r="G14" s="2"/>
    </row>
    <row r="15" spans="1:7">
      <c r="A15" s="2"/>
      <c r="B15" s="2">
        <f ca="1">'数据修改（批量）'!B15</f>
        <v>780</v>
      </c>
      <c r="C15" s="2">
        <f ca="1">'数据修改（批量）'!C15</f>
        <v>0.5</v>
      </c>
      <c r="D15" s="4">
        <f ca="1">'数据修改（批量）'!D15</f>
        <v>16.8</v>
      </c>
      <c r="E15" s="2">
        <f ca="1">'数据修改（批量）'!E15</f>
        <v>17.3</v>
      </c>
      <c r="F15" s="2"/>
      <c r="G15" s="2"/>
    </row>
    <row r="16" spans="2:7">
      <c r="B16" s="2">
        <f ca="1">'数据修改（批量）'!B16</f>
        <v>850</v>
      </c>
      <c r="C16" s="2">
        <f ca="1">'数据修改（批量）'!C16</f>
        <v>0.5</v>
      </c>
      <c r="D16" s="4">
        <f ca="1">'数据修改（批量）'!D16</f>
        <v>18</v>
      </c>
      <c r="E16" s="2">
        <f ca="1">'数据修改（批量）'!E16</f>
        <v>18.5</v>
      </c>
      <c r="F16" s="2"/>
      <c r="G16" s="2"/>
    </row>
    <row r="21" spans="1:7">
      <c r="A21" s="6" t="str">
        <f ca="1">'数据修改（批量）'!A21</f>
        <v>说明：黄色部分可以根据价格修改</v>
      </c>
      <c r="B21" s="6"/>
      <c r="C21" s="6"/>
      <c r="D21" s="6"/>
      <c r="E21" s="6"/>
      <c r="F21" s="6"/>
      <c r="G21" s="6"/>
    </row>
  </sheetData>
  <mergeCells count="1">
    <mergeCell ref="A21:G21"/>
  </mergeCells>
  <pageMargins left="0.75" right="0.75" top="1" bottom="1" header="0.509027777777778" footer="0.509027777777778"/>
  <pageSetup paperSize="9" orientation="portrait"/>
  <headerFooter/>
</worksheet>
</file>

<file path=xl/worksheets/sheet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FF0000"/>
  </sheetPr>
  <dimension ref="A1:U43"/>
  <sheetViews>
    <sheetView showGridLines="0" workbookViewId="0">
      <selection activeCell="F13" sqref="F13"/>
    </sheetView>
  </sheetViews>
  <sheetFormatPr defaultColWidth="9" defaultRowHeight="14.25"/>
  <cols>
    <col min="1" max="1" width="2.875" style="50" customWidth="1"/>
    <col min="2" max="2" width="15.25" style="50" customWidth="1"/>
    <col min="3" max="5" width="10.75" style="51" customWidth="1"/>
    <col min="6" max="6" width="10.75" style="50" customWidth="1"/>
    <col min="7" max="13" width="10.5" style="50" customWidth="1"/>
    <col min="14" max="14" width="72.75" style="50" customWidth="1"/>
    <col min="15" max="15" width="11.125" style="50" customWidth="1"/>
    <col min="16" max="16" width="13.875" style="3" customWidth="1"/>
    <col min="17" max="17" width="9" style="3"/>
    <col min="18" max="18" width="14.375" style="3" customWidth="1"/>
    <col min="19" max="21" width="9" style="3"/>
    <col min="22" max="16384" width="9" style="1"/>
  </cols>
  <sheetData>
    <row r="1" ht="17.1" customHeight="1" spans="1:15">
      <c r="A1" s="72" t="s">
        <v>1530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161"/>
    </row>
    <row r="2" ht="15.95" customHeight="1" spans="1:21">
      <c r="A2" s="141" t="s">
        <v>1246</v>
      </c>
      <c r="B2" s="142"/>
      <c r="C2" s="142"/>
      <c r="D2" s="9" t="s">
        <v>1198</v>
      </c>
      <c r="E2" s="10">
        <f>A3*5*25</f>
        <v>250</v>
      </c>
      <c r="F2" s="11"/>
      <c r="G2" s="11"/>
      <c r="H2" s="11"/>
      <c r="I2" s="11"/>
      <c r="J2" s="11"/>
      <c r="K2" s="11"/>
      <c r="L2" s="11"/>
      <c r="M2" s="11"/>
      <c r="N2" s="11"/>
      <c r="O2" s="162"/>
      <c r="Q2" s="55"/>
      <c r="R2" s="55"/>
      <c r="T2" s="1"/>
      <c r="U2" s="1"/>
    </row>
    <row r="3" ht="15.95" customHeight="1" spans="1:21">
      <c r="A3" s="12">
        <v>2</v>
      </c>
      <c r="B3" s="12"/>
      <c r="C3" s="9" t="s">
        <v>1247</v>
      </c>
      <c r="D3" s="13">
        <v>3</v>
      </c>
      <c r="E3" s="11" t="s">
        <v>1248</v>
      </c>
      <c r="F3" s="12">
        <v>2</v>
      </c>
      <c r="G3" s="11" t="s">
        <v>1249</v>
      </c>
      <c r="H3" s="143"/>
      <c r="I3" s="144"/>
      <c r="J3" s="144"/>
      <c r="K3" s="144"/>
      <c r="L3" s="144"/>
      <c r="M3" s="145"/>
      <c r="N3" s="185"/>
      <c r="O3" s="162"/>
      <c r="Q3" s="55"/>
      <c r="R3" s="55"/>
      <c r="T3" s="1"/>
      <c r="U3" s="1"/>
    </row>
    <row r="4" ht="15.95" customHeight="1" spans="1:21">
      <c r="A4" s="12"/>
      <c r="B4" s="12"/>
      <c r="C4" s="12"/>
      <c r="D4" s="12"/>
      <c r="E4" s="12"/>
      <c r="F4" s="12"/>
      <c r="G4" s="11" t="s">
        <v>1345</v>
      </c>
      <c r="H4" s="11"/>
      <c r="I4" s="9" t="s">
        <v>1346</v>
      </c>
      <c r="J4" s="9"/>
      <c r="K4" s="9"/>
      <c r="L4" s="9"/>
      <c r="M4" s="9"/>
      <c r="N4" s="12"/>
      <c r="O4" s="162"/>
      <c r="Q4" s="55"/>
      <c r="R4" s="55"/>
      <c r="T4" s="1"/>
      <c r="U4" s="1"/>
    </row>
    <row r="5" ht="24" spans="1:18">
      <c r="A5" s="146" t="s">
        <v>1200</v>
      </c>
      <c r="B5" s="146" t="s">
        <v>1201</v>
      </c>
      <c r="C5" s="146" t="s">
        <v>1250</v>
      </c>
      <c r="D5" s="146" t="s">
        <v>22</v>
      </c>
      <c r="E5" s="147" t="s">
        <v>1251</v>
      </c>
      <c r="F5" s="75" t="s">
        <v>1204</v>
      </c>
      <c r="G5" s="19" t="s">
        <v>1205</v>
      </c>
      <c r="H5" s="17" t="s">
        <v>1253</v>
      </c>
      <c r="I5" s="17" t="s">
        <v>1254</v>
      </c>
      <c r="J5" s="17" t="s">
        <v>1255</v>
      </c>
      <c r="K5" s="17" t="s">
        <v>1209</v>
      </c>
      <c r="L5" s="17" t="s">
        <v>1420</v>
      </c>
      <c r="M5" s="17" t="s">
        <v>1211</v>
      </c>
      <c r="N5" s="163" t="s">
        <v>1257</v>
      </c>
      <c r="O5" s="164" t="s">
        <v>1212</v>
      </c>
      <c r="P5" s="165" t="s">
        <v>1213</v>
      </c>
      <c r="Q5" s="165" t="s">
        <v>1214</v>
      </c>
      <c r="R5" s="75" t="s">
        <v>1213</v>
      </c>
    </row>
    <row r="6" ht="12.95" customHeight="1" spans="1:18">
      <c r="A6" s="20" t="s">
        <v>1215</v>
      </c>
      <c r="B6" s="91" t="s">
        <v>1224</v>
      </c>
      <c r="C6" s="23"/>
      <c r="D6" s="23" t="s">
        <v>28</v>
      </c>
      <c r="E6" s="24">
        <f>D3*2</f>
        <v>6</v>
      </c>
      <c r="F6" s="93">
        <f ca="1">I6+J6+K6+L6+M6</f>
        <v>899.193354992</v>
      </c>
      <c r="G6" s="94">
        <f>7.16/2</f>
        <v>3.58</v>
      </c>
      <c r="H6" s="94">
        <v>8.233</v>
      </c>
      <c r="I6" s="93">
        <f ca="1">G6*H6*'25米（人字203料）参数 '!G3*1.1</f>
        <v>734.283354992</v>
      </c>
      <c r="J6" s="93">
        <f ca="1">48.55*2</f>
        <v>97.1</v>
      </c>
      <c r="K6" s="93">
        <v>45.91</v>
      </c>
      <c r="L6" s="93">
        <f>2.55*4</f>
        <v>10.2</v>
      </c>
      <c r="M6" s="93">
        <f>18*0.65</f>
        <v>11.7</v>
      </c>
      <c r="N6" s="166" t="s">
        <v>1421</v>
      </c>
      <c r="O6" s="167">
        <v>4</v>
      </c>
      <c r="P6" s="67">
        <f ca="1" t="shared" ref="P6:P33" si="0">F6*O6</f>
        <v>3596.773419968</v>
      </c>
      <c r="Q6" s="67">
        <f t="shared" ref="Q6:Q33" si="1">E6-O6</f>
        <v>2</v>
      </c>
      <c r="R6" s="67">
        <f ca="1" t="shared" ref="R6:R33" si="2">F6*Q6</f>
        <v>1798.386709984</v>
      </c>
    </row>
    <row r="7" ht="12.95" customHeight="1" spans="1:18">
      <c r="A7" s="20"/>
      <c r="B7" s="91" t="s">
        <v>1308</v>
      </c>
      <c r="C7" s="23"/>
      <c r="D7" s="23" t="s">
        <v>28</v>
      </c>
      <c r="E7" s="24">
        <f>F3*2</f>
        <v>4</v>
      </c>
      <c r="F7" s="101">
        <f ca="1">G7+H7+I7+J7+K7+L7+M7</f>
        <v>771.4092</v>
      </c>
      <c r="G7" s="148">
        <v>5</v>
      </c>
      <c r="H7" s="148">
        <v>5.3</v>
      </c>
      <c r="I7" s="101">
        <f ca="1">G7*H7*'25米（人字203料）参数 '!G3*1.1</f>
        <v>660.1892</v>
      </c>
      <c r="J7" s="101"/>
      <c r="K7" s="101">
        <f ca="1">49.51+41.21</f>
        <v>90.72</v>
      </c>
      <c r="L7" s="101">
        <f>2.55*4</f>
        <v>10.2</v>
      </c>
      <c r="M7" s="101"/>
      <c r="N7" s="166" t="s">
        <v>1406</v>
      </c>
      <c r="O7" s="167">
        <v>4</v>
      </c>
      <c r="P7" s="67">
        <f ca="1" t="shared" si="0"/>
        <v>3085.6368</v>
      </c>
      <c r="Q7" s="67">
        <f t="shared" si="1"/>
        <v>0</v>
      </c>
      <c r="R7" s="67">
        <f ca="1" t="shared" si="2"/>
        <v>0</v>
      </c>
    </row>
    <row r="8" ht="12.95" customHeight="1" spans="1:18">
      <c r="A8" s="20"/>
      <c r="B8" s="91" t="s">
        <v>1435</v>
      </c>
      <c r="C8" s="23"/>
      <c r="D8" s="23" t="s">
        <v>28</v>
      </c>
      <c r="E8" s="24">
        <f>F3*2</f>
        <v>4</v>
      </c>
      <c r="F8" s="101">
        <f ca="1">G8+H8+I8+J8+K8+L8+M8</f>
        <v>931.054608</v>
      </c>
      <c r="G8" s="148">
        <v>6.2</v>
      </c>
      <c r="H8" s="148">
        <v>5.3</v>
      </c>
      <c r="I8" s="101">
        <f ca="1">G8*H8*'25米（人字203料）参数 '!G3*1.1</f>
        <v>818.634608</v>
      </c>
      <c r="J8" s="101"/>
      <c r="K8" s="101">
        <f ca="1">49.51+41.21</f>
        <v>90.72</v>
      </c>
      <c r="L8" s="101">
        <f>2.55*4</f>
        <v>10.2</v>
      </c>
      <c r="M8" s="101"/>
      <c r="N8" s="166" t="s">
        <v>1482</v>
      </c>
      <c r="O8" s="167">
        <v>4</v>
      </c>
      <c r="P8" s="67">
        <f ca="1" t="shared" si="0"/>
        <v>3724.218432</v>
      </c>
      <c r="Q8" s="67">
        <f t="shared" si="1"/>
        <v>0</v>
      </c>
      <c r="R8" s="67">
        <f ca="1" t="shared" si="2"/>
        <v>0</v>
      </c>
    </row>
    <row r="9" ht="12.95" customHeight="1" spans="1:18">
      <c r="A9" s="20"/>
      <c r="B9" s="91" t="s">
        <v>1350</v>
      </c>
      <c r="C9" s="23"/>
      <c r="D9" s="23" t="s">
        <v>28</v>
      </c>
      <c r="E9" s="24">
        <f>D3*2</f>
        <v>6</v>
      </c>
      <c r="F9" s="61">
        <f ca="1">I9+J9+K9+L9+M9</f>
        <v>2337.04932288</v>
      </c>
      <c r="G9" s="95">
        <v>11.2</v>
      </c>
      <c r="H9" s="95">
        <v>8.233</v>
      </c>
      <c r="I9" s="61">
        <f ca="1">G9*H9*'25米（人字203料）参数 '!G3*1.1</f>
        <v>2297.19932288</v>
      </c>
      <c r="J9" s="61">
        <f ca="1">2.5*8</f>
        <v>20</v>
      </c>
      <c r="K9" s="61">
        <v>11.85</v>
      </c>
      <c r="L9" s="61">
        <f>1*8</f>
        <v>8</v>
      </c>
      <c r="M9" s="61"/>
      <c r="N9" s="116" t="s">
        <v>1506</v>
      </c>
      <c r="O9" s="167">
        <v>4</v>
      </c>
      <c r="P9" s="67">
        <f ca="1" t="shared" si="0"/>
        <v>9348.19729152</v>
      </c>
      <c r="Q9" s="67">
        <f t="shared" si="1"/>
        <v>2</v>
      </c>
      <c r="R9" s="67">
        <f ca="1" t="shared" si="2"/>
        <v>4674.09864576</v>
      </c>
    </row>
    <row r="10" ht="12.95" customHeight="1" spans="1:18">
      <c r="A10" s="20"/>
      <c r="B10" s="91" t="s">
        <v>1531</v>
      </c>
      <c r="C10" s="23"/>
      <c r="D10" s="23" t="s">
        <v>28</v>
      </c>
      <c r="E10" s="24">
        <f>D3*2</f>
        <v>6</v>
      </c>
      <c r="F10" s="61">
        <f ca="1">I10+J10+K10+L10+M10</f>
        <v>1020.964729024</v>
      </c>
      <c r="G10" s="95">
        <v>3.76</v>
      </c>
      <c r="H10" s="95">
        <v>8.233</v>
      </c>
      <c r="I10" s="61">
        <f ca="1">G10*H10*'25米（人字203料）参数 '!G3*1.1</f>
        <v>771.202629824</v>
      </c>
      <c r="J10" s="61">
        <f ca="1">2.5*2</f>
        <v>5</v>
      </c>
      <c r="K10" s="61">
        <f ca="1">1.2*7.67*'25米（人字203料）参数 '!G4*1.1</f>
        <v>234.5620992</v>
      </c>
      <c r="L10" s="61">
        <f>4*2.55</f>
        <v>10.2</v>
      </c>
      <c r="M10" s="61"/>
      <c r="N10" s="168" t="s">
        <v>1532</v>
      </c>
      <c r="O10" s="167">
        <v>4</v>
      </c>
      <c r="P10" s="67">
        <f ca="1" t="shared" si="0"/>
        <v>4083.858916096</v>
      </c>
      <c r="Q10" s="67">
        <f t="shared" si="1"/>
        <v>2</v>
      </c>
      <c r="R10" s="67">
        <f ca="1" t="shared" si="2"/>
        <v>2041.929458048</v>
      </c>
    </row>
    <row r="11" ht="12.95" customHeight="1" spans="1:18">
      <c r="A11" s="20"/>
      <c r="B11" s="91" t="s">
        <v>1226</v>
      </c>
      <c r="C11" s="23"/>
      <c r="D11" s="23" t="s">
        <v>28</v>
      </c>
      <c r="E11" s="24">
        <f>A3*8</f>
        <v>16</v>
      </c>
      <c r="F11" s="101">
        <f ca="1">I11+J11+K11+L11+M11</f>
        <v>195.0929650432</v>
      </c>
      <c r="G11" s="148">
        <v>4.882</v>
      </c>
      <c r="H11" s="148">
        <v>1.552</v>
      </c>
      <c r="I11" s="101">
        <f ca="1">G11*H11*'25米（人字203料）参数 '!G5*1.1</f>
        <v>180.0929650432</v>
      </c>
      <c r="J11" s="101"/>
      <c r="K11" s="101"/>
      <c r="L11" s="101">
        <f>0.5*4</f>
        <v>2</v>
      </c>
      <c r="M11" s="101">
        <f>6.5*2</f>
        <v>13</v>
      </c>
      <c r="N11" s="120" t="s">
        <v>1352</v>
      </c>
      <c r="O11" s="167">
        <v>8</v>
      </c>
      <c r="P11" s="67">
        <f ca="1" t="shared" si="0"/>
        <v>1560.7437203456</v>
      </c>
      <c r="Q11" s="67">
        <f t="shared" si="1"/>
        <v>8</v>
      </c>
      <c r="R11" s="67">
        <f ca="1" t="shared" si="2"/>
        <v>1560.7437203456</v>
      </c>
    </row>
    <row r="12" ht="12.95" customHeight="1" spans="1:18">
      <c r="A12" s="20"/>
      <c r="B12" s="91" t="s">
        <v>1264</v>
      </c>
      <c r="C12" s="23"/>
      <c r="D12" s="23" t="s">
        <v>28</v>
      </c>
      <c r="E12" s="24">
        <f>A3*3+F3*3</f>
        <v>12</v>
      </c>
      <c r="F12" s="101">
        <f ca="1">I12+J12+K12+L12+M12</f>
        <v>336.5448493136</v>
      </c>
      <c r="G12" s="148">
        <v>4.882</v>
      </c>
      <c r="H12" s="148">
        <v>2.771</v>
      </c>
      <c r="I12" s="101">
        <f ca="1">G12*H12*'25米（人字203料）参数 '!G5*1.1</f>
        <v>321.5448493136</v>
      </c>
      <c r="J12" s="101"/>
      <c r="K12" s="101"/>
      <c r="L12" s="101">
        <f>0.5*4</f>
        <v>2</v>
      </c>
      <c r="M12" s="101">
        <f>6.5*2</f>
        <v>13</v>
      </c>
      <c r="N12" s="120" t="s">
        <v>1353</v>
      </c>
      <c r="O12" s="169">
        <v>9</v>
      </c>
      <c r="P12" s="67">
        <f ca="1" t="shared" si="0"/>
        <v>3028.9036438224</v>
      </c>
      <c r="Q12" s="67">
        <f t="shared" si="1"/>
        <v>3</v>
      </c>
      <c r="R12" s="67">
        <f ca="1" t="shared" si="2"/>
        <v>1009.6345479408</v>
      </c>
    </row>
    <row r="13" ht="12.95" customHeight="1" spans="1:18">
      <c r="A13" s="20"/>
      <c r="B13" s="91" t="s">
        <v>1266</v>
      </c>
      <c r="C13" s="23"/>
      <c r="D13" s="23" t="s">
        <v>28</v>
      </c>
      <c r="E13" s="24">
        <f>A3*2+F3*5</f>
        <v>14</v>
      </c>
      <c r="F13" s="101">
        <f ca="1">'数据修改（批量）'!A28</f>
        <v>95</v>
      </c>
      <c r="G13" s="148">
        <v>4.86</v>
      </c>
      <c r="H13" s="148">
        <v>1.345</v>
      </c>
      <c r="I13" s="101">
        <f ca="1">G13*H13*'25米（人字203料）参数 '!G5*1.1</f>
        <v>155.36951496</v>
      </c>
      <c r="J13" s="101"/>
      <c r="K13" s="101"/>
      <c r="L13" s="101"/>
      <c r="M13" s="101"/>
      <c r="N13" s="120" t="s">
        <v>1354</v>
      </c>
      <c r="O13" s="169">
        <v>12</v>
      </c>
      <c r="P13" s="67">
        <f ca="1" t="shared" si="0"/>
        <v>1140</v>
      </c>
      <c r="Q13" s="67">
        <f t="shared" si="1"/>
        <v>2</v>
      </c>
      <c r="R13" s="67">
        <f ca="1" t="shared" si="2"/>
        <v>190</v>
      </c>
    </row>
    <row r="14" ht="12.95" customHeight="1" spans="1:18">
      <c r="A14" s="20"/>
      <c r="B14" s="91" t="s">
        <v>1272</v>
      </c>
      <c r="C14" s="23"/>
      <c r="D14" s="23" t="s">
        <v>28</v>
      </c>
      <c r="E14" s="30">
        <v>5</v>
      </c>
      <c r="F14" s="101">
        <f>I14+J14+K14+L14+M14</f>
        <v>109.5</v>
      </c>
      <c r="G14" s="148"/>
      <c r="H14" s="148"/>
      <c r="I14" s="101">
        <v>95</v>
      </c>
      <c r="J14" s="101">
        <v>6.5</v>
      </c>
      <c r="K14" s="101">
        <v>4</v>
      </c>
      <c r="L14" s="101">
        <v>3</v>
      </c>
      <c r="M14" s="101">
        <v>1</v>
      </c>
      <c r="N14" s="120" t="s">
        <v>1355</v>
      </c>
      <c r="O14" s="167">
        <v>4</v>
      </c>
      <c r="P14" s="67">
        <f ca="1" t="shared" si="0"/>
        <v>438</v>
      </c>
      <c r="Q14" s="67">
        <f t="shared" si="1"/>
        <v>1</v>
      </c>
      <c r="R14" s="67">
        <f ca="1" t="shared" si="2"/>
        <v>109.5</v>
      </c>
    </row>
    <row r="15" ht="12.95" customHeight="1" spans="1:18">
      <c r="A15" s="20"/>
      <c r="B15" s="91" t="s">
        <v>1446</v>
      </c>
      <c r="C15" s="23"/>
      <c r="D15" s="23" t="s">
        <v>28</v>
      </c>
      <c r="E15" s="32">
        <f>D3-2</f>
        <v>1</v>
      </c>
      <c r="F15" s="101">
        <f ca="1">I15+J15+K15+L15+M15</f>
        <v>185</v>
      </c>
      <c r="G15" s="148"/>
      <c r="H15" s="148"/>
      <c r="I15" s="101">
        <v>130</v>
      </c>
      <c r="J15" s="101">
        <f ca="1">2*20</f>
        <v>40</v>
      </c>
      <c r="K15" s="101">
        <v>15</v>
      </c>
      <c r="L15" s="101"/>
      <c r="M15" s="101"/>
      <c r="N15" s="58" t="s">
        <v>1533</v>
      </c>
      <c r="O15" s="167">
        <v>0</v>
      </c>
      <c r="P15" s="67">
        <f ca="1" t="shared" si="0"/>
        <v>0</v>
      </c>
      <c r="Q15" s="67">
        <f t="shared" si="1"/>
        <v>1</v>
      </c>
      <c r="R15" s="67">
        <f ca="1" t="shared" si="2"/>
        <v>185</v>
      </c>
    </row>
    <row r="16" ht="12.95" customHeight="1" spans="1:18">
      <c r="A16" s="20"/>
      <c r="B16" s="91" t="s">
        <v>1356</v>
      </c>
      <c r="C16" s="23"/>
      <c r="D16" s="23" t="s">
        <v>28</v>
      </c>
      <c r="E16" s="24">
        <f>F3</f>
        <v>2</v>
      </c>
      <c r="F16" s="101">
        <f ca="1">I16+J16+K16+L16+M16</f>
        <v>90.133</v>
      </c>
      <c r="G16" s="148">
        <v>3.75</v>
      </c>
      <c r="H16" s="148">
        <v>1</v>
      </c>
      <c r="I16" s="101">
        <f ca="1">G16*H16*'25米（人字203料）参数 '!G5*1.1</f>
        <v>89.133</v>
      </c>
      <c r="J16" s="101"/>
      <c r="K16" s="101"/>
      <c r="L16" s="101">
        <f>0.5*2</f>
        <v>1</v>
      </c>
      <c r="M16" s="101"/>
      <c r="N16" s="170" t="s">
        <v>1357</v>
      </c>
      <c r="O16" s="167">
        <v>2</v>
      </c>
      <c r="P16" s="67">
        <f ca="1" t="shared" si="0"/>
        <v>180.266</v>
      </c>
      <c r="Q16" s="67">
        <f t="shared" si="1"/>
        <v>0</v>
      </c>
      <c r="R16" s="67">
        <f ca="1" t="shared" si="2"/>
        <v>0</v>
      </c>
    </row>
    <row r="17" ht="12.95" customHeight="1" spans="1:18">
      <c r="A17" s="20"/>
      <c r="B17" s="91" t="s">
        <v>1276</v>
      </c>
      <c r="C17" s="23"/>
      <c r="D17" s="23" t="s">
        <v>28</v>
      </c>
      <c r="E17" s="28">
        <f>F3*2</f>
        <v>4</v>
      </c>
      <c r="F17" s="101">
        <f ca="1">I17+J17+K17+L17+M17</f>
        <v>348.2448493136</v>
      </c>
      <c r="G17" s="95">
        <v>4.882</v>
      </c>
      <c r="H17" s="95">
        <v>2.771</v>
      </c>
      <c r="I17" s="61">
        <f ca="1">G17*H17*'25米（人字203料）参数 '!G5*1.1</f>
        <v>321.5448493136</v>
      </c>
      <c r="J17" s="61"/>
      <c r="K17" s="61">
        <v>15</v>
      </c>
      <c r="L17" s="61">
        <f>8*0.65</f>
        <v>5.2</v>
      </c>
      <c r="M17" s="61">
        <v>6.5</v>
      </c>
      <c r="N17" s="120" t="s">
        <v>1358</v>
      </c>
      <c r="O17" s="167">
        <v>4</v>
      </c>
      <c r="P17" s="67">
        <f ca="1" t="shared" si="0"/>
        <v>1392.9793972544</v>
      </c>
      <c r="Q17" s="67">
        <f t="shared" si="1"/>
        <v>0</v>
      </c>
      <c r="R17" s="67">
        <f ca="1" t="shared" si="2"/>
        <v>0</v>
      </c>
    </row>
    <row r="18" ht="12.95" customHeight="1" spans="1:18">
      <c r="A18" s="31"/>
      <c r="B18" s="149" t="s">
        <v>1274</v>
      </c>
      <c r="C18" s="43"/>
      <c r="D18" s="43" t="s">
        <v>28</v>
      </c>
      <c r="E18" s="150">
        <f>A3*2+F3*5</f>
        <v>14</v>
      </c>
      <c r="F18" s="101">
        <f>(I18+J18+K18+L18+M18)</f>
        <v>20.4</v>
      </c>
      <c r="G18" s="151"/>
      <c r="H18" s="151"/>
      <c r="I18" s="39">
        <f>17*1.2</f>
        <v>20.4</v>
      </c>
      <c r="J18" s="39"/>
      <c r="K18" s="39"/>
      <c r="L18" s="39"/>
      <c r="M18" s="39"/>
      <c r="N18" s="171" t="s">
        <v>1359</v>
      </c>
      <c r="O18" s="167">
        <v>12</v>
      </c>
      <c r="P18" s="67">
        <f ca="1" t="shared" si="0"/>
        <v>244.8</v>
      </c>
      <c r="Q18" s="67">
        <f t="shared" si="1"/>
        <v>2</v>
      </c>
      <c r="R18" s="67">
        <f ca="1" t="shared" si="2"/>
        <v>40.8</v>
      </c>
    </row>
    <row r="19" ht="12.95" customHeight="1" spans="1:18">
      <c r="A19" s="20" t="s">
        <v>1278</v>
      </c>
      <c r="B19" s="91" t="s">
        <v>1304</v>
      </c>
      <c r="C19" s="23"/>
      <c r="D19" s="23" t="s">
        <v>434</v>
      </c>
      <c r="E19" s="24">
        <f>D3</f>
        <v>3</v>
      </c>
      <c r="F19" s="101">
        <v>180.62</v>
      </c>
      <c r="G19" s="151"/>
      <c r="H19" s="151"/>
      <c r="I19" s="39"/>
      <c r="J19" s="39"/>
      <c r="K19" s="39"/>
      <c r="L19" s="39"/>
      <c r="M19" s="39"/>
      <c r="N19" s="171" t="s">
        <v>1360</v>
      </c>
      <c r="O19" s="172">
        <v>2</v>
      </c>
      <c r="P19" s="67">
        <f ca="1" t="shared" si="0"/>
        <v>361.24</v>
      </c>
      <c r="Q19" s="67">
        <f t="shared" si="1"/>
        <v>1</v>
      </c>
      <c r="R19" s="67">
        <f ca="1" t="shared" si="2"/>
        <v>180.62</v>
      </c>
    </row>
    <row r="20" ht="12.95" customHeight="1" spans="1:18">
      <c r="A20" s="20"/>
      <c r="B20" s="91" t="s">
        <v>1310</v>
      </c>
      <c r="C20" s="23"/>
      <c r="D20" s="23" t="s">
        <v>434</v>
      </c>
      <c r="E20" s="24">
        <f>E7+E8</f>
        <v>8</v>
      </c>
      <c r="F20" s="101">
        <v>76.4</v>
      </c>
      <c r="G20" s="148"/>
      <c r="H20" s="148"/>
      <c r="I20" s="101"/>
      <c r="J20" s="101"/>
      <c r="K20" s="101"/>
      <c r="L20" s="101"/>
      <c r="M20" s="101"/>
      <c r="N20" s="120" t="s">
        <v>1361</v>
      </c>
      <c r="O20" s="167">
        <v>8</v>
      </c>
      <c r="P20" s="67">
        <f ca="1" t="shared" si="0"/>
        <v>611.2</v>
      </c>
      <c r="Q20" s="67">
        <f t="shared" si="1"/>
        <v>0</v>
      </c>
      <c r="R20" s="67">
        <f ca="1" t="shared" si="2"/>
        <v>0</v>
      </c>
    </row>
    <row r="21" ht="12.95" customHeight="1" spans="1:18">
      <c r="A21" s="20"/>
      <c r="B21" s="91" t="s">
        <v>1280</v>
      </c>
      <c r="C21" s="23"/>
      <c r="D21" s="23" t="s">
        <v>434</v>
      </c>
      <c r="E21" s="28">
        <f>E6</f>
        <v>6</v>
      </c>
      <c r="F21" s="61">
        <v>85.93</v>
      </c>
      <c r="G21" s="95"/>
      <c r="H21" s="95"/>
      <c r="I21" s="61"/>
      <c r="J21" s="61"/>
      <c r="K21" s="61"/>
      <c r="L21" s="61"/>
      <c r="M21" s="61"/>
      <c r="N21" s="173" t="s">
        <v>1361</v>
      </c>
      <c r="O21" s="167">
        <v>4</v>
      </c>
      <c r="P21" s="67">
        <f ca="1" t="shared" si="0"/>
        <v>343.72</v>
      </c>
      <c r="Q21" s="67">
        <f t="shared" si="1"/>
        <v>2</v>
      </c>
      <c r="R21" s="67">
        <f ca="1" t="shared" si="2"/>
        <v>171.86</v>
      </c>
    </row>
    <row r="22" ht="12.95" customHeight="1" spans="1:18">
      <c r="A22" s="20"/>
      <c r="B22" s="91" t="s">
        <v>1339</v>
      </c>
      <c r="C22" s="23"/>
      <c r="D22" s="23" t="s">
        <v>28</v>
      </c>
      <c r="E22" s="32">
        <f>E14</f>
        <v>5</v>
      </c>
      <c r="F22" s="101">
        <v>91.3</v>
      </c>
      <c r="G22" s="148"/>
      <c r="H22" s="148"/>
      <c r="I22" s="101"/>
      <c r="J22" s="101"/>
      <c r="K22" s="101"/>
      <c r="L22" s="101"/>
      <c r="M22" s="101"/>
      <c r="N22" s="120" t="s">
        <v>1362</v>
      </c>
      <c r="O22" s="167">
        <v>4</v>
      </c>
      <c r="P22" s="67">
        <f ca="1" t="shared" si="0"/>
        <v>365.2</v>
      </c>
      <c r="Q22" s="67">
        <f t="shared" si="1"/>
        <v>1</v>
      </c>
      <c r="R22" s="67">
        <f ca="1" t="shared" si="2"/>
        <v>91.3</v>
      </c>
    </row>
    <row r="23" ht="12.95" customHeight="1" spans="1:18">
      <c r="A23" s="20"/>
      <c r="B23" s="91" t="s">
        <v>1282</v>
      </c>
      <c r="C23" s="23"/>
      <c r="D23" s="23" t="s">
        <v>434</v>
      </c>
      <c r="E23" s="24">
        <f>D3*2+F3*4</f>
        <v>14</v>
      </c>
      <c r="F23" s="101">
        <v>4.45</v>
      </c>
      <c r="G23" s="148"/>
      <c r="H23" s="148"/>
      <c r="I23" s="101"/>
      <c r="J23" s="101"/>
      <c r="K23" s="101"/>
      <c r="L23" s="101"/>
      <c r="M23" s="101"/>
      <c r="N23" s="120" t="s">
        <v>1363</v>
      </c>
      <c r="O23" s="167">
        <v>12</v>
      </c>
      <c r="P23" s="67">
        <f ca="1" t="shared" si="0"/>
        <v>53.4</v>
      </c>
      <c r="Q23" s="67">
        <f t="shared" si="1"/>
        <v>2</v>
      </c>
      <c r="R23" s="67">
        <f ca="1" t="shared" si="2"/>
        <v>8.9</v>
      </c>
    </row>
    <row r="24" ht="12.95" customHeight="1" spans="1:18">
      <c r="A24" s="20"/>
      <c r="B24" s="91" t="s">
        <v>1284</v>
      </c>
      <c r="C24" s="23"/>
      <c r="D24" s="23" t="s">
        <v>434</v>
      </c>
      <c r="E24" s="24">
        <f>D3*2</f>
        <v>6</v>
      </c>
      <c r="F24" s="101">
        <v>6.51</v>
      </c>
      <c r="G24" s="148"/>
      <c r="H24" s="148"/>
      <c r="I24" s="101"/>
      <c r="J24" s="101"/>
      <c r="K24" s="101"/>
      <c r="L24" s="101"/>
      <c r="M24" s="101"/>
      <c r="N24" s="120" t="s">
        <v>1364</v>
      </c>
      <c r="O24" s="167">
        <v>4</v>
      </c>
      <c r="P24" s="67">
        <f ca="1" t="shared" si="0"/>
        <v>26.04</v>
      </c>
      <c r="Q24" s="67">
        <f t="shared" si="1"/>
        <v>2</v>
      </c>
      <c r="R24" s="67">
        <f ca="1" t="shared" si="2"/>
        <v>13.02</v>
      </c>
    </row>
    <row r="25" ht="12.95" customHeight="1" spans="1:18">
      <c r="A25" s="20"/>
      <c r="B25" s="91" t="s">
        <v>519</v>
      </c>
      <c r="C25" s="23"/>
      <c r="D25" s="23" t="s">
        <v>434</v>
      </c>
      <c r="E25" s="24">
        <f>F3*2</f>
        <v>4</v>
      </c>
      <c r="F25" s="101">
        <v>13</v>
      </c>
      <c r="G25" s="151"/>
      <c r="H25" s="151"/>
      <c r="I25" s="39"/>
      <c r="J25" s="39"/>
      <c r="K25" s="39"/>
      <c r="L25" s="39"/>
      <c r="M25" s="39"/>
      <c r="N25" s="120" t="s">
        <v>1365</v>
      </c>
      <c r="O25" s="167">
        <v>4</v>
      </c>
      <c r="P25" s="67">
        <f ca="1" t="shared" si="0"/>
        <v>52</v>
      </c>
      <c r="Q25" s="67">
        <f t="shared" si="1"/>
        <v>0</v>
      </c>
      <c r="R25" s="67">
        <f ca="1" t="shared" si="2"/>
        <v>0</v>
      </c>
    </row>
    <row r="26" ht="12.95" customHeight="1" spans="1:18">
      <c r="A26" s="31"/>
      <c r="B26" s="152" t="s">
        <v>551</v>
      </c>
      <c r="C26" s="43"/>
      <c r="D26" s="43" t="s">
        <v>434</v>
      </c>
      <c r="E26" s="150">
        <f>F3*2</f>
        <v>4</v>
      </c>
      <c r="F26" s="41">
        <v>15.5</v>
      </c>
      <c r="G26" s="99"/>
      <c r="H26" s="99"/>
      <c r="I26" s="41"/>
      <c r="J26" s="41"/>
      <c r="K26" s="41"/>
      <c r="L26" s="41"/>
      <c r="M26" s="41"/>
      <c r="N26" s="173" t="s">
        <v>1361</v>
      </c>
      <c r="O26" s="174">
        <v>4</v>
      </c>
      <c r="P26" s="67">
        <f ca="1" t="shared" si="0"/>
        <v>62</v>
      </c>
      <c r="Q26" s="67">
        <f t="shared" si="1"/>
        <v>0</v>
      </c>
      <c r="R26" s="67">
        <f ca="1" t="shared" si="2"/>
        <v>0</v>
      </c>
    </row>
    <row r="27" ht="12.95" customHeight="1" spans="1:18">
      <c r="A27" s="153" t="s">
        <v>1216</v>
      </c>
      <c r="B27" s="91" t="s">
        <v>1366</v>
      </c>
      <c r="C27" s="23"/>
      <c r="D27" s="23" t="s">
        <v>612</v>
      </c>
      <c r="E27" s="24">
        <f>A3</f>
        <v>2</v>
      </c>
      <c r="F27" s="122">
        <f ca="1">(I27+J27)*1.1+30</f>
        <v>3148.50165</v>
      </c>
      <c r="G27" s="99">
        <v>27.81</v>
      </c>
      <c r="H27" s="99">
        <v>5</v>
      </c>
      <c r="I27" s="41">
        <f ca="1">G27*H27*'25米（人字203料）参数 '!E15*1.1</f>
        <v>2646.1215</v>
      </c>
      <c r="J27" s="41">
        <f>23.61*2*4</f>
        <v>188.88</v>
      </c>
      <c r="K27" s="41">
        <v>30</v>
      </c>
      <c r="L27" s="41"/>
      <c r="M27" s="41"/>
      <c r="N27" s="167" t="s">
        <v>1534</v>
      </c>
      <c r="O27" s="175">
        <v>1</v>
      </c>
      <c r="P27" s="67">
        <f ca="1" t="shared" si="0"/>
        <v>3148.50165</v>
      </c>
      <c r="Q27" s="67">
        <f t="shared" si="1"/>
        <v>1</v>
      </c>
      <c r="R27" s="67">
        <f ca="1" t="shared" si="2"/>
        <v>3148.50165</v>
      </c>
    </row>
    <row r="28" ht="12.95" customHeight="1" spans="1:18">
      <c r="A28" s="153"/>
      <c r="B28" s="91" t="s">
        <v>1368</v>
      </c>
      <c r="C28" s="23"/>
      <c r="D28" s="23" t="s">
        <v>664</v>
      </c>
      <c r="E28" s="24">
        <f>F3</f>
        <v>2</v>
      </c>
      <c r="F28" s="122">
        <f ca="1">(I28+J28)*1.1+15</f>
        <v>1177.2025525</v>
      </c>
      <c r="G28" s="148">
        <v>12.75</v>
      </c>
      <c r="H28" s="154">
        <v>4.57</v>
      </c>
      <c r="I28" s="101">
        <f ca="1">G28*H28*'25米（人字203料）参数 '!E14*1.1</f>
        <v>916.547775</v>
      </c>
      <c r="J28" s="101">
        <f>17.5*2*4</f>
        <v>140</v>
      </c>
      <c r="K28" s="101">
        <v>15</v>
      </c>
      <c r="L28" s="101"/>
      <c r="M28" s="101"/>
      <c r="N28" s="51" t="s">
        <v>1535</v>
      </c>
      <c r="O28" s="167">
        <v>2</v>
      </c>
      <c r="P28" s="67">
        <f ca="1" t="shared" si="0"/>
        <v>2354.405105</v>
      </c>
      <c r="Q28" s="67">
        <f t="shared" si="1"/>
        <v>0</v>
      </c>
      <c r="R28" s="67">
        <f ca="1" t="shared" si="2"/>
        <v>0</v>
      </c>
    </row>
    <row r="29" ht="12.95" customHeight="1" spans="1:18">
      <c r="A29" s="155"/>
      <c r="B29" s="91" t="s">
        <v>1370</v>
      </c>
      <c r="C29" s="23"/>
      <c r="D29" s="23" t="s">
        <v>664</v>
      </c>
      <c r="E29" s="24">
        <f>A3*2+F3*5</f>
        <v>14</v>
      </c>
      <c r="F29" s="122">
        <f ca="1">I29+J29+K29+L29+M29</f>
        <v>384.49012</v>
      </c>
      <c r="G29" s="156">
        <v>5.2</v>
      </c>
      <c r="H29" s="157">
        <v>3.97</v>
      </c>
      <c r="I29" s="101">
        <f ca="1">G29*H29*'25米（人字203料）参数 '!E14*1.1+15</f>
        <v>339.73012</v>
      </c>
      <c r="J29" s="71">
        <f>4*2*2</f>
        <v>16</v>
      </c>
      <c r="K29" s="71">
        <f>0.5*10</f>
        <v>5</v>
      </c>
      <c r="L29" s="71">
        <f>0.32*18</f>
        <v>5.76</v>
      </c>
      <c r="M29" s="71">
        <f>18*1</f>
        <v>18</v>
      </c>
      <c r="N29" s="120" t="s">
        <v>1371</v>
      </c>
      <c r="O29" s="167">
        <v>12</v>
      </c>
      <c r="P29" s="67">
        <f ca="1" t="shared" si="0"/>
        <v>4613.88144</v>
      </c>
      <c r="Q29" s="67">
        <f t="shared" si="1"/>
        <v>2</v>
      </c>
      <c r="R29" s="67">
        <f ca="1" t="shared" si="2"/>
        <v>768.98024</v>
      </c>
    </row>
    <row r="30" ht="12.95" customHeight="1" spans="1:18">
      <c r="A30" s="20" t="s">
        <v>1235</v>
      </c>
      <c r="B30" s="158" t="s">
        <v>589</v>
      </c>
      <c r="C30" s="23"/>
      <c r="D30" s="23" t="s">
        <v>434</v>
      </c>
      <c r="E30" s="24">
        <f>D3*10+F3*2+E22*2</f>
        <v>44</v>
      </c>
      <c r="F30" s="101">
        <v>2.15</v>
      </c>
      <c r="G30" s="154"/>
      <c r="H30" s="154"/>
      <c r="I30" s="101"/>
      <c r="J30" s="101"/>
      <c r="K30" s="101"/>
      <c r="L30" s="101"/>
      <c r="M30" s="101"/>
      <c r="N30" s="120" t="s">
        <v>1372</v>
      </c>
      <c r="O30" s="167">
        <v>34</v>
      </c>
      <c r="P30" s="67">
        <f ca="1" t="shared" si="0"/>
        <v>73.1</v>
      </c>
      <c r="Q30" s="67">
        <f t="shared" si="1"/>
        <v>10</v>
      </c>
      <c r="R30" s="67">
        <f ca="1" t="shared" si="2"/>
        <v>21.5</v>
      </c>
    </row>
    <row r="31" ht="12.95" customHeight="1" spans="1:18">
      <c r="A31" s="20"/>
      <c r="B31" s="109" t="s">
        <v>591</v>
      </c>
      <c r="C31" s="23"/>
      <c r="D31" s="23" t="s">
        <v>434</v>
      </c>
      <c r="E31" s="24">
        <f>D3*2+E22+E14</f>
        <v>16</v>
      </c>
      <c r="F31" s="101">
        <v>2.55</v>
      </c>
      <c r="G31" s="154"/>
      <c r="H31" s="154"/>
      <c r="I31" s="101"/>
      <c r="J31" s="101"/>
      <c r="K31" s="101"/>
      <c r="L31" s="101"/>
      <c r="M31" s="101"/>
      <c r="N31" s="120" t="s">
        <v>1373</v>
      </c>
      <c r="O31" s="172">
        <v>14</v>
      </c>
      <c r="P31" s="67">
        <f ca="1" t="shared" si="0"/>
        <v>35.7</v>
      </c>
      <c r="Q31" s="67">
        <f t="shared" si="1"/>
        <v>2</v>
      </c>
      <c r="R31" s="67">
        <f ca="1" t="shared" si="2"/>
        <v>5.1</v>
      </c>
    </row>
    <row r="32" ht="12.95" customHeight="1" spans="1:18">
      <c r="A32" s="20"/>
      <c r="B32" s="159" t="s">
        <v>1423</v>
      </c>
      <c r="C32" s="43"/>
      <c r="D32" s="43" t="s">
        <v>434</v>
      </c>
      <c r="E32" s="44">
        <f>D3*2+4</f>
        <v>10</v>
      </c>
      <c r="F32" s="39">
        <v>1.95</v>
      </c>
      <c r="G32" s="160"/>
      <c r="H32" s="160"/>
      <c r="I32" s="39"/>
      <c r="J32" s="39"/>
      <c r="K32" s="39"/>
      <c r="L32" s="39"/>
      <c r="M32" s="39"/>
      <c r="N32" s="120" t="s">
        <v>1375</v>
      </c>
      <c r="O32" s="167">
        <v>8</v>
      </c>
      <c r="P32" s="67">
        <f ca="1" t="shared" si="0"/>
        <v>15.6</v>
      </c>
      <c r="Q32" s="67">
        <f t="shared" si="1"/>
        <v>2</v>
      </c>
      <c r="R32" s="67">
        <f ca="1" t="shared" si="2"/>
        <v>3.9</v>
      </c>
    </row>
    <row r="33" ht="12.95" customHeight="1" spans="1:18">
      <c r="A33" s="20"/>
      <c r="B33" s="109" t="s">
        <v>554</v>
      </c>
      <c r="C33" s="23"/>
      <c r="D33" s="23" t="s">
        <v>555</v>
      </c>
      <c r="E33" s="28">
        <f>E20+E21+E14</f>
        <v>19</v>
      </c>
      <c r="F33" s="101">
        <v>1.46</v>
      </c>
      <c r="G33" s="154"/>
      <c r="H33" s="154"/>
      <c r="I33" s="101"/>
      <c r="J33" s="101"/>
      <c r="K33" s="101"/>
      <c r="L33" s="101"/>
      <c r="M33" s="101"/>
      <c r="N33" s="120" t="s">
        <v>1376</v>
      </c>
      <c r="O33" s="167">
        <v>17</v>
      </c>
      <c r="P33" s="67">
        <f ca="1" t="shared" si="0"/>
        <v>24.82</v>
      </c>
      <c r="Q33" s="67">
        <f t="shared" si="1"/>
        <v>2</v>
      </c>
      <c r="R33" s="67">
        <f ca="1" t="shared" si="2"/>
        <v>2.92</v>
      </c>
    </row>
    <row r="34" spans="15:18">
      <c r="O34" s="84" t="s">
        <v>1218</v>
      </c>
      <c r="P34" s="3">
        <f ca="1">SUM(P6:P33)</f>
        <v>43965.1858160064</v>
      </c>
      <c r="Q34" s="3" t="s">
        <v>1219</v>
      </c>
      <c r="R34" s="3">
        <f ca="1">SUM(R6:R33)</f>
        <v>16026.6949720784</v>
      </c>
    </row>
    <row r="35" spans="2:2">
      <c r="B35" s="50" t="s">
        <v>1221</v>
      </c>
    </row>
    <row r="36" spans="15:16">
      <c r="O36" s="50" t="s">
        <v>1377</v>
      </c>
      <c r="P36" s="3">
        <f ca="1">P34+R34</f>
        <v>59991.8807880848</v>
      </c>
    </row>
    <row r="37" spans="2:16">
      <c r="B37" s="52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O37" s="50" t="s">
        <v>14</v>
      </c>
      <c r="P37" s="3">
        <f ca="1">P36/E2</f>
        <v>239.967523152339</v>
      </c>
    </row>
    <row r="38" spans="2:13">
      <c r="B38" s="54"/>
      <c r="C38" s="54"/>
      <c r="D38" s="54"/>
      <c r="E38" s="54"/>
      <c r="F38" s="54"/>
      <c r="G38" s="53"/>
      <c r="H38" s="53"/>
      <c r="I38" s="53"/>
      <c r="J38" s="53"/>
      <c r="K38" s="53"/>
      <c r="L38" s="53"/>
      <c r="M38" s="53"/>
    </row>
    <row r="39" spans="2:13">
      <c r="B39" s="54"/>
      <c r="C39" s="54"/>
      <c r="D39" s="54"/>
      <c r="E39" s="54"/>
      <c r="F39" s="54"/>
      <c r="G39" s="53"/>
      <c r="H39" s="53"/>
      <c r="I39" s="53"/>
      <c r="J39" s="53"/>
      <c r="K39" s="53"/>
      <c r="L39" s="53"/>
      <c r="M39" s="53"/>
    </row>
    <row r="40" spans="2:13">
      <c r="B40" s="54"/>
      <c r="C40" s="54"/>
      <c r="D40" s="54"/>
      <c r="E40" s="54"/>
      <c r="F40" s="54"/>
      <c r="G40" s="53"/>
      <c r="H40" s="53"/>
      <c r="I40" s="53"/>
      <c r="J40" s="53"/>
      <c r="K40" s="53"/>
      <c r="L40" s="53"/>
      <c r="M40" s="53"/>
    </row>
    <row r="41" spans="2:13">
      <c r="B41" s="54"/>
      <c r="C41" s="54"/>
      <c r="D41" s="54"/>
      <c r="E41" s="54"/>
      <c r="F41" s="54"/>
      <c r="G41" s="53"/>
      <c r="H41" s="53"/>
      <c r="I41" s="53"/>
      <c r="J41" s="53"/>
      <c r="K41" s="53"/>
      <c r="L41" s="53"/>
      <c r="M41" s="53"/>
    </row>
    <row r="42" spans="2:13">
      <c r="B42" s="54"/>
      <c r="C42" s="54"/>
      <c r="D42" s="54"/>
      <c r="E42" s="54"/>
      <c r="F42" s="54"/>
      <c r="G42" s="53"/>
      <c r="H42" s="53"/>
      <c r="I42" s="53"/>
      <c r="J42" s="53"/>
      <c r="K42" s="53"/>
      <c r="L42" s="53"/>
      <c r="M42" s="53"/>
    </row>
    <row r="43" spans="2:13">
      <c r="B43" s="54"/>
      <c r="C43" s="54"/>
      <c r="D43" s="54"/>
      <c r="E43" s="54"/>
      <c r="F43" s="54"/>
      <c r="G43" s="53"/>
      <c r="H43" s="53"/>
      <c r="I43" s="53"/>
      <c r="J43" s="53"/>
      <c r="K43" s="53"/>
      <c r="L43" s="53"/>
      <c r="M43" s="53"/>
    </row>
  </sheetData>
  <mergeCells count="12">
    <mergeCell ref="A1:N1"/>
    <mergeCell ref="A2:C2"/>
    <mergeCell ref="F2:N2"/>
    <mergeCell ref="A3:B3"/>
    <mergeCell ref="H3:M3"/>
    <mergeCell ref="A4:F4"/>
    <mergeCell ref="G4:H4"/>
    <mergeCell ref="I4:M4"/>
    <mergeCell ref="A6:A18"/>
    <mergeCell ref="A19:A26"/>
    <mergeCell ref="A27:A29"/>
    <mergeCell ref="A30:A33"/>
  </mergeCells>
  <dataValidations count="3">
    <dataValidation type="list" allowBlank="1" showInputMessage="1" showErrorMessage="1" sqref="B27">
      <formula1>"顶布[白]{全新},顶布[白]{A类},顶布[白]{B类},顶布[白]{C类},顶布[白]{D类}"</formula1>
    </dataValidation>
    <dataValidation type="list" allowBlank="1" showInputMessage="1" showErrorMessage="1" sqref="B28">
      <formula1>"山尖布[白]{全新},山尖布[白]{A类},山尖布[白]{B类},山尖布[白]{C类},山尖布[白]{D类}"</formula1>
    </dataValidation>
    <dataValidation type="list" allowBlank="1" showInputMessage="1" showErrorMessage="1" sqref="B29">
      <formula1>"围布[白]{全新},围布[白]{A类},围布[白]{B类},围布[白]{C类},围布[白]{D类},透光窗围布[白]{全新},透光窗围布[白]{A类},透光窗围布[白]{B类},透光窗围布[白]{C类},透光窗围布[白]{D类}"</formula1>
    </dataValidation>
  </dataValidations>
  <printOptions horizontalCentered="1"/>
  <pageMargins left="0.238888888888889" right="0.11875" top="0.159027777777778" bottom="0.259027777777778" header="0.159027777777778" footer="0.2"/>
  <pageSetup paperSize="9" orientation="portrait"/>
  <headerFooter alignWithMargins="0" scaleWithDoc="0">
    <oddFooter>&amp;L&amp;"SimSun"&amp;9&amp;C&amp;"SimSun"&amp;9第 &amp;P 页，共 &amp;N 页&amp;R&amp;"SimSun"&amp;9</oddFooter>
  </headerFooter>
</worksheet>
</file>

<file path=xl/worksheets/sheet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FF0000"/>
  </sheetPr>
  <dimension ref="A1:R38"/>
  <sheetViews>
    <sheetView showGridLines="0" workbookViewId="0">
      <selection activeCell="F13" sqref="F13"/>
    </sheetView>
  </sheetViews>
  <sheetFormatPr defaultColWidth="9" defaultRowHeight="14.25"/>
  <cols>
    <col min="1" max="1" width="2.625" style="1" customWidth="1"/>
    <col min="2" max="2" width="18.25" style="1" customWidth="1"/>
    <col min="3" max="5" width="9" style="1"/>
    <col min="6" max="7" width="9" style="1" customWidth="1"/>
    <col min="8" max="8" width="11" style="1" customWidth="1"/>
    <col min="9" max="9" width="11.25" style="1" customWidth="1"/>
    <col min="10" max="10" width="12" style="1" customWidth="1"/>
    <col min="11" max="13" width="9" style="1" customWidth="1"/>
    <col min="14" max="14" width="61" style="1" customWidth="1"/>
    <col min="15" max="15" width="9" style="1"/>
    <col min="16" max="16" width="14" style="1" customWidth="1"/>
    <col min="17" max="17" width="9" style="1"/>
    <col min="18" max="18" width="13.875" style="1" customWidth="1"/>
    <col min="19" max="16384" width="9" style="1"/>
  </cols>
  <sheetData>
    <row r="1" ht="18.75" spans="1:18">
      <c r="A1" s="72" t="s">
        <v>1536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161"/>
      <c r="P1" s="3"/>
      <c r="Q1" s="3"/>
      <c r="R1" s="3"/>
    </row>
    <row r="2" spans="1:18">
      <c r="A2" s="141" t="s">
        <v>1246</v>
      </c>
      <c r="B2" s="142"/>
      <c r="C2" s="142"/>
      <c r="D2" s="9" t="s">
        <v>1198</v>
      </c>
      <c r="E2" s="176">
        <f>A3*5*25</f>
        <v>250</v>
      </c>
      <c r="F2" s="11"/>
      <c r="G2" s="11"/>
      <c r="H2" s="11"/>
      <c r="I2" s="11"/>
      <c r="J2" s="11"/>
      <c r="K2" s="11"/>
      <c r="L2" s="11"/>
      <c r="M2" s="11"/>
      <c r="N2" s="11"/>
      <c r="O2" s="162"/>
      <c r="P2" s="3"/>
      <c r="Q2" s="55"/>
      <c r="R2" s="55"/>
    </row>
    <row r="3" spans="1:18">
      <c r="A3" s="177">
        <v>2</v>
      </c>
      <c r="B3" s="177"/>
      <c r="C3" s="178" t="s">
        <v>1247</v>
      </c>
      <c r="D3" s="179">
        <v>3</v>
      </c>
      <c r="E3" s="180" t="s">
        <v>1248</v>
      </c>
      <c r="F3" s="12">
        <v>2</v>
      </c>
      <c r="G3" s="11" t="s">
        <v>1249</v>
      </c>
      <c r="H3" s="12"/>
      <c r="I3" s="12"/>
      <c r="J3" s="12"/>
      <c r="K3" s="12"/>
      <c r="L3" s="12"/>
      <c r="M3" s="12"/>
      <c r="N3" s="12"/>
      <c r="O3" s="162"/>
      <c r="P3" s="3"/>
      <c r="Q3" s="55"/>
      <c r="R3" s="55"/>
    </row>
    <row r="4" spans="1:18">
      <c r="A4" s="181"/>
      <c r="B4" s="181"/>
      <c r="C4" s="182"/>
      <c r="D4" s="183"/>
      <c r="E4" s="184"/>
      <c r="F4" s="12"/>
      <c r="G4" s="11" t="s">
        <v>1345</v>
      </c>
      <c r="H4" s="11"/>
      <c r="I4" s="9" t="s">
        <v>1346</v>
      </c>
      <c r="J4" s="9"/>
      <c r="K4" s="9"/>
      <c r="L4" s="9"/>
      <c r="M4" s="9"/>
      <c r="N4" s="12"/>
      <c r="O4" s="162"/>
      <c r="P4" s="3"/>
      <c r="Q4" s="55"/>
      <c r="R4" s="55"/>
    </row>
    <row r="5" ht="24" spans="1:18">
      <c r="A5" s="146" t="s">
        <v>1200</v>
      </c>
      <c r="B5" s="146" t="s">
        <v>1201</v>
      </c>
      <c r="C5" s="146" t="s">
        <v>1250</v>
      </c>
      <c r="D5" s="146" t="s">
        <v>22</v>
      </c>
      <c r="E5" s="147" t="s">
        <v>1251</v>
      </c>
      <c r="F5" s="75" t="s">
        <v>1204</v>
      </c>
      <c r="G5" s="19" t="s">
        <v>1205</v>
      </c>
      <c r="H5" s="17" t="s">
        <v>1253</v>
      </c>
      <c r="I5" s="17" t="s">
        <v>1254</v>
      </c>
      <c r="J5" s="17" t="s">
        <v>1255</v>
      </c>
      <c r="K5" s="17" t="s">
        <v>1209</v>
      </c>
      <c r="L5" s="17" t="s">
        <v>1420</v>
      </c>
      <c r="M5" s="17" t="s">
        <v>1211</v>
      </c>
      <c r="N5" s="163" t="s">
        <v>1257</v>
      </c>
      <c r="O5" s="165" t="s">
        <v>1212</v>
      </c>
      <c r="P5" s="165" t="s">
        <v>1213</v>
      </c>
      <c r="Q5" s="165" t="s">
        <v>1214</v>
      </c>
      <c r="R5" s="75" t="s">
        <v>1213</v>
      </c>
    </row>
    <row r="6" ht="12" customHeight="1" spans="1:18">
      <c r="A6" s="20" t="s">
        <v>1215</v>
      </c>
      <c r="B6" s="91" t="s">
        <v>1224</v>
      </c>
      <c r="C6" s="23"/>
      <c r="D6" s="23" t="s">
        <v>28</v>
      </c>
      <c r="E6" s="24">
        <f>D3*2</f>
        <v>6</v>
      </c>
      <c r="F6" s="93">
        <f ca="1">I6+J6+K6+L6+M6</f>
        <v>1104.300437392</v>
      </c>
      <c r="G6" s="94">
        <v>4.58</v>
      </c>
      <c r="H6" s="94">
        <v>8.233</v>
      </c>
      <c r="I6" s="93">
        <f ca="1">G6*H6*'25米（人字203料）参数 '!G3*1.1</f>
        <v>939.390437392</v>
      </c>
      <c r="J6" s="93">
        <f ca="1">48.55*2</f>
        <v>97.1</v>
      </c>
      <c r="K6" s="93">
        <v>45.91</v>
      </c>
      <c r="L6" s="93">
        <f>2.55*4</f>
        <v>10.2</v>
      </c>
      <c r="M6" s="93">
        <f>18*0.65</f>
        <v>11.7</v>
      </c>
      <c r="N6" s="166" t="s">
        <v>1502</v>
      </c>
      <c r="O6" s="167">
        <v>4</v>
      </c>
      <c r="P6" s="67">
        <f ca="1" t="shared" ref="P6:P34" si="0">F6*O6</f>
        <v>4417.201749568</v>
      </c>
      <c r="Q6" s="67">
        <f t="shared" ref="Q6:Q34" si="1">E6-O6</f>
        <v>2</v>
      </c>
      <c r="R6" s="67">
        <f ca="1" t="shared" ref="R6:R34" si="2">F6*Q6</f>
        <v>2208.600874784</v>
      </c>
    </row>
    <row r="7" ht="12" customHeight="1" spans="1:18">
      <c r="A7" s="20"/>
      <c r="B7" s="91" t="s">
        <v>1308</v>
      </c>
      <c r="C7" s="23"/>
      <c r="D7" s="23" t="s">
        <v>28</v>
      </c>
      <c r="E7" s="24">
        <f>F3*2</f>
        <v>4</v>
      </c>
      <c r="F7" s="101">
        <f ca="1">G7+H7+I7+J7+K7+L7+M7</f>
        <v>904.44704</v>
      </c>
      <c r="G7" s="148">
        <v>6</v>
      </c>
      <c r="H7" s="148">
        <v>5.3</v>
      </c>
      <c r="I7" s="101">
        <f ca="1">G7*H7*'25米（人字203料）参数 '!G3*1.1</f>
        <v>792.22704</v>
      </c>
      <c r="J7" s="101"/>
      <c r="K7" s="101">
        <f ca="1">49.51+41.21</f>
        <v>90.72</v>
      </c>
      <c r="L7" s="101">
        <f>2.55*4</f>
        <v>10.2</v>
      </c>
      <c r="M7" s="101"/>
      <c r="N7" s="166" t="s">
        <v>1427</v>
      </c>
      <c r="O7" s="167">
        <v>4</v>
      </c>
      <c r="P7" s="67">
        <f ca="1" t="shared" si="0"/>
        <v>3617.78816</v>
      </c>
      <c r="Q7" s="67">
        <f t="shared" si="1"/>
        <v>0</v>
      </c>
      <c r="R7" s="67">
        <f ca="1" t="shared" si="2"/>
        <v>0</v>
      </c>
    </row>
    <row r="8" ht="12" customHeight="1" spans="1:18">
      <c r="A8" s="20"/>
      <c r="B8" s="91" t="s">
        <v>1435</v>
      </c>
      <c r="C8" s="23"/>
      <c r="D8" s="23" t="s">
        <v>28</v>
      </c>
      <c r="E8" s="24">
        <f>F3*2</f>
        <v>4</v>
      </c>
      <c r="F8" s="101">
        <f ca="1">G8+H8+I8+J8+K8+L8+M8</f>
        <v>1064.092448</v>
      </c>
      <c r="G8" s="148">
        <v>7.2</v>
      </c>
      <c r="H8" s="148">
        <v>5.3</v>
      </c>
      <c r="I8" s="101">
        <f ca="1">G8*H8*'25米（人字203料）参数 '!G3*1.1</f>
        <v>950.672448</v>
      </c>
      <c r="J8" s="101"/>
      <c r="K8" s="101">
        <f ca="1">49.51+41.21</f>
        <v>90.72</v>
      </c>
      <c r="L8" s="101">
        <f>2.55*4</f>
        <v>10.2</v>
      </c>
      <c r="M8" s="101"/>
      <c r="N8" s="166" t="s">
        <v>1490</v>
      </c>
      <c r="O8" s="167">
        <v>4</v>
      </c>
      <c r="P8" s="67">
        <f ca="1" t="shared" si="0"/>
        <v>4256.369792</v>
      </c>
      <c r="Q8" s="67">
        <f t="shared" si="1"/>
        <v>0</v>
      </c>
      <c r="R8" s="67">
        <f ca="1" t="shared" si="2"/>
        <v>0</v>
      </c>
    </row>
    <row r="9" ht="12" customHeight="1" spans="1:18">
      <c r="A9" s="20"/>
      <c r="B9" s="91" t="s">
        <v>1350</v>
      </c>
      <c r="C9" s="23"/>
      <c r="D9" s="23" t="s">
        <v>28</v>
      </c>
      <c r="E9" s="24">
        <f>D3*2</f>
        <v>6</v>
      </c>
      <c r="F9" s="61">
        <f ca="1">I9+J9+K9+L9+M9</f>
        <v>2337.04932288</v>
      </c>
      <c r="G9" s="95">
        <v>11.2</v>
      </c>
      <c r="H9" s="95">
        <v>8.233</v>
      </c>
      <c r="I9" s="61">
        <f ca="1">G9*H9*'25米（人字203料）参数 '!G3*1.1</f>
        <v>2297.19932288</v>
      </c>
      <c r="J9" s="61">
        <f ca="1">2.5*8</f>
        <v>20</v>
      </c>
      <c r="K9" s="61">
        <v>11.85</v>
      </c>
      <c r="L9" s="61">
        <f>1*8</f>
        <v>8</v>
      </c>
      <c r="M9" s="61"/>
      <c r="N9" s="116" t="s">
        <v>1506</v>
      </c>
      <c r="O9" s="167">
        <v>4</v>
      </c>
      <c r="P9" s="67">
        <f ca="1" t="shared" si="0"/>
        <v>9348.19729152</v>
      </c>
      <c r="Q9" s="67">
        <f t="shared" si="1"/>
        <v>2</v>
      </c>
      <c r="R9" s="67">
        <f ca="1" t="shared" si="2"/>
        <v>4674.09864576</v>
      </c>
    </row>
    <row r="10" ht="12" customHeight="1" spans="1:18">
      <c r="A10" s="20"/>
      <c r="B10" s="91" t="s">
        <v>1531</v>
      </c>
      <c r="C10" s="23"/>
      <c r="D10" s="23" t="s">
        <v>28</v>
      </c>
      <c r="E10" s="24">
        <f>D3*2</f>
        <v>6</v>
      </c>
      <c r="F10" s="61">
        <f ca="1">I10+J10+K10+L10+M10</f>
        <v>1020.964729024</v>
      </c>
      <c r="G10" s="95">
        <v>3.76</v>
      </c>
      <c r="H10" s="95">
        <v>8.233</v>
      </c>
      <c r="I10" s="61">
        <f ca="1">G10*H10*'25米（人字203料）参数 '!G3*1.1</f>
        <v>771.202629824</v>
      </c>
      <c r="J10" s="61">
        <f ca="1">2.5*2</f>
        <v>5</v>
      </c>
      <c r="K10" s="61">
        <f ca="1">1.2*7.67*'25米（人字203料）参数 '!G4*1.1</f>
        <v>234.5620992</v>
      </c>
      <c r="L10" s="61">
        <f>4*2.55</f>
        <v>10.2</v>
      </c>
      <c r="M10" s="61"/>
      <c r="N10" s="168" t="s">
        <v>1532</v>
      </c>
      <c r="O10" s="167">
        <v>4</v>
      </c>
      <c r="P10" s="67">
        <f ca="1" t="shared" si="0"/>
        <v>4083.858916096</v>
      </c>
      <c r="Q10" s="67">
        <f t="shared" si="1"/>
        <v>2</v>
      </c>
      <c r="R10" s="67">
        <f ca="1" t="shared" si="2"/>
        <v>2041.929458048</v>
      </c>
    </row>
    <row r="11" ht="12" customHeight="1" spans="1:18">
      <c r="A11" s="20"/>
      <c r="B11" s="91" t="s">
        <v>1226</v>
      </c>
      <c r="C11" s="23"/>
      <c r="D11" s="23" t="s">
        <v>28</v>
      </c>
      <c r="E11" s="24">
        <f>A3*8</f>
        <v>16</v>
      </c>
      <c r="F11" s="101">
        <f ca="1">I11+J11+K11+L11+M11</f>
        <v>195.0929650432</v>
      </c>
      <c r="G11" s="148">
        <v>4.882</v>
      </c>
      <c r="H11" s="148">
        <v>1.552</v>
      </c>
      <c r="I11" s="101">
        <f ca="1">G11*H11*'25米（人字203料）参数 '!G5*1.1</f>
        <v>180.0929650432</v>
      </c>
      <c r="J11" s="101"/>
      <c r="K11" s="101"/>
      <c r="L11" s="101">
        <f>0.5*4</f>
        <v>2</v>
      </c>
      <c r="M11" s="101">
        <f>6.5*2</f>
        <v>13</v>
      </c>
      <c r="N11" s="120" t="s">
        <v>1352</v>
      </c>
      <c r="O11" s="169">
        <v>8</v>
      </c>
      <c r="P11" s="67">
        <f ca="1" t="shared" si="0"/>
        <v>1560.7437203456</v>
      </c>
      <c r="Q11" s="67">
        <f t="shared" si="1"/>
        <v>8</v>
      </c>
      <c r="R11" s="67">
        <f ca="1" t="shared" si="2"/>
        <v>1560.7437203456</v>
      </c>
    </row>
    <row r="12" ht="12" customHeight="1" spans="1:18">
      <c r="A12" s="20"/>
      <c r="B12" s="91" t="s">
        <v>1264</v>
      </c>
      <c r="C12" s="23"/>
      <c r="D12" s="23" t="s">
        <v>28</v>
      </c>
      <c r="E12" s="24">
        <f>A3*3+F3*3</f>
        <v>12</v>
      </c>
      <c r="F12" s="101">
        <f ca="1">I12+J12+K12+L12+M12</f>
        <v>336.5448493136</v>
      </c>
      <c r="G12" s="148">
        <v>4.882</v>
      </c>
      <c r="H12" s="148">
        <v>2.771</v>
      </c>
      <c r="I12" s="101">
        <f ca="1">G12*H12*'25米（人字203料）参数 '!G5*1.1</f>
        <v>321.5448493136</v>
      </c>
      <c r="J12" s="101"/>
      <c r="K12" s="101"/>
      <c r="L12" s="101">
        <f>0.5*4</f>
        <v>2</v>
      </c>
      <c r="M12" s="101">
        <f>6.5*2</f>
        <v>13</v>
      </c>
      <c r="N12" s="120" t="s">
        <v>1353</v>
      </c>
      <c r="O12" s="169">
        <v>9</v>
      </c>
      <c r="P12" s="67">
        <f ca="1" t="shared" si="0"/>
        <v>3028.9036438224</v>
      </c>
      <c r="Q12" s="67">
        <f t="shared" si="1"/>
        <v>3</v>
      </c>
      <c r="R12" s="67">
        <f ca="1" t="shared" si="2"/>
        <v>1009.6345479408</v>
      </c>
    </row>
    <row r="13" ht="12" customHeight="1" spans="1:18">
      <c r="A13" s="20"/>
      <c r="B13" s="91" t="s">
        <v>1266</v>
      </c>
      <c r="C13" s="23"/>
      <c r="D13" s="23" t="s">
        <v>28</v>
      </c>
      <c r="E13" s="24">
        <f>A3*2+F3*5</f>
        <v>14</v>
      </c>
      <c r="F13" s="101">
        <f ca="1">'数据修改（批量）'!A28</f>
        <v>95</v>
      </c>
      <c r="G13" s="148">
        <v>4.86</v>
      </c>
      <c r="H13" s="148">
        <v>1.345</v>
      </c>
      <c r="I13" s="101">
        <f ca="1">G13*H13*'25米（人字203料）参数 '!G5*1.1</f>
        <v>155.36951496</v>
      </c>
      <c r="J13" s="101"/>
      <c r="K13" s="101"/>
      <c r="L13" s="101"/>
      <c r="M13" s="101"/>
      <c r="N13" s="120" t="s">
        <v>1354</v>
      </c>
      <c r="O13" s="167">
        <v>12</v>
      </c>
      <c r="P13" s="67">
        <f ca="1" t="shared" si="0"/>
        <v>1140</v>
      </c>
      <c r="Q13" s="67">
        <f t="shared" si="1"/>
        <v>2</v>
      </c>
      <c r="R13" s="67">
        <f ca="1" t="shared" si="2"/>
        <v>190</v>
      </c>
    </row>
    <row r="14" ht="12" customHeight="1" spans="1:18">
      <c r="A14" s="20"/>
      <c r="B14" s="91" t="s">
        <v>1272</v>
      </c>
      <c r="C14" s="23"/>
      <c r="D14" s="23" t="s">
        <v>28</v>
      </c>
      <c r="E14" s="30">
        <v>5</v>
      </c>
      <c r="F14" s="101">
        <f>I14+J14+K14+L14+M14</f>
        <v>122.5</v>
      </c>
      <c r="G14" s="148"/>
      <c r="H14" s="148"/>
      <c r="I14" s="101">
        <v>108</v>
      </c>
      <c r="J14" s="101">
        <v>6.5</v>
      </c>
      <c r="K14" s="101">
        <v>4</v>
      </c>
      <c r="L14" s="101">
        <v>3</v>
      </c>
      <c r="M14" s="101">
        <v>1</v>
      </c>
      <c r="N14" s="120" t="s">
        <v>1523</v>
      </c>
      <c r="O14" s="167">
        <v>4</v>
      </c>
      <c r="P14" s="67">
        <f ca="1" t="shared" si="0"/>
        <v>490</v>
      </c>
      <c r="Q14" s="67">
        <f t="shared" si="1"/>
        <v>1</v>
      </c>
      <c r="R14" s="67">
        <f ca="1" t="shared" si="2"/>
        <v>122.5</v>
      </c>
    </row>
    <row r="15" ht="12" customHeight="1" spans="1:18">
      <c r="A15" s="20"/>
      <c r="B15" s="91" t="s">
        <v>1446</v>
      </c>
      <c r="C15" s="23"/>
      <c r="D15" s="23" t="s">
        <v>28</v>
      </c>
      <c r="E15" s="32">
        <f>D3-2</f>
        <v>1</v>
      </c>
      <c r="F15" s="101">
        <f>I15+J15+K15+L15+M15</f>
        <v>185</v>
      </c>
      <c r="G15" s="148"/>
      <c r="H15" s="148"/>
      <c r="I15" s="101">
        <v>130</v>
      </c>
      <c r="J15" s="101">
        <f>2*20</f>
        <v>40</v>
      </c>
      <c r="K15" s="101">
        <v>15</v>
      </c>
      <c r="L15" s="101"/>
      <c r="M15" s="101"/>
      <c r="N15" s="58" t="s">
        <v>1533</v>
      </c>
      <c r="O15" s="167">
        <v>0</v>
      </c>
      <c r="P15" s="67">
        <f ca="1" t="shared" si="0"/>
        <v>0</v>
      </c>
      <c r="Q15" s="67">
        <f t="shared" si="1"/>
        <v>1</v>
      </c>
      <c r="R15" s="67">
        <f ca="1" t="shared" si="2"/>
        <v>185</v>
      </c>
    </row>
    <row r="16" ht="12" customHeight="1" spans="1:18">
      <c r="A16" s="20"/>
      <c r="B16" s="91" t="s">
        <v>1448</v>
      </c>
      <c r="C16" s="23"/>
      <c r="D16" s="23" t="s">
        <v>28</v>
      </c>
      <c r="E16" s="32">
        <f>(D3-2)*2</f>
        <v>2</v>
      </c>
      <c r="F16" s="101">
        <f>I16+J16+K16+L16+M16</f>
        <v>145</v>
      </c>
      <c r="G16" s="148"/>
      <c r="H16" s="148"/>
      <c r="I16" s="101">
        <v>90</v>
      </c>
      <c r="J16" s="101">
        <v>40</v>
      </c>
      <c r="K16" s="101">
        <v>15</v>
      </c>
      <c r="L16" s="101"/>
      <c r="M16" s="101"/>
      <c r="N16" s="58" t="s">
        <v>1537</v>
      </c>
      <c r="O16" s="167">
        <v>0</v>
      </c>
      <c r="P16" s="67">
        <f ca="1" t="shared" si="0"/>
        <v>0</v>
      </c>
      <c r="Q16" s="67">
        <f t="shared" si="1"/>
        <v>2</v>
      </c>
      <c r="R16" s="67">
        <f ca="1" t="shared" si="2"/>
        <v>290</v>
      </c>
    </row>
    <row r="17" ht="12" customHeight="1" spans="1:18">
      <c r="A17" s="20"/>
      <c r="B17" s="91" t="s">
        <v>1356</v>
      </c>
      <c r="C17" s="23"/>
      <c r="D17" s="23" t="s">
        <v>28</v>
      </c>
      <c r="E17" s="24">
        <f>F3</f>
        <v>2</v>
      </c>
      <c r="F17" s="101">
        <f ca="1">I17+J17+K17+L17+M17</f>
        <v>90.133</v>
      </c>
      <c r="G17" s="148">
        <v>3.75</v>
      </c>
      <c r="H17" s="148">
        <v>1</v>
      </c>
      <c r="I17" s="101">
        <f ca="1">G17*H17*'25米（人字203料）参数 '!G5*1.1</f>
        <v>89.133</v>
      </c>
      <c r="J17" s="101"/>
      <c r="K17" s="101"/>
      <c r="L17" s="101">
        <f>0.5*2</f>
        <v>1</v>
      </c>
      <c r="M17" s="101"/>
      <c r="N17" s="170" t="s">
        <v>1357</v>
      </c>
      <c r="O17" s="167">
        <v>2</v>
      </c>
      <c r="P17" s="67">
        <f ca="1" t="shared" si="0"/>
        <v>180.266</v>
      </c>
      <c r="Q17" s="67">
        <f t="shared" si="1"/>
        <v>0</v>
      </c>
      <c r="R17" s="67">
        <f ca="1" t="shared" si="2"/>
        <v>0</v>
      </c>
    </row>
    <row r="18" ht="12" customHeight="1" spans="1:18">
      <c r="A18" s="20"/>
      <c r="B18" s="91" t="s">
        <v>1276</v>
      </c>
      <c r="C18" s="23"/>
      <c r="D18" s="23" t="s">
        <v>28</v>
      </c>
      <c r="E18" s="28">
        <f>F3*2</f>
        <v>4</v>
      </c>
      <c r="F18" s="101">
        <f ca="1">I18+J18+K18+L18+M18</f>
        <v>348.2448493136</v>
      </c>
      <c r="G18" s="95">
        <v>4.882</v>
      </c>
      <c r="H18" s="95">
        <v>2.771</v>
      </c>
      <c r="I18" s="61">
        <f ca="1">G18*H18*'25米（人字203料）参数 '!G5*1.1</f>
        <v>321.5448493136</v>
      </c>
      <c r="J18" s="61"/>
      <c r="K18" s="61">
        <v>15</v>
      </c>
      <c r="L18" s="61">
        <f>8*0.65</f>
        <v>5.2</v>
      </c>
      <c r="M18" s="61">
        <v>6.5</v>
      </c>
      <c r="N18" s="120" t="s">
        <v>1358</v>
      </c>
      <c r="O18" s="167">
        <v>4</v>
      </c>
      <c r="P18" s="67">
        <f ca="1" t="shared" si="0"/>
        <v>1392.9793972544</v>
      </c>
      <c r="Q18" s="67">
        <f t="shared" si="1"/>
        <v>0</v>
      </c>
      <c r="R18" s="67">
        <f ca="1" t="shared" si="2"/>
        <v>0</v>
      </c>
    </row>
    <row r="19" ht="12" customHeight="1" spans="1:18">
      <c r="A19" s="31"/>
      <c r="B19" s="149" t="s">
        <v>1274</v>
      </c>
      <c r="C19" s="43"/>
      <c r="D19" s="43" t="s">
        <v>28</v>
      </c>
      <c r="E19" s="150">
        <f>A3*2+F3*5</f>
        <v>14</v>
      </c>
      <c r="F19" s="101">
        <f>(I19+J19+K19+L19+M19)</f>
        <v>20.4</v>
      </c>
      <c r="G19" s="151"/>
      <c r="H19" s="151"/>
      <c r="I19" s="39">
        <f>17*1.2</f>
        <v>20.4</v>
      </c>
      <c r="J19" s="39"/>
      <c r="K19" s="39"/>
      <c r="L19" s="39"/>
      <c r="M19" s="39"/>
      <c r="N19" s="171" t="s">
        <v>1359</v>
      </c>
      <c r="O19" s="167">
        <v>12</v>
      </c>
      <c r="P19" s="67">
        <f ca="1" t="shared" si="0"/>
        <v>244.8</v>
      </c>
      <c r="Q19" s="67">
        <f t="shared" si="1"/>
        <v>2</v>
      </c>
      <c r="R19" s="67">
        <f ca="1" t="shared" si="2"/>
        <v>40.8</v>
      </c>
    </row>
    <row r="20" ht="12" customHeight="1" spans="1:18">
      <c r="A20" s="20" t="s">
        <v>1278</v>
      </c>
      <c r="B20" s="91" t="s">
        <v>1304</v>
      </c>
      <c r="C20" s="23"/>
      <c r="D20" s="23" t="s">
        <v>434</v>
      </c>
      <c r="E20" s="24">
        <f>D3</f>
        <v>3</v>
      </c>
      <c r="F20" s="101">
        <v>180.62</v>
      </c>
      <c r="G20" s="151"/>
      <c r="H20" s="151"/>
      <c r="I20" s="39"/>
      <c r="J20" s="39"/>
      <c r="K20" s="39"/>
      <c r="L20" s="39"/>
      <c r="M20" s="39"/>
      <c r="N20" s="171" t="s">
        <v>1360</v>
      </c>
      <c r="O20" s="172">
        <v>2</v>
      </c>
      <c r="P20" s="67">
        <f ca="1" t="shared" si="0"/>
        <v>361.24</v>
      </c>
      <c r="Q20" s="67">
        <f t="shared" si="1"/>
        <v>1</v>
      </c>
      <c r="R20" s="67">
        <f ca="1" t="shared" si="2"/>
        <v>180.62</v>
      </c>
    </row>
    <row r="21" ht="12" customHeight="1" spans="1:18">
      <c r="A21" s="20"/>
      <c r="B21" s="91" t="s">
        <v>1310</v>
      </c>
      <c r="C21" s="23"/>
      <c r="D21" s="23" t="s">
        <v>434</v>
      </c>
      <c r="E21" s="24">
        <f>E7+E8</f>
        <v>8</v>
      </c>
      <c r="F21" s="101">
        <v>76.4</v>
      </c>
      <c r="G21" s="148"/>
      <c r="H21" s="148"/>
      <c r="I21" s="101"/>
      <c r="J21" s="101"/>
      <c r="K21" s="101"/>
      <c r="L21" s="101"/>
      <c r="M21" s="101"/>
      <c r="N21" s="120" t="s">
        <v>1361</v>
      </c>
      <c r="O21" s="167">
        <v>8</v>
      </c>
      <c r="P21" s="67">
        <f ca="1" t="shared" si="0"/>
        <v>611.2</v>
      </c>
      <c r="Q21" s="67">
        <f t="shared" si="1"/>
        <v>0</v>
      </c>
      <c r="R21" s="67">
        <f ca="1" t="shared" si="2"/>
        <v>0</v>
      </c>
    </row>
    <row r="22" ht="12" customHeight="1" spans="1:18">
      <c r="A22" s="20"/>
      <c r="B22" s="91" t="s">
        <v>1280</v>
      </c>
      <c r="C22" s="23"/>
      <c r="D22" s="23" t="s">
        <v>434</v>
      </c>
      <c r="E22" s="28">
        <f>E6</f>
        <v>6</v>
      </c>
      <c r="F22" s="61">
        <v>85.93</v>
      </c>
      <c r="G22" s="95"/>
      <c r="H22" s="95"/>
      <c r="I22" s="61"/>
      <c r="J22" s="61"/>
      <c r="K22" s="61"/>
      <c r="L22" s="61"/>
      <c r="M22" s="61"/>
      <c r="N22" s="173" t="s">
        <v>1361</v>
      </c>
      <c r="O22" s="167">
        <v>4</v>
      </c>
      <c r="P22" s="67">
        <f ca="1" t="shared" si="0"/>
        <v>343.72</v>
      </c>
      <c r="Q22" s="67">
        <f t="shared" si="1"/>
        <v>2</v>
      </c>
      <c r="R22" s="67">
        <f ca="1" t="shared" si="2"/>
        <v>171.86</v>
      </c>
    </row>
    <row r="23" ht="12" customHeight="1" spans="1:18">
      <c r="A23" s="20"/>
      <c r="B23" s="91" t="s">
        <v>1339</v>
      </c>
      <c r="C23" s="23"/>
      <c r="D23" s="23" t="s">
        <v>28</v>
      </c>
      <c r="E23" s="32">
        <f>E14</f>
        <v>5</v>
      </c>
      <c r="F23" s="101">
        <v>91.3</v>
      </c>
      <c r="G23" s="148"/>
      <c r="H23" s="148"/>
      <c r="I23" s="101"/>
      <c r="J23" s="101"/>
      <c r="K23" s="101"/>
      <c r="L23" s="101"/>
      <c r="M23" s="101"/>
      <c r="N23" s="120" t="s">
        <v>1362</v>
      </c>
      <c r="O23" s="167">
        <v>4</v>
      </c>
      <c r="P23" s="67">
        <f ca="1" t="shared" si="0"/>
        <v>365.2</v>
      </c>
      <c r="Q23" s="67">
        <f t="shared" si="1"/>
        <v>1</v>
      </c>
      <c r="R23" s="67">
        <f ca="1" t="shared" si="2"/>
        <v>91.3</v>
      </c>
    </row>
    <row r="24" ht="12" customHeight="1" spans="1:18">
      <c r="A24" s="20"/>
      <c r="B24" s="91" t="s">
        <v>1282</v>
      </c>
      <c r="C24" s="23"/>
      <c r="D24" s="23" t="s">
        <v>434</v>
      </c>
      <c r="E24" s="24">
        <f>D3*2+F3*2</f>
        <v>10</v>
      </c>
      <c r="F24" s="101">
        <v>4.45</v>
      </c>
      <c r="G24" s="148"/>
      <c r="H24" s="148"/>
      <c r="I24" s="101"/>
      <c r="J24" s="101"/>
      <c r="K24" s="101"/>
      <c r="L24" s="101"/>
      <c r="M24" s="101"/>
      <c r="N24" s="120" t="s">
        <v>1363</v>
      </c>
      <c r="O24" s="167">
        <v>8</v>
      </c>
      <c r="P24" s="67">
        <f ca="1" t="shared" si="0"/>
        <v>35.6</v>
      </c>
      <c r="Q24" s="67">
        <f t="shared" si="1"/>
        <v>2</v>
      </c>
      <c r="R24" s="67">
        <f ca="1" t="shared" si="2"/>
        <v>8.9</v>
      </c>
    </row>
    <row r="25" ht="12" customHeight="1" spans="1:18">
      <c r="A25" s="20"/>
      <c r="B25" s="91" t="s">
        <v>1284</v>
      </c>
      <c r="C25" s="23"/>
      <c r="D25" s="23" t="s">
        <v>434</v>
      </c>
      <c r="E25" s="24">
        <f>D3*2</f>
        <v>6</v>
      </c>
      <c r="F25" s="101">
        <v>6.51</v>
      </c>
      <c r="G25" s="148"/>
      <c r="H25" s="148"/>
      <c r="I25" s="101"/>
      <c r="J25" s="101"/>
      <c r="K25" s="101"/>
      <c r="L25" s="101"/>
      <c r="M25" s="101"/>
      <c r="N25" s="120" t="s">
        <v>1364</v>
      </c>
      <c r="O25" s="167">
        <v>4</v>
      </c>
      <c r="P25" s="67">
        <f ca="1" t="shared" si="0"/>
        <v>26.04</v>
      </c>
      <c r="Q25" s="67">
        <f t="shared" si="1"/>
        <v>2</v>
      </c>
      <c r="R25" s="67">
        <f ca="1" t="shared" si="2"/>
        <v>13.02</v>
      </c>
    </row>
    <row r="26" ht="12" customHeight="1" spans="1:18">
      <c r="A26" s="20"/>
      <c r="B26" s="91" t="s">
        <v>519</v>
      </c>
      <c r="C26" s="23"/>
      <c r="D26" s="23" t="s">
        <v>434</v>
      </c>
      <c r="E26" s="24">
        <f>F3*2</f>
        <v>4</v>
      </c>
      <c r="F26" s="101">
        <v>13</v>
      </c>
      <c r="G26" s="151"/>
      <c r="H26" s="151"/>
      <c r="I26" s="39"/>
      <c r="J26" s="39"/>
      <c r="K26" s="39"/>
      <c r="L26" s="39"/>
      <c r="M26" s="39"/>
      <c r="N26" s="120" t="s">
        <v>1365</v>
      </c>
      <c r="O26" s="167">
        <v>4</v>
      </c>
      <c r="P26" s="67">
        <f ca="1" t="shared" si="0"/>
        <v>52</v>
      </c>
      <c r="Q26" s="67">
        <f t="shared" si="1"/>
        <v>0</v>
      </c>
      <c r="R26" s="67">
        <f ca="1" t="shared" si="2"/>
        <v>0</v>
      </c>
    </row>
    <row r="27" ht="12" customHeight="1" spans="1:18">
      <c r="A27" s="31"/>
      <c r="B27" s="152" t="s">
        <v>551</v>
      </c>
      <c r="C27" s="43"/>
      <c r="D27" s="43" t="s">
        <v>434</v>
      </c>
      <c r="E27" s="150">
        <f>F3*2</f>
        <v>4</v>
      </c>
      <c r="F27" s="41">
        <v>15.5</v>
      </c>
      <c r="G27" s="99"/>
      <c r="H27" s="99"/>
      <c r="I27" s="41"/>
      <c r="J27" s="41"/>
      <c r="K27" s="41"/>
      <c r="L27" s="41"/>
      <c r="M27" s="41"/>
      <c r="N27" s="173" t="s">
        <v>1361</v>
      </c>
      <c r="O27" s="174">
        <v>4</v>
      </c>
      <c r="P27" s="67">
        <f ca="1" t="shared" si="0"/>
        <v>62</v>
      </c>
      <c r="Q27" s="67">
        <f t="shared" si="1"/>
        <v>0</v>
      </c>
      <c r="R27" s="67">
        <f ca="1" t="shared" si="2"/>
        <v>0</v>
      </c>
    </row>
    <row r="28" ht="12" customHeight="1" spans="1:18">
      <c r="A28" s="153" t="s">
        <v>1216</v>
      </c>
      <c r="B28" s="91" t="s">
        <v>1366</v>
      </c>
      <c r="C28" s="23"/>
      <c r="D28" s="23" t="s">
        <v>612</v>
      </c>
      <c r="E28" s="24">
        <f>A3</f>
        <v>2</v>
      </c>
      <c r="F28" s="122">
        <f ca="1">(I28+J28)*1.1+30</f>
        <v>3148.50165</v>
      </c>
      <c r="G28" s="99">
        <v>27.81</v>
      </c>
      <c r="H28" s="99">
        <v>5</v>
      </c>
      <c r="I28" s="41">
        <f ca="1">G28*H28*'25米（人字203料）参数 '!E15*1.1</f>
        <v>2646.1215</v>
      </c>
      <c r="J28" s="41">
        <f>23.61*2*4</f>
        <v>188.88</v>
      </c>
      <c r="K28" s="41">
        <v>30</v>
      </c>
      <c r="L28" s="41"/>
      <c r="M28" s="41"/>
      <c r="N28" s="167" t="s">
        <v>1534</v>
      </c>
      <c r="O28" s="175">
        <v>1</v>
      </c>
      <c r="P28" s="67">
        <f ca="1" t="shared" si="0"/>
        <v>3148.50165</v>
      </c>
      <c r="Q28" s="67">
        <f t="shared" si="1"/>
        <v>1</v>
      </c>
      <c r="R28" s="67">
        <f ca="1" t="shared" si="2"/>
        <v>3148.50165</v>
      </c>
    </row>
    <row r="29" ht="12" customHeight="1" spans="1:18">
      <c r="A29" s="153"/>
      <c r="B29" s="91" t="s">
        <v>1368</v>
      </c>
      <c r="C29" s="23"/>
      <c r="D29" s="23" t="s">
        <v>664</v>
      </c>
      <c r="E29" s="24">
        <f>F3</f>
        <v>2</v>
      </c>
      <c r="F29" s="122">
        <f ca="1">(I29+J29)*1.1+15</f>
        <v>1177.2025525</v>
      </c>
      <c r="G29" s="148">
        <v>12.75</v>
      </c>
      <c r="H29" s="154">
        <v>4.57</v>
      </c>
      <c r="I29" s="101">
        <f ca="1">G29*H29*'25米（人字203料）参数 '!E14*1.1</f>
        <v>916.547775</v>
      </c>
      <c r="J29" s="101">
        <f>17.5*2*4</f>
        <v>140</v>
      </c>
      <c r="K29" s="101">
        <v>15</v>
      </c>
      <c r="L29" s="101"/>
      <c r="M29" s="101"/>
      <c r="N29" s="51" t="s">
        <v>1535</v>
      </c>
      <c r="O29" s="167">
        <v>2</v>
      </c>
      <c r="P29" s="67">
        <f ca="1" t="shared" si="0"/>
        <v>2354.405105</v>
      </c>
      <c r="Q29" s="67">
        <f t="shared" si="1"/>
        <v>0</v>
      </c>
      <c r="R29" s="67">
        <f ca="1" t="shared" si="2"/>
        <v>0</v>
      </c>
    </row>
    <row r="30" ht="12" customHeight="1" spans="1:18">
      <c r="A30" s="155"/>
      <c r="B30" s="91" t="s">
        <v>1370</v>
      </c>
      <c r="C30" s="23"/>
      <c r="D30" s="23" t="s">
        <v>664</v>
      </c>
      <c r="E30" s="24">
        <f>A3*2+F3*5</f>
        <v>14</v>
      </c>
      <c r="F30" s="122">
        <f ca="1">I30+J30+K30+L30+M30</f>
        <v>466.28612</v>
      </c>
      <c r="G30" s="156">
        <v>5.2</v>
      </c>
      <c r="H30" s="157">
        <v>4.97</v>
      </c>
      <c r="I30" s="101">
        <f ca="1">G30*H30*'25米（人字203料）参数 '!E14*1.1+15</f>
        <v>421.52612</v>
      </c>
      <c r="J30" s="71">
        <f>4*2*2</f>
        <v>16</v>
      </c>
      <c r="K30" s="71">
        <f>0.5*10</f>
        <v>5</v>
      </c>
      <c r="L30" s="71">
        <f>0.32*18</f>
        <v>5.76</v>
      </c>
      <c r="M30" s="71">
        <f>18*1</f>
        <v>18</v>
      </c>
      <c r="N30" s="120" t="s">
        <v>1371</v>
      </c>
      <c r="O30" s="169">
        <v>12</v>
      </c>
      <c r="P30" s="67">
        <f ca="1" t="shared" si="0"/>
        <v>5595.43344</v>
      </c>
      <c r="Q30" s="67">
        <f t="shared" si="1"/>
        <v>2</v>
      </c>
      <c r="R30" s="67">
        <f ca="1" t="shared" si="2"/>
        <v>932.57224</v>
      </c>
    </row>
    <row r="31" ht="12" customHeight="1" spans="1:18">
      <c r="A31" s="20" t="s">
        <v>1235</v>
      </c>
      <c r="B31" s="158" t="s">
        <v>589</v>
      </c>
      <c r="C31" s="23"/>
      <c r="D31" s="23" t="s">
        <v>434</v>
      </c>
      <c r="E31" s="24">
        <f>D3*10+F3*2+E23*2</f>
        <v>44</v>
      </c>
      <c r="F31" s="101">
        <v>2.15</v>
      </c>
      <c r="G31" s="154"/>
      <c r="H31" s="154"/>
      <c r="I31" s="101"/>
      <c r="J31" s="101"/>
      <c r="K31" s="101"/>
      <c r="L31" s="101"/>
      <c r="M31" s="101"/>
      <c r="N31" s="120" t="s">
        <v>1372</v>
      </c>
      <c r="O31" s="167">
        <v>34</v>
      </c>
      <c r="P31" s="67">
        <f ca="1" t="shared" si="0"/>
        <v>73.1</v>
      </c>
      <c r="Q31" s="67">
        <f t="shared" si="1"/>
        <v>10</v>
      </c>
      <c r="R31" s="67">
        <f ca="1" t="shared" si="2"/>
        <v>21.5</v>
      </c>
    </row>
    <row r="32" ht="12" customHeight="1" spans="1:18">
      <c r="A32" s="20"/>
      <c r="B32" s="109" t="s">
        <v>591</v>
      </c>
      <c r="C32" s="23"/>
      <c r="D32" s="23" t="s">
        <v>434</v>
      </c>
      <c r="E32" s="24">
        <f>D3*2+E23+E14</f>
        <v>16</v>
      </c>
      <c r="F32" s="101">
        <v>2.55</v>
      </c>
      <c r="G32" s="154"/>
      <c r="H32" s="154"/>
      <c r="I32" s="101"/>
      <c r="J32" s="101"/>
      <c r="K32" s="101"/>
      <c r="L32" s="101"/>
      <c r="M32" s="101"/>
      <c r="N32" s="120" t="s">
        <v>1373</v>
      </c>
      <c r="O32" s="172">
        <v>14</v>
      </c>
      <c r="P32" s="67">
        <f ca="1" t="shared" si="0"/>
        <v>35.7</v>
      </c>
      <c r="Q32" s="67">
        <f t="shared" si="1"/>
        <v>2</v>
      </c>
      <c r="R32" s="67">
        <f ca="1" t="shared" si="2"/>
        <v>5.1</v>
      </c>
    </row>
    <row r="33" ht="12" customHeight="1" spans="1:18">
      <c r="A33" s="20"/>
      <c r="B33" s="159" t="s">
        <v>1423</v>
      </c>
      <c r="C33" s="43"/>
      <c r="D33" s="43" t="s">
        <v>434</v>
      </c>
      <c r="E33" s="44">
        <f>D3*2+4</f>
        <v>10</v>
      </c>
      <c r="F33" s="39">
        <v>1.95</v>
      </c>
      <c r="G33" s="160"/>
      <c r="H33" s="160"/>
      <c r="I33" s="39"/>
      <c r="J33" s="39"/>
      <c r="K33" s="39"/>
      <c r="L33" s="39"/>
      <c r="M33" s="39"/>
      <c r="N33" s="120" t="s">
        <v>1375</v>
      </c>
      <c r="O33" s="167">
        <v>8</v>
      </c>
      <c r="P33" s="67">
        <f ca="1" t="shared" si="0"/>
        <v>15.6</v>
      </c>
      <c r="Q33" s="67">
        <f t="shared" si="1"/>
        <v>2</v>
      </c>
      <c r="R33" s="67">
        <f ca="1" t="shared" si="2"/>
        <v>3.9</v>
      </c>
    </row>
    <row r="34" ht="12" customHeight="1" spans="1:18">
      <c r="A34" s="20"/>
      <c r="B34" s="109" t="s">
        <v>554</v>
      </c>
      <c r="C34" s="23"/>
      <c r="D34" s="23" t="s">
        <v>555</v>
      </c>
      <c r="E34" s="28">
        <f>E21+E22+E14</f>
        <v>19</v>
      </c>
      <c r="F34" s="101">
        <v>1.46</v>
      </c>
      <c r="G34" s="154"/>
      <c r="H34" s="154"/>
      <c r="I34" s="101"/>
      <c r="J34" s="101"/>
      <c r="K34" s="101"/>
      <c r="L34" s="101"/>
      <c r="M34" s="101"/>
      <c r="N34" s="120" t="s">
        <v>1376</v>
      </c>
      <c r="O34" s="167">
        <v>17</v>
      </c>
      <c r="P34" s="67">
        <f ca="1" t="shared" si="0"/>
        <v>24.82</v>
      </c>
      <c r="Q34" s="67">
        <f t="shared" si="1"/>
        <v>2</v>
      </c>
      <c r="R34" s="67">
        <f ca="1" t="shared" si="2"/>
        <v>2.92</v>
      </c>
    </row>
    <row r="35" spans="1:18">
      <c r="A35" s="50"/>
      <c r="B35" s="50"/>
      <c r="C35" s="51"/>
      <c r="D35" s="51"/>
      <c r="E35" s="51"/>
      <c r="F35" s="50"/>
      <c r="G35" s="50"/>
      <c r="H35" s="50"/>
      <c r="I35" s="50"/>
      <c r="J35" s="50"/>
      <c r="K35" s="50"/>
      <c r="L35" s="50"/>
      <c r="M35" s="50"/>
      <c r="N35" s="50"/>
      <c r="O35" s="50" t="s">
        <v>1218</v>
      </c>
      <c r="P35" s="3">
        <f ca="1">SUM(P6:P34)</f>
        <v>46865.6688656064</v>
      </c>
      <c r="Q35" s="3" t="s">
        <v>1219</v>
      </c>
      <c r="R35" s="3">
        <f ca="1">SUM(R6:R34)</f>
        <v>16903.5011368784</v>
      </c>
    </row>
    <row r="36" spans="1:18">
      <c r="A36" s="50"/>
      <c r="B36" s="50" t="s">
        <v>1221</v>
      </c>
      <c r="C36" s="51"/>
      <c r="D36" s="51"/>
      <c r="E36" s="51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3"/>
      <c r="Q36" s="3"/>
      <c r="R36" s="3"/>
    </row>
    <row r="37" spans="1:18">
      <c r="A37" s="50"/>
      <c r="B37" s="50"/>
      <c r="C37" s="51"/>
      <c r="D37" s="51"/>
      <c r="E37" s="51"/>
      <c r="F37" s="50"/>
      <c r="G37" s="50"/>
      <c r="H37" s="50"/>
      <c r="I37" s="50"/>
      <c r="J37" s="50"/>
      <c r="K37" s="50"/>
      <c r="L37" s="50"/>
      <c r="M37" s="50"/>
      <c r="N37" s="50"/>
      <c r="O37" s="50" t="s">
        <v>1377</v>
      </c>
      <c r="P37" s="3">
        <f ca="1">P35+R35</f>
        <v>63769.1700024848</v>
      </c>
      <c r="Q37" s="3"/>
      <c r="R37" s="3"/>
    </row>
    <row r="38" spans="1:18">
      <c r="A38" s="50"/>
      <c r="B38" s="52"/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0"/>
      <c r="O38" s="50" t="s">
        <v>14</v>
      </c>
      <c r="P38" s="3">
        <f ca="1">P37/E2</f>
        <v>255.076680009939</v>
      </c>
      <c r="Q38" s="3"/>
      <c r="R38" s="3"/>
    </row>
  </sheetData>
  <mergeCells count="11">
    <mergeCell ref="A1:N1"/>
    <mergeCell ref="A2:C2"/>
    <mergeCell ref="F2:N2"/>
    <mergeCell ref="A3:B3"/>
    <mergeCell ref="H3:N3"/>
    <mergeCell ref="G4:H4"/>
    <mergeCell ref="I4:M4"/>
    <mergeCell ref="A6:A19"/>
    <mergeCell ref="A20:A27"/>
    <mergeCell ref="A28:A30"/>
    <mergeCell ref="A31:A34"/>
  </mergeCells>
  <dataValidations count="3">
    <dataValidation type="list" allowBlank="1" showInputMessage="1" showErrorMessage="1" sqref="B28">
      <formula1>"顶布[白]{全新},顶布[白]{A类},顶布[白]{B类},顶布[白]{C类},顶布[白]{D类}"</formula1>
    </dataValidation>
    <dataValidation type="list" allowBlank="1" showInputMessage="1" showErrorMessage="1" sqref="B29">
      <formula1>"山尖布[白]{全新},山尖布[白]{A类},山尖布[白]{B类},山尖布[白]{C类},山尖布[白]{D类}"</formula1>
    </dataValidation>
    <dataValidation type="list" allowBlank="1" showInputMessage="1" showErrorMessage="1" sqref="B30">
      <formula1>"围布[白]{全新},围布[白]{A类},围布[白]{B类},围布[白]{C类},围布[白]{D类},透光窗围布[白]{全新},透光窗围布[白]{A类},透光窗围布[白]{B类},透光窗围布[白]{C类},透光窗围布[白]{D类}"</formula1>
    </dataValidation>
  </dataValidations>
  <pageMargins left="0.75" right="0.75" top="1" bottom="1" header="0.509027777777778" footer="0.509027777777778"/>
  <headerFooter/>
</worksheet>
</file>

<file path=xl/worksheets/sheet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FF0000"/>
  </sheetPr>
  <dimension ref="A1:R38"/>
  <sheetViews>
    <sheetView showGridLines="0" workbookViewId="0">
      <selection activeCell="F13" sqref="F13"/>
    </sheetView>
  </sheetViews>
  <sheetFormatPr defaultColWidth="9" defaultRowHeight="14.25"/>
  <cols>
    <col min="1" max="1" width="2.75" style="1" customWidth="1"/>
    <col min="2" max="2" width="16.75" style="1" customWidth="1"/>
    <col min="3" max="5" width="9" style="1"/>
    <col min="6" max="13" width="9" style="1" customWidth="1"/>
    <col min="14" max="14" width="56.875" style="1" customWidth="1"/>
    <col min="15" max="15" width="9" style="1"/>
    <col min="16" max="16" width="14.25" style="1" customWidth="1"/>
    <col min="17" max="17" width="9" style="1"/>
    <col min="18" max="18" width="13.75" style="1" customWidth="1"/>
    <col min="19" max="16384" width="9" style="1"/>
  </cols>
  <sheetData>
    <row r="1" ht="18.75" spans="1:18">
      <c r="A1" s="72" t="s">
        <v>1538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161"/>
      <c r="P1" s="3"/>
      <c r="Q1" s="3"/>
      <c r="R1" s="3"/>
    </row>
    <row r="2" spans="1:18">
      <c r="A2" s="141" t="s">
        <v>1246</v>
      </c>
      <c r="B2" s="142"/>
      <c r="C2" s="142"/>
      <c r="D2" s="9" t="s">
        <v>1198</v>
      </c>
      <c r="E2" s="10">
        <f>A3*5*25</f>
        <v>250</v>
      </c>
      <c r="F2" s="11"/>
      <c r="G2" s="11"/>
      <c r="H2" s="11"/>
      <c r="I2" s="11"/>
      <c r="J2" s="11"/>
      <c r="K2" s="11"/>
      <c r="L2" s="11"/>
      <c r="M2" s="11"/>
      <c r="N2" s="11"/>
      <c r="O2" s="162"/>
      <c r="P2" s="3"/>
      <c r="Q2" s="55"/>
      <c r="R2" s="55"/>
    </row>
    <row r="3" spans="1:18">
      <c r="A3" s="12">
        <v>2</v>
      </c>
      <c r="B3" s="12"/>
      <c r="C3" s="9" t="s">
        <v>1247</v>
      </c>
      <c r="D3" s="13">
        <v>3</v>
      </c>
      <c r="E3" s="11" t="s">
        <v>1248</v>
      </c>
      <c r="F3" s="12">
        <v>2</v>
      </c>
      <c r="G3" s="11" t="s">
        <v>1249</v>
      </c>
      <c r="H3" s="12"/>
      <c r="I3" s="12"/>
      <c r="J3" s="12"/>
      <c r="K3" s="12"/>
      <c r="L3" s="12"/>
      <c r="M3" s="12"/>
      <c r="N3" s="12"/>
      <c r="O3" s="162"/>
      <c r="P3" s="3"/>
      <c r="Q3" s="55"/>
      <c r="R3" s="55"/>
    </row>
    <row r="4" spans="1:18">
      <c r="A4" s="143"/>
      <c r="B4" s="144"/>
      <c r="C4" s="144"/>
      <c r="D4" s="144"/>
      <c r="E4" s="144"/>
      <c r="F4" s="145"/>
      <c r="G4" s="11" t="s">
        <v>1345</v>
      </c>
      <c r="H4" s="11"/>
      <c r="I4" s="9" t="s">
        <v>1346</v>
      </c>
      <c r="J4" s="9"/>
      <c r="K4" s="9"/>
      <c r="L4" s="9"/>
      <c r="M4" s="9"/>
      <c r="N4" s="12"/>
      <c r="O4" s="162"/>
      <c r="P4" s="3"/>
      <c r="Q4" s="55"/>
      <c r="R4" s="55"/>
    </row>
    <row r="5" ht="24" spans="1:18">
      <c r="A5" s="146" t="s">
        <v>1200</v>
      </c>
      <c r="B5" s="146" t="s">
        <v>1201</v>
      </c>
      <c r="C5" s="146" t="s">
        <v>1250</v>
      </c>
      <c r="D5" s="146" t="s">
        <v>22</v>
      </c>
      <c r="E5" s="147" t="s">
        <v>1251</v>
      </c>
      <c r="F5" s="75" t="s">
        <v>1204</v>
      </c>
      <c r="G5" s="19" t="s">
        <v>1205</v>
      </c>
      <c r="H5" s="17" t="s">
        <v>1253</v>
      </c>
      <c r="I5" s="17" t="s">
        <v>1254</v>
      </c>
      <c r="J5" s="17" t="s">
        <v>1255</v>
      </c>
      <c r="K5" s="17" t="s">
        <v>1209</v>
      </c>
      <c r="L5" s="17" t="s">
        <v>1420</v>
      </c>
      <c r="M5" s="17" t="s">
        <v>1211</v>
      </c>
      <c r="N5" s="163" t="s">
        <v>1257</v>
      </c>
      <c r="O5" s="164" t="s">
        <v>1212</v>
      </c>
      <c r="P5" s="165" t="s">
        <v>1213</v>
      </c>
      <c r="Q5" s="165" t="s">
        <v>1214</v>
      </c>
      <c r="R5" s="75" t="s">
        <v>1213</v>
      </c>
    </row>
    <row r="6" ht="12" customHeight="1" spans="1:18">
      <c r="A6" s="20" t="s">
        <v>1215</v>
      </c>
      <c r="B6" s="91" t="s">
        <v>1224</v>
      </c>
      <c r="C6" s="23"/>
      <c r="D6" s="23" t="s">
        <v>28</v>
      </c>
      <c r="E6" s="24">
        <f>D3*2</f>
        <v>6</v>
      </c>
      <c r="F6" s="93">
        <f ca="1">I6+J6+K6+L6+M6</f>
        <v>1809.407519792</v>
      </c>
      <c r="G6" s="94">
        <v>5.58</v>
      </c>
      <c r="H6" s="94">
        <v>8.233</v>
      </c>
      <c r="I6" s="93">
        <f ca="1">G6*H6*'25米（人字203料）参数 '!G3*1.1</f>
        <v>1144.497519792</v>
      </c>
      <c r="J6" s="93">
        <f ca="1">48.55*2</f>
        <v>97.1</v>
      </c>
      <c r="K6" s="93">
        <f ca="1">500+45.91</f>
        <v>545.91</v>
      </c>
      <c r="L6" s="93">
        <f>2.55*4</f>
        <v>10.2</v>
      </c>
      <c r="M6" s="93">
        <f>18*0.65</f>
        <v>11.7</v>
      </c>
      <c r="N6" s="166" t="s">
        <v>1502</v>
      </c>
      <c r="O6" s="167">
        <v>4</v>
      </c>
      <c r="P6" s="67">
        <f ca="1" t="shared" ref="P6:P34" si="0">F6*O6</f>
        <v>7237.630079168</v>
      </c>
      <c r="Q6" s="67">
        <f t="shared" ref="Q6:Q34" si="1">E6-O6</f>
        <v>2</v>
      </c>
      <c r="R6" s="67">
        <f ca="1" t="shared" ref="R6:R34" si="2">F6*Q6</f>
        <v>3618.815039584</v>
      </c>
    </row>
    <row r="7" ht="12" customHeight="1" spans="1:18">
      <c r="A7" s="20"/>
      <c r="B7" s="91" t="s">
        <v>1308</v>
      </c>
      <c r="C7" s="23"/>
      <c r="D7" s="23" t="s">
        <v>28</v>
      </c>
      <c r="E7" s="24">
        <f>F3*2</f>
        <v>4</v>
      </c>
      <c r="F7" s="101">
        <f ca="1">G7+H7+I7+J7+K7+L7+M7</f>
        <v>1037.48488</v>
      </c>
      <c r="G7" s="148">
        <v>7</v>
      </c>
      <c r="H7" s="148">
        <v>5.3</v>
      </c>
      <c r="I7" s="101">
        <f ca="1">G7*H7*'25米（人字203料）参数 '!G3*1.1</f>
        <v>924.26488</v>
      </c>
      <c r="J7" s="101"/>
      <c r="K7" s="101">
        <f ca="1">49.51+41.21</f>
        <v>90.72</v>
      </c>
      <c r="L7" s="101">
        <f>2.55*4</f>
        <v>10.2</v>
      </c>
      <c r="M7" s="101"/>
      <c r="N7" s="166" t="s">
        <v>1427</v>
      </c>
      <c r="O7" s="167">
        <v>4</v>
      </c>
      <c r="P7" s="67">
        <f ca="1" t="shared" si="0"/>
        <v>4149.93952</v>
      </c>
      <c r="Q7" s="67">
        <f t="shared" si="1"/>
        <v>0</v>
      </c>
      <c r="R7" s="67">
        <f ca="1" t="shared" si="2"/>
        <v>0</v>
      </c>
    </row>
    <row r="8" ht="12" customHeight="1" spans="1:18">
      <c r="A8" s="20"/>
      <c r="B8" s="91" t="s">
        <v>1435</v>
      </c>
      <c r="C8" s="23"/>
      <c r="D8" s="23" t="s">
        <v>28</v>
      </c>
      <c r="E8" s="24">
        <f>F3*2</f>
        <v>4</v>
      </c>
      <c r="F8" s="101">
        <f ca="1">G8+H8+I8+J8+K8+L8+M8</f>
        <v>1197.130288</v>
      </c>
      <c r="G8" s="148">
        <v>8.2</v>
      </c>
      <c r="H8" s="148">
        <v>5.3</v>
      </c>
      <c r="I8" s="101">
        <f ca="1">G8*H8*'25米（人字203料）参数 '!G3*1.1</f>
        <v>1082.710288</v>
      </c>
      <c r="J8" s="101"/>
      <c r="K8" s="101">
        <f ca="1">49.51+41.21</f>
        <v>90.72</v>
      </c>
      <c r="L8" s="101">
        <f>2.55*4</f>
        <v>10.2</v>
      </c>
      <c r="M8" s="101"/>
      <c r="N8" s="166" t="s">
        <v>1490</v>
      </c>
      <c r="O8" s="167">
        <v>4</v>
      </c>
      <c r="P8" s="67">
        <f ca="1" t="shared" si="0"/>
        <v>4788.521152</v>
      </c>
      <c r="Q8" s="67">
        <f t="shared" si="1"/>
        <v>0</v>
      </c>
      <c r="R8" s="67">
        <f ca="1" t="shared" si="2"/>
        <v>0</v>
      </c>
    </row>
    <row r="9" ht="12" customHeight="1" spans="1:18">
      <c r="A9" s="20"/>
      <c r="B9" s="91" t="s">
        <v>1350</v>
      </c>
      <c r="C9" s="23"/>
      <c r="D9" s="23" t="s">
        <v>28</v>
      </c>
      <c r="E9" s="24">
        <f>D3*2</f>
        <v>6</v>
      </c>
      <c r="F9" s="61">
        <f ca="1">I9+J9+K9+L9+M9</f>
        <v>2337.04932288</v>
      </c>
      <c r="G9" s="95">
        <v>11.2</v>
      </c>
      <c r="H9" s="95">
        <v>8.233</v>
      </c>
      <c r="I9" s="61">
        <f ca="1">G9*H9*'25米（人字203料）参数 '!G3*1.1</f>
        <v>2297.19932288</v>
      </c>
      <c r="J9" s="61">
        <f ca="1">2.5*8</f>
        <v>20</v>
      </c>
      <c r="K9" s="61">
        <v>11.85</v>
      </c>
      <c r="L9" s="61">
        <f>1*8</f>
        <v>8</v>
      </c>
      <c r="M9" s="61"/>
      <c r="N9" s="116" t="s">
        <v>1506</v>
      </c>
      <c r="O9" s="167">
        <v>4</v>
      </c>
      <c r="P9" s="67">
        <f ca="1" t="shared" si="0"/>
        <v>9348.19729152</v>
      </c>
      <c r="Q9" s="67">
        <f t="shared" si="1"/>
        <v>2</v>
      </c>
      <c r="R9" s="67">
        <f ca="1" t="shared" si="2"/>
        <v>4674.09864576</v>
      </c>
    </row>
    <row r="10" ht="12" customHeight="1" spans="1:18">
      <c r="A10" s="20"/>
      <c r="B10" s="91" t="s">
        <v>1531</v>
      </c>
      <c r="C10" s="23"/>
      <c r="D10" s="23" t="s">
        <v>28</v>
      </c>
      <c r="E10" s="24">
        <f>D3*2</f>
        <v>6</v>
      </c>
      <c r="F10" s="61">
        <f ca="1">I10+J10+K10+L10+M10</f>
        <v>1020.964729024</v>
      </c>
      <c r="G10" s="95">
        <v>3.76</v>
      </c>
      <c r="H10" s="95">
        <v>8.233</v>
      </c>
      <c r="I10" s="61">
        <f ca="1">G10*H10*'25米（人字203料）参数 '!G3*1.1</f>
        <v>771.202629824</v>
      </c>
      <c r="J10" s="61">
        <f ca="1">2.5*2</f>
        <v>5</v>
      </c>
      <c r="K10" s="61">
        <f ca="1">1.2*7.67*'25米（人字203料）参数 '!G4*1.1</f>
        <v>234.5620992</v>
      </c>
      <c r="L10" s="61">
        <f>4*2.55</f>
        <v>10.2</v>
      </c>
      <c r="M10" s="61"/>
      <c r="N10" s="168" t="s">
        <v>1532</v>
      </c>
      <c r="O10" s="167">
        <v>4</v>
      </c>
      <c r="P10" s="67">
        <f ca="1" t="shared" si="0"/>
        <v>4083.858916096</v>
      </c>
      <c r="Q10" s="67">
        <f t="shared" si="1"/>
        <v>2</v>
      </c>
      <c r="R10" s="67">
        <f ca="1" t="shared" si="2"/>
        <v>2041.929458048</v>
      </c>
    </row>
    <row r="11" ht="12" customHeight="1" spans="1:18">
      <c r="A11" s="20"/>
      <c r="B11" s="91" t="s">
        <v>1226</v>
      </c>
      <c r="C11" s="23"/>
      <c r="D11" s="23" t="s">
        <v>28</v>
      </c>
      <c r="E11" s="24">
        <f>A3*8</f>
        <v>16</v>
      </c>
      <c r="F11" s="101">
        <f ca="1">I11+J11+K11+L11+M11</f>
        <v>195.0929650432</v>
      </c>
      <c r="G11" s="148">
        <v>4.882</v>
      </c>
      <c r="H11" s="148">
        <v>1.552</v>
      </c>
      <c r="I11" s="101">
        <f ca="1">G11*H11*'25米（人字203料）参数 '!G5*1.1</f>
        <v>180.0929650432</v>
      </c>
      <c r="J11" s="101"/>
      <c r="K11" s="101"/>
      <c r="L11" s="101">
        <f>0.5*4</f>
        <v>2</v>
      </c>
      <c r="M11" s="101">
        <f>6.5*2</f>
        <v>13</v>
      </c>
      <c r="N11" s="120" t="s">
        <v>1352</v>
      </c>
      <c r="O11" s="169">
        <v>8</v>
      </c>
      <c r="P11" s="67">
        <f ca="1" t="shared" si="0"/>
        <v>1560.7437203456</v>
      </c>
      <c r="Q11" s="67">
        <f t="shared" si="1"/>
        <v>8</v>
      </c>
      <c r="R11" s="67">
        <f ca="1" t="shared" si="2"/>
        <v>1560.7437203456</v>
      </c>
    </row>
    <row r="12" ht="12" customHeight="1" spans="1:18">
      <c r="A12" s="20"/>
      <c r="B12" s="91" t="s">
        <v>1264</v>
      </c>
      <c r="C12" s="23"/>
      <c r="D12" s="23" t="s">
        <v>28</v>
      </c>
      <c r="E12" s="24">
        <f>A3*3+F3*3</f>
        <v>12</v>
      </c>
      <c r="F12" s="101">
        <f ca="1">I12+J12+K12+L12+M12</f>
        <v>336.5448493136</v>
      </c>
      <c r="G12" s="148">
        <v>4.882</v>
      </c>
      <c r="H12" s="148">
        <v>2.771</v>
      </c>
      <c r="I12" s="101">
        <f ca="1">G12*H12*'25米（人字203料）参数 '!G5*1.1</f>
        <v>321.5448493136</v>
      </c>
      <c r="J12" s="101"/>
      <c r="K12" s="101"/>
      <c r="L12" s="101">
        <f>0.5*4</f>
        <v>2</v>
      </c>
      <c r="M12" s="101">
        <f>6.5*2</f>
        <v>13</v>
      </c>
      <c r="N12" s="120" t="s">
        <v>1353</v>
      </c>
      <c r="O12" s="169">
        <v>9</v>
      </c>
      <c r="P12" s="67">
        <f ca="1" t="shared" si="0"/>
        <v>3028.9036438224</v>
      </c>
      <c r="Q12" s="67">
        <f t="shared" si="1"/>
        <v>3</v>
      </c>
      <c r="R12" s="67">
        <f ca="1" t="shared" si="2"/>
        <v>1009.6345479408</v>
      </c>
    </row>
    <row r="13" ht="12" customHeight="1" spans="1:18">
      <c r="A13" s="20"/>
      <c r="B13" s="91" t="s">
        <v>1266</v>
      </c>
      <c r="C13" s="23"/>
      <c r="D13" s="23" t="s">
        <v>28</v>
      </c>
      <c r="E13" s="24">
        <f>A3*2+F3*5</f>
        <v>14</v>
      </c>
      <c r="F13" s="101">
        <f ca="1">'数据修改（批量）'!A28</f>
        <v>95</v>
      </c>
      <c r="G13" s="148">
        <v>4.86</v>
      </c>
      <c r="H13" s="148">
        <v>1.345</v>
      </c>
      <c r="I13" s="101">
        <f ca="1">G13*H13*'25米（人字203料）参数 '!G5*1.1</f>
        <v>155.36951496</v>
      </c>
      <c r="J13" s="101"/>
      <c r="K13" s="101"/>
      <c r="L13" s="101"/>
      <c r="M13" s="101"/>
      <c r="N13" s="120" t="s">
        <v>1354</v>
      </c>
      <c r="O13" s="167">
        <v>12</v>
      </c>
      <c r="P13" s="67">
        <f ca="1" t="shared" si="0"/>
        <v>1140</v>
      </c>
      <c r="Q13" s="67">
        <f t="shared" si="1"/>
        <v>2</v>
      </c>
      <c r="R13" s="67">
        <f ca="1" t="shared" si="2"/>
        <v>190</v>
      </c>
    </row>
    <row r="14" ht="12" customHeight="1" spans="1:18">
      <c r="A14" s="20"/>
      <c r="B14" s="91" t="s">
        <v>1272</v>
      </c>
      <c r="C14" s="23"/>
      <c r="D14" s="23" t="s">
        <v>28</v>
      </c>
      <c r="E14" s="30">
        <v>5</v>
      </c>
      <c r="F14" s="101">
        <f>I14+J14+K14+L14+M14</f>
        <v>122.5</v>
      </c>
      <c r="G14" s="148"/>
      <c r="H14" s="148"/>
      <c r="I14" s="101">
        <v>108</v>
      </c>
      <c r="J14" s="101">
        <v>6.5</v>
      </c>
      <c r="K14" s="101">
        <v>4</v>
      </c>
      <c r="L14" s="101">
        <v>3</v>
      </c>
      <c r="M14" s="101">
        <v>1</v>
      </c>
      <c r="N14" s="120" t="s">
        <v>1523</v>
      </c>
      <c r="O14" s="167">
        <v>4</v>
      </c>
      <c r="P14" s="67">
        <f ca="1" t="shared" si="0"/>
        <v>490</v>
      </c>
      <c r="Q14" s="67">
        <f t="shared" si="1"/>
        <v>1</v>
      </c>
      <c r="R14" s="67">
        <f ca="1" t="shared" si="2"/>
        <v>122.5</v>
      </c>
    </row>
    <row r="15" ht="12" customHeight="1" spans="1:18">
      <c r="A15" s="20"/>
      <c r="B15" s="91" t="s">
        <v>1446</v>
      </c>
      <c r="C15" s="23"/>
      <c r="D15" s="23" t="s">
        <v>28</v>
      </c>
      <c r="E15" s="32">
        <f>D3-2</f>
        <v>1</v>
      </c>
      <c r="F15" s="101">
        <f>I15+J15+K15+L15+M15</f>
        <v>185</v>
      </c>
      <c r="G15" s="148"/>
      <c r="H15" s="148"/>
      <c r="I15" s="101">
        <v>130</v>
      </c>
      <c r="J15" s="101">
        <f>2*20</f>
        <v>40</v>
      </c>
      <c r="K15" s="101">
        <v>15</v>
      </c>
      <c r="L15" s="101"/>
      <c r="M15" s="101"/>
      <c r="N15" s="58" t="s">
        <v>1533</v>
      </c>
      <c r="O15" s="167">
        <v>0</v>
      </c>
      <c r="P15" s="67">
        <f ca="1" t="shared" si="0"/>
        <v>0</v>
      </c>
      <c r="Q15" s="67">
        <f t="shared" si="1"/>
        <v>1</v>
      </c>
      <c r="R15" s="67">
        <f ca="1" t="shared" si="2"/>
        <v>185</v>
      </c>
    </row>
    <row r="16" ht="12" customHeight="1" spans="1:18">
      <c r="A16" s="20"/>
      <c r="B16" s="91" t="s">
        <v>1448</v>
      </c>
      <c r="C16" s="23"/>
      <c r="D16" s="23" t="s">
        <v>28</v>
      </c>
      <c r="E16" s="32">
        <f>(D3-2)*2</f>
        <v>2</v>
      </c>
      <c r="F16" s="101">
        <f>I16+J16+K16+L16+M16</f>
        <v>145</v>
      </c>
      <c r="G16" s="148"/>
      <c r="H16" s="148"/>
      <c r="I16" s="101">
        <v>90</v>
      </c>
      <c r="J16" s="101">
        <v>40</v>
      </c>
      <c r="K16" s="101">
        <v>15</v>
      </c>
      <c r="L16" s="101"/>
      <c r="M16" s="101"/>
      <c r="N16" s="58" t="s">
        <v>1537</v>
      </c>
      <c r="O16" s="167">
        <v>0</v>
      </c>
      <c r="P16" s="67">
        <f ca="1" t="shared" si="0"/>
        <v>0</v>
      </c>
      <c r="Q16" s="67">
        <f t="shared" si="1"/>
        <v>2</v>
      </c>
      <c r="R16" s="67">
        <f ca="1" t="shared" si="2"/>
        <v>290</v>
      </c>
    </row>
    <row r="17" ht="12" customHeight="1" spans="1:18">
      <c r="A17" s="20"/>
      <c r="B17" s="91" t="s">
        <v>1356</v>
      </c>
      <c r="C17" s="23"/>
      <c r="D17" s="23" t="s">
        <v>28</v>
      </c>
      <c r="E17" s="24">
        <f>F3</f>
        <v>2</v>
      </c>
      <c r="F17" s="101">
        <f ca="1">I17+J17+K17+L17+M17</f>
        <v>90.133</v>
      </c>
      <c r="G17" s="148">
        <v>3.75</v>
      </c>
      <c r="H17" s="148">
        <v>1</v>
      </c>
      <c r="I17" s="101">
        <f ca="1">G17*H17*'25米（人字203料）参数 '!G5*1.1</f>
        <v>89.133</v>
      </c>
      <c r="J17" s="101"/>
      <c r="K17" s="101"/>
      <c r="L17" s="101">
        <f>0.5*2</f>
        <v>1</v>
      </c>
      <c r="M17" s="101"/>
      <c r="N17" s="170" t="s">
        <v>1357</v>
      </c>
      <c r="O17" s="167">
        <v>2</v>
      </c>
      <c r="P17" s="67">
        <f ca="1" t="shared" si="0"/>
        <v>180.266</v>
      </c>
      <c r="Q17" s="67">
        <f t="shared" si="1"/>
        <v>0</v>
      </c>
      <c r="R17" s="67">
        <f ca="1" t="shared" si="2"/>
        <v>0</v>
      </c>
    </row>
    <row r="18" ht="12" customHeight="1" spans="1:18">
      <c r="A18" s="20"/>
      <c r="B18" s="91" t="s">
        <v>1276</v>
      </c>
      <c r="C18" s="23"/>
      <c r="D18" s="23" t="s">
        <v>28</v>
      </c>
      <c r="E18" s="28">
        <f>F3*2</f>
        <v>4</v>
      </c>
      <c r="F18" s="101">
        <f ca="1">I18+J18+K18+L18+M18</f>
        <v>348.2448493136</v>
      </c>
      <c r="G18" s="95">
        <v>4.882</v>
      </c>
      <c r="H18" s="95">
        <v>2.771</v>
      </c>
      <c r="I18" s="61">
        <f ca="1">G18*H18*'25米（人字203料）参数 '!G5*1.1</f>
        <v>321.5448493136</v>
      </c>
      <c r="J18" s="61"/>
      <c r="K18" s="61">
        <v>15</v>
      </c>
      <c r="L18" s="61">
        <f>8*0.65</f>
        <v>5.2</v>
      </c>
      <c r="M18" s="61">
        <v>6.5</v>
      </c>
      <c r="N18" s="120" t="s">
        <v>1358</v>
      </c>
      <c r="O18" s="167">
        <v>4</v>
      </c>
      <c r="P18" s="67">
        <f ca="1" t="shared" si="0"/>
        <v>1392.9793972544</v>
      </c>
      <c r="Q18" s="67">
        <f t="shared" si="1"/>
        <v>0</v>
      </c>
      <c r="R18" s="67">
        <f ca="1" t="shared" si="2"/>
        <v>0</v>
      </c>
    </row>
    <row r="19" ht="12" customHeight="1" spans="1:18">
      <c r="A19" s="31"/>
      <c r="B19" s="149" t="s">
        <v>1274</v>
      </c>
      <c r="C19" s="43"/>
      <c r="D19" s="43" t="s">
        <v>28</v>
      </c>
      <c r="E19" s="150">
        <f>A3*2+F3*5</f>
        <v>14</v>
      </c>
      <c r="F19" s="101">
        <f>(I19+J19+K19+L19+M19)</f>
        <v>20.4</v>
      </c>
      <c r="G19" s="151"/>
      <c r="H19" s="151"/>
      <c r="I19" s="39">
        <f>17*1.2</f>
        <v>20.4</v>
      </c>
      <c r="J19" s="39"/>
      <c r="K19" s="39"/>
      <c r="L19" s="39"/>
      <c r="M19" s="39"/>
      <c r="N19" s="171" t="s">
        <v>1359</v>
      </c>
      <c r="O19" s="167">
        <v>12</v>
      </c>
      <c r="P19" s="67">
        <f ca="1" t="shared" si="0"/>
        <v>244.8</v>
      </c>
      <c r="Q19" s="67">
        <f t="shared" si="1"/>
        <v>2</v>
      </c>
      <c r="R19" s="67">
        <f ca="1" t="shared" si="2"/>
        <v>40.8</v>
      </c>
    </row>
    <row r="20" ht="12" customHeight="1" spans="1:18">
      <c r="A20" s="20" t="s">
        <v>1278</v>
      </c>
      <c r="B20" s="91" t="s">
        <v>1304</v>
      </c>
      <c r="C20" s="23"/>
      <c r="D20" s="23" t="s">
        <v>434</v>
      </c>
      <c r="E20" s="24">
        <f>D3</f>
        <v>3</v>
      </c>
      <c r="F20" s="101">
        <v>180.62</v>
      </c>
      <c r="G20" s="151"/>
      <c r="H20" s="151"/>
      <c r="I20" s="39"/>
      <c r="J20" s="39"/>
      <c r="K20" s="39"/>
      <c r="L20" s="39"/>
      <c r="M20" s="39"/>
      <c r="N20" s="171" t="s">
        <v>1360</v>
      </c>
      <c r="O20" s="172">
        <v>2</v>
      </c>
      <c r="P20" s="67">
        <f ca="1" t="shared" si="0"/>
        <v>361.24</v>
      </c>
      <c r="Q20" s="67">
        <f t="shared" si="1"/>
        <v>1</v>
      </c>
      <c r="R20" s="67">
        <f ca="1" t="shared" si="2"/>
        <v>180.62</v>
      </c>
    </row>
    <row r="21" ht="12" customHeight="1" spans="1:18">
      <c r="A21" s="20"/>
      <c r="B21" s="91" t="s">
        <v>1310</v>
      </c>
      <c r="C21" s="23"/>
      <c r="D21" s="23" t="s">
        <v>434</v>
      </c>
      <c r="E21" s="24">
        <f>E7+E8</f>
        <v>8</v>
      </c>
      <c r="F21" s="101">
        <v>76.4</v>
      </c>
      <c r="G21" s="148"/>
      <c r="H21" s="148"/>
      <c r="I21" s="101"/>
      <c r="J21" s="101"/>
      <c r="K21" s="101"/>
      <c r="L21" s="101"/>
      <c r="M21" s="101"/>
      <c r="N21" s="120" t="s">
        <v>1361</v>
      </c>
      <c r="O21" s="167">
        <v>8</v>
      </c>
      <c r="P21" s="67">
        <f ca="1" t="shared" si="0"/>
        <v>611.2</v>
      </c>
      <c r="Q21" s="67">
        <f t="shared" si="1"/>
        <v>0</v>
      </c>
      <c r="R21" s="67">
        <f ca="1" t="shared" si="2"/>
        <v>0</v>
      </c>
    </row>
    <row r="22" ht="12" customHeight="1" spans="1:18">
      <c r="A22" s="20"/>
      <c r="B22" s="91" t="s">
        <v>1280</v>
      </c>
      <c r="C22" s="23"/>
      <c r="D22" s="23" t="s">
        <v>434</v>
      </c>
      <c r="E22" s="28">
        <f>E6</f>
        <v>6</v>
      </c>
      <c r="F22" s="61">
        <v>85.93</v>
      </c>
      <c r="G22" s="95"/>
      <c r="H22" s="95"/>
      <c r="I22" s="61"/>
      <c r="J22" s="61"/>
      <c r="K22" s="61"/>
      <c r="L22" s="61"/>
      <c r="M22" s="61"/>
      <c r="N22" s="173" t="s">
        <v>1361</v>
      </c>
      <c r="O22" s="167">
        <v>4</v>
      </c>
      <c r="P22" s="67">
        <f ca="1" t="shared" si="0"/>
        <v>343.72</v>
      </c>
      <c r="Q22" s="67">
        <f t="shared" si="1"/>
        <v>2</v>
      </c>
      <c r="R22" s="67">
        <f ca="1" t="shared" si="2"/>
        <v>171.86</v>
      </c>
    </row>
    <row r="23" ht="12" customHeight="1" spans="1:18">
      <c r="A23" s="20"/>
      <c r="B23" s="91" t="s">
        <v>1339</v>
      </c>
      <c r="C23" s="23"/>
      <c r="D23" s="23" t="s">
        <v>28</v>
      </c>
      <c r="E23" s="32">
        <f>E14</f>
        <v>5</v>
      </c>
      <c r="F23" s="101">
        <v>91.3</v>
      </c>
      <c r="G23" s="148"/>
      <c r="H23" s="148"/>
      <c r="I23" s="101"/>
      <c r="J23" s="101"/>
      <c r="K23" s="101"/>
      <c r="L23" s="101"/>
      <c r="M23" s="101"/>
      <c r="N23" s="120" t="s">
        <v>1362</v>
      </c>
      <c r="O23" s="167">
        <v>4</v>
      </c>
      <c r="P23" s="67">
        <f ca="1" t="shared" si="0"/>
        <v>365.2</v>
      </c>
      <c r="Q23" s="67">
        <f t="shared" si="1"/>
        <v>1</v>
      </c>
      <c r="R23" s="67">
        <f ca="1" t="shared" si="2"/>
        <v>91.3</v>
      </c>
    </row>
    <row r="24" ht="12" customHeight="1" spans="1:18">
      <c r="A24" s="20"/>
      <c r="B24" s="91" t="s">
        <v>1282</v>
      </c>
      <c r="C24" s="23"/>
      <c r="D24" s="23" t="s">
        <v>434</v>
      </c>
      <c r="E24" s="24">
        <f>D3*2+F3*2</f>
        <v>10</v>
      </c>
      <c r="F24" s="101">
        <v>4.45</v>
      </c>
      <c r="G24" s="148"/>
      <c r="H24" s="148"/>
      <c r="I24" s="101"/>
      <c r="J24" s="101"/>
      <c r="K24" s="101"/>
      <c r="L24" s="101"/>
      <c r="M24" s="101"/>
      <c r="N24" s="120" t="s">
        <v>1363</v>
      </c>
      <c r="O24" s="167">
        <v>8</v>
      </c>
      <c r="P24" s="67">
        <f ca="1" t="shared" si="0"/>
        <v>35.6</v>
      </c>
      <c r="Q24" s="67">
        <f t="shared" si="1"/>
        <v>2</v>
      </c>
      <c r="R24" s="67">
        <f ca="1" t="shared" si="2"/>
        <v>8.9</v>
      </c>
    </row>
    <row r="25" ht="12" customHeight="1" spans="1:18">
      <c r="A25" s="20"/>
      <c r="B25" s="91" t="s">
        <v>1284</v>
      </c>
      <c r="C25" s="23"/>
      <c r="D25" s="23" t="s">
        <v>434</v>
      </c>
      <c r="E25" s="24">
        <f>D3*2</f>
        <v>6</v>
      </c>
      <c r="F25" s="101">
        <v>6.51</v>
      </c>
      <c r="G25" s="148"/>
      <c r="H25" s="148"/>
      <c r="I25" s="101"/>
      <c r="J25" s="101"/>
      <c r="K25" s="101"/>
      <c r="L25" s="101"/>
      <c r="M25" s="101"/>
      <c r="N25" s="120" t="s">
        <v>1364</v>
      </c>
      <c r="O25" s="167">
        <v>4</v>
      </c>
      <c r="P25" s="67">
        <f ca="1" t="shared" si="0"/>
        <v>26.04</v>
      </c>
      <c r="Q25" s="67">
        <f t="shared" si="1"/>
        <v>2</v>
      </c>
      <c r="R25" s="67">
        <f ca="1" t="shared" si="2"/>
        <v>13.02</v>
      </c>
    </row>
    <row r="26" ht="12" customHeight="1" spans="1:18">
      <c r="A26" s="20"/>
      <c r="B26" s="91" t="s">
        <v>519</v>
      </c>
      <c r="C26" s="23"/>
      <c r="D26" s="23" t="s">
        <v>434</v>
      </c>
      <c r="E26" s="24">
        <f>F3*2</f>
        <v>4</v>
      </c>
      <c r="F26" s="101">
        <v>13</v>
      </c>
      <c r="G26" s="151"/>
      <c r="H26" s="151"/>
      <c r="I26" s="39"/>
      <c r="J26" s="39"/>
      <c r="K26" s="39"/>
      <c r="L26" s="39"/>
      <c r="M26" s="39"/>
      <c r="N26" s="120" t="s">
        <v>1365</v>
      </c>
      <c r="O26" s="167">
        <v>4</v>
      </c>
      <c r="P26" s="67">
        <f ca="1" t="shared" si="0"/>
        <v>52</v>
      </c>
      <c r="Q26" s="67">
        <f t="shared" si="1"/>
        <v>0</v>
      </c>
      <c r="R26" s="67">
        <f ca="1" t="shared" si="2"/>
        <v>0</v>
      </c>
    </row>
    <row r="27" ht="12" customHeight="1" spans="1:18">
      <c r="A27" s="31"/>
      <c r="B27" s="152" t="s">
        <v>551</v>
      </c>
      <c r="C27" s="43"/>
      <c r="D27" s="43" t="s">
        <v>434</v>
      </c>
      <c r="E27" s="150">
        <f>F3*2</f>
        <v>4</v>
      </c>
      <c r="F27" s="41">
        <v>15.5</v>
      </c>
      <c r="G27" s="99"/>
      <c r="H27" s="99"/>
      <c r="I27" s="41"/>
      <c r="J27" s="41"/>
      <c r="K27" s="41"/>
      <c r="L27" s="41"/>
      <c r="M27" s="41"/>
      <c r="N27" s="173" t="s">
        <v>1361</v>
      </c>
      <c r="O27" s="174">
        <v>4</v>
      </c>
      <c r="P27" s="67">
        <f ca="1" t="shared" si="0"/>
        <v>62</v>
      </c>
      <c r="Q27" s="67">
        <f t="shared" si="1"/>
        <v>0</v>
      </c>
      <c r="R27" s="67">
        <f ca="1" t="shared" si="2"/>
        <v>0</v>
      </c>
    </row>
    <row r="28" ht="12" customHeight="1" spans="1:18">
      <c r="A28" s="153" t="s">
        <v>1216</v>
      </c>
      <c r="B28" s="91" t="s">
        <v>1366</v>
      </c>
      <c r="C28" s="23"/>
      <c r="D28" s="23" t="s">
        <v>612</v>
      </c>
      <c r="E28" s="24">
        <f>A3</f>
        <v>2</v>
      </c>
      <c r="F28" s="122">
        <f ca="1">(I28+J28)*1.1+30</f>
        <v>3148.50165</v>
      </c>
      <c r="G28" s="99">
        <v>27.81</v>
      </c>
      <c r="H28" s="99">
        <v>5</v>
      </c>
      <c r="I28" s="41">
        <f ca="1">G28*H28*'25米（人字203料）参数 '!E15*1.1</f>
        <v>2646.1215</v>
      </c>
      <c r="J28" s="41">
        <f>23.61*2*4</f>
        <v>188.88</v>
      </c>
      <c r="K28" s="41">
        <v>30</v>
      </c>
      <c r="L28" s="41"/>
      <c r="M28" s="41"/>
      <c r="N28" s="167" t="s">
        <v>1534</v>
      </c>
      <c r="O28" s="175">
        <v>1</v>
      </c>
      <c r="P28" s="67">
        <f ca="1" t="shared" si="0"/>
        <v>3148.50165</v>
      </c>
      <c r="Q28" s="67">
        <f t="shared" si="1"/>
        <v>1</v>
      </c>
      <c r="R28" s="67">
        <f ca="1" t="shared" si="2"/>
        <v>3148.50165</v>
      </c>
    </row>
    <row r="29" ht="12" customHeight="1" spans="1:18">
      <c r="A29" s="153"/>
      <c r="B29" s="91" t="s">
        <v>1368</v>
      </c>
      <c r="C29" s="23"/>
      <c r="D29" s="23" t="s">
        <v>664</v>
      </c>
      <c r="E29" s="24">
        <f>F3</f>
        <v>2</v>
      </c>
      <c r="F29" s="122">
        <f ca="1">(I29+J29)*1.1+15</f>
        <v>1177.2025525</v>
      </c>
      <c r="G29" s="148">
        <v>12.75</v>
      </c>
      <c r="H29" s="154">
        <v>4.57</v>
      </c>
      <c r="I29" s="101">
        <f ca="1">G29*H29*'25米（人字203料）参数 '!E14*1.1</f>
        <v>916.547775</v>
      </c>
      <c r="J29" s="101">
        <f>17.5*2*4</f>
        <v>140</v>
      </c>
      <c r="K29" s="101">
        <v>15</v>
      </c>
      <c r="L29" s="101"/>
      <c r="M29" s="101"/>
      <c r="N29" s="51" t="s">
        <v>1535</v>
      </c>
      <c r="O29" s="167">
        <v>2</v>
      </c>
      <c r="P29" s="67">
        <f ca="1" t="shared" si="0"/>
        <v>2354.405105</v>
      </c>
      <c r="Q29" s="67">
        <f t="shared" si="1"/>
        <v>0</v>
      </c>
      <c r="R29" s="67">
        <f ca="1" t="shared" si="2"/>
        <v>0</v>
      </c>
    </row>
    <row r="30" ht="12" customHeight="1" spans="1:18">
      <c r="A30" s="155"/>
      <c r="B30" s="91" t="s">
        <v>1370</v>
      </c>
      <c r="C30" s="23"/>
      <c r="D30" s="23" t="s">
        <v>664</v>
      </c>
      <c r="E30" s="24">
        <f>A3*2+F3*5</f>
        <v>14</v>
      </c>
      <c r="F30" s="122">
        <f ca="1">I30+J30+K30+L30+M30</f>
        <v>548.08212</v>
      </c>
      <c r="G30" s="156">
        <v>5.2</v>
      </c>
      <c r="H30" s="157">
        <v>5.97</v>
      </c>
      <c r="I30" s="101">
        <f ca="1">G30*H30*'25米（人字203料）参数 '!E14*1.1+15</f>
        <v>503.32212</v>
      </c>
      <c r="J30" s="71">
        <f>4*2*2</f>
        <v>16</v>
      </c>
      <c r="K30" s="71">
        <f>0.5*10</f>
        <v>5</v>
      </c>
      <c r="L30" s="71">
        <f>0.32*18</f>
        <v>5.76</v>
      </c>
      <c r="M30" s="71">
        <f>18*1</f>
        <v>18</v>
      </c>
      <c r="N30" s="120" t="s">
        <v>1371</v>
      </c>
      <c r="O30" s="169">
        <v>12</v>
      </c>
      <c r="P30" s="67">
        <f ca="1" t="shared" si="0"/>
        <v>6576.98544</v>
      </c>
      <c r="Q30" s="67">
        <f t="shared" si="1"/>
        <v>2</v>
      </c>
      <c r="R30" s="67">
        <f ca="1" t="shared" si="2"/>
        <v>1096.16424</v>
      </c>
    </row>
    <row r="31" ht="12" customHeight="1" spans="1:18">
      <c r="A31" s="20" t="s">
        <v>1235</v>
      </c>
      <c r="B31" s="158" t="s">
        <v>589</v>
      </c>
      <c r="C31" s="23"/>
      <c r="D31" s="23" t="s">
        <v>434</v>
      </c>
      <c r="E31" s="24">
        <f>D3*10+F3*2+E23*2</f>
        <v>44</v>
      </c>
      <c r="F31" s="101">
        <v>2.15</v>
      </c>
      <c r="G31" s="154"/>
      <c r="H31" s="154"/>
      <c r="I31" s="101"/>
      <c r="J31" s="101"/>
      <c r="K31" s="101"/>
      <c r="L31" s="101"/>
      <c r="M31" s="101"/>
      <c r="N31" s="120" t="s">
        <v>1372</v>
      </c>
      <c r="O31" s="167">
        <v>34</v>
      </c>
      <c r="P31" s="67">
        <f ca="1" t="shared" si="0"/>
        <v>73.1</v>
      </c>
      <c r="Q31" s="67">
        <f t="shared" si="1"/>
        <v>10</v>
      </c>
      <c r="R31" s="67">
        <f ca="1" t="shared" si="2"/>
        <v>21.5</v>
      </c>
    </row>
    <row r="32" ht="12" customHeight="1" spans="1:18">
      <c r="A32" s="20"/>
      <c r="B32" s="109" t="s">
        <v>591</v>
      </c>
      <c r="C32" s="23"/>
      <c r="D32" s="23" t="s">
        <v>434</v>
      </c>
      <c r="E32" s="24">
        <f>D3*2+E23+E14</f>
        <v>16</v>
      </c>
      <c r="F32" s="101">
        <v>2.55</v>
      </c>
      <c r="G32" s="154"/>
      <c r="H32" s="154"/>
      <c r="I32" s="101"/>
      <c r="J32" s="101"/>
      <c r="K32" s="101"/>
      <c r="L32" s="101"/>
      <c r="M32" s="101"/>
      <c r="N32" s="120" t="s">
        <v>1373</v>
      </c>
      <c r="O32" s="172">
        <v>14</v>
      </c>
      <c r="P32" s="67">
        <f ca="1" t="shared" si="0"/>
        <v>35.7</v>
      </c>
      <c r="Q32" s="67">
        <f t="shared" si="1"/>
        <v>2</v>
      </c>
      <c r="R32" s="67">
        <f ca="1" t="shared" si="2"/>
        <v>5.1</v>
      </c>
    </row>
    <row r="33" ht="12" customHeight="1" spans="1:18">
      <c r="A33" s="20"/>
      <c r="B33" s="159" t="s">
        <v>1423</v>
      </c>
      <c r="C33" s="43"/>
      <c r="D33" s="43" t="s">
        <v>434</v>
      </c>
      <c r="E33" s="44">
        <f>D3*2+4</f>
        <v>10</v>
      </c>
      <c r="F33" s="39">
        <v>1.95</v>
      </c>
      <c r="G33" s="160"/>
      <c r="H33" s="160"/>
      <c r="I33" s="39"/>
      <c r="J33" s="39"/>
      <c r="K33" s="39"/>
      <c r="L33" s="39"/>
      <c r="M33" s="39"/>
      <c r="N33" s="120" t="s">
        <v>1375</v>
      </c>
      <c r="O33" s="167">
        <v>8</v>
      </c>
      <c r="P33" s="67">
        <f ca="1" t="shared" si="0"/>
        <v>15.6</v>
      </c>
      <c r="Q33" s="67">
        <f t="shared" si="1"/>
        <v>2</v>
      </c>
      <c r="R33" s="67">
        <f ca="1" t="shared" si="2"/>
        <v>3.9</v>
      </c>
    </row>
    <row r="34" ht="12" customHeight="1" spans="1:18">
      <c r="A34" s="20"/>
      <c r="B34" s="109" t="s">
        <v>554</v>
      </c>
      <c r="C34" s="23"/>
      <c r="D34" s="23" t="s">
        <v>555</v>
      </c>
      <c r="E34" s="28">
        <f>E21+E22+E14</f>
        <v>19</v>
      </c>
      <c r="F34" s="101">
        <v>1.46</v>
      </c>
      <c r="G34" s="154"/>
      <c r="H34" s="154"/>
      <c r="I34" s="101"/>
      <c r="J34" s="101"/>
      <c r="K34" s="101"/>
      <c r="L34" s="101"/>
      <c r="M34" s="101"/>
      <c r="N34" s="120" t="s">
        <v>1376</v>
      </c>
      <c r="O34" s="167">
        <v>17</v>
      </c>
      <c r="P34" s="67">
        <f ca="1" t="shared" si="0"/>
        <v>24.82</v>
      </c>
      <c r="Q34" s="67">
        <f t="shared" si="1"/>
        <v>2</v>
      </c>
      <c r="R34" s="67">
        <f ca="1" t="shared" si="2"/>
        <v>2.92</v>
      </c>
    </row>
    <row r="35" spans="1:18">
      <c r="A35" s="50"/>
      <c r="B35" s="50" t="s">
        <v>1424</v>
      </c>
      <c r="C35" s="51"/>
      <c r="D35" s="51"/>
      <c r="E35" s="51"/>
      <c r="F35" s="50"/>
      <c r="G35" s="50"/>
      <c r="H35" s="50"/>
      <c r="I35" s="50"/>
      <c r="J35" s="50"/>
      <c r="K35" s="50"/>
      <c r="L35" s="50"/>
      <c r="M35" s="50"/>
      <c r="N35" s="50"/>
      <c r="O35" s="84" t="s">
        <v>1218</v>
      </c>
      <c r="P35" s="3">
        <f ca="1">SUM(P6:P34)</f>
        <v>51731.9519152064</v>
      </c>
      <c r="Q35" s="3" t="s">
        <v>1219</v>
      </c>
      <c r="R35" s="3">
        <f ca="1">SUM(R6:R34)</f>
        <v>18477.3073016784</v>
      </c>
    </row>
    <row r="36" spans="1:18">
      <c r="A36" s="50"/>
      <c r="B36" s="50" t="s">
        <v>1221</v>
      </c>
      <c r="C36" s="51"/>
      <c r="D36" s="51"/>
      <c r="E36" s="51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3"/>
      <c r="Q36" s="3"/>
      <c r="R36" s="3"/>
    </row>
    <row r="37" spans="1:18">
      <c r="A37" s="50"/>
      <c r="B37" s="50"/>
      <c r="C37" s="51"/>
      <c r="D37" s="51"/>
      <c r="E37" s="51"/>
      <c r="F37" s="50"/>
      <c r="G37" s="50"/>
      <c r="H37" s="50"/>
      <c r="I37" s="50"/>
      <c r="J37" s="50"/>
      <c r="K37" s="50"/>
      <c r="L37" s="50"/>
      <c r="M37" s="50"/>
      <c r="N37" s="50"/>
      <c r="O37" s="50" t="s">
        <v>1377</v>
      </c>
      <c r="P37" s="3">
        <f ca="1">P35+R35</f>
        <v>70209.2592168848</v>
      </c>
      <c r="Q37" s="3"/>
      <c r="R37" s="3"/>
    </row>
    <row r="38" spans="1:18">
      <c r="A38" s="50"/>
      <c r="B38" s="52"/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0"/>
      <c r="O38" s="50" t="s">
        <v>14</v>
      </c>
      <c r="P38" s="3">
        <f ca="1">P37/E2</f>
        <v>280.837036867539</v>
      </c>
      <c r="Q38" s="3"/>
      <c r="R38" s="3"/>
    </row>
  </sheetData>
  <mergeCells count="12">
    <mergeCell ref="A1:N1"/>
    <mergeCell ref="A2:C2"/>
    <mergeCell ref="F2:N2"/>
    <mergeCell ref="A3:B3"/>
    <mergeCell ref="H3:N3"/>
    <mergeCell ref="A4:F4"/>
    <mergeCell ref="G4:H4"/>
    <mergeCell ref="I4:M4"/>
    <mergeCell ref="A6:A19"/>
    <mergeCell ref="A20:A27"/>
    <mergeCell ref="A28:A30"/>
    <mergeCell ref="A31:A34"/>
  </mergeCells>
  <dataValidations count="3">
    <dataValidation type="list" allowBlank="1" showInputMessage="1" showErrorMessage="1" sqref="B28">
      <formula1>"顶布[白]{全新},顶布[白]{A类},顶布[白]{B类},顶布[白]{C类},顶布[白]{D类}"</formula1>
    </dataValidation>
    <dataValidation type="list" allowBlank="1" showInputMessage="1" showErrorMessage="1" sqref="B29">
      <formula1>"山尖布[白]{全新},山尖布[白]{A类},山尖布[白]{B类},山尖布[白]{C类},山尖布[白]{D类}"</formula1>
    </dataValidation>
    <dataValidation type="list" allowBlank="1" showInputMessage="1" showErrorMessage="1" sqref="B30">
      <formula1>"围布[白]{全新},围布[白]{A类},围布[白]{B类},围布[白]{C类},围布[白]{D类},透光窗围布[白]{全新},透光窗围布[白]{A类},透光窗围布[白]{B类},透光窗围布[白]{C类},透光窗围布[白]{D类}"</formula1>
    </dataValidation>
  </dataValidations>
  <pageMargins left="0.75" right="0.75" top="1" bottom="1" header="0.509027777777778" footer="0.509027777777778"/>
  <headerFooter/>
</worksheet>
</file>

<file path=xl/worksheets/sheet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7030A0"/>
  </sheetPr>
  <dimension ref="A1:G21"/>
  <sheetViews>
    <sheetView showGridLines="0" workbookViewId="0">
      <selection activeCell="E31" sqref="E31"/>
    </sheetView>
  </sheetViews>
  <sheetFormatPr defaultColWidth="9" defaultRowHeight="14.25" outlineLevelCol="6"/>
  <cols>
    <col min="1" max="1" width="21.125" style="1" customWidth="1"/>
    <col min="2" max="2" width="19.125" style="1" customWidth="1"/>
    <col min="3" max="3" width="15.5" style="1" customWidth="1"/>
    <col min="4" max="4" width="11.375" style="1" customWidth="1"/>
    <col min="5" max="5" width="10.5" style="1" customWidth="1"/>
    <col min="6" max="6" width="9" style="1"/>
    <col min="7" max="7" width="12.625" style="1" customWidth="1"/>
    <col min="8" max="16384" width="9" style="1"/>
  </cols>
  <sheetData>
    <row r="1" spans="1:4">
      <c r="A1" s="2" t="str">
        <f ca="1">'数据修改（批量）'!A1</f>
        <v>上海有色铝锭价格</v>
      </c>
      <c r="B1" s="2"/>
      <c r="C1" s="2"/>
      <c r="D1" s="3"/>
    </row>
    <row r="2" spans="1:7">
      <c r="A2" s="4">
        <f ca="1">'数据修改（批量）'!A2</f>
        <v>16200</v>
      </c>
      <c r="B2" s="2" t="str">
        <f ca="1">'数据修改（批量）'!B2</f>
        <v>项目</v>
      </c>
      <c r="C2" s="2" t="str">
        <f ca="1">'数据修改（批量）'!C2</f>
        <v>加工费</v>
      </c>
      <c r="D2" s="2" t="str">
        <f ca="1">'数据修改（批量）'!D2</f>
        <v>包装物</v>
      </c>
      <c r="E2" s="2" t="str">
        <f ca="1">'数据修改（批量）'!E2</f>
        <v>运费</v>
      </c>
      <c r="F2" s="2" t="str">
        <f ca="1">'数据修改（批量）'!F2</f>
        <v>单价</v>
      </c>
      <c r="G2" s="2" t="str">
        <f ca="1">'数据修改（批量）'!G2</f>
        <v>每公斤价格</v>
      </c>
    </row>
    <row r="3" spans="1:7">
      <c r="A3" s="2"/>
      <c r="B3" s="2" t="str">
        <f ca="1">'数据修改（批量）'!B3</f>
        <v>203料</v>
      </c>
      <c r="C3" s="2">
        <f ca="1">'数据修改（批量）'!C3</f>
        <v>5500</v>
      </c>
      <c r="D3" s="2">
        <f ca="1">'数据修改（批量）'!D3</f>
        <v>868</v>
      </c>
      <c r="E3" s="2">
        <f ca="1">'数据修改（批量）'!E3</f>
        <v>80</v>
      </c>
      <c r="F3" s="2">
        <f ca="1">'数据修改（批量）'!F3</f>
        <v>22648</v>
      </c>
      <c r="G3" s="2">
        <f ca="1">'数据修改（批量）'!G3</f>
        <v>22.648</v>
      </c>
    </row>
    <row r="4" spans="1:7">
      <c r="A4" s="2"/>
      <c r="B4" s="2" t="str">
        <f ca="1">'数据修改（批量）'!B4</f>
        <v>203料氧化</v>
      </c>
      <c r="C4" s="2">
        <f ca="1">'数据修改（批量）'!C4</f>
        <v>6000</v>
      </c>
      <c r="D4" s="2">
        <f ca="1">'数据修改（批量）'!D4</f>
        <v>888</v>
      </c>
      <c r="E4" s="2">
        <f ca="1">'数据修改（批量）'!E4</f>
        <v>80</v>
      </c>
      <c r="F4" s="2">
        <f ca="1">'数据修改（批量）'!F4</f>
        <v>23168</v>
      </c>
      <c r="G4" s="2">
        <f ca="1">'数据修改（批量）'!G4</f>
        <v>23.168</v>
      </c>
    </row>
    <row r="5" spans="2:7">
      <c r="B5" s="2" t="str">
        <f ca="1">'数据修改（批量）'!B5</f>
        <v>小料加工费</v>
      </c>
      <c r="C5" s="2">
        <f ca="1">'数据修改（批量）'!C5</f>
        <v>4500</v>
      </c>
      <c r="D5" s="2">
        <f ca="1">'数据修改（批量）'!D5</f>
        <v>828</v>
      </c>
      <c r="E5" s="2">
        <f ca="1">'数据修改（批量）'!E5</f>
        <v>80</v>
      </c>
      <c r="F5" s="2">
        <f ca="1">'数据修改（批量）'!F5</f>
        <v>21608</v>
      </c>
      <c r="G5" s="2">
        <f ca="1">'数据修改（批量）'!G5</f>
        <v>21.608</v>
      </c>
    </row>
    <row r="6" spans="1:4">
      <c r="A6" s="2" t="str">
        <f ca="1">'数据修改（批量）'!A6</f>
        <v>南海有色铝锭价格</v>
      </c>
      <c r="D6" s="5"/>
    </row>
    <row r="7" spans="1:1">
      <c r="A7" s="4">
        <f ca="1">'数据修改（批量）'!A7</f>
        <v>16600</v>
      </c>
    </row>
    <row r="8" spans="2:7">
      <c r="B8" s="2" t="str">
        <f ca="1">'数据修改（批量）'!B8</f>
        <v>项目</v>
      </c>
      <c r="C8" s="2" t="str">
        <f ca="1">'数据修改（批量）'!C8</f>
        <v>加工费</v>
      </c>
      <c r="D8" s="2" t="str">
        <f ca="1">'数据修改（批量）'!D8</f>
        <v>包装物</v>
      </c>
      <c r="E8" s="2" t="str">
        <f ca="1">'数据修改（批量）'!E8</f>
        <v>运费</v>
      </c>
      <c r="F8" s="2" t="str">
        <f ca="1">'数据修改（批量）'!F8</f>
        <v>单价</v>
      </c>
      <c r="G8" s="2" t="str">
        <f ca="1">'数据修改（批量）'!G8</f>
        <v>每公斤价格</v>
      </c>
    </row>
    <row r="9" spans="2:7">
      <c r="B9" s="2" t="str">
        <f ca="1">'数据修改（批量）'!B9</f>
        <v>300/350料8米以上</v>
      </c>
      <c r="C9" s="2">
        <f ca="1">'数据修改（批量）'!C9</f>
        <v>7800</v>
      </c>
      <c r="D9" s="2">
        <f ca="1">'数据修改（批量）'!D9</f>
        <v>976</v>
      </c>
      <c r="E9" s="2">
        <f ca="1">'数据修改（批量）'!E9</f>
        <v>1000</v>
      </c>
      <c r="F9" s="2">
        <f ca="1">'数据修改（批量）'!F9</f>
        <v>26376</v>
      </c>
      <c r="G9" s="2">
        <f ca="1">'数据修改（批量）'!G9</f>
        <v>26.376</v>
      </c>
    </row>
    <row r="10" spans="2:7">
      <c r="B10" s="2" t="str">
        <f ca="1">'数据修改（批量）'!B10</f>
        <v>300/350料8米以下</v>
      </c>
      <c r="C10" s="2">
        <f ca="1">'数据修改（批量）'!C10</f>
        <v>7100</v>
      </c>
      <c r="D10" s="2">
        <f ca="1">'数据修改（批量）'!D10</f>
        <v>948</v>
      </c>
      <c r="E10" s="2">
        <f ca="1">'数据修改（批量）'!E10</f>
        <v>1000</v>
      </c>
      <c r="F10" s="2">
        <f ca="1">'数据修改（批量）'!F10</f>
        <v>25648</v>
      </c>
      <c r="G10" s="2">
        <f ca="1">'数据修改（批量）'!G10</f>
        <v>25.648</v>
      </c>
    </row>
    <row r="12" spans="1:4">
      <c r="A12" s="2" t="str">
        <f ca="1">'数据修改（批量）'!A12</f>
        <v>篷布</v>
      </c>
      <c r="B12" s="2"/>
      <c r="C12" s="2"/>
      <c r="D12" s="3"/>
    </row>
    <row r="13" spans="1:7">
      <c r="A13" s="2"/>
      <c r="B13" s="2" t="str">
        <f ca="1">'数据修改（批量）'!B13</f>
        <v>项目</v>
      </c>
      <c r="C13" s="2" t="str">
        <f ca="1">'数据修改（批量）'!C13</f>
        <v>运费</v>
      </c>
      <c r="D13" s="2" t="str">
        <f ca="1">'数据修改（批量）'!D13</f>
        <v>单价</v>
      </c>
      <c r="E13" s="2" t="str">
        <f ca="1">'数据修改（批量）'!E13</f>
        <v>每平价格</v>
      </c>
      <c r="F13" s="2"/>
      <c r="G13" s="2"/>
    </row>
    <row r="14" spans="1:7">
      <c r="A14" s="2"/>
      <c r="B14" s="2">
        <f ca="1">'数据修改（批量）'!B14</f>
        <v>650</v>
      </c>
      <c r="C14" s="2">
        <f ca="1">'数据修改（批量）'!C14</f>
        <v>0.5</v>
      </c>
      <c r="D14" s="4">
        <f ca="1">'数据修改（批量）'!D14</f>
        <v>13.8</v>
      </c>
      <c r="E14" s="2">
        <f ca="1">'数据修改（批量）'!E14</f>
        <v>14.3</v>
      </c>
      <c r="F14" s="2"/>
      <c r="G14" s="2"/>
    </row>
    <row r="15" spans="1:7">
      <c r="A15" s="2"/>
      <c r="B15" s="2">
        <f ca="1">'数据修改（批量）'!B15</f>
        <v>780</v>
      </c>
      <c r="C15" s="2">
        <f ca="1">'数据修改（批量）'!C15</f>
        <v>0.5</v>
      </c>
      <c r="D15" s="4">
        <f ca="1">'数据修改（批量）'!D15</f>
        <v>16.8</v>
      </c>
      <c r="E15" s="2">
        <f ca="1">'数据修改（批量）'!E15</f>
        <v>17.3</v>
      </c>
      <c r="F15" s="2"/>
      <c r="G15" s="2"/>
    </row>
    <row r="16" spans="2:7">
      <c r="B16" s="2">
        <f ca="1">'数据修改（批量）'!B16</f>
        <v>850</v>
      </c>
      <c r="C16" s="2">
        <f ca="1">'数据修改（批量）'!C16</f>
        <v>0.5</v>
      </c>
      <c r="D16" s="4">
        <f ca="1">'数据修改（批量）'!D16</f>
        <v>18</v>
      </c>
      <c r="E16" s="2">
        <f ca="1">'数据修改（批量）'!E16</f>
        <v>18.5</v>
      </c>
      <c r="F16" s="2"/>
      <c r="G16" s="2"/>
    </row>
    <row r="21" spans="1:7">
      <c r="A21" s="6" t="str">
        <f ca="1">'数据修改（批量）'!A21</f>
        <v>说明：黄色部分可以根据价格修改</v>
      </c>
      <c r="B21" s="6"/>
      <c r="C21" s="6"/>
      <c r="D21" s="6"/>
      <c r="E21" s="6"/>
      <c r="F21" s="6"/>
      <c r="G21" s="6"/>
    </row>
  </sheetData>
  <mergeCells count="1">
    <mergeCell ref="A21:G21"/>
  </mergeCells>
  <pageMargins left="0.75" right="0.75" top="1" bottom="1" header="0.509027777777778" footer="0.509027777777778"/>
  <pageSetup paperSize="9" orientation="portrait"/>
  <headerFooter/>
</worksheet>
</file>

<file path=xl/worksheets/sheet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FFFF00"/>
  </sheetPr>
  <dimension ref="A1:R42"/>
  <sheetViews>
    <sheetView showGridLines="0" workbookViewId="0">
      <selection activeCell="F13" sqref="F13"/>
    </sheetView>
  </sheetViews>
  <sheetFormatPr defaultColWidth="9" defaultRowHeight="14.25"/>
  <cols>
    <col min="1" max="1" width="2.75" style="1" customWidth="1"/>
    <col min="2" max="2" width="15.875" style="1" customWidth="1"/>
    <col min="3" max="5" width="9" style="1"/>
    <col min="6" max="6" width="10.125" style="1" customWidth="1"/>
    <col min="7" max="7" width="9" style="1" customWidth="1"/>
    <col min="8" max="13" width="11.5" style="1" customWidth="1"/>
    <col min="14" max="14" width="60.5" style="1" customWidth="1"/>
    <col min="15" max="15" width="9" style="84"/>
    <col min="16" max="16" width="14.875" style="84" customWidth="1"/>
    <col min="17" max="17" width="9" style="84"/>
    <col min="18" max="18" width="13" style="84" customWidth="1"/>
    <col min="19" max="16384" width="9" style="1"/>
  </cols>
  <sheetData>
    <row r="1" ht="18.75" spans="1:14">
      <c r="A1" s="72" t="s">
        <v>1539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</row>
    <row r="2" spans="1:15">
      <c r="A2" s="8" t="s">
        <v>1246</v>
      </c>
      <c r="B2" s="8"/>
      <c r="C2" s="8"/>
      <c r="D2" s="9" t="s">
        <v>1198</v>
      </c>
      <c r="E2" s="10">
        <f>A3*5*30</f>
        <v>300</v>
      </c>
      <c r="F2" s="11" t="s">
        <v>1202</v>
      </c>
      <c r="G2" s="11"/>
      <c r="H2" s="11"/>
      <c r="I2" s="11"/>
      <c r="J2" s="11"/>
      <c r="K2" s="11"/>
      <c r="L2" s="11"/>
      <c r="M2" s="11"/>
      <c r="N2" s="11"/>
      <c r="O2" s="110"/>
    </row>
    <row r="3" spans="1:15">
      <c r="A3" s="131">
        <v>2</v>
      </c>
      <c r="B3" s="131"/>
      <c r="C3" s="132" t="s">
        <v>1247</v>
      </c>
      <c r="D3" s="133">
        <v>3</v>
      </c>
      <c r="E3" s="134" t="s">
        <v>1248</v>
      </c>
      <c r="F3" s="14">
        <v>2</v>
      </c>
      <c r="G3" s="9" t="s">
        <v>1540</v>
      </c>
      <c r="H3" s="14"/>
      <c r="I3" s="14"/>
      <c r="J3" s="14"/>
      <c r="K3" s="14"/>
      <c r="L3" s="14"/>
      <c r="M3" s="14"/>
      <c r="N3" s="11" t="s">
        <v>1249</v>
      </c>
      <c r="O3" s="110"/>
    </row>
    <row r="4" ht="21.95" customHeight="1" spans="1:18">
      <c r="A4" s="135" t="s">
        <v>1200</v>
      </c>
      <c r="B4" s="136" t="s">
        <v>1201</v>
      </c>
      <c r="C4" s="75" t="s">
        <v>1202</v>
      </c>
      <c r="D4" s="75" t="s">
        <v>22</v>
      </c>
      <c r="E4" s="75" t="s">
        <v>1203</v>
      </c>
      <c r="F4" s="17" t="s">
        <v>1204</v>
      </c>
      <c r="G4" s="19" t="s">
        <v>1205</v>
      </c>
      <c r="H4" s="17" t="s">
        <v>1253</v>
      </c>
      <c r="I4" s="17" t="s">
        <v>1254</v>
      </c>
      <c r="J4" s="17" t="s">
        <v>1255</v>
      </c>
      <c r="K4" s="17" t="s">
        <v>1209</v>
      </c>
      <c r="L4" s="17" t="s">
        <v>1420</v>
      </c>
      <c r="M4" s="17" t="s">
        <v>1211</v>
      </c>
      <c r="N4" s="139" t="s">
        <v>1257</v>
      </c>
      <c r="O4" s="14" t="s">
        <v>1212</v>
      </c>
      <c r="P4" s="57" t="s">
        <v>1213</v>
      </c>
      <c r="Q4" s="14" t="s">
        <v>1541</v>
      </c>
      <c r="R4" s="57" t="s">
        <v>1213</v>
      </c>
    </row>
    <row r="5" ht="12.95" customHeight="1" spans="1:18">
      <c r="A5" s="20" t="s">
        <v>1215</v>
      </c>
      <c r="B5" s="21" t="s">
        <v>1224</v>
      </c>
      <c r="C5" s="75"/>
      <c r="D5" s="23" t="s">
        <v>28</v>
      </c>
      <c r="E5" s="24">
        <f>D3*2</f>
        <v>6</v>
      </c>
      <c r="F5" s="93">
        <f ca="1" t="shared" ref="F5:F19" si="0">I5+J5+K5+L5+M5</f>
        <v>1928.14722492</v>
      </c>
      <c r="G5" s="94">
        <v>4.55</v>
      </c>
      <c r="H5" s="94">
        <v>8.233</v>
      </c>
      <c r="I5" s="61">
        <f ca="1">G5*H5*'30米（人字203料）参数 '!G3*1.1</f>
        <v>933.23722492</v>
      </c>
      <c r="J5" s="93">
        <f ca="1">48.55*2+330</f>
        <v>427.1</v>
      </c>
      <c r="K5" s="93">
        <f ca="1">500+45.91</f>
        <v>545.91</v>
      </c>
      <c r="L5" s="93">
        <f t="shared" ref="L5:L10" si="1">2.55*4</f>
        <v>10.2</v>
      </c>
      <c r="M5" s="93">
        <f>18*0.65</f>
        <v>11.7</v>
      </c>
      <c r="N5" s="114" t="s">
        <v>1542</v>
      </c>
      <c r="O5" s="57">
        <v>4</v>
      </c>
      <c r="P5" s="115">
        <f ca="1" t="shared" ref="P5:P37" si="2">F5*O5</f>
        <v>7712.58889968</v>
      </c>
      <c r="Q5" s="57">
        <f t="shared" ref="Q5:Q37" si="3">E5-O5</f>
        <v>2</v>
      </c>
      <c r="R5" s="115">
        <f ca="1" t="shared" ref="R5:R37" si="4">F5*Q5</f>
        <v>3856.29444984</v>
      </c>
    </row>
    <row r="6" ht="12.95" customHeight="1" spans="1:18">
      <c r="A6" s="20"/>
      <c r="B6" s="21" t="s">
        <v>1543</v>
      </c>
      <c r="C6" s="27"/>
      <c r="D6" s="23" t="s">
        <v>28</v>
      </c>
      <c r="E6" s="24">
        <f>D3*2</f>
        <v>6</v>
      </c>
      <c r="F6" s="61">
        <f ca="1" t="shared" si="0"/>
        <v>1704.20272156</v>
      </c>
      <c r="G6" s="95">
        <v>8.15</v>
      </c>
      <c r="H6" s="95">
        <v>8.233</v>
      </c>
      <c r="I6" s="61">
        <f ca="1">G6*H6*'30米（人字203料）参数 '!G3*1.1</f>
        <v>1671.62272156</v>
      </c>
      <c r="J6" s="61">
        <f ca="1">2.5*6</f>
        <v>15</v>
      </c>
      <c r="K6" s="61">
        <v>11.58</v>
      </c>
      <c r="L6" s="61">
        <f>1*6</f>
        <v>6</v>
      </c>
      <c r="M6" s="61"/>
      <c r="N6" s="116" t="s">
        <v>1422</v>
      </c>
      <c r="O6" s="57">
        <v>4</v>
      </c>
      <c r="P6" s="115">
        <f ca="1" t="shared" si="2"/>
        <v>6816.81088624</v>
      </c>
      <c r="Q6" s="57">
        <f t="shared" si="3"/>
        <v>2</v>
      </c>
      <c r="R6" s="115">
        <f ca="1" t="shared" si="4"/>
        <v>3408.40544312</v>
      </c>
    </row>
    <row r="7" ht="12.95" customHeight="1" spans="1:18">
      <c r="A7" s="20"/>
      <c r="B7" s="21" t="s">
        <v>1544</v>
      </c>
      <c r="C7" s="27"/>
      <c r="D7" s="23" t="s">
        <v>28</v>
      </c>
      <c r="E7" s="24">
        <f>D3*2</f>
        <v>6</v>
      </c>
      <c r="F7" s="61">
        <f ca="1" t="shared" si="0"/>
        <v>2012.44725916</v>
      </c>
      <c r="G7" s="96">
        <v>8.15</v>
      </c>
      <c r="H7" s="96">
        <v>8.233</v>
      </c>
      <c r="I7" s="117">
        <f ca="1">G7*H7*'30米（人字203料）参数 '!G3*1.1</f>
        <v>1671.62272156</v>
      </c>
      <c r="J7" s="117">
        <f ca="1">2.5*6</f>
        <v>15</v>
      </c>
      <c r="K7" s="117">
        <f ca="1">1.5*8.233*'30米（人字203料）参数 '!G4*1.1</f>
        <v>314.7245376</v>
      </c>
      <c r="L7" s="117">
        <f>1*6</f>
        <v>6</v>
      </c>
      <c r="M7" s="118">
        <f>2.55*2</f>
        <v>5.1</v>
      </c>
      <c r="N7" s="119" t="s">
        <v>1545</v>
      </c>
      <c r="O7" s="57">
        <v>4</v>
      </c>
      <c r="P7" s="115">
        <f ca="1" t="shared" si="2"/>
        <v>8049.78903664</v>
      </c>
      <c r="Q7" s="57">
        <f t="shared" si="3"/>
        <v>2</v>
      </c>
      <c r="R7" s="115">
        <f ca="1" t="shared" si="4"/>
        <v>4024.89451832</v>
      </c>
    </row>
    <row r="8" ht="12.95" customHeight="1" spans="1:18">
      <c r="A8" s="20"/>
      <c r="B8" s="21" t="s">
        <v>1546</v>
      </c>
      <c r="C8" s="27"/>
      <c r="D8" s="23" t="s">
        <v>28</v>
      </c>
      <c r="E8" s="24">
        <f>F3*2</f>
        <v>4</v>
      </c>
      <c r="F8" s="61">
        <f ca="1" t="shared" si="0"/>
        <v>936.7195272</v>
      </c>
      <c r="G8" s="97">
        <v>6.33</v>
      </c>
      <c r="H8" s="97">
        <v>5.3</v>
      </c>
      <c r="I8" s="25">
        <f ca="1">G8*H8*'30米（人字203料）参数 '!G3*1.1</f>
        <v>835.7995272</v>
      </c>
      <c r="J8" s="25"/>
      <c r="K8" s="101">
        <f ca="1">49.51+41.21</f>
        <v>90.72</v>
      </c>
      <c r="L8" s="101">
        <f t="shared" si="1"/>
        <v>10.2</v>
      </c>
      <c r="M8" s="25"/>
      <c r="N8" s="58" t="s">
        <v>1547</v>
      </c>
      <c r="O8" s="57">
        <v>4</v>
      </c>
      <c r="P8" s="115">
        <f ca="1" t="shared" si="2"/>
        <v>3746.8781088</v>
      </c>
      <c r="Q8" s="57">
        <f t="shared" si="3"/>
        <v>0</v>
      </c>
      <c r="R8" s="115">
        <f ca="1" t="shared" si="4"/>
        <v>0</v>
      </c>
    </row>
    <row r="9" ht="12.95" customHeight="1" spans="1:18">
      <c r="A9" s="20"/>
      <c r="B9" s="21" t="s">
        <v>1548</v>
      </c>
      <c r="C9" s="27"/>
      <c r="D9" s="23" t="s">
        <v>28</v>
      </c>
      <c r="E9" s="24">
        <f>F3*2</f>
        <v>4</v>
      </c>
      <c r="F9" s="61">
        <f ca="1" t="shared" si="0"/>
        <v>1141.3781792</v>
      </c>
      <c r="G9" s="97">
        <v>7.88</v>
      </c>
      <c r="H9" s="97">
        <v>5.3</v>
      </c>
      <c r="I9" s="25">
        <f ca="1">G9*H9*'30米（人字203料）参数 '!G3*1.1</f>
        <v>1040.4581792</v>
      </c>
      <c r="J9" s="25"/>
      <c r="K9" s="101">
        <f ca="1">49.51+41.21</f>
        <v>90.72</v>
      </c>
      <c r="L9" s="101">
        <f t="shared" si="1"/>
        <v>10.2</v>
      </c>
      <c r="M9" s="25"/>
      <c r="N9" s="58" t="s">
        <v>1549</v>
      </c>
      <c r="O9" s="57">
        <v>4</v>
      </c>
      <c r="P9" s="115">
        <f ca="1" t="shared" si="2"/>
        <v>4565.5127168</v>
      </c>
      <c r="Q9" s="57">
        <f t="shared" si="3"/>
        <v>0</v>
      </c>
      <c r="R9" s="115">
        <f ca="1" t="shared" si="4"/>
        <v>0</v>
      </c>
    </row>
    <row r="10" ht="12.95" customHeight="1" spans="1:18">
      <c r="A10" s="20"/>
      <c r="B10" s="21" t="s">
        <v>1550</v>
      </c>
      <c r="C10" s="27"/>
      <c r="D10" s="23" t="s">
        <v>28</v>
      </c>
      <c r="E10" s="24">
        <f>F3</f>
        <v>2</v>
      </c>
      <c r="F10" s="61">
        <f ca="1" t="shared" si="0"/>
        <v>1346.0368312</v>
      </c>
      <c r="G10" s="97">
        <v>9.43</v>
      </c>
      <c r="H10" s="97">
        <v>5.3</v>
      </c>
      <c r="I10" s="25">
        <f ca="1">G10*H10*'30米（人字203料）参数 '!G3*1.1</f>
        <v>1245.1168312</v>
      </c>
      <c r="J10" s="25"/>
      <c r="K10" s="101">
        <f ca="1">49.51+41.21</f>
        <v>90.72</v>
      </c>
      <c r="L10" s="101">
        <f t="shared" si="1"/>
        <v>10.2</v>
      </c>
      <c r="M10" s="25"/>
      <c r="N10" s="58" t="s">
        <v>1551</v>
      </c>
      <c r="O10" s="57">
        <v>2</v>
      </c>
      <c r="P10" s="115">
        <f ca="1" t="shared" si="2"/>
        <v>2692.0736624</v>
      </c>
      <c r="Q10" s="57">
        <f t="shared" si="3"/>
        <v>0</v>
      </c>
      <c r="R10" s="115">
        <f ca="1" t="shared" si="4"/>
        <v>0</v>
      </c>
    </row>
    <row r="11" ht="12.95" customHeight="1" spans="1:18">
      <c r="A11" s="20"/>
      <c r="B11" s="21" t="s">
        <v>1226</v>
      </c>
      <c r="C11" s="27"/>
      <c r="D11" s="23" t="s">
        <v>28</v>
      </c>
      <c r="E11" s="24">
        <f>A3*10</f>
        <v>20</v>
      </c>
      <c r="F11" s="61">
        <f ca="1" t="shared" si="0"/>
        <v>336.5448493136</v>
      </c>
      <c r="G11" s="97">
        <v>4.882</v>
      </c>
      <c r="H11" s="97">
        <v>2.771</v>
      </c>
      <c r="I11" s="25">
        <f ca="1">G11*H11*'30米（人字203料）参数 '!G5*1.1</f>
        <v>321.5448493136</v>
      </c>
      <c r="J11" s="25"/>
      <c r="K11" s="25"/>
      <c r="L11" s="101">
        <f>0.5*4</f>
        <v>2</v>
      </c>
      <c r="M11" s="101">
        <f>6.5*2</f>
        <v>13</v>
      </c>
      <c r="N11" s="59" t="s">
        <v>1552</v>
      </c>
      <c r="O11" s="57">
        <v>10</v>
      </c>
      <c r="P11" s="115">
        <f ca="1" t="shared" si="2"/>
        <v>3365.448493136</v>
      </c>
      <c r="Q11" s="57">
        <f t="shared" si="3"/>
        <v>10</v>
      </c>
      <c r="R11" s="115">
        <f ca="1" t="shared" si="4"/>
        <v>3365.448493136</v>
      </c>
    </row>
    <row r="12" ht="12.95" customHeight="1" spans="1:18">
      <c r="A12" s="20"/>
      <c r="B12" s="21" t="s">
        <v>1264</v>
      </c>
      <c r="C12" s="27"/>
      <c r="D12" s="23" t="s">
        <v>28</v>
      </c>
      <c r="E12" s="24">
        <f>A3*3+F3*4</f>
        <v>14</v>
      </c>
      <c r="F12" s="61">
        <f ca="1" t="shared" si="0"/>
        <v>195.0929650432</v>
      </c>
      <c r="G12" s="97">
        <v>4.882</v>
      </c>
      <c r="H12" s="97">
        <v>1.552</v>
      </c>
      <c r="I12" s="25">
        <f ca="1">G12*H12*'30米（人字203料）参数 '!G5*1.1</f>
        <v>180.0929650432</v>
      </c>
      <c r="J12" s="25"/>
      <c r="K12" s="25"/>
      <c r="L12" s="101">
        <f>0.5*4</f>
        <v>2</v>
      </c>
      <c r="M12" s="101">
        <f>6.5*2</f>
        <v>13</v>
      </c>
      <c r="N12" s="120" t="s">
        <v>1553</v>
      </c>
      <c r="O12" s="57">
        <v>11</v>
      </c>
      <c r="P12" s="115">
        <f ca="1" t="shared" si="2"/>
        <v>2146.0226154752</v>
      </c>
      <c r="Q12" s="57">
        <f t="shared" si="3"/>
        <v>3</v>
      </c>
      <c r="R12" s="115">
        <f ca="1" t="shared" si="4"/>
        <v>585.2788951296</v>
      </c>
    </row>
    <row r="13" ht="12.95" customHeight="1" spans="1:18">
      <c r="A13" s="20"/>
      <c r="B13" s="21" t="s">
        <v>1266</v>
      </c>
      <c r="C13" s="27"/>
      <c r="D13" s="23" t="s">
        <v>28</v>
      </c>
      <c r="E13" s="24">
        <f>A3*2+F3*6</f>
        <v>16</v>
      </c>
      <c r="F13" s="61">
        <f ca="1">'数据修改（批量）'!A28</f>
        <v>95</v>
      </c>
      <c r="G13" s="97">
        <v>4.86</v>
      </c>
      <c r="H13" s="97">
        <v>1.345</v>
      </c>
      <c r="I13" s="25">
        <f ca="1">G13*H13*'30米（人字203料）参数 '!G5*1.1</f>
        <v>155.36951496</v>
      </c>
      <c r="J13" s="25"/>
      <c r="K13" s="25"/>
      <c r="L13" s="25"/>
      <c r="M13" s="25"/>
      <c r="N13" s="59" t="s">
        <v>1554</v>
      </c>
      <c r="O13" s="57">
        <v>14</v>
      </c>
      <c r="P13" s="115">
        <f ca="1" t="shared" si="2"/>
        <v>1330</v>
      </c>
      <c r="Q13" s="57">
        <f t="shared" si="3"/>
        <v>2</v>
      </c>
      <c r="R13" s="115">
        <f ca="1" t="shared" si="4"/>
        <v>190</v>
      </c>
    </row>
    <row r="14" ht="12.95" customHeight="1" spans="1:18">
      <c r="A14" s="20"/>
      <c r="B14" s="21" t="s">
        <v>1276</v>
      </c>
      <c r="C14" s="27"/>
      <c r="D14" s="23" t="s">
        <v>28</v>
      </c>
      <c r="E14" s="28">
        <f>F3*2</f>
        <v>4</v>
      </c>
      <c r="F14" s="61">
        <f ca="1" t="shared" si="0"/>
        <v>348.2448493136</v>
      </c>
      <c r="G14" s="97">
        <v>4.882</v>
      </c>
      <c r="H14" s="97">
        <v>2.771</v>
      </c>
      <c r="I14" s="25">
        <f ca="1">G14*H14*'30米（人字203料）参数 '!G5*1.1</f>
        <v>321.5448493136</v>
      </c>
      <c r="J14" s="25"/>
      <c r="K14" s="61">
        <v>15</v>
      </c>
      <c r="L14" s="61">
        <f>8*0.65</f>
        <v>5.2</v>
      </c>
      <c r="M14" s="61">
        <v>6.5</v>
      </c>
      <c r="N14" s="59" t="s">
        <v>1555</v>
      </c>
      <c r="O14" s="57">
        <v>4</v>
      </c>
      <c r="P14" s="115">
        <f ca="1" t="shared" si="2"/>
        <v>1392.9793972544</v>
      </c>
      <c r="Q14" s="57">
        <f t="shared" si="3"/>
        <v>0</v>
      </c>
      <c r="R14" s="115">
        <f ca="1" t="shared" si="4"/>
        <v>0</v>
      </c>
    </row>
    <row r="15" ht="12.95" customHeight="1" spans="1:18">
      <c r="A15" s="20"/>
      <c r="B15" s="21" t="s">
        <v>1356</v>
      </c>
      <c r="C15" s="27"/>
      <c r="D15" s="23" t="s">
        <v>28</v>
      </c>
      <c r="E15" s="28">
        <f>F3</f>
        <v>2</v>
      </c>
      <c r="F15" s="61">
        <f ca="1" t="shared" si="0"/>
        <v>154.4972</v>
      </c>
      <c r="G15" s="97">
        <v>6.5</v>
      </c>
      <c r="H15" s="97">
        <v>1</v>
      </c>
      <c r="I15" s="25">
        <f ca="1">G15*H15*'30米（人字203料）参数 '!G5*1.1</f>
        <v>154.4972</v>
      </c>
      <c r="J15" s="25"/>
      <c r="K15" s="25"/>
      <c r="L15" s="25"/>
      <c r="M15" s="25"/>
      <c r="N15" s="60" t="s">
        <v>1556</v>
      </c>
      <c r="O15" s="57">
        <v>2</v>
      </c>
      <c r="P15" s="115">
        <f ca="1" t="shared" si="2"/>
        <v>308.9944</v>
      </c>
      <c r="Q15" s="57">
        <f t="shared" si="3"/>
        <v>0</v>
      </c>
      <c r="R15" s="115">
        <f ca="1" t="shared" si="4"/>
        <v>0</v>
      </c>
    </row>
    <row r="16" ht="12.95" customHeight="1" spans="1:18">
      <c r="A16" s="20"/>
      <c r="B16" s="38" t="s">
        <v>1274</v>
      </c>
      <c r="C16" s="27"/>
      <c r="D16" s="23" t="s">
        <v>28</v>
      </c>
      <c r="E16" s="24">
        <f>E32</f>
        <v>16</v>
      </c>
      <c r="F16" s="61">
        <f ca="1" t="shared" si="0"/>
        <v>22</v>
      </c>
      <c r="G16" s="99"/>
      <c r="H16" s="99"/>
      <c r="I16" s="121"/>
      <c r="J16" s="121"/>
      <c r="K16" s="121">
        <v>20</v>
      </c>
      <c r="L16" s="121">
        <f>1*2</f>
        <v>2</v>
      </c>
      <c r="M16" s="121"/>
      <c r="N16" s="66" t="s">
        <v>1557</v>
      </c>
      <c r="O16" s="57">
        <v>14</v>
      </c>
      <c r="P16" s="115">
        <f ca="1" t="shared" si="2"/>
        <v>308</v>
      </c>
      <c r="Q16" s="57">
        <f t="shared" si="3"/>
        <v>2</v>
      </c>
      <c r="R16" s="115">
        <f ca="1" t="shared" si="4"/>
        <v>44</v>
      </c>
    </row>
    <row r="17" ht="12.95" customHeight="1" spans="1:18">
      <c r="A17" s="20"/>
      <c r="B17" s="21" t="s">
        <v>1448</v>
      </c>
      <c r="C17" s="27"/>
      <c r="D17" s="23" t="s">
        <v>28</v>
      </c>
      <c r="E17" s="28">
        <f>D3*2-F3*2</f>
        <v>2</v>
      </c>
      <c r="F17" s="29">
        <f ca="1" t="shared" si="0"/>
        <v>259</v>
      </c>
      <c r="G17" s="26"/>
      <c r="H17" s="26"/>
      <c r="I17" s="29">
        <f>128*1.5</f>
        <v>192</v>
      </c>
      <c r="J17" s="29"/>
      <c r="K17" s="29">
        <f>2.5*2</f>
        <v>5</v>
      </c>
      <c r="L17" s="29">
        <f>21*2</f>
        <v>42</v>
      </c>
      <c r="M17" s="29">
        <v>20</v>
      </c>
      <c r="N17" s="140" t="s">
        <v>1558</v>
      </c>
      <c r="O17" s="57">
        <v>0</v>
      </c>
      <c r="P17" s="115">
        <f ca="1" t="shared" si="2"/>
        <v>0</v>
      </c>
      <c r="Q17" s="57">
        <f t="shared" si="3"/>
        <v>2</v>
      </c>
      <c r="R17" s="115">
        <f ca="1" t="shared" si="4"/>
        <v>518</v>
      </c>
    </row>
    <row r="18" ht="12.95" customHeight="1" spans="1:18">
      <c r="A18" s="20"/>
      <c r="B18" s="21" t="s">
        <v>1559</v>
      </c>
      <c r="C18" s="27"/>
      <c r="D18" s="23" t="s">
        <v>28</v>
      </c>
      <c r="E18" s="28">
        <f>D3-F3</f>
        <v>1</v>
      </c>
      <c r="F18" s="29">
        <f ca="1" t="shared" si="0"/>
        <v>259</v>
      </c>
      <c r="G18" s="26"/>
      <c r="H18" s="26"/>
      <c r="I18" s="29">
        <f>128*1.5</f>
        <v>192</v>
      </c>
      <c r="J18" s="29"/>
      <c r="K18" s="29">
        <f>2.5*2</f>
        <v>5</v>
      </c>
      <c r="L18" s="29">
        <f>21*2</f>
        <v>42</v>
      </c>
      <c r="M18" s="29">
        <v>20</v>
      </c>
      <c r="N18" s="140" t="s">
        <v>1558</v>
      </c>
      <c r="O18" s="57">
        <v>0</v>
      </c>
      <c r="P18" s="115">
        <f ca="1" t="shared" si="2"/>
        <v>0</v>
      </c>
      <c r="Q18" s="57">
        <f t="shared" si="3"/>
        <v>1</v>
      </c>
      <c r="R18" s="115">
        <f ca="1" t="shared" si="4"/>
        <v>259</v>
      </c>
    </row>
    <row r="19" ht="12.95" customHeight="1" spans="1:18">
      <c r="A19" s="20"/>
      <c r="B19" s="21" t="s">
        <v>1560</v>
      </c>
      <c r="C19" s="27"/>
      <c r="D19" s="23" t="s">
        <v>28</v>
      </c>
      <c r="E19" s="30">
        <v>6</v>
      </c>
      <c r="F19" s="29">
        <f ca="1" t="shared" si="0"/>
        <v>237</v>
      </c>
      <c r="G19" s="26"/>
      <c r="H19" s="26"/>
      <c r="I19" s="29">
        <f>108*2</f>
        <v>216</v>
      </c>
      <c r="J19" s="29"/>
      <c r="K19" s="29">
        <v>6</v>
      </c>
      <c r="L19" s="29">
        <v>10</v>
      </c>
      <c r="M19" s="29">
        <v>5</v>
      </c>
      <c r="N19" s="60" t="s">
        <v>1561</v>
      </c>
      <c r="O19" s="57">
        <v>4</v>
      </c>
      <c r="P19" s="115">
        <f ca="1" t="shared" si="2"/>
        <v>948</v>
      </c>
      <c r="Q19" s="57">
        <f t="shared" si="3"/>
        <v>2</v>
      </c>
      <c r="R19" s="115">
        <f ca="1" t="shared" si="4"/>
        <v>474</v>
      </c>
    </row>
    <row r="20" ht="12.95" customHeight="1" spans="1:18">
      <c r="A20" s="20" t="s">
        <v>1562</v>
      </c>
      <c r="B20" s="21" t="s">
        <v>1304</v>
      </c>
      <c r="C20" s="27"/>
      <c r="D20" s="23" t="s">
        <v>434</v>
      </c>
      <c r="E20" s="24">
        <f>D3</f>
        <v>3</v>
      </c>
      <c r="F20" s="101">
        <v>180.62</v>
      </c>
      <c r="G20" s="40"/>
      <c r="H20" s="40"/>
      <c r="I20" s="41"/>
      <c r="J20" s="41"/>
      <c r="K20" s="41"/>
      <c r="L20" s="41"/>
      <c r="M20" s="41"/>
      <c r="N20" s="66" t="s">
        <v>1361</v>
      </c>
      <c r="O20" s="57">
        <v>2</v>
      </c>
      <c r="P20" s="115">
        <f ca="1" t="shared" si="2"/>
        <v>361.24</v>
      </c>
      <c r="Q20" s="57">
        <f t="shared" si="3"/>
        <v>1</v>
      </c>
      <c r="R20" s="115">
        <f ca="1" t="shared" si="4"/>
        <v>180.62</v>
      </c>
    </row>
    <row r="21" ht="12.95" customHeight="1" spans="1:18">
      <c r="A21" s="20"/>
      <c r="B21" s="21" t="s">
        <v>1310</v>
      </c>
      <c r="C21" s="27"/>
      <c r="D21" s="23" t="s">
        <v>434</v>
      </c>
      <c r="E21" s="24">
        <f>F3*5</f>
        <v>10</v>
      </c>
      <c r="F21" s="101">
        <v>76.4</v>
      </c>
      <c r="G21" s="102"/>
      <c r="H21" s="102"/>
      <c r="I21" s="122"/>
      <c r="J21" s="122"/>
      <c r="K21" s="122"/>
      <c r="L21" s="122"/>
      <c r="M21" s="122"/>
      <c r="N21" s="59" t="s">
        <v>1361</v>
      </c>
      <c r="O21" s="57">
        <v>10</v>
      </c>
      <c r="P21" s="115">
        <f ca="1" t="shared" si="2"/>
        <v>764</v>
      </c>
      <c r="Q21" s="57">
        <f t="shared" si="3"/>
        <v>0</v>
      </c>
      <c r="R21" s="115">
        <f ca="1" t="shared" si="4"/>
        <v>0</v>
      </c>
    </row>
    <row r="22" ht="12.95" customHeight="1" spans="1:18">
      <c r="A22" s="20"/>
      <c r="B22" s="21" t="s">
        <v>1280</v>
      </c>
      <c r="C22" s="27"/>
      <c r="D22" s="23" t="s">
        <v>434</v>
      </c>
      <c r="E22" s="28">
        <f>E5</f>
        <v>6</v>
      </c>
      <c r="F22" s="61">
        <v>85.93</v>
      </c>
      <c r="G22" s="103"/>
      <c r="H22" s="103"/>
      <c r="I22" s="61"/>
      <c r="J22" s="61"/>
      <c r="K22" s="61"/>
      <c r="L22" s="61"/>
      <c r="M22" s="61"/>
      <c r="N22" s="66" t="s">
        <v>1361</v>
      </c>
      <c r="O22" s="57">
        <v>4</v>
      </c>
      <c r="P22" s="115">
        <f ca="1" t="shared" si="2"/>
        <v>343.72</v>
      </c>
      <c r="Q22" s="57">
        <f t="shared" si="3"/>
        <v>2</v>
      </c>
      <c r="R22" s="115">
        <f ca="1" t="shared" si="4"/>
        <v>171.86</v>
      </c>
    </row>
    <row r="23" ht="12.95" customHeight="1" spans="1:18">
      <c r="A23" s="20"/>
      <c r="B23" s="21" t="s">
        <v>1563</v>
      </c>
      <c r="C23" s="27"/>
      <c r="D23" s="23" t="s">
        <v>1564</v>
      </c>
      <c r="E23" s="28">
        <f>D3*2</f>
        <v>6</v>
      </c>
      <c r="F23" s="61">
        <f>I23+J23+K23+L23+M23</f>
        <v>42.72575</v>
      </c>
      <c r="G23" s="104">
        <v>0.965</v>
      </c>
      <c r="H23" s="104">
        <v>0.15</v>
      </c>
      <c r="I23" s="123">
        <f>G23*H23*8*7.85*2.5</f>
        <v>22.72575</v>
      </c>
      <c r="J23" s="123"/>
      <c r="K23" s="123">
        <v>10</v>
      </c>
      <c r="L23" s="123">
        <v>8</v>
      </c>
      <c r="M23" s="123">
        <v>2</v>
      </c>
      <c r="N23" s="124" t="s">
        <v>1565</v>
      </c>
      <c r="O23" s="57">
        <v>4</v>
      </c>
      <c r="P23" s="115">
        <f ca="1" t="shared" si="2"/>
        <v>170.903</v>
      </c>
      <c r="Q23" s="57">
        <f t="shared" si="3"/>
        <v>2</v>
      </c>
      <c r="R23" s="115">
        <f ca="1" t="shared" si="4"/>
        <v>85.4515</v>
      </c>
    </row>
    <row r="24" ht="12.95" customHeight="1" spans="1:18">
      <c r="A24" s="20"/>
      <c r="B24" s="21" t="s">
        <v>1339</v>
      </c>
      <c r="C24" s="27"/>
      <c r="D24" s="23" t="s">
        <v>28</v>
      </c>
      <c r="E24" s="32">
        <f>E19*2</f>
        <v>12</v>
      </c>
      <c r="F24" s="101">
        <v>91.3</v>
      </c>
      <c r="G24" s="102"/>
      <c r="H24" s="102"/>
      <c r="I24" s="122"/>
      <c r="J24" s="122"/>
      <c r="K24" s="122"/>
      <c r="L24" s="122"/>
      <c r="M24" s="122"/>
      <c r="N24" s="59" t="s">
        <v>1566</v>
      </c>
      <c r="O24" s="57">
        <v>8</v>
      </c>
      <c r="P24" s="115">
        <f ca="1" t="shared" si="2"/>
        <v>730.4</v>
      </c>
      <c r="Q24" s="57">
        <f t="shared" si="3"/>
        <v>4</v>
      </c>
      <c r="R24" s="115">
        <f ca="1" t="shared" si="4"/>
        <v>365.2</v>
      </c>
    </row>
    <row r="25" ht="12.95" customHeight="1" spans="1:18">
      <c r="A25" s="20"/>
      <c r="B25" s="137" t="s">
        <v>522</v>
      </c>
      <c r="C25" s="27"/>
      <c r="D25" s="23" t="s">
        <v>434</v>
      </c>
      <c r="E25" s="32">
        <f>E24*2</f>
        <v>24</v>
      </c>
      <c r="F25" s="34">
        <v>9.65</v>
      </c>
      <c r="G25" s="107"/>
      <c r="H25" s="107"/>
      <c r="I25" s="79"/>
      <c r="J25" s="79"/>
      <c r="K25" s="79"/>
      <c r="L25" s="79"/>
      <c r="M25" s="79"/>
      <c r="N25" s="60" t="s">
        <v>1567</v>
      </c>
      <c r="O25" s="57">
        <v>16</v>
      </c>
      <c r="P25" s="115">
        <f ca="1" t="shared" si="2"/>
        <v>154.4</v>
      </c>
      <c r="Q25" s="57">
        <f t="shared" si="3"/>
        <v>8</v>
      </c>
      <c r="R25" s="115">
        <f ca="1" t="shared" si="4"/>
        <v>77.2</v>
      </c>
    </row>
    <row r="26" ht="12.95" customHeight="1" spans="1:18">
      <c r="A26" s="20"/>
      <c r="B26" s="21" t="s">
        <v>1282</v>
      </c>
      <c r="C26" s="27"/>
      <c r="D26" s="23" t="s">
        <v>434</v>
      </c>
      <c r="E26" s="24">
        <f>D3*2+F3*5</f>
        <v>16</v>
      </c>
      <c r="F26" s="101">
        <v>4.45</v>
      </c>
      <c r="G26" s="102"/>
      <c r="H26" s="102"/>
      <c r="I26" s="122"/>
      <c r="J26" s="122"/>
      <c r="K26" s="122"/>
      <c r="L26" s="122"/>
      <c r="M26" s="122"/>
      <c r="N26" s="66" t="s">
        <v>1361</v>
      </c>
      <c r="O26" s="57">
        <v>14</v>
      </c>
      <c r="P26" s="115">
        <f ca="1" t="shared" si="2"/>
        <v>62.3</v>
      </c>
      <c r="Q26" s="57">
        <f t="shared" si="3"/>
        <v>2</v>
      </c>
      <c r="R26" s="115">
        <f ca="1" t="shared" si="4"/>
        <v>8.9</v>
      </c>
    </row>
    <row r="27" ht="12.95" customHeight="1" spans="1:18">
      <c r="A27" s="20"/>
      <c r="B27" s="21" t="s">
        <v>1284</v>
      </c>
      <c r="C27" s="27"/>
      <c r="D27" s="23" t="s">
        <v>434</v>
      </c>
      <c r="E27" s="24">
        <f>D3*2</f>
        <v>6</v>
      </c>
      <c r="F27" s="101">
        <v>6.51</v>
      </c>
      <c r="G27" s="102"/>
      <c r="H27" s="102"/>
      <c r="I27" s="122"/>
      <c r="J27" s="122"/>
      <c r="K27" s="122"/>
      <c r="L27" s="122"/>
      <c r="M27" s="122"/>
      <c r="N27" s="59" t="s">
        <v>1361</v>
      </c>
      <c r="O27" s="57">
        <v>4</v>
      </c>
      <c r="P27" s="115">
        <f ca="1" t="shared" si="2"/>
        <v>26.04</v>
      </c>
      <c r="Q27" s="57">
        <f t="shared" si="3"/>
        <v>2</v>
      </c>
      <c r="R27" s="115">
        <f ca="1" t="shared" si="4"/>
        <v>13.02</v>
      </c>
    </row>
    <row r="28" ht="12.95" customHeight="1" spans="1:18">
      <c r="A28" s="20"/>
      <c r="B28" s="21" t="s">
        <v>519</v>
      </c>
      <c r="C28" s="27"/>
      <c r="D28" s="23" t="s">
        <v>434</v>
      </c>
      <c r="E28" s="24">
        <f>F3*2</f>
        <v>4</v>
      </c>
      <c r="F28" s="101">
        <v>6.5</v>
      </c>
      <c r="G28" s="40"/>
      <c r="H28" s="40"/>
      <c r="I28" s="41"/>
      <c r="J28" s="41"/>
      <c r="K28" s="41"/>
      <c r="L28" s="41"/>
      <c r="M28" s="41"/>
      <c r="N28" s="66" t="s">
        <v>1361</v>
      </c>
      <c r="O28" s="57">
        <v>4</v>
      </c>
      <c r="P28" s="115">
        <f ca="1" t="shared" si="2"/>
        <v>26</v>
      </c>
      <c r="Q28" s="57">
        <f t="shared" si="3"/>
        <v>0</v>
      </c>
      <c r="R28" s="115">
        <f ca="1" t="shared" si="4"/>
        <v>0</v>
      </c>
    </row>
    <row r="29" ht="12.95" customHeight="1" spans="1:18">
      <c r="A29" s="20"/>
      <c r="B29" s="38" t="s">
        <v>551</v>
      </c>
      <c r="C29" s="27"/>
      <c r="D29" s="23" t="s">
        <v>434</v>
      </c>
      <c r="E29" s="24">
        <f>F3*5</f>
        <v>10</v>
      </c>
      <c r="F29" s="41">
        <v>15.5</v>
      </c>
      <c r="G29" s="40"/>
      <c r="H29" s="40"/>
      <c r="I29" s="41"/>
      <c r="J29" s="41"/>
      <c r="K29" s="41"/>
      <c r="L29" s="41"/>
      <c r="M29" s="41"/>
      <c r="N29" s="66" t="s">
        <v>1456</v>
      </c>
      <c r="O29" s="57">
        <v>10</v>
      </c>
      <c r="P29" s="115">
        <f ca="1" t="shared" si="2"/>
        <v>155</v>
      </c>
      <c r="Q29" s="57">
        <f t="shared" si="3"/>
        <v>0</v>
      </c>
      <c r="R29" s="115">
        <f ca="1" t="shared" si="4"/>
        <v>0</v>
      </c>
    </row>
    <row r="30" ht="12.95" customHeight="1" spans="1:18">
      <c r="A30" s="20" t="s">
        <v>1216</v>
      </c>
      <c r="B30" s="21" t="s">
        <v>1568</v>
      </c>
      <c r="C30" s="27"/>
      <c r="D30" s="23" t="s">
        <v>612</v>
      </c>
      <c r="E30" s="24">
        <f>A3</f>
        <v>2</v>
      </c>
      <c r="F30" s="29">
        <f ca="1">I30+J30+K30+L30+M30</f>
        <v>3573.8</v>
      </c>
      <c r="G30" s="26">
        <v>33.4</v>
      </c>
      <c r="H30" s="26">
        <v>5</v>
      </c>
      <c r="I30" s="29">
        <f ca="1">G30*H30*'30米（人字203料）参数 '!D16*1.1</f>
        <v>3306.6</v>
      </c>
      <c r="J30" s="29">
        <f>33.4*2*4</f>
        <v>267.2</v>
      </c>
      <c r="K30" s="29"/>
      <c r="L30" s="29"/>
      <c r="M30" s="29"/>
      <c r="N30" s="67" t="s">
        <v>1569</v>
      </c>
      <c r="O30" s="57">
        <v>1</v>
      </c>
      <c r="P30" s="115">
        <f ca="1" t="shared" si="2"/>
        <v>3573.8</v>
      </c>
      <c r="Q30" s="57">
        <f t="shared" si="3"/>
        <v>1</v>
      </c>
      <c r="R30" s="115">
        <f ca="1" t="shared" si="4"/>
        <v>3573.8</v>
      </c>
    </row>
    <row r="31" ht="12.95" customHeight="1" spans="1:18">
      <c r="A31" s="20"/>
      <c r="B31" s="21" t="s">
        <v>1570</v>
      </c>
      <c r="C31" s="27"/>
      <c r="D31" s="23" t="s">
        <v>664</v>
      </c>
      <c r="E31" s="24">
        <f>F3</f>
        <v>2</v>
      </c>
      <c r="F31" s="29">
        <f ca="1">I31+J31+K31+L31+M31</f>
        <v>1979.31592</v>
      </c>
      <c r="G31" s="26">
        <v>15.32</v>
      </c>
      <c r="H31" s="26">
        <v>5.97</v>
      </c>
      <c r="I31" s="29">
        <f ca="1">G31*H31*'30米（人字203料）参数 '!D16*1.1</f>
        <v>1810.91592</v>
      </c>
      <c r="J31" s="69">
        <f>42.1*4</f>
        <v>168.4</v>
      </c>
      <c r="K31" s="69"/>
      <c r="L31" s="69"/>
      <c r="M31" s="69"/>
      <c r="N31" s="70" t="s">
        <v>1571</v>
      </c>
      <c r="O31" s="57">
        <v>2</v>
      </c>
      <c r="P31" s="115">
        <f ca="1" t="shared" si="2"/>
        <v>3958.63184</v>
      </c>
      <c r="Q31" s="57">
        <f t="shared" si="3"/>
        <v>0</v>
      </c>
      <c r="R31" s="115">
        <f ca="1" t="shared" si="4"/>
        <v>0</v>
      </c>
    </row>
    <row r="32" ht="12.95" customHeight="1" spans="1:18">
      <c r="A32" s="31"/>
      <c r="B32" s="21" t="s">
        <v>1572</v>
      </c>
      <c r="C32" s="27"/>
      <c r="D32" s="23" t="s">
        <v>664</v>
      </c>
      <c r="E32" s="24">
        <f>A3*2+F3*6</f>
        <v>16</v>
      </c>
      <c r="F32" s="29">
        <f ca="1">I32+J32+K32+L32+M32</f>
        <v>452.7072</v>
      </c>
      <c r="G32" s="26">
        <v>5.2</v>
      </c>
      <c r="H32" s="26">
        <v>5.2</v>
      </c>
      <c r="I32" s="29">
        <f ca="1">G32*H32*'30米（人字203料）参数 '!D14*1.1</f>
        <v>410.4672</v>
      </c>
      <c r="J32" s="71">
        <f>6.1*2</f>
        <v>12.2</v>
      </c>
      <c r="K32" s="71">
        <f>0.5*10</f>
        <v>5</v>
      </c>
      <c r="L32" s="71">
        <f>0.32*22</f>
        <v>7.04</v>
      </c>
      <c r="M32" s="71">
        <f>18*1</f>
        <v>18</v>
      </c>
      <c r="N32" s="60" t="s">
        <v>1573</v>
      </c>
      <c r="O32" s="57">
        <v>14</v>
      </c>
      <c r="P32" s="115">
        <f ca="1" t="shared" si="2"/>
        <v>6337.9008</v>
      </c>
      <c r="Q32" s="57">
        <f t="shared" si="3"/>
        <v>2</v>
      </c>
      <c r="R32" s="115">
        <f ca="1" t="shared" si="4"/>
        <v>905.4144</v>
      </c>
    </row>
    <row r="33" ht="12.95" customHeight="1" spans="1:18">
      <c r="A33" s="20" t="s">
        <v>1235</v>
      </c>
      <c r="B33" s="138" t="s">
        <v>1574</v>
      </c>
      <c r="C33" s="27"/>
      <c r="D33" s="23" t="s">
        <v>434</v>
      </c>
      <c r="E33" s="24">
        <f>D3*8</f>
        <v>24</v>
      </c>
      <c r="F33" s="39">
        <v>1.95</v>
      </c>
      <c r="G33" s="40"/>
      <c r="H33" s="40"/>
      <c r="I33" s="41"/>
      <c r="J33" s="41"/>
      <c r="K33" s="41"/>
      <c r="L33" s="41"/>
      <c r="M33" s="41"/>
      <c r="N33" s="59" t="s">
        <v>1375</v>
      </c>
      <c r="O33" s="57">
        <v>16</v>
      </c>
      <c r="P33" s="115">
        <f ca="1" t="shared" si="2"/>
        <v>31.2</v>
      </c>
      <c r="Q33" s="57">
        <f t="shared" si="3"/>
        <v>8</v>
      </c>
      <c r="R33" s="115">
        <f ca="1" t="shared" si="4"/>
        <v>15.6</v>
      </c>
    </row>
    <row r="34" ht="12.95" customHeight="1" spans="1:18">
      <c r="A34" s="20"/>
      <c r="B34" s="138" t="s">
        <v>589</v>
      </c>
      <c r="C34" s="27"/>
      <c r="D34" s="23" t="s">
        <v>434</v>
      </c>
      <c r="E34" s="24">
        <f>D3*22+E19*2</f>
        <v>78</v>
      </c>
      <c r="F34" s="101">
        <v>2.15</v>
      </c>
      <c r="G34" s="102"/>
      <c r="H34" s="102"/>
      <c r="I34" s="122"/>
      <c r="J34" s="122"/>
      <c r="K34" s="122"/>
      <c r="L34" s="122"/>
      <c r="M34" s="122"/>
      <c r="N34" s="59" t="s">
        <v>1372</v>
      </c>
      <c r="O34" s="57">
        <v>56</v>
      </c>
      <c r="P34" s="115">
        <f ca="1" t="shared" si="2"/>
        <v>120.4</v>
      </c>
      <c r="Q34" s="57">
        <f t="shared" si="3"/>
        <v>22</v>
      </c>
      <c r="R34" s="115">
        <f ca="1" t="shared" si="4"/>
        <v>47.3</v>
      </c>
    </row>
    <row r="35" ht="12.95" customHeight="1" spans="1:18">
      <c r="A35" s="20"/>
      <c r="B35" s="138" t="s">
        <v>591</v>
      </c>
      <c r="C35" s="27"/>
      <c r="D35" s="23" t="s">
        <v>434</v>
      </c>
      <c r="E35" s="28">
        <f>D3*4+F3*6+HL19*2</f>
        <v>24</v>
      </c>
      <c r="F35" s="101">
        <v>2.55</v>
      </c>
      <c r="G35" s="102"/>
      <c r="H35" s="102"/>
      <c r="I35" s="122"/>
      <c r="J35" s="122"/>
      <c r="K35" s="122"/>
      <c r="L35" s="122"/>
      <c r="M35" s="122"/>
      <c r="N35" s="59" t="s">
        <v>1373</v>
      </c>
      <c r="O35" s="57">
        <v>20</v>
      </c>
      <c r="P35" s="115">
        <f ca="1" t="shared" si="2"/>
        <v>51</v>
      </c>
      <c r="Q35" s="57">
        <f t="shared" si="3"/>
        <v>4</v>
      </c>
      <c r="R35" s="115">
        <f ca="1" t="shared" si="4"/>
        <v>10.2</v>
      </c>
    </row>
    <row r="36" ht="12.95" customHeight="1" spans="1:18">
      <c r="A36" s="20"/>
      <c r="B36" s="138" t="s">
        <v>554</v>
      </c>
      <c r="C36" s="27"/>
      <c r="D36" s="23" t="s">
        <v>555</v>
      </c>
      <c r="E36" s="28">
        <f>E5+E8+E9+E10+E19</f>
        <v>22</v>
      </c>
      <c r="F36" s="101">
        <v>1.46</v>
      </c>
      <c r="G36" s="102"/>
      <c r="H36" s="102"/>
      <c r="I36" s="122"/>
      <c r="J36" s="122"/>
      <c r="K36" s="122"/>
      <c r="L36" s="122"/>
      <c r="M36" s="122"/>
      <c r="N36" s="59" t="s">
        <v>1376</v>
      </c>
      <c r="O36" s="57">
        <v>20</v>
      </c>
      <c r="P36" s="125">
        <f ca="1" t="shared" si="2"/>
        <v>29.2</v>
      </c>
      <c r="Q36" s="57">
        <f t="shared" si="3"/>
        <v>2</v>
      </c>
      <c r="R36" s="125">
        <f ca="1" t="shared" si="4"/>
        <v>2.92</v>
      </c>
    </row>
    <row r="37" ht="12.95" customHeight="1" spans="1:18">
      <c r="A37" s="20"/>
      <c r="B37" s="138" t="s">
        <v>1575</v>
      </c>
      <c r="C37" s="27"/>
      <c r="D37" s="23" t="s">
        <v>555</v>
      </c>
      <c r="E37" s="28">
        <f>E24*2</f>
        <v>24</v>
      </c>
      <c r="F37" s="101">
        <v>1.46</v>
      </c>
      <c r="G37" s="102"/>
      <c r="H37" s="102"/>
      <c r="I37" s="122"/>
      <c r="J37" s="122"/>
      <c r="K37" s="122"/>
      <c r="L37" s="122"/>
      <c r="M37" s="122"/>
      <c r="N37" s="59" t="s">
        <v>1376</v>
      </c>
      <c r="O37" s="56">
        <v>24</v>
      </c>
      <c r="P37" s="115">
        <f ca="1" t="shared" si="2"/>
        <v>35.04</v>
      </c>
      <c r="Q37" s="57">
        <f t="shared" si="3"/>
        <v>0</v>
      </c>
      <c r="R37" s="115">
        <f ca="1" t="shared" si="4"/>
        <v>0</v>
      </c>
    </row>
    <row r="38" spans="2:18">
      <c r="B38" s="50" t="s">
        <v>1221</v>
      </c>
      <c r="C38" s="51"/>
      <c r="E38" s="3"/>
      <c r="F38" s="3"/>
      <c r="G38" s="3"/>
      <c r="H38" s="3"/>
      <c r="I38" s="3"/>
      <c r="J38" s="3"/>
      <c r="K38" s="3"/>
      <c r="L38" s="3"/>
      <c r="M38" s="3"/>
      <c r="O38" s="110" t="s">
        <v>1218</v>
      </c>
      <c r="P38" s="126">
        <f ca="1">SUM(P5:P37)</f>
        <v>60314.2738564256</v>
      </c>
      <c r="Q38" s="84" t="s">
        <v>1219</v>
      </c>
      <c r="R38" s="126">
        <f ca="1">SUM(R5:R37)</f>
        <v>22182.8076995456</v>
      </c>
    </row>
    <row r="39" spans="2:13">
      <c r="B39" s="50"/>
      <c r="C39" s="51"/>
      <c r="E39" s="3"/>
      <c r="F39" s="3"/>
      <c r="G39" s="3"/>
      <c r="H39" s="3"/>
      <c r="I39" s="3"/>
      <c r="J39" s="3"/>
      <c r="K39" s="3"/>
      <c r="L39" s="3"/>
      <c r="M39" s="3"/>
    </row>
    <row r="40" spans="2:14">
      <c r="B40" s="52"/>
      <c r="C40" s="52"/>
      <c r="F40" s="51"/>
      <c r="G40" s="51"/>
      <c r="H40" s="51"/>
      <c r="I40" s="51"/>
      <c r="J40" s="51"/>
      <c r="K40" s="51"/>
      <c r="L40" s="51"/>
      <c r="M40" s="51"/>
      <c r="N40" s="50"/>
    </row>
    <row r="41" spans="3:16">
      <c r="C41" s="50"/>
      <c r="F41" s="51"/>
      <c r="G41" s="51"/>
      <c r="H41" s="51"/>
      <c r="I41" s="51"/>
      <c r="J41" s="51"/>
      <c r="K41" s="51"/>
      <c r="L41" s="51"/>
      <c r="M41" s="51"/>
      <c r="N41" s="51"/>
      <c r="O41" s="127" t="s">
        <v>1576</v>
      </c>
      <c r="P41" s="84">
        <f ca="1">P38+R38</f>
        <v>82497.0815559712</v>
      </c>
    </row>
    <row r="42" spans="3:16">
      <c r="C42" s="50"/>
      <c r="F42" s="52"/>
      <c r="G42" s="52"/>
      <c r="H42" s="52"/>
      <c r="I42" s="52"/>
      <c r="J42" s="52"/>
      <c r="K42" s="52"/>
      <c r="L42" s="52"/>
      <c r="M42" s="52"/>
      <c r="N42" s="52"/>
      <c r="O42" s="127" t="s">
        <v>1577</v>
      </c>
      <c r="P42" s="84">
        <f ca="1">P41/E2</f>
        <v>274.990271853237</v>
      </c>
    </row>
  </sheetData>
  <mergeCells count="9">
    <mergeCell ref="A1:N1"/>
    <mergeCell ref="A2:C2"/>
    <mergeCell ref="G2:N2"/>
    <mergeCell ref="A3:B3"/>
    <mergeCell ref="H3:M3"/>
    <mergeCell ref="A5:A19"/>
    <mergeCell ref="A20:A29"/>
    <mergeCell ref="A30:A32"/>
    <mergeCell ref="A33:A37"/>
  </mergeCells>
  <pageMargins left="0.75" right="0.75" top="1" bottom="1" header="0.509027777777778" footer="0.509027777777778"/>
  <pageSetup paperSize="9" orientation="portrait"/>
  <headerFooter/>
</worksheet>
</file>

<file path=xl/worksheets/sheet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FFFF00"/>
  </sheetPr>
  <dimension ref="A1:X88"/>
  <sheetViews>
    <sheetView showGridLines="0" workbookViewId="0">
      <selection activeCell="F13" sqref="F13"/>
    </sheetView>
  </sheetViews>
  <sheetFormatPr defaultColWidth="9" defaultRowHeight="14.25"/>
  <cols>
    <col min="1" max="1" width="9" style="1"/>
    <col min="2" max="2" width="16.75" style="1" customWidth="1"/>
    <col min="3" max="4" width="10.125" style="1" customWidth="1"/>
    <col min="5" max="5" width="10.125" style="3" customWidth="1"/>
    <col min="6" max="6" width="10.5" style="3" customWidth="1"/>
    <col min="7" max="13" width="9.75" style="3" customWidth="1"/>
    <col min="14" max="14" width="70.875" style="1" customWidth="1"/>
    <col min="15" max="15" width="11.125" style="57" customWidth="1"/>
    <col min="16" max="16" width="14.125" style="57" customWidth="1"/>
    <col min="17" max="17" width="9.875" style="57" customWidth="1"/>
    <col min="18" max="18" width="15.25" style="57" customWidth="1"/>
    <col min="19" max="24" width="9" style="3"/>
    <col min="25" max="16384" width="9" style="1"/>
  </cols>
  <sheetData>
    <row r="1" ht="18.95" customHeight="1" spans="1:24">
      <c r="A1" s="78" t="s">
        <v>1578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84"/>
      <c r="P1" s="84"/>
      <c r="Q1" s="84"/>
      <c r="R1" s="84"/>
      <c r="S1" s="1"/>
      <c r="T1" s="1"/>
      <c r="U1" s="1"/>
      <c r="V1" s="1"/>
      <c r="W1" s="1"/>
      <c r="X1" s="1"/>
    </row>
    <row r="2" ht="15.95" customHeight="1" spans="1:24">
      <c r="A2" s="8" t="s">
        <v>1246</v>
      </c>
      <c r="B2" s="8"/>
      <c r="C2" s="8"/>
      <c r="D2" s="9" t="s">
        <v>1198</v>
      </c>
      <c r="E2" s="10">
        <f>A3*5*30</f>
        <v>300</v>
      </c>
      <c r="F2" s="11"/>
      <c r="G2" s="11"/>
      <c r="H2" s="11"/>
      <c r="I2" s="11"/>
      <c r="J2" s="11"/>
      <c r="K2" s="11"/>
      <c r="L2" s="11"/>
      <c r="M2" s="11"/>
      <c r="N2" s="11"/>
      <c r="O2" s="110"/>
      <c r="P2" s="84"/>
      <c r="Q2" s="84"/>
      <c r="R2" s="84"/>
      <c r="S2" s="1"/>
      <c r="T2" s="1"/>
      <c r="U2" s="1"/>
      <c r="V2" s="1"/>
      <c r="W2" s="1"/>
      <c r="X2" s="1"/>
    </row>
    <row r="3" ht="15.95" customHeight="1" spans="1:24">
      <c r="A3" s="12">
        <v>2</v>
      </c>
      <c r="B3" s="12"/>
      <c r="C3" s="9" t="s">
        <v>1247</v>
      </c>
      <c r="D3" s="13">
        <v>3</v>
      </c>
      <c r="E3" s="11" t="s">
        <v>1248</v>
      </c>
      <c r="F3" s="14">
        <v>2</v>
      </c>
      <c r="G3" s="9" t="s">
        <v>1540</v>
      </c>
      <c r="H3" s="88"/>
      <c r="I3" s="111"/>
      <c r="J3" s="111"/>
      <c r="K3" s="111"/>
      <c r="L3" s="111"/>
      <c r="M3" s="112"/>
      <c r="N3" s="11" t="s">
        <v>1249</v>
      </c>
      <c r="O3" s="110"/>
      <c r="P3" s="84"/>
      <c r="Q3" s="84"/>
      <c r="R3" s="84"/>
      <c r="S3" s="1"/>
      <c r="T3" s="1"/>
      <c r="U3" s="1"/>
      <c r="V3" s="1"/>
      <c r="W3" s="1"/>
      <c r="X3" s="1"/>
    </row>
    <row r="4" ht="20.1" customHeight="1" spans="1:18">
      <c r="A4" s="89" t="s">
        <v>1200</v>
      </c>
      <c r="B4" s="90" t="s">
        <v>1201</v>
      </c>
      <c r="C4" s="17" t="s">
        <v>1202</v>
      </c>
      <c r="D4" s="17" t="s">
        <v>22</v>
      </c>
      <c r="E4" s="17" t="s">
        <v>1203</v>
      </c>
      <c r="F4" s="17" t="s">
        <v>1204</v>
      </c>
      <c r="G4" s="19" t="s">
        <v>1205</v>
      </c>
      <c r="H4" s="17" t="s">
        <v>1253</v>
      </c>
      <c r="I4" s="17" t="s">
        <v>1254</v>
      </c>
      <c r="J4" s="17" t="s">
        <v>1255</v>
      </c>
      <c r="K4" s="17" t="s">
        <v>1209</v>
      </c>
      <c r="L4" s="17" t="s">
        <v>1420</v>
      </c>
      <c r="M4" s="17" t="s">
        <v>1211</v>
      </c>
      <c r="N4" s="113" t="s">
        <v>1257</v>
      </c>
      <c r="O4" s="14" t="s">
        <v>1212</v>
      </c>
      <c r="P4" s="57" t="s">
        <v>1213</v>
      </c>
      <c r="Q4" s="14" t="s">
        <v>1541</v>
      </c>
      <c r="R4" s="57" t="s">
        <v>1213</v>
      </c>
    </row>
    <row r="5" ht="15.95" customHeight="1" spans="1:18">
      <c r="A5" s="20" t="s">
        <v>1215</v>
      </c>
      <c r="B5" s="91" t="s">
        <v>1224</v>
      </c>
      <c r="C5" s="75"/>
      <c r="D5" s="27" t="s">
        <v>28</v>
      </c>
      <c r="E5" s="92">
        <f>D3*2</f>
        <v>6</v>
      </c>
      <c r="F5" s="93">
        <f ca="1" t="shared" ref="F5:F12" si="0">I5+J5+K5+L5+M5</f>
        <v>2203.25430732</v>
      </c>
      <c r="G5" s="94">
        <v>5.55</v>
      </c>
      <c r="H5" s="94">
        <v>8.233</v>
      </c>
      <c r="I5" s="61">
        <f ca="1">G5*H5*'30米（人字203料）参数 '!G3*1.1</f>
        <v>1138.34430732</v>
      </c>
      <c r="J5" s="93">
        <f ca="1">48.55*2+400</f>
        <v>497.1</v>
      </c>
      <c r="K5" s="93">
        <f ca="1">500+45.91</f>
        <v>545.91</v>
      </c>
      <c r="L5" s="93">
        <f t="shared" ref="L5:L10" si="1">2.55*4</f>
        <v>10.2</v>
      </c>
      <c r="M5" s="93">
        <f>18*0.65</f>
        <v>11.7</v>
      </c>
      <c r="N5" s="114" t="s">
        <v>1579</v>
      </c>
      <c r="O5" s="57">
        <v>4</v>
      </c>
      <c r="P5" s="115">
        <f ca="1" t="shared" ref="P5:P37" si="2">F5*O5</f>
        <v>8813.01722928</v>
      </c>
      <c r="Q5" s="57">
        <f t="shared" ref="Q5:Q37" si="3">E5-O5</f>
        <v>2</v>
      </c>
      <c r="R5" s="115">
        <f ca="1" t="shared" ref="R5:R37" si="4">F5*Q5</f>
        <v>4406.50861464</v>
      </c>
    </row>
    <row r="6" ht="15.95" customHeight="1" spans="1:18">
      <c r="A6" s="20"/>
      <c r="B6" s="91" t="s">
        <v>1543</v>
      </c>
      <c r="C6" s="27"/>
      <c r="D6" s="27" t="s">
        <v>28</v>
      </c>
      <c r="E6" s="92">
        <f>D3*2</f>
        <v>6</v>
      </c>
      <c r="F6" s="61">
        <f ca="1" t="shared" si="0"/>
        <v>1704.20272156</v>
      </c>
      <c r="G6" s="95">
        <v>8.15</v>
      </c>
      <c r="H6" s="95">
        <v>8.233</v>
      </c>
      <c r="I6" s="61">
        <f ca="1">G6*H6*'30米（人字203料）参数 '!G3*1.1</f>
        <v>1671.62272156</v>
      </c>
      <c r="J6" s="61">
        <f ca="1">2.5*6</f>
        <v>15</v>
      </c>
      <c r="K6" s="61">
        <v>11.58</v>
      </c>
      <c r="L6" s="61">
        <f>1*6</f>
        <v>6</v>
      </c>
      <c r="M6" s="61"/>
      <c r="N6" s="116" t="s">
        <v>1422</v>
      </c>
      <c r="O6" s="57">
        <v>4</v>
      </c>
      <c r="P6" s="115">
        <f ca="1" t="shared" si="2"/>
        <v>6816.81088624</v>
      </c>
      <c r="Q6" s="57">
        <f t="shared" si="3"/>
        <v>2</v>
      </c>
      <c r="R6" s="115">
        <f ca="1" t="shared" si="4"/>
        <v>3408.40544312</v>
      </c>
    </row>
    <row r="7" ht="15.95" customHeight="1" spans="1:18">
      <c r="A7" s="20"/>
      <c r="B7" s="91" t="s">
        <v>1544</v>
      </c>
      <c r="C7" s="27"/>
      <c r="D7" s="27" t="s">
        <v>28</v>
      </c>
      <c r="E7" s="92">
        <f>D3*2</f>
        <v>6</v>
      </c>
      <c r="F7" s="61">
        <f ca="1" t="shared" si="0"/>
        <v>2012.44725916</v>
      </c>
      <c r="G7" s="96">
        <v>8.15</v>
      </c>
      <c r="H7" s="96">
        <v>8.233</v>
      </c>
      <c r="I7" s="117">
        <f ca="1">G7*H7*'30米（人字203料）参数 '!G3*1.1</f>
        <v>1671.62272156</v>
      </c>
      <c r="J7" s="117">
        <f ca="1">2.5*6</f>
        <v>15</v>
      </c>
      <c r="K7" s="117">
        <f ca="1">1.5*8.233*'30米（人字203料）参数 '!G4*1.1</f>
        <v>314.7245376</v>
      </c>
      <c r="L7" s="117">
        <f>1*6</f>
        <v>6</v>
      </c>
      <c r="M7" s="118">
        <f>2.55*2</f>
        <v>5.1</v>
      </c>
      <c r="N7" s="119" t="s">
        <v>1545</v>
      </c>
      <c r="O7" s="57">
        <v>4</v>
      </c>
      <c r="P7" s="115">
        <f ca="1" t="shared" si="2"/>
        <v>8049.78903664</v>
      </c>
      <c r="Q7" s="57">
        <f t="shared" si="3"/>
        <v>2</v>
      </c>
      <c r="R7" s="115">
        <f ca="1" t="shared" si="4"/>
        <v>4024.89451832</v>
      </c>
    </row>
    <row r="8" ht="15.95" customHeight="1" spans="1:18">
      <c r="A8" s="20"/>
      <c r="B8" s="91" t="s">
        <v>1546</v>
      </c>
      <c r="C8" s="27"/>
      <c r="D8" s="27" t="s">
        <v>28</v>
      </c>
      <c r="E8" s="92">
        <f>F3*2</f>
        <v>4</v>
      </c>
      <c r="F8" s="61">
        <f ca="1" t="shared" si="0"/>
        <v>1068.7573672</v>
      </c>
      <c r="G8" s="97">
        <v>7.33</v>
      </c>
      <c r="H8" s="97">
        <v>5.3</v>
      </c>
      <c r="I8" s="25">
        <f ca="1">G8*H8*'30米（人字203料）参数 '!G3*1.1</f>
        <v>967.8373672</v>
      </c>
      <c r="J8" s="25"/>
      <c r="K8" s="101">
        <f ca="1">49.51+41.21</f>
        <v>90.72</v>
      </c>
      <c r="L8" s="101">
        <f t="shared" si="1"/>
        <v>10.2</v>
      </c>
      <c r="M8" s="25"/>
      <c r="N8" s="58" t="s">
        <v>1547</v>
      </c>
      <c r="O8" s="57">
        <v>4</v>
      </c>
      <c r="P8" s="115">
        <f ca="1" t="shared" si="2"/>
        <v>4275.0294688</v>
      </c>
      <c r="Q8" s="57">
        <f t="shared" si="3"/>
        <v>0</v>
      </c>
      <c r="R8" s="115">
        <f ca="1" t="shared" si="4"/>
        <v>0</v>
      </c>
    </row>
    <row r="9" ht="15.95" customHeight="1" spans="1:18">
      <c r="A9" s="20"/>
      <c r="B9" s="91" t="s">
        <v>1548</v>
      </c>
      <c r="C9" s="27"/>
      <c r="D9" s="27" t="s">
        <v>28</v>
      </c>
      <c r="E9" s="92">
        <f>F3*2</f>
        <v>4</v>
      </c>
      <c r="F9" s="61">
        <f ca="1" t="shared" si="0"/>
        <v>1273.4160192</v>
      </c>
      <c r="G9" s="97">
        <v>8.88</v>
      </c>
      <c r="H9" s="97">
        <v>5.3</v>
      </c>
      <c r="I9" s="25">
        <f ca="1">G9*H9*'30米（人字203料）参数 '!G3*1.1</f>
        <v>1172.4960192</v>
      </c>
      <c r="J9" s="25"/>
      <c r="K9" s="101">
        <f ca="1">49.51+41.21</f>
        <v>90.72</v>
      </c>
      <c r="L9" s="101">
        <f t="shared" si="1"/>
        <v>10.2</v>
      </c>
      <c r="M9" s="25"/>
      <c r="N9" s="58" t="s">
        <v>1549</v>
      </c>
      <c r="O9" s="57">
        <v>4</v>
      </c>
      <c r="P9" s="115">
        <f ca="1" t="shared" si="2"/>
        <v>5093.6640768</v>
      </c>
      <c r="Q9" s="57">
        <f t="shared" si="3"/>
        <v>0</v>
      </c>
      <c r="R9" s="115">
        <f ca="1" t="shared" si="4"/>
        <v>0</v>
      </c>
    </row>
    <row r="10" ht="15.95" customHeight="1" spans="1:18">
      <c r="A10" s="20"/>
      <c r="B10" s="91" t="s">
        <v>1550</v>
      </c>
      <c r="C10" s="27"/>
      <c r="D10" s="27" t="s">
        <v>28</v>
      </c>
      <c r="E10" s="92">
        <f>F3</f>
        <v>2</v>
      </c>
      <c r="F10" s="61">
        <f ca="1" t="shared" si="0"/>
        <v>1478.0746712</v>
      </c>
      <c r="G10" s="97">
        <v>10.43</v>
      </c>
      <c r="H10" s="97">
        <v>5.3</v>
      </c>
      <c r="I10" s="25">
        <f ca="1">G10*H10*'30米（人字203料）参数 '!G3*1.1</f>
        <v>1377.1546712</v>
      </c>
      <c r="J10" s="25"/>
      <c r="K10" s="101">
        <f ca="1">49.51+41.21</f>
        <v>90.72</v>
      </c>
      <c r="L10" s="101">
        <f t="shared" si="1"/>
        <v>10.2</v>
      </c>
      <c r="M10" s="25"/>
      <c r="N10" s="58" t="s">
        <v>1551</v>
      </c>
      <c r="O10" s="57">
        <v>2</v>
      </c>
      <c r="P10" s="115">
        <f ca="1" t="shared" si="2"/>
        <v>2956.1493424</v>
      </c>
      <c r="Q10" s="57">
        <f t="shared" si="3"/>
        <v>0</v>
      </c>
      <c r="R10" s="115">
        <f ca="1" t="shared" si="4"/>
        <v>0</v>
      </c>
    </row>
    <row r="11" ht="15.95" customHeight="1" spans="1:18">
      <c r="A11" s="20"/>
      <c r="B11" s="91" t="s">
        <v>1226</v>
      </c>
      <c r="C11" s="27"/>
      <c r="D11" s="27" t="s">
        <v>28</v>
      </c>
      <c r="E11" s="92">
        <f>A3*10</f>
        <v>20</v>
      </c>
      <c r="F11" s="61">
        <f ca="1" t="shared" si="0"/>
        <v>336.5448493136</v>
      </c>
      <c r="G11" s="97">
        <v>4.882</v>
      </c>
      <c r="H11" s="97">
        <v>2.771</v>
      </c>
      <c r="I11" s="25">
        <f ca="1">G11*H11*'30米（人字203料）参数 '!G5*1.1</f>
        <v>321.5448493136</v>
      </c>
      <c r="J11" s="25"/>
      <c r="K11" s="25"/>
      <c r="L11" s="101">
        <f>0.5*4</f>
        <v>2</v>
      </c>
      <c r="M11" s="101">
        <f>6.5*2</f>
        <v>13</v>
      </c>
      <c r="N11" s="59" t="s">
        <v>1552</v>
      </c>
      <c r="O11" s="57">
        <v>10</v>
      </c>
      <c r="P11" s="115">
        <f ca="1" t="shared" si="2"/>
        <v>3365.448493136</v>
      </c>
      <c r="Q11" s="57">
        <f t="shared" si="3"/>
        <v>10</v>
      </c>
      <c r="R11" s="115">
        <f ca="1" t="shared" si="4"/>
        <v>3365.448493136</v>
      </c>
    </row>
    <row r="12" ht="15.95" customHeight="1" spans="1:18">
      <c r="A12" s="20"/>
      <c r="B12" s="91" t="s">
        <v>1264</v>
      </c>
      <c r="C12" s="27"/>
      <c r="D12" s="27" t="s">
        <v>28</v>
      </c>
      <c r="E12" s="92">
        <f>A3*3+F3*4</f>
        <v>14</v>
      </c>
      <c r="F12" s="61">
        <f ca="1" t="shared" si="0"/>
        <v>195.0929650432</v>
      </c>
      <c r="G12" s="97">
        <v>4.882</v>
      </c>
      <c r="H12" s="97">
        <v>1.552</v>
      </c>
      <c r="I12" s="25">
        <f ca="1">G12*H12*'30米（人字203料）参数 '!G5*1.1</f>
        <v>180.0929650432</v>
      </c>
      <c r="J12" s="25"/>
      <c r="K12" s="25"/>
      <c r="L12" s="101">
        <f>0.5*4</f>
        <v>2</v>
      </c>
      <c r="M12" s="101">
        <f>6.5*2</f>
        <v>13</v>
      </c>
      <c r="N12" s="120" t="s">
        <v>1553</v>
      </c>
      <c r="O12" s="57">
        <v>11</v>
      </c>
      <c r="P12" s="115">
        <f ca="1" t="shared" si="2"/>
        <v>2146.0226154752</v>
      </c>
      <c r="Q12" s="57">
        <f t="shared" si="3"/>
        <v>3</v>
      </c>
      <c r="R12" s="115">
        <f ca="1" t="shared" si="4"/>
        <v>585.2788951296</v>
      </c>
    </row>
    <row r="13" ht="15.95" customHeight="1" spans="1:18">
      <c r="A13" s="20"/>
      <c r="B13" s="91" t="s">
        <v>1266</v>
      </c>
      <c r="C13" s="27"/>
      <c r="D13" s="27" t="s">
        <v>28</v>
      </c>
      <c r="E13" s="92">
        <f>A3*2+F3*6</f>
        <v>16</v>
      </c>
      <c r="F13" s="61">
        <f ca="1">'数据修改（批量）'!A28</f>
        <v>95</v>
      </c>
      <c r="G13" s="97">
        <v>4.86</v>
      </c>
      <c r="H13" s="97">
        <v>1.345</v>
      </c>
      <c r="I13" s="25">
        <f ca="1">G13*H13*'30米（人字203料）参数 '!G5*1.1</f>
        <v>155.36951496</v>
      </c>
      <c r="J13" s="25"/>
      <c r="K13" s="25"/>
      <c r="L13" s="25"/>
      <c r="M13" s="25"/>
      <c r="N13" s="59" t="s">
        <v>1554</v>
      </c>
      <c r="O13" s="57">
        <v>14</v>
      </c>
      <c r="P13" s="115">
        <f ca="1" t="shared" si="2"/>
        <v>1330</v>
      </c>
      <c r="Q13" s="57">
        <f t="shared" si="3"/>
        <v>2</v>
      </c>
      <c r="R13" s="115">
        <f ca="1" t="shared" si="4"/>
        <v>190</v>
      </c>
    </row>
    <row r="14" ht="15.95" customHeight="1" spans="1:18">
      <c r="A14" s="20"/>
      <c r="B14" s="91" t="s">
        <v>1276</v>
      </c>
      <c r="C14" s="27"/>
      <c r="D14" s="27" t="s">
        <v>28</v>
      </c>
      <c r="E14" s="98">
        <f>F3*2</f>
        <v>4</v>
      </c>
      <c r="F14" s="61">
        <f ca="1" t="shared" ref="F14:F19" si="5">I14+J14+K14+L14+M14</f>
        <v>348.2448493136</v>
      </c>
      <c r="G14" s="97">
        <v>4.882</v>
      </c>
      <c r="H14" s="97">
        <v>2.771</v>
      </c>
      <c r="I14" s="25">
        <f ca="1">G14*H14*'30米（人字203料）参数 '!G5*1.1</f>
        <v>321.5448493136</v>
      </c>
      <c r="J14" s="25"/>
      <c r="K14" s="61">
        <v>15</v>
      </c>
      <c r="L14" s="61">
        <f>8*0.65</f>
        <v>5.2</v>
      </c>
      <c r="M14" s="61">
        <v>6.5</v>
      </c>
      <c r="N14" s="59" t="s">
        <v>1555</v>
      </c>
      <c r="O14" s="57">
        <v>4</v>
      </c>
      <c r="P14" s="115">
        <f ca="1" t="shared" si="2"/>
        <v>1392.9793972544</v>
      </c>
      <c r="Q14" s="57">
        <f t="shared" si="3"/>
        <v>0</v>
      </c>
      <c r="R14" s="115">
        <f ca="1" t="shared" si="4"/>
        <v>0</v>
      </c>
    </row>
    <row r="15" ht="15.95" customHeight="1" spans="1:18">
      <c r="A15" s="20"/>
      <c r="B15" s="91" t="s">
        <v>1356</v>
      </c>
      <c r="C15" s="27"/>
      <c r="D15" s="27" t="s">
        <v>28</v>
      </c>
      <c r="E15" s="98">
        <f>F3</f>
        <v>2</v>
      </c>
      <c r="F15" s="61">
        <f ca="1" t="shared" si="5"/>
        <v>154.4972</v>
      </c>
      <c r="G15" s="97">
        <v>6.5</v>
      </c>
      <c r="H15" s="97">
        <v>1</v>
      </c>
      <c r="I15" s="25">
        <f ca="1">G15*H15*'30米（人字203料）参数 '!G5*1.1</f>
        <v>154.4972</v>
      </c>
      <c r="J15" s="25"/>
      <c r="K15" s="25"/>
      <c r="L15" s="25"/>
      <c r="M15" s="25"/>
      <c r="N15" s="60" t="s">
        <v>1556</v>
      </c>
      <c r="O15" s="57">
        <v>2</v>
      </c>
      <c r="P15" s="115">
        <f ca="1" t="shared" si="2"/>
        <v>308.9944</v>
      </c>
      <c r="Q15" s="57">
        <f t="shared" si="3"/>
        <v>0</v>
      </c>
      <c r="R15" s="115">
        <f ca="1" t="shared" si="4"/>
        <v>0</v>
      </c>
    </row>
    <row r="16" ht="15.95" customHeight="1" spans="1:18">
      <c r="A16" s="20"/>
      <c r="B16" s="91" t="s">
        <v>1274</v>
      </c>
      <c r="C16" s="27"/>
      <c r="D16" s="27" t="s">
        <v>28</v>
      </c>
      <c r="E16" s="92">
        <f>E32</f>
        <v>16</v>
      </c>
      <c r="F16" s="61">
        <f ca="1" t="shared" si="5"/>
        <v>22</v>
      </c>
      <c r="G16" s="99"/>
      <c r="H16" s="99"/>
      <c r="I16" s="121"/>
      <c r="J16" s="121"/>
      <c r="K16" s="121">
        <v>20</v>
      </c>
      <c r="L16" s="121">
        <f>1*2</f>
        <v>2</v>
      </c>
      <c r="M16" s="121"/>
      <c r="N16" s="66" t="s">
        <v>1557</v>
      </c>
      <c r="O16" s="57">
        <v>14</v>
      </c>
      <c r="P16" s="115">
        <f ca="1" t="shared" si="2"/>
        <v>308</v>
      </c>
      <c r="Q16" s="57">
        <f t="shared" si="3"/>
        <v>2</v>
      </c>
      <c r="R16" s="115">
        <f ca="1" t="shared" si="4"/>
        <v>44</v>
      </c>
    </row>
    <row r="17" ht="15.95" customHeight="1" spans="1:18">
      <c r="A17" s="20"/>
      <c r="B17" s="91" t="s">
        <v>1448</v>
      </c>
      <c r="C17" s="27"/>
      <c r="D17" s="27" t="s">
        <v>28</v>
      </c>
      <c r="E17" s="98">
        <f>D3*2-F3*2</f>
        <v>2</v>
      </c>
      <c r="F17" s="29">
        <f ca="1" t="shared" si="5"/>
        <v>259</v>
      </c>
      <c r="G17" s="26"/>
      <c r="H17" s="26"/>
      <c r="I17" s="29">
        <f>128*1.5</f>
        <v>192</v>
      </c>
      <c r="J17" s="29"/>
      <c r="K17" s="29">
        <f>2.5*2</f>
        <v>5</v>
      </c>
      <c r="L17" s="29">
        <f>21*2</f>
        <v>42</v>
      </c>
      <c r="M17" s="29">
        <v>20</v>
      </c>
      <c r="N17" s="58" t="s">
        <v>1558</v>
      </c>
      <c r="O17" s="57">
        <v>0</v>
      </c>
      <c r="P17" s="115">
        <f ca="1" t="shared" si="2"/>
        <v>0</v>
      </c>
      <c r="Q17" s="57">
        <f t="shared" si="3"/>
        <v>2</v>
      </c>
      <c r="R17" s="115">
        <f ca="1" t="shared" si="4"/>
        <v>518</v>
      </c>
    </row>
    <row r="18" ht="15.95" customHeight="1" spans="1:18">
      <c r="A18" s="20"/>
      <c r="B18" s="91" t="s">
        <v>1559</v>
      </c>
      <c r="C18" s="27"/>
      <c r="D18" s="27" t="s">
        <v>28</v>
      </c>
      <c r="E18" s="98">
        <f>D3-F3</f>
        <v>1</v>
      </c>
      <c r="F18" s="29">
        <f ca="1" t="shared" si="5"/>
        <v>259</v>
      </c>
      <c r="G18" s="26"/>
      <c r="H18" s="26"/>
      <c r="I18" s="29">
        <f>128*1.5</f>
        <v>192</v>
      </c>
      <c r="J18" s="29"/>
      <c r="K18" s="29">
        <f>2.5*2</f>
        <v>5</v>
      </c>
      <c r="L18" s="29">
        <f>21*2</f>
        <v>42</v>
      </c>
      <c r="M18" s="29">
        <v>20</v>
      </c>
      <c r="N18" s="58" t="s">
        <v>1558</v>
      </c>
      <c r="O18" s="57">
        <v>0</v>
      </c>
      <c r="P18" s="115">
        <f ca="1" t="shared" si="2"/>
        <v>0</v>
      </c>
      <c r="Q18" s="57">
        <f t="shared" si="3"/>
        <v>1</v>
      </c>
      <c r="R18" s="115">
        <f ca="1" t="shared" si="4"/>
        <v>259</v>
      </c>
    </row>
    <row r="19" ht="15.95" customHeight="1" spans="1:18">
      <c r="A19" s="20"/>
      <c r="B19" s="91" t="s">
        <v>1560</v>
      </c>
      <c r="C19" s="27"/>
      <c r="D19" s="27" t="s">
        <v>28</v>
      </c>
      <c r="E19" s="100">
        <v>6</v>
      </c>
      <c r="F19" s="29">
        <f ca="1" t="shared" si="5"/>
        <v>237</v>
      </c>
      <c r="G19" s="26"/>
      <c r="H19" s="26"/>
      <c r="I19" s="29">
        <f>108*2</f>
        <v>216</v>
      </c>
      <c r="J19" s="29"/>
      <c r="K19" s="29">
        <v>6</v>
      </c>
      <c r="L19" s="29">
        <v>10</v>
      </c>
      <c r="M19" s="29">
        <v>5</v>
      </c>
      <c r="N19" s="60" t="s">
        <v>1561</v>
      </c>
      <c r="O19" s="57">
        <v>4</v>
      </c>
      <c r="P19" s="115">
        <f ca="1" t="shared" si="2"/>
        <v>948</v>
      </c>
      <c r="Q19" s="57">
        <f t="shared" si="3"/>
        <v>2</v>
      </c>
      <c r="R19" s="115">
        <f ca="1" t="shared" si="4"/>
        <v>474</v>
      </c>
    </row>
    <row r="20" ht="15.95" customHeight="1" spans="1:18">
      <c r="A20" s="20" t="s">
        <v>1562</v>
      </c>
      <c r="B20" s="91" t="s">
        <v>1304</v>
      </c>
      <c r="C20" s="27"/>
      <c r="D20" s="27" t="s">
        <v>434</v>
      </c>
      <c r="E20" s="92">
        <f>D3</f>
        <v>3</v>
      </c>
      <c r="F20" s="101">
        <v>180.62</v>
      </c>
      <c r="G20" s="40"/>
      <c r="H20" s="40"/>
      <c r="I20" s="41"/>
      <c r="J20" s="41"/>
      <c r="K20" s="41"/>
      <c r="L20" s="41"/>
      <c r="M20" s="41"/>
      <c r="N20" s="66" t="s">
        <v>1361</v>
      </c>
      <c r="O20" s="57">
        <v>2</v>
      </c>
      <c r="P20" s="115">
        <f ca="1" t="shared" si="2"/>
        <v>361.24</v>
      </c>
      <c r="Q20" s="57">
        <f t="shared" si="3"/>
        <v>1</v>
      </c>
      <c r="R20" s="115">
        <f ca="1" t="shared" si="4"/>
        <v>180.62</v>
      </c>
    </row>
    <row r="21" ht="15.95" customHeight="1" spans="1:18">
      <c r="A21" s="20"/>
      <c r="B21" s="91" t="s">
        <v>1310</v>
      </c>
      <c r="C21" s="27"/>
      <c r="D21" s="27" t="s">
        <v>434</v>
      </c>
      <c r="E21" s="92">
        <f>F3*5</f>
        <v>10</v>
      </c>
      <c r="F21" s="101">
        <v>76.4</v>
      </c>
      <c r="G21" s="102"/>
      <c r="H21" s="102"/>
      <c r="I21" s="122"/>
      <c r="J21" s="122"/>
      <c r="K21" s="122"/>
      <c r="L21" s="122"/>
      <c r="M21" s="122"/>
      <c r="N21" s="59" t="s">
        <v>1361</v>
      </c>
      <c r="O21" s="57">
        <v>10</v>
      </c>
      <c r="P21" s="115">
        <f ca="1" t="shared" si="2"/>
        <v>764</v>
      </c>
      <c r="Q21" s="57">
        <f t="shared" si="3"/>
        <v>0</v>
      </c>
      <c r="R21" s="115">
        <f ca="1" t="shared" si="4"/>
        <v>0</v>
      </c>
    </row>
    <row r="22" ht="15.95" customHeight="1" spans="1:18">
      <c r="A22" s="20"/>
      <c r="B22" s="91" t="s">
        <v>1280</v>
      </c>
      <c r="C22" s="27"/>
      <c r="D22" s="27" t="s">
        <v>434</v>
      </c>
      <c r="E22" s="98">
        <f>E5</f>
        <v>6</v>
      </c>
      <c r="F22" s="61">
        <v>85.93</v>
      </c>
      <c r="G22" s="103"/>
      <c r="H22" s="103"/>
      <c r="I22" s="61"/>
      <c r="J22" s="61"/>
      <c r="K22" s="61"/>
      <c r="L22" s="61"/>
      <c r="M22" s="61"/>
      <c r="N22" s="66" t="s">
        <v>1361</v>
      </c>
      <c r="O22" s="57">
        <v>4</v>
      </c>
      <c r="P22" s="115">
        <f ca="1" t="shared" si="2"/>
        <v>343.72</v>
      </c>
      <c r="Q22" s="57">
        <f t="shared" si="3"/>
        <v>2</v>
      </c>
      <c r="R22" s="115">
        <f ca="1" t="shared" si="4"/>
        <v>171.86</v>
      </c>
    </row>
    <row r="23" ht="15.95" customHeight="1" spans="1:18">
      <c r="A23" s="20"/>
      <c r="B23" s="91" t="s">
        <v>1563</v>
      </c>
      <c r="C23" s="27"/>
      <c r="D23" s="27" t="s">
        <v>1564</v>
      </c>
      <c r="E23" s="98">
        <f>D3*2</f>
        <v>6</v>
      </c>
      <c r="F23" s="61">
        <f>I23+J23+K23+L23+M23</f>
        <v>42.72575</v>
      </c>
      <c r="G23" s="104">
        <v>0.965</v>
      </c>
      <c r="H23" s="104">
        <v>0.15</v>
      </c>
      <c r="I23" s="123">
        <f>G23*H23*8*7.85*2.5</f>
        <v>22.72575</v>
      </c>
      <c r="J23" s="123"/>
      <c r="K23" s="123">
        <v>10</v>
      </c>
      <c r="L23" s="123">
        <v>8</v>
      </c>
      <c r="M23" s="123">
        <v>2</v>
      </c>
      <c r="N23" s="124" t="s">
        <v>1565</v>
      </c>
      <c r="O23" s="57">
        <v>4</v>
      </c>
      <c r="P23" s="115">
        <f ca="1" t="shared" si="2"/>
        <v>170.903</v>
      </c>
      <c r="Q23" s="57">
        <f t="shared" si="3"/>
        <v>2</v>
      </c>
      <c r="R23" s="115">
        <f ca="1" t="shared" si="4"/>
        <v>85.4515</v>
      </c>
    </row>
    <row r="24" ht="15.95" customHeight="1" spans="1:18">
      <c r="A24" s="20"/>
      <c r="B24" s="91" t="s">
        <v>1339</v>
      </c>
      <c r="C24" s="27"/>
      <c r="D24" s="27" t="s">
        <v>28</v>
      </c>
      <c r="E24" s="105">
        <f>E19*2</f>
        <v>12</v>
      </c>
      <c r="F24" s="101">
        <v>91.3</v>
      </c>
      <c r="G24" s="102"/>
      <c r="H24" s="102"/>
      <c r="I24" s="122"/>
      <c r="J24" s="122"/>
      <c r="K24" s="122"/>
      <c r="L24" s="122"/>
      <c r="M24" s="122"/>
      <c r="N24" s="59" t="s">
        <v>1566</v>
      </c>
      <c r="O24" s="57">
        <v>8</v>
      </c>
      <c r="P24" s="115">
        <f ca="1" t="shared" si="2"/>
        <v>730.4</v>
      </c>
      <c r="Q24" s="57">
        <f t="shared" si="3"/>
        <v>4</v>
      </c>
      <c r="R24" s="115">
        <f ca="1" t="shared" si="4"/>
        <v>365.2</v>
      </c>
    </row>
    <row r="25" ht="15.95" customHeight="1" spans="1:18">
      <c r="A25" s="20"/>
      <c r="B25" s="106" t="s">
        <v>522</v>
      </c>
      <c r="C25" s="27"/>
      <c r="D25" s="27" t="s">
        <v>434</v>
      </c>
      <c r="E25" s="105">
        <f>E24*2</f>
        <v>24</v>
      </c>
      <c r="F25" s="34">
        <v>9.65</v>
      </c>
      <c r="G25" s="107"/>
      <c r="H25" s="107"/>
      <c r="I25" s="79"/>
      <c r="J25" s="79"/>
      <c r="K25" s="79"/>
      <c r="L25" s="79"/>
      <c r="M25" s="79"/>
      <c r="N25" s="60" t="s">
        <v>1567</v>
      </c>
      <c r="O25" s="57">
        <v>16</v>
      </c>
      <c r="P25" s="115">
        <f ca="1" t="shared" si="2"/>
        <v>154.4</v>
      </c>
      <c r="Q25" s="57">
        <f t="shared" si="3"/>
        <v>8</v>
      </c>
      <c r="R25" s="115">
        <f ca="1" t="shared" si="4"/>
        <v>77.2</v>
      </c>
    </row>
    <row r="26" ht="15.95" customHeight="1" spans="1:18">
      <c r="A26" s="20"/>
      <c r="B26" s="91" t="s">
        <v>1282</v>
      </c>
      <c r="C26" s="27"/>
      <c r="D26" s="27" t="s">
        <v>434</v>
      </c>
      <c r="E26" s="92">
        <f>D3*2+F3*5</f>
        <v>16</v>
      </c>
      <c r="F26" s="101">
        <v>4.45</v>
      </c>
      <c r="G26" s="102"/>
      <c r="H26" s="102"/>
      <c r="I26" s="122"/>
      <c r="J26" s="122"/>
      <c r="K26" s="122"/>
      <c r="L26" s="122"/>
      <c r="M26" s="122"/>
      <c r="N26" s="66" t="s">
        <v>1361</v>
      </c>
      <c r="O26" s="57">
        <v>14</v>
      </c>
      <c r="P26" s="115">
        <f ca="1" t="shared" si="2"/>
        <v>62.3</v>
      </c>
      <c r="Q26" s="57">
        <f t="shared" si="3"/>
        <v>2</v>
      </c>
      <c r="R26" s="115">
        <f ca="1" t="shared" si="4"/>
        <v>8.9</v>
      </c>
    </row>
    <row r="27" ht="15.95" customHeight="1" spans="1:18">
      <c r="A27" s="20"/>
      <c r="B27" s="91" t="s">
        <v>1284</v>
      </c>
      <c r="C27" s="27"/>
      <c r="D27" s="27" t="s">
        <v>434</v>
      </c>
      <c r="E27" s="92">
        <f>D3*2</f>
        <v>6</v>
      </c>
      <c r="F27" s="101">
        <v>6.51</v>
      </c>
      <c r="G27" s="102"/>
      <c r="H27" s="102"/>
      <c r="I27" s="122"/>
      <c r="J27" s="122"/>
      <c r="K27" s="122"/>
      <c r="L27" s="122"/>
      <c r="M27" s="122"/>
      <c r="N27" s="59" t="s">
        <v>1361</v>
      </c>
      <c r="O27" s="57">
        <v>4</v>
      </c>
      <c r="P27" s="115">
        <f ca="1" t="shared" si="2"/>
        <v>26.04</v>
      </c>
      <c r="Q27" s="57">
        <f t="shared" si="3"/>
        <v>2</v>
      </c>
      <c r="R27" s="115">
        <f ca="1" t="shared" si="4"/>
        <v>13.02</v>
      </c>
    </row>
    <row r="28" ht="15.95" customHeight="1" spans="1:18">
      <c r="A28" s="20"/>
      <c r="B28" s="91" t="s">
        <v>519</v>
      </c>
      <c r="C28" s="27"/>
      <c r="D28" s="27" t="s">
        <v>434</v>
      </c>
      <c r="E28" s="92">
        <f>F3*2</f>
        <v>4</v>
      </c>
      <c r="F28" s="101">
        <v>6.5</v>
      </c>
      <c r="G28" s="40"/>
      <c r="H28" s="40"/>
      <c r="I28" s="41"/>
      <c r="J28" s="41"/>
      <c r="K28" s="41"/>
      <c r="L28" s="41"/>
      <c r="M28" s="41"/>
      <c r="N28" s="66" t="s">
        <v>1361</v>
      </c>
      <c r="O28" s="57">
        <v>4</v>
      </c>
      <c r="P28" s="115">
        <f ca="1" t="shared" si="2"/>
        <v>26</v>
      </c>
      <c r="Q28" s="57">
        <f t="shared" si="3"/>
        <v>0</v>
      </c>
      <c r="R28" s="115">
        <f ca="1" t="shared" si="4"/>
        <v>0</v>
      </c>
    </row>
    <row r="29" ht="15.95" customHeight="1" spans="1:18">
      <c r="A29" s="20"/>
      <c r="B29" s="91" t="s">
        <v>551</v>
      </c>
      <c r="C29" s="27"/>
      <c r="D29" s="27" t="s">
        <v>434</v>
      </c>
      <c r="E29" s="92">
        <f>F3*5</f>
        <v>10</v>
      </c>
      <c r="F29" s="41">
        <v>15.5</v>
      </c>
      <c r="G29" s="40"/>
      <c r="H29" s="40"/>
      <c r="I29" s="41"/>
      <c r="J29" s="41"/>
      <c r="K29" s="41"/>
      <c r="L29" s="41"/>
      <c r="M29" s="41"/>
      <c r="N29" s="66" t="s">
        <v>1456</v>
      </c>
      <c r="O29" s="57">
        <v>10</v>
      </c>
      <c r="P29" s="115">
        <f ca="1" t="shared" si="2"/>
        <v>155</v>
      </c>
      <c r="Q29" s="57">
        <f t="shared" si="3"/>
        <v>0</v>
      </c>
      <c r="R29" s="115">
        <f ca="1" t="shared" si="4"/>
        <v>0</v>
      </c>
    </row>
    <row r="30" ht="15.95" customHeight="1" spans="1:18">
      <c r="A30" s="20" t="s">
        <v>1216</v>
      </c>
      <c r="B30" s="91" t="s">
        <v>1568</v>
      </c>
      <c r="C30" s="27"/>
      <c r="D30" s="27" t="s">
        <v>612</v>
      </c>
      <c r="E30" s="92">
        <f>A3</f>
        <v>2</v>
      </c>
      <c r="F30" s="108">
        <f ca="1">I30+J30+K30+L30+M30</f>
        <v>3573.8</v>
      </c>
      <c r="G30" s="26">
        <v>33.4</v>
      </c>
      <c r="H30" s="26">
        <v>5</v>
      </c>
      <c r="I30" s="29">
        <f ca="1">G30*H30*'30米（人字203料）参数 '!D16*1.1</f>
        <v>3306.6</v>
      </c>
      <c r="J30" s="29">
        <f>33.4*2*4</f>
        <v>267.2</v>
      </c>
      <c r="K30" s="29"/>
      <c r="L30" s="29"/>
      <c r="M30" s="29"/>
      <c r="N30" s="67" t="s">
        <v>1569</v>
      </c>
      <c r="O30" s="57">
        <v>1</v>
      </c>
      <c r="P30" s="115">
        <f ca="1" t="shared" si="2"/>
        <v>3573.8</v>
      </c>
      <c r="Q30" s="57">
        <f t="shared" si="3"/>
        <v>1</v>
      </c>
      <c r="R30" s="115">
        <f ca="1" t="shared" si="4"/>
        <v>3573.8</v>
      </c>
    </row>
    <row r="31" ht="15.95" customHeight="1" spans="1:18">
      <c r="A31" s="20"/>
      <c r="B31" s="91" t="s">
        <v>1570</v>
      </c>
      <c r="C31" s="27"/>
      <c r="D31" s="27" t="s">
        <v>664</v>
      </c>
      <c r="E31" s="92">
        <f>F3</f>
        <v>2</v>
      </c>
      <c r="F31" s="108">
        <f ca="1">I31+J31+K31+L31+M31</f>
        <v>1979.31592</v>
      </c>
      <c r="G31" s="26">
        <v>15.32</v>
      </c>
      <c r="H31" s="26">
        <v>5.97</v>
      </c>
      <c r="I31" s="29">
        <f ca="1">G31*H31*'30米（人字203料）参数 '!D16*1.1</f>
        <v>1810.91592</v>
      </c>
      <c r="J31" s="69">
        <f>42.1*4</f>
        <v>168.4</v>
      </c>
      <c r="K31" s="69"/>
      <c r="L31" s="69"/>
      <c r="M31" s="69"/>
      <c r="N31" s="70" t="s">
        <v>1571</v>
      </c>
      <c r="O31" s="57">
        <v>2</v>
      </c>
      <c r="P31" s="115">
        <f ca="1" t="shared" si="2"/>
        <v>3958.63184</v>
      </c>
      <c r="Q31" s="57">
        <f t="shared" si="3"/>
        <v>0</v>
      </c>
      <c r="R31" s="115">
        <f ca="1" t="shared" si="4"/>
        <v>0</v>
      </c>
    </row>
    <row r="32" ht="15.95" customHeight="1" spans="1:18">
      <c r="A32" s="31"/>
      <c r="B32" s="91" t="s">
        <v>1572</v>
      </c>
      <c r="C32" s="27"/>
      <c r="D32" s="27" t="s">
        <v>664</v>
      </c>
      <c r="E32" s="92">
        <f>A3*2+F3*6</f>
        <v>16</v>
      </c>
      <c r="F32" s="108">
        <f ca="1">I32+J32+K32+L32+M32</f>
        <v>531.6432</v>
      </c>
      <c r="G32" s="26">
        <v>6.2</v>
      </c>
      <c r="H32" s="26">
        <v>5.2</v>
      </c>
      <c r="I32" s="29">
        <f ca="1">G32*H32*'30米（人字203料）参数 '!D14*1.1</f>
        <v>489.4032</v>
      </c>
      <c r="J32" s="71">
        <f>6.1*2</f>
        <v>12.2</v>
      </c>
      <c r="K32" s="71">
        <f>0.5*10</f>
        <v>5</v>
      </c>
      <c r="L32" s="71">
        <f>0.32*22</f>
        <v>7.04</v>
      </c>
      <c r="M32" s="71">
        <f>18*1</f>
        <v>18</v>
      </c>
      <c r="N32" s="60" t="s">
        <v>1580</v>
      </c>
      <c r="O32" s="57">
        <v>14</v>
      </c>
      <c r="P32" s="115">
        <f ca="1" t="shared" si="2"/>
        <v>7443.0048</v>
      </c>
      <c r="Q32" s="57">
        <f t="shared" si="3"/>
        <v>2</v>
      </c>
      <c r="R32" s="115">
        <f ca="1" t="shared" si="4"/>
        <v>1063.2864</v>
      </c>
    </row>
    <row r="33" ht="15.95" customHeight="1" spans="1:24">
      <c r="A33" s="20" t="s">
        <v>1235</v>
      </c>
      <c r="B33" s="109" t="s">
        <v>1574</v>
      </c>
      <c r="C33" s="27"/>
      <c r="D33" s="23" t="s">
        <v>434</v>
      </c>
      <c r="E33" s="24">
        <f>D3*8</f>
        <v>24</v>
      </c>
      <c r="F33" s="39">
        <v>1.95</v>
      </c>
      <c r="G33" s="40"/>
      <c r="H33" s="40"/>
      <c r="I33" s="41"/>
      <c r="J33" s="41"/>
      <c r="K33" s="41"/>
      <c r="L33" s="41"/>
      <c r="M33" s="41"/>
      <c r="N33" s="59" t="s">
        <v>1375</v>
      </c>
      <c r="O33" s="57">
        <v>16</v>
      </c>
      <c r="P33" s="115">
        <f ca="1" t="shared" si="2"/>
        <v>31.2</v>
      </c>
      <c r="Q33" s="57">
        <f t="shared" si="3"/>
        <v>8</v>
      </c>
      <c r="R33" s="115">
        <f ca="1" t="shared" si="4"/>
        <v>15.6</v>
      </c>
      <c r="S33" s="1"/>
      <c r="T33" s="1"/>
      <c r="U33" s="1"/>
      <c r="V33" s="1"/>
      <c r="W33" s="1"/>
      <c r="X33" s="1"/>
    </row>
    <row r="34" ht="15.95" customHeight="1" spans="1:24">
      <c r="A34" s="20"/>
      <c r="B34" s="109" t="s">
        <v>1581</v>
      </c>
      <c r="C34" s="27"/>
      <c r="D34" s="23" t="s">
        <v>434</v>
      </c>
      <c r="E34" s="24">
        <f>D3*22+E19*2</f>
        <v>78</v>
      </c>
      <c r="F34" s="101">
        <v>2.15</v>
      </c>
      <c r="G34" s="102"/>
      <c r="H34" s="102"/>
      <c r="I34" s="122"/>
      <c r="J34" s="122"/>
      <c r="K34" s="122"/>
      <c r="L34" s="122"/>
      <c r="M34" s="122"/>
      <c r="N34" s="59" t="s">
        <v>1372</v>
      </c>
      <c r="O34" s="57">
        <v>56</v>
      </c>
      <c r="P34" s="115">
        <f ca="1" t="shared" si="2"/>
        <v>120.4</v>
      </c>
      <c r="Q34" s="57">
        <f t="shared" si="3"/>
        <v>22</v>
      </c>
      <c r="R34" s="115">
        <f ca="1" t="shared" si="4"/>
        <v>47.3</v>
      </c>
      <c r="S34" s="1"/>
      <c r="T34" s="1"/>
      <c r="U34" s="1"/>
      <c r="V34" s="1"/>
      <c r="W34" s="1"/>
      <c r="X34" s="1"/>
    </row>
    <row r="35" ht="15.95" customHeight="1" spans="1:24">
      <c r="A35" s="20"/>
      <c r="B35" s="109" t="s">
        <v>1582</v>
      </c>
      <c r="C35" s="27"/>
      <c r="D35" s="23" t="s">
        <v>434</v>
      </c>
      <c r="E35" s="28">
        <f>D3*4+F3*6+HL19*2</f>
        <v>24</v>
      </c>
      <c r="F35" s="101">
        <v>2.55</v>
      </c>
      <c r="G35" s="102"/>
      <c r="H35" s="102"/>
      <c r="I35" s="122"/>
      <c r="J35" s="122"/>
      <c r="K35" s="122"/>
      <c r="L35" s="122"/>
      <c r="M35" s="122"/>
      <c r="N35" s="59" t="s">
        <v>1373</v>
      </c>
      <c r="O35" s="57">
        <v>20</v>
      </c>
      <c r="P35" s="115">
        <f ca="1" t="shared" si="2"/>
        <v>51</v>
      </c>
      <c r="Q35" s="57">
        <f t="shared" si="3"/>
        <v>4</v>
      </c>
      <c r="R35" s="115">
        <f ca="1" t="shared" si="4"/>
        <v>10.2</v>
      </c>
      <c r="S35" s="1"/>
      <c r="T35" s="1"/>
      <c r="U35" s="1"/>
      <c r="V35" s="1"/>
      <c r="W35" s="1"/>
      <c r="X35" s="1"/>
    </row>
    <row r="36" ht="15.95" customHeight="1" spans="1:18">
      <c r="A36" s="20"/>
      <c r="B36" s="109" t="s">
        <v>554</v>
      </c>
      <c r="C36" s="27"/>
      <c r="D36" s="27" t="s">
        <v>555</v>
      </c>
      <c r="E36" s="98">
        <f>E5+E8+E9+E10+E19</f>
        <v>22</v>
      </c>
      <c r="F36" s="101">
        <v>1.46</v>
      </c>
      <c r="G36" s="102"/>
      <c r="H36" s="102"/>
      <c r="I36" s="122"/>
      <c r="J36" s="122"/>
      <c r="K36" s="122"/>
      <c r="L36" s="122"/>
      <c r="M36" s="122"/>
      <c r="N36" s="59" t="s">
        <v>1376</v>
      </c>
      <c r="O36" s="57">
        <v>20</v>
      </c>
      <c r="P36" s="125">
        <f ca="1" t="shared" si="2"/>
        <v>29.2</v>
      </c>
      <c r="Q36" s="57">
        <f t="shared" si="3"/>
        <v>2</v>
      </c>
      <c r="R36" s="125">
        <f ca="1" t="shared" si="4"/>
        <v>2.92</v>
      </c>
    </row>
    <row r="37" ht="15.95" customHeight="1" spans="1:18">
      <c r="A37" s="20"/>
      <c r="B37" s="109" t="s">
        <v>1575</v>
      </c>
      <c r="C37" s="27"/>
      <c r="D37" s="27" t="s">
        <v>555</v>
      </c>
      <c r="E37" s="98">
        <f>E24*2</f>
        <v>24</v>
      </c>
      <c r="F37" s="101">
        <v>1.46</v>
      </c>
      <c r="G37" s="102"/>
      <c r="H37" s="102"/>
      <c r="I37" s="122"/>
      <c r="J37" s="122"/>
      <c r="K37" s="122"/>
      <c r="L37" s="122"/>
      <c r="M37" s="122"/>
      <c r="N37" s="59" t="s">
        <v>1376</v>
      </c>
      <c r="O37" s="56">
        <v>24</v>
      </c>
      <c r="P37" s="115">
        <f ca="1" t="shared" si="2"/>
        <v>35.04</v>
      </c>
      <c r="Q37" s="57">
        <f t="shared" si="3"/>
        <v>0</v>
      </c>
      <c r="R37" s="115">
        <f ca="1" t="shared" si="4"/>
        <v>0</v>
      </c>
    </row>
    <row r="38" ht="15.95" customHeight="1" spans="2:19">
      <c r="B38" s="50" t="s">
        <v>1424</v>
      </c>
      <c r="O38" s="110" t="s">
        <v>1298</v>
      </c>
      <c r="P38" s="126">
        <f ca="1">SUM(P5:P37)</f>
        <v>63840.1845860256</v>
      </c>
      <c r="Q38" s="84" t="s">
        <v>1219</v>
      </c>
      <c r="R38" s="126">
        <f ca="1">SUM(R5:R37)</f>
        <v>22890.8938643456</v>
      </c>
      <c r="S38" s="129"/>
    </row>
    <row r="39" spans="15:18">
      <c r="O39" s="84"/>
      <c r="P39" s="84"/>
      <c r="Q39" s="84"/>
      <c r="R39" s="84"/>
    </row>
    <row r="40" spans="3:18">
      <c r="C40" s="50"/>
      <c r="D40" s="50"/>
      <c r="E40" s="51"/>
      <c r="F40" s="51"/>
      <c r="G40" s="51"/>
      <c r="H40" s="51"/>
      <c r="I40" s="51"/>
      <c r="J40" s="51"/>
      <c r="K40" s="51"/>
      <c r="L40" s="51"/>
      <c r="M40" s="51"/>
      <c r="N40" s="50"/>
      <c r="O40" s="84"/>
      <c r="P40" s="84"/>
      <c r="Q40" s="84"/>
      <c r="R40" s="84"/>
    </row>
    <row r="41" spans="3:18">
      <c r="C41" s="50"/>
      <c r="D41" s="50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127" t="s">
        <v>1576</v>
      </c>
      <c r="P41" s="84">
        <f ca="1">P38+R38</f>
        <v>86731.0784503712</v>
      </c>
      <c r="Q41" s="84"/>
      <c r="R41" s="84"/>
    </row>
    <row r="42" spans="3:18">
      <c r="C42" s="50"/>
      <c r="D42" s="52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127" t="s">
        <v>1577</v>
      </c>
      <c r="P42" s="84">
        <f ca="1">P41/E2</f>
        <v>289.103594834571</v>
      </c>
      <c r="Q42" s="84"/>
      <c r="R42" s="84"/>
    </row>
    <row r="43" spans="3:18">
      <c r="C43" s="50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128"/>
      <c r="P43" s="84"/>
      <c r="Q43" s="84"/>
      <c r="R43" s="84"/>
    </row>
    <row r="44" spans="3:18">
      <c r="C44" s="50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128"/>
      <c r="P44" s="84"/>
      <c r="Q44" s="84"/>
      <c r="R44" s="84"/>
    </row>
    <row r="45" spans="3:18">
      <c r="C45" s="50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128"/>
      <c r="P45" s="84"/>
      <c r="Q45" s="84"/>
      <c r="R45" s="84"/>
    </row>
    <row r="46" spans="3:18">
      <c r="C46" s="50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128"/>
      <c r="P46" s="84"/>
      <c r="Q46" s="84"/>
      <c r="R46" s="84"/>
    </row>
    <row r="47" spans="3:18">
      <c r="C47" s="50"/>
      <c r="D47" s="54"/>
      <c r="E47" s="54"/>
      <c r="F47" s="54"/>
      <c r="G47" s="54"/>
      <c r="H47" s="54"/>
      <c r="I47" s="54"/>
      <c r="J47" s="54"/>
      <c r="K47" s="54"/>
      <c r="L47" s="54"/>
      <c r="M47" s="54"/>
      <c r="N47" s="54"/>
      <c r="O47" s="128"/>
      <c r="P47" s="84"/>
      <c r="Q47" s="84"/>
      <c r="R47" s="84"/>
    </row>
    <row r="48" spans="3:18">
      <c r="C48" s="50"/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128"/>
      <c r="P48" s="84"/>
      <c r="Q48" s="84"/>
      <c r="R48" s="84"/>
    </row>
    <row r="49" spans="15:18">
      <c r="O49" s="84"/>
      <c r="P49" s="84"/>
      <c r="Q49" s="84"/>
      <c r="R49" s="84"/>
    </row>
    <row r="50" spans="15:18">
      <c r="O50" s="84"/>
      <c r="P50" s="84"/>
      <c r="Q50" s="84"/>
      <c r="R50" s="84"/>
    </row>
    <row r="51" spans="15:18">
      <c r="O51" s="84"/>
      <c r="P51" s="84"/>
      <c r="Q51" s="84"/>
      <c r="R51" s="84"/>
    </row>
    <row r="52" spans="15:18">
      <c r="O52" s="84"/>
      <c r="P52" s="84"/>
      <c r="Q52" s="84"/>
      <c r="R52" s="84"/>
    </row>
    <row r="53" spans="15:18">
      <c r="O53" s="84"/>
      <c r="P53" s="84"/>
      <c r="Q53" s="84"/>
      <c r="R53" s="84"/>
    </row>
    <row r="54" spans="15:18">
      <c r="O54" s="84"/>
      <c r="P54" s="84"/>
      <c r="Q54" s="84"/>
      <c r="R54" s="84"/>
    </row>
    <row r="55" spans="15:18">
      <c r="O55" s="84"/>
      <c r="P55" s="84"/>
      <c r="Q55" s="84"/>
      <c r="R55" s="84"/>
    </row>
    <row r="56" spans="15:18">
      <c r="O56" s="84"/>
      <c r="P56" s="84"/>
      <c r="Q56" s="84"/>
      <c r="R56" s="84"/>
    </row>
    <row r="57" spans="15:18">
      <c r="O57" s="84"/>
      <c r="P57" s="84"/>
      <c r="Q57" s="84"/>
      <c r="R57" s="84"/>
    </row>
    <row r="58" spans="15:18">
      <c r="O58" s="84"/>
      <c r="P58" s="84"/>
      <c r="Q58" s="84"/>
      <c r="R58" s="84"/>
    </row>
    <row r="59" spans="15:18">
      <c r="O59" s="84"/>
      <c r="P59" s="84"/>
      <c r="Q59" s="84"/>
      <c r="R59" s="84"/>
    </row>
    <row r="60" spans="15:18">
      <c r="O60" s="84"/>
      <c r="P60" s="84"/>
      <c r="Q60" s="84"/>
      <c r="R60" s="84"/>
    </row>
    <row r="61" spans="15:18">
      <c r="O61" s="84"/>
      <c r="P61" s="84"/>
      <c r="Q61" s="84"/>
      <c r="R61" s="84"/>
    </row>
    <row r="62" spans="15:18">
      <c r="O62" s="84"/>
      <c r="P62" s="84"/>
      <c r="Q62" s="84"/>
      <c r="R62" s="84"/>
    </row>
    <row r="63" spans="15:18">
      <c r="O63" s="84"/>
      <c r="P63" s="84"/>
      <c r="Q63" s="84"/>
      <c r="R63" s="84"/>
    </row>
    <row r="64" spans="15:18">
      <c r="O64" s="84"/>
      <c r="P64" s="84"/>
      <c r="Q64" s="84"/>
      <c r="R64" s="84"/>
    </row>
    <row r="65" spans="15:18">
      <c r="O65" s="84"/>
      <c r="P65" s="84"/>
      <c r="Q65" s="84"/>
      <c r="R65" s="84"/>
    </row>
    <row r="66" spans="15:18">
      <c r="O66" s="84"/>
      <c r="P66" s="84"/>
      <c r="Q66" s="84"/>
      <c r="R66" s="84"/>
    </row>
    <row r="67" spans="15:18">
      <c r="O67" s="84"/>
      <c r="P67" s="84"/>
      <c r="Q67" s="84"/>
      <c r="R67" s="84"/>
    </row>
    <row r="68" spans="15:18">
      <c r="O68" s="84"/>
      <c r="P68" s="84"/>
      <c r="Q68" s="84"/>
      <c r="R68" s="84"/>
    </row>
    <row r="69" spans="15:18">
      <c r="O69" s="84"/>
      <c r="P69" s="84"/>
      <c r="Q69" s="84"/>
      <c r="R69" s="84"/>
    </row>
    <row r="70" spans="15:18">
      <c r="O70" s="84"/>
      <c r="P70" s="84"/>
      <c r="Q70" s="84"/>
      <c r="R70" s="84"/>
    </row>
    <row r="71" spans="15:18">
      <c r="O71" s="84"/>
      <c r="P71" s="84"/>
      <c r="Q71" s="84"/>
      <c r="R71" s="84"/>
    </row>
    <row r="72" spans="15:18">
      <c r="O72" s="84"/>
      <c r="P72" s="84"/>
      <c r="Q72" s="84"/>
      <c r="R72" s="84"/>
    </row>
    <row r="73" spans="15:18">
      <c r="O73" s="84"/>
      <c r="P73" s="84"/>
      <c r="Q73" s="84"/>
      <c r="R73" s="84"/>
    </row>
    <row r="74" spans="15:18">
      <c r="O74" s="84"/>
      <c r="P74" s="84"/>
      <c r="Q74" s="84"/>
      <c r="R74" s="84"/>
    </row>
    <row r="75" spans="15:18">
      <c r="O75" s="84"/>
      <c r="P75" s="84"/>
      <c r="Q75" s="84"/>
      <c r="R75" s="84"/>
    </row>
    <row r="76" spans="15:18">
      <c r="O76" s="84"/>
      <c r="P76" s="84"/>
      <c r="Q76" s="84"/>
      <c r="R76" s="84"/>
    </row>
    <row r="77" spans="15:18">
      <c r="O77" s="84"/>
      <c r="P77" s="84"/>
      <c r="Q77" s="84"/>
      <c r="R77" s="84"/>
    </row>
    <row r="78" spans="15:18">
      <c r="O78" s="84"/>
      <c r="P78" s="84"/>
      <c r="Q78" s="84"/>
      <c r="R78" s="84"/>
    </row>
    <row r="79" spans="15:18">
      <c r="O79" s="84"/>
      <c r="P79" s="84"/>
      <c r="Q79" s="84"/>
      <c r="R79" s="84"/>
    </row>
    <row r="80" spans="15:18">
      <c r="O80" s="84"/>
      <c r="P80" s="84"/>
      <c r="Q80" s="84"/>
      <c r="R80" s="84"/>
    </row>
    <row r="81" spans="15:18">
      <c r="O81" s="84"/>
      <c r="P81" s="84"/>
      <c r="Q81" s="84"/>
      <c r="R81" s="84"/>
    </row>
    <row r="82" spans="15:18">
      <c r="O82" s="84"/>
      <c r="P82" s="84"/>
      <c r="Q82" s="84"/>
      <c r="R82" s="84"/>
    </row>
    <row r="83" spans="15:18">
      <c r="O83" s="84"/>
      <c r="P83" s="84"/>
      <c r="Q83" s="84"/>
      <c r="R83" s="84"/>
    </row>
    <row r="84" spans="15:18">
      <c r="O84" s="84"/>
      <c r="P84" s="84"/>
      <c r="Q84" s="84"/>
      <c r="R84" s="84"/>
    </row>
    <row r="85" spans="15:18">
      <c r="O85" s="84"/>
      <c r="P85" s="84"/>
      <c r="Q85" s="84"/>
      <c r="R85" s="84"/>
    </row>
    <row r="86" spans="15:18">
      <c r="O86" s="84"/>
      <c r="P86" s="84"/>
      <c r="Q86" s="84"/>
      <c r="R86" s="84"/>
    </row>
    <row r="87" spans="15:18">
      <c r="O87" s="84"/>
      <c r="P87" s="84"/>
      <c r="Q87" s="84"/>
      <c r="R87" s="84"/>
    </row>
    <row r="88" spans="15:18">
      <c r="O88" s="130"/>
      <c r="P88" s="130"/>
      <c r="Q88" s="130"/>
      <c r="R88" s="130"/>
    </row>
  </sheetData>
  <mergeCells count="9">
    <mergeCell ref="A1:N1"/>
    <mergeCell ref="A2:C2"/>
    <mergeCell ref="F2:M2"/>
    <mergeCell ref="A3:B3"/>
    <mergeCell ref="H3:M3"/>
    <mergeCell ref="A5:A19"/>
    <mergeCell ref="A20:A29"/>
    <mergeCell ref="A30:A32"/>
    <mergeCell ref="A33:A37"/>
  </mergeCells>
  <printOptions horizontalCentered="1"/>
  <pageMargins left="0.11875" right="0.11875" top="0.159027777777778" bottom="0.259027777777778" header="0.159027777777778" footer="0.2"/>
  <pageSetup paperSize="9" orientation="landscape"/>
  <headerFooter alignWithMargins="0" scaleWithDoc="0">
    <oddFooter>&amp;L&amp;"SimSun"&amp;9&amp;C&amp;"SimSun"&amp;9第 &amp;P 页，共 &amp;N 页&amp;R&amp;"SimSun"&amp;9</oddFooter>
  </headerFooter>
</worksheet>
</file>

<file path=xl/worksheets/sheet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7030A0"/>
  </sheetPr>
  <dimension ref="A1:G21"/>
  <sheetViews>
    <sheetView showGridLines="0" workbookViewId="0">
      <selection activeCell="E31" sqref="E31"/>
    </sheetView>
  </sheetViews>
  <sheetFormatPr defaultColWidth="9" defaultRowHeight="14.25" outlineLevelCol="6"/>
  <cols>
    <col min="1" max="1" width="24.5" style="1" customWidth="1"/>
    <col min="2" max="2" width="20.125" style="1" customWidth="1"/>
    <col min="3" max="3" width="9" style="1"/>
    <col min="4" max="4" width="10.625" style="1" customWidth="1"/>
    <col min="5" max="5" width="9" style="1"/>
    <col min="6" max="6" width="10.625" style="1" customWidth="1"/>
    <col min="7" max="7" width="15.375" style="1" customWidth="1"/>
    <col min="8" max="16384" width="9" style="1"/>
  </cols>
  <sheetData>
    <row r="1" spans="1:4">
      <c r="A1" s="2" t="str">
        <f ca="1">'数据修改（批量）'!A1</f>
        <v>上海有色铝锭价格</v>
      </c>
      <c r="B1" s="2"/>
      <c r="C1" s="2"/>
      <c r="D1" s="3"/>
    </row>
    <row r="2" spans="1:7">
      <c r="A2" s="4">
        <f ca="1">'数据修改（批量）'!A2</f>
        <v>16200</v>
      </c>
      <c r="B2" s="2" t="str">
        <f ca="1">'数据修改（批量）'!B2</f>
        <v>项目</v>
      </c>
      <c r="C2" s="2" t="str">
        <f ca="1">'数据修改（批量）'!C2</f>
        <v>加工费</v>
      </c>
      <c r="D2" s="2" t="str">
        <f ca="1">'数据修改（批量）'!D2</f>
        <v>包装物</v>
      </c>
      <c r="E2" s="2" t="str">
        <f ca="1">'数据修改（批量）'!E2</f>
        <v>运费</v>
      </c>
      <c r="F2" s="2" t="str">
        <f ca="1">'数据修改（批量）'!F2</f>
        <v>单价</v>
      </c>
      <c r="G2" s="2" t="str">
        <f ca="1">'数据修改（批量）'!G2</f>
        <v>每公斤价格</v>
      </c>
    </row>
    <row r="3" spans="1:7">
      <c r="A3" s="2"/>
      <c r="B3" s="2" t="str">
        <f ca="1">'数据修改（批量）'!B3</f>
        <v>203料</v>
      </c>
      <c r="C3" s="2">
        <f ca="1">'数据修改（批量）'!C3</f>
        <v>5500</v>
      </c>
      <c r="D3" s="2">
        <f ca="1">'数据修改（批量）'!D3</f>
        <v>868</v>
      </c>
      <c r="E3" s="2">
        <f ca="1">'数据修改（批量）'!E3</f>
        <v>80</v>
      </c>
      <c r="F3" s="2">
        <f ca="1">'数据修改（批量）'!F3</f>
        <v>22648</v>
      </c>
      <c r="G3" s="2">
        <f ca="1">'数据修改（批量）'!G3</f>
        <v>22.648</v>
      </c>
    </row>
    <row r="4" spans="1:7">
      <c r="A4" s="2"/>
      <c r="B4" s="2" t="str">
        <f ca="1">'数据修改（批量）'!B4</f>
        <v>203料氧化</v>
      </c>
      <c r="C4" s="2">
        <f ca="1">'数据修改（批量）'!C4</f>
        <v>6000</v>
      </c>
      <c r="D4" s="2">
        <f ca="1">'数据修改（批量）'!D4</f>
        <v>888</v>
      </c>
      <c r="E4" s="2">
        <f ca="1">'数据修改（批量）'!E4</f>
        <v>80</v>
      </c>
      <c r="F4" s="2">
        <f ca="1">'数据修改（批量）'!F4</f>
        <v>23168</v>
      </c>
      <c r="G4" s="2">
        <f ca="1">'数据修改（批量）'!G4</f>
        <v>23.168</v>
      </c>
    </row>
    <row r="5" spans="2:7">
      <c r="B5" s="2" t="str">
        <f ca="1">'数据修改（批量）'!B5</f>
        <v>小料加工费</v>
      </c>
      <c r="C5" s="2">
        <f ca="1">'数据修改（批量）'!C5</f>
        <v>4500</v>
      </c>
      <c r="D5" s="2">
        <f ca="1">'数据修改（批量）'!D5</f>
        <v>828</v>
      </c>
      <c r="E5" s="2">
        <f ca="1">'数据修改（批量）'!E5</f>
        <v>80</v>
      </c>
      <c r="F5" s="2">
        <f ca="1">'数据修改（批量）'!F5</f>
        <v>21608</v>
      </c>
      <c r="G5" s="2">
        <f ca="1">'数据修改（批量）'!G5</f>
        <v>21.608</v>
      </c>
    </row>
    <row r="6" spans="1:4">
      <c r="A6" s="2" t="str">
        <f ca="1">'数据修改（批量）'!A6</f>
        <v>南海有色铝锭价格</v>
      </c>
      <c r="D6" s="5"/>
    </row>
    <row r="7" spans="1:1">
      <c r="A7" s="4">
        <f ca="1">'数据修改（批量）'!A7</f>
        <v>16600</v>
      </c>
    </row>
    <row r="8" spans="2:7">
      <c r="B8" s="2" t="str">
        <f ca="1">'数据修改（批量）'!B8</f>
        <v>项目</v>
      </c>
      <c r="C8" s="2" t="str">
        <f ca="1">'数据修改（批量）'!C8</f>
        <v>加工费</v>
      </c>
      <c r="D8" s="2" t="str">
        <f ca="1">'数据修改（批量）'!D8</f>
        <v>包装物</v>
      </c>
      <c r="E8" s="2" t="str">
        <f ca="1">'数据修改（批量）'!E8</f>
        <v>运费</v>
      </c>
      <c r="F8" s="2" t="str">
        <f ca="1">'数据修改（批量）'!F8</f>
        <v>单价</v>
      </c>
      <c r="G8" s="2" t="str">
        <f ca="1">'数据修改（批量）'!G8</f>
        <v>每公斤价格</v>
      </c>
    </row>
    <row r="9" spans="2:7">
      <c r="B9" s="2" t="str">
        <f ca="1">'数据修改（批量）'!B9</f>
        <v>300/350料8米以上</v>
      </c>
      <c r="C9" s="2">
        <f ca="1">'数据修改（批量）'!C9</f>
        <v>7800</v>
      </c>
      <c r="D9" s="2">
        <f ca="1">'数据修改（批量）'!D9</f>
        <v>976</v>
      </c>
      <c r="E9" s="2">
        <f ca="1">'数据修改（批量）'!E9</f>
        <v>1000</v>
      </c>
      <c r="F9" s="2">
        <f ca="1">'数据修改（批量）'!F9</f>
        <v>26376</v>
      </c>
      <c r="G9" s="2">
        <f ca="1">'数据修改（批量）'!G9</f>
        <v>26.376</v>
      </c>
    </row>
    <row r="10" spans="2:7">
      <c r="B10" s="2" t="str">
        <f ca="1">'数据修改（批量）'!B10</f>
        <v>300/350料8米以下</v>
      </c>
      <c r="C10" s="2">
        <f ca="1">'数据修改（批量）'!C10</f>
        <v>7100</v>
      </c>
      <c r="D10" s="2">
        <f ca="1">'数据修改（批量）'!D10</f>
        <v>948</v>
      </c>
      <c r="E10" s="2">
        <f ca="1">'数据修改（批量）'!E10</f>
        <v>1000</v>
      </c>
      <c r="F10" s="2">
        <f ca="1">'数据修改（批量）'!F10</f>
        <v>25648</v>
      </c>
      <c r="G10" s="2">
        <f ca="1">'数据修改（批量）'!G10</f>
        <v>25.648</v>
      </c>
    </row>
    <row r="12" spans="1:4">
      <c r="A12" s="2" t="str">
        <f ca="1">'数据修改（批量）'!A12</f>
        <v>篷布</v>
      </c>
      <c r="B12" s="2"/>
      <c r="C12" s="2"/>
      <c r="D12" s="3"/>
    </row>
    <row r="13" spans="1:7">
      <c r="A13" s="2"/>
      <c r="B13" s="2" t="str">
        <f ca="1">'数据修改（批量）'!B13</f>
        <v>项目</v>
      </c>
      <c r="C13" s="2" t="str">
        <f ca="1">'数据修改（批量）'!C13</f>
        <v>运费</v>
      </c>
      <c r="D13" s="2" t="str">
        <f ca="1">'数据修改（批量）'!D13</f>
        <v>单价</v>
      </c>
      <c r="E13" s="2" t="str">
        <f ca="1">'数据修改（批量）'!E13</f>
        <v>每平价格</v>
      </c>
      <c r="F13" s="2"/>
      <c r="G13" s="2"/>
    </row>
    <row r="14" spans="1:7">
      <c r="A14" s="2"/>
      <c r="B14" s="2">
        <f ca="1">'数据修改（批量）'!B14</f>
        <v>650</v>
      </c>
      <c r="C14" s="2">
        <f ca="1">'数据修改（批量）'!C14</f>
        <v>0.5</v>
      </c>
      <c r="D14" s="4">
        <f ca="1">'数据修改（批量）'!D14</f>
        <v>13.8</v>
      </c>
      <c r="E14" s="2">
        <f ca="1">'数据修改（批量）'!E14</f>
        <v>14.3</v>
      </c>
      <c r="F14" s="2"/>
      <c r="G14" s="2"/>
    </row>
    <row r="15" spans="1:7">
      <c r="A15" s="2"/>
      <c r="B15" s="2">
        <f ca="1">'数据修改（批量）'!B15</f>
        <v>780</v>
      </c>
      <c r="C15" s="2">
        <f ca="1">'数据修改（批量）'!C15</f>
        <v>0.5</v>
      </c>
      <c r="D15" s="4">
        <f ca="1">'数据修改（批量）'!D15</f>
        <v>16.8</v>
      </c>
      <c r="E15" s="2">
        <f ca="1">'数据修改（批量）'!E15</f>
        <v>17.3</v>
      </c>
      <c r="F15" s="2"/>
      <c r="G15" s="2"/>
    </row>
    <row r="16" spans="2:7">
      <c r="B16" s="2">
        <f ca="1">'数据修改（批量）'!B16</f>
        <v>850</v>
      </c>
      <c r="C16" s="2">
        <f ca="1">'数据修改（批量）'!C16</f>
        <v>0.5</v>
      </c>
      <c r="D16" s="4">
        <f ca="1">'数据修改（批量）'!D16</f>
        <v>18</v>
      </c>
      <c r="E16" s="2">
        <f ca="1">'数据修改（批量）'!E16</f>
        <v>18.5</v>
      </c>
      <c r="F16" s="2"/>
      <c r="G16" s="2"/>
    </row>
    <row r="21" spans="1:7">
      <c r="A21" s="6" t="str">
        <f ca="1">'数据修改（批量）'!A21</f>
        <v>说明：黄色部分可以根据价格修改</v>
      </c>
      <c r="B21" s="6"/>
      <c r="C21" s="6"/>
      <c r="D21" s="6"/>
      <c r="E21" s="6"/>
      <c r="F21" s="6"/>
      <c r="G21" s="6"/>
    </row>
  </sheetData>
  <mergeCells count="1">
    <mergeCell ref="A21:G21"/>
  </mergeCells>
  <pageMargins left="0.75" right="0.75" top="1" bottom="1" header="0.509027777777778" footer="0.509027777777778"/>
  <headerFooter/>
</worksheet>
</file>

<file path=xl/worksheets/sheet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FF0000"/>
  </sheetPr>
  <dimension ref="A1:T51"/>
  <sheetViews>
    <sheetView showGridLines="0" workbookViewId="0">
      <selection activeCell="G13" sqref="G13"/>
    </sheetView>
  </sheetViews>
  <sheetFormatPr defaultColWidth="9" defaultRowHeight="14.25"/>
  <cols>
    <col min="1" max="1" width="2.625" style="1" customWidth="1"/>
    <col min="2" max="2" width="16.75" style="1" customWidth="1"/>
    <col min="3" max="5" width="9" style="1"/>
    <col min="6" max="6" width="9" style="1" customWidth="1"/>
    <col min="7" max="7" width="11.125" style="1" customWidth="1"/>
    <col min="8" max="8" width="9" style="1" customWidth="1"/>
    <col min="9" max="9" width="11.625" style="1" customWidth="1"/>
    <col min="10" max="11" width="14.375" style="1" customWidth="1"/>
    <col min="12" max="12" width="11.125" style="1" customWidth="1"/>
    <col min="13" max="13" width="17.5" style="1" customWidth="1"/>
    <col min="14" max="14" width="10.125" style="1" customWidth="1"/>
    <col min="15" max="15" width="59.75" style="1" customWidth="1"/>
    <col min="16" max="16" width="9" style="1"/>
    <col min="17" max="17" width="14.25" style="1" customWidth="1"/>
    <col min="18" max="18" width="9" style="1"/>
    <col min="19" max="19" width="15.125" style="1" customWidth="1"/>
    <col min="20" max="16384" width="9" style="1"/>
  </cols>
  <sheetData>
    <row r="1" ht="18.75" spans="1:18">
      <c r="A1" s="72" t="s">
        <v>1583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3"/>
      <c r="P1" s="3"/>
      <c r="Q1" s="3"/>
      <c r="R1" s="3"/>
    </row>
    <row r="2" spans="1:16">
      <c r="A2" s="87" t="s">
        <v>1246</v>
      </c>
      <c r="B2" s="8"/>
      <c r="C2" s="8"/>
      <c r="D2" s="9" t="s">
        <v>1198</v>
      </c>
      <c r="E2" s="10">
        <f>A3*5*30</f>
        <v>300</v>
      </c>
      <c r="F2" s="11"/>
      <c r="G2" s="11"/>
      <c r="H2" s="11"/>
      <c r="I2" s="11"/>
      <c r="J2" s="11"/>
      <c r="K2" s="11"/>
      <c r="L2" s="11"/>
      <c r="M2" s="11"/>
      <c r="N2" s="11"/>
      <c r="O2" s="55"/>
      <c r="P2" s="3"/>
    </row>
    <row r="3" spans="1:16">
      <c r="A3" s="12">
        <v>2</v>
      </c>
      <c r="B3" s="12"/>
      <c r="C3" s="9" t="s">
        <v>1247</v>
      </c>
      <c r="D3" s="13">
        <v>3</v>
      </c>
      <c r="E3" s="11" t="s">
        <v>1248</v>
      </c>
      <c r="F3" s="14">
        <v>2</v>
      </c>
      <c r="G3" s="11" t="s">
        <v>1249</v>
      </c>
      <c r="H3" s="11"/>
      <c r="I3" s="11"/>
      <c r="J3" s="11"/>
      <c r="K3" s="11"/>
      <c r="L3" s="11"/>
      <c r="M3" s="11"/>
      <c r="N3" s="11"/>
      <c r="O3" s="55"/>
      <c r="P3" s="3"/>
    </row>
    <row r="4" ht="25.5" spans="1:20">
      <c r="A4" s="73" t="s">
        <v>1200</v>
      </c>
      <c r="B4" s="74" t="s">
        <v>1201</v>
      </c>
      <c r="C4" s="75" t="s">
        <v>1396</v>
      </c>
      <c r="D4" s="76" t="s">
        <v>22</v>
      </c>
      <c r="E4" s="18" t="s">
        <v>1203</v>
      </c>
      <c r="F4" s="18" t="s">
        <v>1202</v>
      </c>
      <c r="G4" s="17" t="s">
        <v>1204</v>
      </c>
      <c r="H4" s="19" t="s">
        <v>1205</v>
      </c>
      <c r="I4" s="17" t="s">
        <v>1253</v>
      </c>
      <c r="J4" s="17" t="s">
        <v>1254</v>
      </c>
      <c r="K4" s="17" t="s">
        <v>1255</v>
      </c>
      <c r="L4" s="17" t="s">
        <v>1209</v>
      </c>
      <c r="M4" s="17" t="s">
        <v>1420</v>
      </c>
      <c r="N4" s="17" t="s">
        <v>1211</v>
      </c>
      <c r="O4" s="56" t="s">
        <v>1257</v>
      </c>
      <c r="P4" s="57" t="s">
        <v>1430</v>
      </c>
      <c r="Q4" s="57" t="s">
        <v>1213</v>
      </c>
      <c r="R4" s="57" t="s">
        <v>1541</v>
      </c>
      <c r="S4" s="57" t="s">
        <v>1213</v>
      </c>
      <c r="T4" s="3"/>
    </row>
    <row r="5" ht="15" customHeight="1" spans="1:20">
      <c r="A5" s="20" t="s">
        <v>1215</v>
      </c>
      <c r="B5" s="21" t="s">
        <v>1224</v>
      </c>
      <c r="C5" s="22"/>
      <c r="D5" s="23" t="s">
        <v>28</v>
      </c>
      <c r="E5" s="24">
        <f>D3*2</f>
        <v>6</v>
      </c>
      <c r="F5" s="23"/>
      <c r="G5" s="25">
        <f ca="1" t="shared" ref="G5:G12" si="0">J5+K5+L5+M5+N5</f>
        <v>1807.65254936</v>
      </c>
      <c r="H5" s="26">
        <f>9.8/2</f>
        <v>4.9</v>
      </c>
      <c r="I5" s="26">
        <v>10.649</v>
      </c>
      <c r="J5" s="25">
        <f ca="1">H5*I5*'30米（人字250料）参数 '!G9*1.1</f>
        <v>1513.93254936</v>
      </c>
      <c r="K5" s="29">
        <f ca="1">101.64*2</f>
        <v>203.28</v>
      </c>
      <c r="L5" s="29">
        <v>67.29</v>
      </c>
      <c r="M5" s="29">
        <f>2.55*5</f>
        <v>12.75</v>
      </c>
      <c r="N5" s="29">
        <f>0.65*16</f>
        <v>10.4</v>
      </c>
      <c r="O5" s="58" t="s">
        <v>1584</v>
      </c>
      <c r="P5" s="57">
        <v>4</v>
      </c>
      <c r="Q5" s="57">
        <f ca="1" t="shared" ref="Q5:Q39" si="1">G5*P5</f>
        <v>7230.61019744</v>
      </c>
      <c r="R5" s="57">
        <f t="shared" ref="R5:R39" si="2">E5-P5</f>
        <v>2</v>
      </c>
      <c r="S5" s="57">
        <f ca="1" t="shared" ref="S5:S39" si="3">G5*R5</f>
        <v>3615.30509872</v>
      </c>
      <c r="T5" s="3"/>
    </row>
    <row r="6" ht="15" customHeight="1" spans="1:20">
      <c r="A6" s="20"/>
      <c r="B6" s="21" t="s">
        <v>1543</v>
      </c>
      <c r="C6" s="27"/>
      <c r="D6" s="23" t="s">
        <v>28</v>
      </c>
      <c r="E6" s="24">
        <f>D3*2</f>
        <v>6</v>
      </c>
      <c r="F6" s="23"/>
      <c r="G6" s="25">
        <f ca="1" t="shared" si="0"/>
        <v>3358.649896368</v>
      </c>
      <c r="H6" s="26">
        <v>10.62</v>
      </c>
      <c r="I6" s="26">
        <v>10.649</v>
      </c>
      <c r="J6" s="25">
        <f ca="1">H6*I6*'30米（人字250料）参数 '!G9*1.1</f>
        <v>3281.217076368</v>
      </c>
      <c r="K6" s="29">
        <f ca="1">8*2.5</f>
        <v>20</v>
      </c>
      <c r="L6" s="29">
        <v>21.61</v>
      </c>
      <c r="M6" s="29">
        <f>1.5*8</f>
        <v>12</v>
      </c>
      <c r="N6" s="29">
        <f ca="1">1.25*0.882*'30米（人字250料）参数 '!G5</f>
        <v>23.82282</v>
      </c>
      <c r="O6" s="58" t="s">
        <v>1585</v>
      </c>
      <c r="P6" s="57">
        <v>4</v>
      </c>
      <c r="Q6" s="57">
        <f ca="1" t="shared" si="1"/>
        <v>13434.599585472</v>
      </c>
      <c r="R6" s="57">
        <f t="shared" si="2"/>
        <v>2</v>
      </c>
      <c r="S6" s="57">
        <f ca="1" t="shared" si="3"/>
        <v>6717.299792736</v>
      </c>
      <c r="T6" s="3"/>
    </row>
    <row r="7" ht="15" customHeight="1" spans="1:20">
      <c r="A7" s="20"/>
      <c r="B7" s="21" t="s">
        <v>1586</v>
      </c>
      <c r="C7" s="27"/>
      <c r="D7" s="23" t="s">
        <v>28</v>
      </c>
      <c r="E7" s="24">
        <f>D3*2</f>
        <v>6</v>
      </c>
      <c r="F7" s="23"/>
      <c r="G7" s="25">
        <f ca="1" t="shared" si="0"/>
        <v>2138.93095088</v>
      </c>
      <c r="H7" s="26">
        <v>5.4</v>
      </c>
      <c r="I7" s="26">
        <v>10.649</v>
      </c>
      <c r="J7" s="25">
        <f ca="1">H7*I7*'30米（人字250料）参数 '!G10*1.1</f>
        <v>1622.36577888</v>
      </c>
      <c r="K7" s="29">
        <f ca="1">2.5*2</f>
        <v>5</v>
      </c>
      <c r="L7" s="25">
        <f ca="1">1.5*12.715*'30米（人字250料）参数 '!G10</f>
        <v>489.17148</v>
      </c>
      <c r="M7" s="29">
        <f>2.55*2+1.5*2</f>
        <v>8.1</v>
      </c>
      <c r="N7" s="29">
        <f ca="1">0.75*0.882*'30米（人字250料）参数 '!G5</f>
        <v>14.293692</v>
      </c>
      <c r="O7" s="58" t="s">
        <v>1587</v>
      </c>
      <c r="P7" s="57">
        <v>4</v>
      </c>
      <c r="Q7" s="57">
        <f ca="1" t="shared" si="1"/>
        <v>8555.72380352</v>
      </c>
      <c r="R7" s="57">
        <f t="shared" si="2"/>
        <v>2</v>
      </c>
      <c r="S7" s="57">
        <f ca="1" t="shared" si="3"/>
        <v>4277.86190176</v>
      </c>
      <c r="T7" s="3"/>
    </row>
    <row r="8" ht="15" customHeight="1" spans="1:20">
      <c r="A8" s="20"/>
      <c r="B8" s="21" t="s">
        <v>1588</v>
      </c>
      <c r="C8" s="27"/>
      <c r="D8" s="23" t="s">
        <v>28</v>
      </c>
      <c r="E8" s="24">
        <f>F3*2</f>
        <v>4</v>
      </c>
      <c r="F8" s="23"/>
      <c r="G8" s="25">
        <f ca="1" t="shared" si="0"/>
        <v>939.1695272</v>
      </c>
      <c r="H8" s="26">
        <v>6.33</v>
      </c>
      <c r="I8" s="26">
        <v>5.3</v>
      </c>
      <c r="J8" s="25">
        <f ca="1">H8*I8*'30米（人字250料）参数 '!G3*1.1</f>
        <v>835.7995272</v>
      </c>
      <c r="K8" s="29">
        <f ca="1">2.5*2</f>
        <v>5</v>
      </c>
      <c r="L8" s="29">
        <f ca="1">49.51+41.21</f>
        <v>90.72</v>
      </c>
      <c r="M8" s="29">
        <f>2.55*3</f>
        <v>7.65</v>
      </c>
      <c r="N8" s="29"/>
      <c r="O8" s="58" t="s">
        <v>1589</v>
      </c>
      <c r="P8" s="57">
        <v>4</v>
      </c>
      <c r="Q8" s="57">
        <f ca="1" t="shared" si="1"/>
        <v>3756.6781088</v>
      </c>
      <c r="R8" s="57">
        <f t="shared" si="2"/>
        <v>0</v>
      </c>
      <c r="S8" s="57">
        <f ca="1" t="shared" si="3"/>
        <v>0</v>
      </c>
      <c r="T8" s="3"/>
    </row>
    <row r="9" ht="15" customHeight="1" spans="1:20">
      <c r="A9" s="20"/>
      <c r="B9" s="21" t="s">
        <v>1590</v>
      </c>
      <c r="C9" s="27"/>
      <c r="D9" s="23" t="s">
        <v>28</v>
      </c>
      <c r="E9" s="24">
        <f>F3*2</f>
        <v>4</v>
      </c>
      <c r="F9" s="23"/>
      <c r="G9" s="25">
        <f ca="1" t="shared" si="0"/>
        <v>1143.8281792</v>
      </c>
      <c r="H9" s="26">
        <v>7.88</v>
      </c>
      <c r="I9" s="26">
        <v>5.3</v>
      </c>
      <c r="J9" s="25">
        <f ca="1">H9*I9*'30米（人字250料）参数 '!G3*1.1</f>
        <v>1040.4581792</v>
      </c>
      <c r="K9" s="29">
        <f ca="1">2.5*2</f>
        <v>5</v>
      </c>
      <c r="L9" s="29">
        <f ca="1">49.51+41.21</f>
        <v>90.72</v>
      </c>
      <c r="M9" s="29">
        <f>2.55*3</f>
        <v>7.65</v>
      </c>
      <c r="N9" s="29"/>
      <c r="O9" s="58" t="s">
        <v>1591</v>
      </c>
      <c r="P9" s="57">
        <v>4</v>
      </c>
      <c r="Q9" s="57">
        <f ca="1" t="shared" si="1"/>
        <v>4575.3127168</v>
      </c>
      <c r="R9" s="57">
        <f t="shared" si="2"/>
        <v>0</v>
      </c>
      <c r="S9" s="57">
        <f ca="1" t="shared" si="3"/>
        <v>0</v>
      </c>
      <c r="T9" s="3"/>
    </row>
    <row r="10" ht="15" customHeight="1" spans="1:20">
      <c r="A10" s="20"/>
      <c r="B10" s="21" t="s">
        <v>1592</v>
      </c>
      <c r="C10" s="27"/>
      <c r="D10" s="23" t="s">
        <v>28</v>
      </c>
      <c r="E10" s="24">
        <v>2</v>
      </c>
      <c r="F10" s="23"/>
      <c r="G10" s="25">
        <f ca="1" t="shared" si="0"/>
        <v>1348.4868312</v>
      </c>
      <c r="H10" s="26">
        <v>9.43</v>
      </c>
      <c r="I10" s="26">
        <v>5.3</v>
      </c>
      <c r="J10" s="25">
        <f ca="1">H10*I10*'30米（人字250料）参数 '!G3*1.1</f>
        <v>1245.1168312</v>
      </c>
      <c r="K10" s="29">
        <f ca="1">2.5*2</f>
        <v>5</v>
      </c>
      <c r="L10" s="29">
        <f ca="1">49.51+41.21</f>
        <v>90.72</v>
      </c>
      <c r="M10" s="29">
        <f>2.55*3</f>
        <v>7.65</v>
      </c>
      <c r="N10" s="29"/>
      <c r="O10" s="58" t="s">
        <v>1593</v>
      </c>
      <c r="P10" s="57">
        <v>2</v>
      </c>
      <c r="Q10" s="57">
        <f ca="1" t="shared" si="1"/>
        <v>2696.9736624</v>
      </c>
      <c r="R10" s="57">
        <f t="shared" si="2"/>
        <v>0</v>
      </c>
      <c r="S10" s="57">
        <f ca="1" t="shared" si="3"/>
        <v>0</v>
      </c>
      <c r="T10" s="3"/>
    </row>
    <row r="11" ht="15" customHeight="1" spans="1:20">
      <c r="A11" s="20"/>
      <c r="B11" s="21" t="s">
        <v>1594</v>
      </c>
      <c r="C11" s="27"/>
      <c r="D11" s="23" t="s">
        <v>28</v>
      </c>
      <c r="E11" s="24">
        <f>A3*10+F3*4</f>
        <v>28</v>
      </c>
      <c r="F11" s="23"/>
      <c r="G11" s="25">
        <f ca="1" t="shared" si="0"/>
        <v>336.5448493136</v>
      </c>
      <c r="H11" s="26">
        <v>4.882</v>
      </c>
      <c r="I11" s="26">
        <v>2.771</v>
      </c>
      <c r="J11" s="25">
        <f ca="1">H11*I11*'30米（人字250料）参数 '!G5*1.1</f>
        <v>321.5448493136</v>
      </c>
      <c r="K11" s="29"/>
      <c r="L11" s="29"/>
      <c r="M11" s="29">
        <f>0.5*4</f>
        <v>2</v>
      </c>
      <c r="N11" s="29">
        <f>6.5*2</f>
        <v>13</v>
      </c>
      <c r="O11" s="59" t="s">
        <v>1595</v>
      </c>
      <c r="P11" s="57">
        <v>18</v>
      </c>
      <c r="Q11" s="57">
        <f ca="1" t="shared" si="1"/>
        <v>6057.8072876448</v>
      </c>
      <c r="R11" s="57">
        <f t="shared" si="2"/>
        <v>10</v>
      </c>
      <c r="S11" s="57">
        <f ca="1" t="shared" si="3"/>
        <v>3365.448493136</v>
      </c>
      <c r="T11" s="3"/>
    </row>
    <row r="12" ht="15" customHeight="1" spans="1:20">
      <c r="A12" s="20"/>
      <c r="B12" s="21" t="s">
        <v>1596</v>
      </c>
      <c r="C12" s="27"/>
      <c r="D12" s="23" t="s">
        <v>28</v>
      </c>
      <c r="E12" s="24">
        <f>A3*3</f>
        <v>6</v>
      </c>
      <c r="F12" s="23"/>
      <c r="G12" s="25">
        <f ca="1" t="shared" si="0"/>
        <v>737.9347773824</v>
      </c>
      <c r="H12" s="26">
        <v>4.882</v>
      </c>
      <c r="I12" s="26">
        <v>5.944</v>
      </c>
      <c r="J12" s="25">
        <f ca="1">H12*I12*'30米（人字250料）参数 '!G3*1.1</f>
        <v>722.9347773824</v>
      </c>
      <c r="K12" s="29"/>
      <c r="L12" s="29"/>
      <c r="M12" s="29">
        <f>0.5*4</f>
        <v>2</v>
      </c>
      <c r="N12" s="29">
        <f>6.5*2</f>
        <v>13</v>
      </c>
      <c r="O12" s="60" t="s">
        <v>1597</v>
      </c>
      <c r="P12" s="57">
        <v>3</v>
      </c>
      <c r="Q12" s="57">
        <f ca="1" t="shared" si="1"/>
        <v>2213.8043321472</v>
      </c>
      <c r="R12" s="57">
        <f t="shared" si="2"/>
        <v>3</v>
      </c>
      <c r="S12" s="57">
        <f ca="1" t="shared" si="3"/>
        <v>2213.8043321472</v>
      </c>
      <c r="T12" s="3"/>
    </row>
    <row r="13" ht="15" customHeight="1" spans="1:20">
      <c r="A13" s="20"/>
      <c r="B13" s="21" t="s">
        <v>1266</v>
      </c>
      <c r="C13" s="27"/>
      <c r="D13" s="23" t="s">
        <v>28</v>
      </c>
      <c r="E13" s="24">
        <f>A3*2+F3*6</f>
        <v>16</v>
      </c>
      <c r="F13" s="23"/>
      <c r="G13" s="25">
        <f ca="1">'数据修改（批量）'!A28</f>
        <v>95</v>
      </c>
      <c r="H13" s="26">
        <v>4.86</v>
      </c>
      <c r="I13" s="26">
        <v>1.345</v>
      </c>
      <c r="J13" s="25">
        <f ca="1">H13*I13*'30米（人字250料）参数 '!G5*1.1</f>
        <v>155.36951496</v>
      </c>
      <c r="K13" s="29"/>
      <c r="L13" s="29"/>
      <c r="M13" s="29"/>
      <c r="N13" s="29"/>
      <c r="O13" s="59" t="s">
        <v>1554</v>
      </c>
      <c r="P13" s="57">
        <v>14</v>
      </c>
      <c r="Q13" s="57">
        <f ca="1" t="shared" si="1"/>
        <v>1330</v>
      </c>
      <c r="R13" s="57">
        <f t="shared" si="2"/>
        <v>2</v>
      </c>
      <c r="S13" s="57">
        <f ca="1" t="shared" si="3"/>
        <v>190</v>
      </c>
      <c r="T13" s="3"/>
    </row>
    <row r="14" ht="15" customHeight="1" spans="1:20">
      <c r="A14" s="20"/>
      <c r="B14" s="21" t="s">
        <v>1276</v>
      </c>
      <c r="C14" s="27"/>
      <c r="D14" s="23" t="s">
        <v>28</v>
      </c>
      <c r="E14" s="28">
        <f>F3*2</f>
        <v>4</v>
      </c>
      <c r="F14" s="23"/>
      <c r="G14" s="25">
        <f ca="1">J14+K14+L14+M14+N14</f>
        <v>348.2448493136</v>
      </c>
      <c r="H14" s="26">
        <v>4.882</v>
      </c>
      <c r="I14" s="26">
        <v>2.771</v>
      </c>
      <c r="J14" s="25">
        <f ca="1">H14*I14*'30米（人字250料）参数 '!G5*1.1</f>
        <v>321.5448493136</v>
      </c>
      <c r="K14" s="29"/>
      <c r="L14" s="61">
        <v>15</v>
      </c>
      <c r="M14" s="61">
        <f>8*0.65</f>
        <v>5.2</v>
      </c>
      <c r="N14" s="61">
        <v>6.5</v>
      </c>
      <c r="O14" s="59" t="s">
        <v>1598</v>
      </c>
      <c r="P14" s="57">
        <v>4</v>
      </c>
      <c r="Q14" s="57">
        <f ca="1" t="shared" si="1"/>
        <v>1392.9793972544</v>
      </c>
      <c r="R14" s="57">
        <f t="shared" si="2"/>
        <v>0</v>
      </c>
      <c r="S14" s="57">
        <f ca="1" t="shared" si="3"/>
        <v>0</v>
      </c>
      <c r="T14" s="3"/>
    </row>
    <row r="15" ht="15" customHeight="1" spans="1:20">
      <c r="A15" s="20"/>
      <c r="B15" s="21" t="s">
        <v>1356</v>
      </c>
      <c r="C15" s="27"/>
      <c r="D15" s="23" t="s">
        <v>28</v>
      </c>
      <c r="E15" s="28">
        <f>F3</f>
        <v>2</v>
      </c>
      <c r="F15" s="23"/>
      <c r="G15" s="29">
        <f ca="1">J15+K15+L15+M15+N15</f>
        <v>162.06</v>
      </c>
      <c r="H15" s="26">
        <v>7.5</v>
      </c>
      <c r="I15" s="26">
        <v>1</v>
      </c>
      <c r="J15" s="29">
        <f ca="1">H15*I15*'30米（人字250料）参数 '!G5</f>
        <v>162.06</v>
      </c>
      <c r="K15" s="29"/>
      <c r="L15" s="29"/>
      <c r="M15" s="29"/>
      <c r="N15" s="29"/>
      <c r="O15" s="60" t="s">
        <v>1599</v>
      </c>
      <c r="P15" s="57">
        <v>2</v>
      </c>
      <c r="Q15" s="57">
        <f ca="1" t="shared" si="1"/>
        <v>324.12</v>
      </c>
      <c r="R15" s="57">
        <f t="shared" si="2"/>
        <v>0</v>
      </c>
      <c r="S15" s="57">
        <f ca="1" t="shared" si="3"/>
        <v>0</v>
      </c>
      <c r="T15" s="3"/>
    </row>
    <row r="16" ht="15" customHeight="1" spans="1:20">
      <c r="A16" s="20"/>
      <c r="B16" s="21" t="s">
        <v>1448</v>
      </c>
      <c r="C16" s="27"/>
      <c r="D16" s="23" t="s">
        <v>28</v>
      </c>
      <c r="E16" s="28">
        <f>D3*2-F3*2</f>
        <v>2</v>
      </c>
      <c r="F16" s="23"/>
      <c r="G16" s="29">
        <f>J16+K16+L16+M16+N16</f>
        <v>259</v>
      </c>
      <c r="H16" s="26"/>
      <c r="I16" s="26"/>
      <c r="J16" s="29">
        <f>128*1.5</f>
        <v>192</v>
      </c>
      <c r="K16" s="29"/>
      <c r="L16" s="29">
        <f>2.5*2</f>
        <v>5</v>
      </c>
      <c r="M16" s="29">
        <f>21*2</f>
        <v>42</v>
      </c>
      <c r="N16" s="29">
        <v>20</v>
      </c>
      <c r="O16" s="58" t="s">
        <v>1558</v>
      </c>
      <c r="P16" s="57">
        <v>0</v>
      </c>
      <c r="Q16" s="57">
        <f ca="1" t="shared" si="1"/>
        <v>0</v>
      </c>
      <c r="R16" s="57">
        <f t="shared" si="2"/>
        <v>2</v>
      </c>
      <c r="S16" s="57">
        <f ca="1" t="shared" si="3"/>
        <v>518</v>
      </c>
      <c r="T16" s="3"/>
    </row>
    <row r="17" ht="15" customHeight="1" spans="1:20">
      <c r="A17" s="20"/>
      <c r="B17" s="21" t="s">
        <v>1559</v>
      </c>
      <c r="C17" s="27"/>
      <c r="D17" s="23" t="s">
        <v>28</v>
      </c>
      <c r="E17" s="28">
        <f>D3-F3</f>
        <v>1</v>
      </c>
      <c r="F17" s="23"/>
      <c r="G17" s="29">
        <f>J17+K17+L17+M17+N17</f>
        <v>259</v>
      </c>
      <c r="H17" s="26"/>
      <c r="I17" s="26"/>
      <c r="J17" s="29">
        <f>128*1.5</f>
        <v>192</v>
      </c>
      <c r="K17" s="29"/>
      <c r="L17" s="29">
        <f>2.5*2</f>
        <v>5</v>
      </c>
      <c r="M17" s="29">
        <f>21*2</f>
        <v>42</v>
      </c>
      <c r="N17" s="29">
        <v>20</v>
      </c>
      <c r="O17" s="58" t="s">
        <v>1558</v>
      </c>
      <c r="P17" s="57">
        <v>0</v>
      </c>
      <c r="Q17" s="57">
        <f ca="1" t="shared" si="1"/>
        <v>0</v>
      </c>
      <c r="R17" s="57">
        <f t="shared" si="2"/>
        <v>1</v>
      </c>
      <c r="S17" s="57">
        <f ca="1" t="shared" si="3"/>
        <v>259</v>
      </c>
      <c r="T17" s="3"/>
    </row>
    <row r="18" ht="15" customHeight="1" spans="1:20">
      <c r="A18" s="20"/>
      <c r="B18" s="21" t="s">
        <v>1272</v>
      </c>
      <c r="C18" s="27"/>
      <c r="D18" s="23" t="s">
        <v>28</v>
      </c>
      <c r="E18" s="30">
        <v>6</v>
      </c>
      <c r="F18" s="23"/>
      <c r="G18" s="29">
        <f>J18+K18+L18+M18+N18</f>
        <v>237</v>
      </c>
      <c r="H18" s="26"/>
      <c r="I18" s="26"/>
      <c r="J18" s="29">
        <f>108*2</f>
        <v>216</v>
      </c>
      <c r="K18" s="29"/>
      <c r="L18" s="29">
        <v>6</v>
      </c>
      <c r="M18" s="29">
        <v>10</v>
      </c>
      <c r="N18" s="29">
        <v>5</v>
      </c>
      <c r="O18" s="60" t="s">
        <v>1561</v>
      </c>
      <c r="P18" s="57">
        <v>4</v>
      </c>
      <c r="Q18" s="57">
        <f ca="1" t="shared" si="1"/>
        <v>948</v>
      </c>
      <c r="R18" s="57">
        <f t="shared" si="2"/>
        <v>2</v>
      </c>
      <c r="S18" s="57">
        <f ca="1" t="shared" si="3"/>
        <v>474</v>
      </c>
      <c r="T18" s="3"/>
    </row>
    <row r="19" ht="15" customHeight="1" spans="1:20">
      <c r="A19" s="20" t="s">
        <v>1562</v>
      </c>
      <c r="B19" s="21" t="s">
        <v>1304</v>
      </c>
      <c r="C19" s="27"/>
      <c r="D19" s="23" t="s">
        <v>434</v>
      </c>
      <c r="E19" s="24">
        <f>D3</f>
        <v>3</v>
      </c>
      <c r="F19" s="23"/>
      <c r="G19" s="25">
        <v>608</v>
      </c>
      <c r="H19" s="26">
        <v>1.8</v>
      </c>
      <c r="I19" s="26">
        <v>16.257</v>
      </c>
      <c r="J19" s="25">
        <f ca="1">H19*I19*'30米（人字250料）参数 '!G10*1.1</f>
        <v>825.57988128</v>
      </c>
      <c r="K19" s="29">
        <v>100</v>
      </c>
      <c r="L19" s="25">
        <f ca="1">0.8*15.052*'30米（人字250料）参数 '!G10</f>
        <v>308.8429568</v>
      </c>
      <c r="M19" s="29">
        <f>2*2.5</f>
        <v>5</v>
      </c>
      <c r="N19" s="29"/>
      <c r="O19" s="60" t="s">
        <v>1361</v>
      </c>
      <c r="P19" s="57">
        <v>2</v>
      </c>
      <c r="Q19" s="57">
        <f ca="1" t="shared" si="1"/>
        <v>1216</v>
      </c>
      <c r="R19" s="57">
        <f t="shared" si="2"/>
        <v>1</v>
      </c>
      <c r="S19" s="57">
        <f ca="1" t="shared" si="3"/>
        <v>608</v>
      </c>
      <c r="T19" s="3"/>
    </row>
    <row r="20" ht="15" customHeight="1" spans="1:20">
      <c r="A20" s="31"/>
      <c r="B20" s="21" t="s">
        <v>1310</v>
      </c>
      <c r="C20" s="27"/>
      <c r="D20" s="23" t="s">
        <v>434</v>
      </c>
      <c r="E20" s="24">
        <f>E8+E9+E10</f>
        <v>10</v>
      </c>
      <c r="F20" s="23"/>
      <c r="G20" s="29">
        <v>76.4</v>
      </c>
      <c r="H20" s="26"/>
      <c r="I20" s="26"/>
      <c r="J20" s="29"/>
      <c r="K20" s="29"/>
      <c r="L20" s="29"/>
      <c r="M20" s="29"/>
      <c r="N20" s="29"/>
      <c r="O20" s="59" t="s">
        <v>1361</v>
      </c>
      <c r="P20" s="57">
        <v>10</v>
      </c>
      <c r="Q20" s="57">
        <f ca="1" t="shared" si="1"/>
        <v>764</v>
      </c>
      <c r="R20" s="57">
        <f t="shared" si="2"/>
        <v>0</v>
      </c>
      <c r="S20" s="57">
        <f ca="1" t="shared" si="3"/>
        <v>0</v>
      </c>
      <c r="T20" s="3"/>
    </row>
    <row r="21" ht="15" customHeight="1" spans="1:20">
      <c r="A21" s="31"/>
      <c r="B21" s="21" t="s">
        <v>1280</v>
      </c>
      <c r="C21" s="27"/>
      <c r="D21" s="23" t="s">
        <v>434</v>
      </c>
      <c r="E21" s="28">
        <f>E5</f>
        <v>6</v>
      </c>
      <c r="F21" s="23"/>
      <c r="G21" s="29">
        <v>137</v>
      </c>
      <c r="H21" s="26"/>
      <c r="I21" s="26"/>
      <c r="J21" s="29"/>
      <c r="K21" s="29"/>
      <c r="L21" s="29"/>
      <c r="M21" s="29"/>
      <c r="N21" s="29"/>
      <c r="O21" s="59" t="s">
        <v>1361</v>
      </c>
      <c r="P21" s="57">
        <v>4</v>
      </c>
      <c r="Q21" s="57">
        <f ca="1" t="shared" si="1"/>
        <v>548</v>
      </c>
      <c r="R21" s="57">
        <f t="shared" si="2"/>
        <v>2</v>
      </c>
      <c r="S21" s="57">
        <f ca="1" t="shared" si="3"/>
        <v>274</v>
      </c>
      <c r="T21" s="3"/>
    </row>
    <row r="22" ht="15" customHeight="1" spans="1:20">
      <c r="A22" s="31"/>
      <c r="B22" s="21" t="s">
        <v>1600</v>
      </c>
      <c r="C22" s="27"/>
      <c r="D22" s="23" t="s">
        <v>28</v>
      </c>
      <c r="E22" s="32">
        <f>E18</f>
        <v>6</v>
      </c>
      <c r="F22" s="23"/>
      <c r="G22" s="29">
        <v>119.3</v>
      </c>
      <c r="H22" s="26"/>
      <c r="I22" s="26"/>
      <c r="J22" s="29"/>
      <c r="K22" s="29"/>
      <c r="L22" s="29"/>
      <c r="M22" s="29"/>
      <c r="N22" s="29"/>
      <c r="O22" s="60" t="s">
        <v>1601</v>
      </c>
      <c r="P22" s="57">
        <v>4</v>
      </c>
      <c r="Q22" s="57">
        <f ca="1" t="shared" si="1"/>
        <v>477.2</v>
      </c>
      <c r="R22" s="57">
        <f t="shared" si="2"/>
        <v>2</v>
      </c>
      <c r="S22" s="57">
        <f ca="1" t="shared" si="3"/>
        <v>238.6</v>
      </c>
      <c r="T22" s="3"/>
    </row>
    <row r="23" ht="15" customHeight="1" spans="1:20">
      <c r="A23" s="31"/>
      <c r="B23" s="21" t="s">
        <v>1602</v>
      </c>
      <c r="C23" s="27"/>
      <c r="D23" s="23" t="s">
        <v>28</v>
      </c>
      <c r="E23" s="32">
        <f>E18</f>
        <v>6</v>
      </c>
      <c r="F23" s="23"/>
      <c r="G23" s="29">
        <v>97.5</v>
      </c>
      <c r="H23" s="33"/>
      <c r="I23" s="33"/>
      <c r="J23" s="62"/>
      <c r="K23" s="62"/>
      <c r="L23" s="62"/>
      <c r="M23" s="62"/>
      <c r="N23" s="62"/>
      <c r="O23" s="63" t="s">
        <v>1603</v>
      </c>
      <c r="P23" s="57">
        <v>4</v>
      </c>
      <c r="Q23" s="57">
        <f ca="1" t="shared" si="1"/>
        <v>390</v>
      </c>
      <c r="R23" s="57">
        <f t="shared" si="2"/>
        <v>2</v>
      </c>
      <c r="S23" s="57">
        <f ca="1" t="shared" si="3"/>
        <v>195</v>
      </c>
      <c r="T23" s="3"/>
    </row>
    <row r="24" ht="15" customHeight="1" spans="1:20">
      <c r="A24" s="31"/>
      <c r="B24" s="21" t="s">
        <v>522</v>
      </c>
      <c r="C24" s="27"/>
      <c r="D24" s="23" t="s">
        <v>434</v>
      </c>
      <c r="E24" s="32">
        <f>E18</f>
        <v>6</v>
      </c>
      <c r="F24" s="23"/>
      <c r="G24" s="34">
        <v>9.65</v>
      </c>
      <c r="H24" s="35"/>
      <c r="I24" s="35"/>
      <c r="J24" s="34"/>
      <c r="K24" s="34"/>
      <c r="L24" s="34"/>
      <c r="M24" s="34"/>
      <c r="N24" s="34"/>
      <c r="O24" s="64" t="s">
        <v>1604</v>
      </c>
      <c r="P24" s="57">
        <v>4</v>
      </c>
      <c r="Q24" s="57">
        <f ca="1" t="shared" si="1"/>
        <v>38.6</v>
      </c>
      <c r="R24" s="57">
        <f t="shared" si="2"/>
        <v>2</v>
      </c>
      <c r="S24" s="57">
        <f ca="1" t="shared" si="3"/>
        <v>19.3</v>
      </c>
      <c r="T24" s="3"/>
    </row>
    <row r="25" ht="15" customHeight="1" spans="1:20">
      <c r="A25" s="31"/>
      <c r="B25" s="21" t="s">
        <v>524</v>
      </c>
      <c r="C25" s="27"/>
      <c r="D25" s="23" t="s">
        <v>434</v>
      </c>
      <c r="E25" s="32">
        <f>E18*2</f>
        <v>12</v>
      </c>
      <c r="F25" s="23"/>
      <c r="G25" s="29">
        <v>18.36</v>
      </c>
      <c r="H25" s="26"/>
      <c r="I25" s="26"/>
      <c r="J25" s="29"/>
      <c r="K25" s="29"/>
      <c r="L25" s="29"/>
      <c r="M25" s="29"/>
      <c r="N25" s="29"/>
      <c r="O25" s="60" t="s">
        <v>1605</v>
      </c>
      <c r="P25" s="57">
        <v>8</v>
      </c>
      <c r="Q25" s="57">
        <f ca="1" t="shared" si="1"/>
        <v>146.88</v>
      </c>
      <c r="R25" s="57">
        <f t="shared" si="2"/>
        <v>4</v>
      </c>
      <c r="S25" s="57">
        <f ca="1" t="shared" si="3"/>
        <v>73.44</v>
      </c>
      <c r="T25" s="3"/>
    </row>
    <row r="26" ht="15" customHeight="1" spans="1:20">
      <c r="A26" s="31"/>
      <c r="B26" s="21" t="s">
        <v>526</v>
      </c>
      <c r="C26" s="27"/>
      <c r="D26" s="23" t="s">
        <v>434</v>
      </c>
      <c r="E26" s="32">
        <f>E25/2</f>
        <v>6</v>
      </c>
      <c r="F26" s="23"/>
      <c r="G26" s="29">
        <v>24.84</v>
      </c>
      <c r="H26" s="26"/>
      <c r="I26" s="26"/>
      <c r="J26" s="29"/>
      <c r="K26" s="29"/>
      <c r="L26" s="29"/>
      <c r="M26" s="29"/>
      <c r="N26" s="29"/>
      <c r="O26" s="60" t="s">
        <v>1606</v>
      </c>
      <c r="P26" s="57">
        <v>4</v>
      </c>
      <c r="Q26" s="57">
        <f ca="1" t="shared" si="1"/>
        <v>99.36</v>
      </c>
      <c r="R26" s="57">
        <f t="shared" si="2"/>
        <v>2</v>
      </c>
      <c r="S26" s="57">
        <f ca="1" t="shared" si="3"/>
        <v>49.68</v>
      </c>
      <c r="T26" s="3"/>
    </row>
    <row r="27" ht="15" customHeight="1" spans="1:20">
      <c r="A27" s="31"/>
      <c r="B27" s="21" t="s">
        <v>1282</v>
      </c>
      <c r="C27" s="27"/>
      <c r="D27" s="23" t="s">
        <v>434</v>
      </c>
      <c r="E27" s="24">
        <f>D3*2+F3*7</f>
        <v>20</v>
      </c>
      <c r="F27" s="23"/>
      <c r="G27" s="29">
        <v>4.45</v>
      </c>
      <c r="H27" s="26"/>
      <c r="I27" s="26"/>
      <c r="J27" s="29"/>
      <c r="K27" s="29"/>
      <c r="L27" s="29"/>
      <c r="M27" s="29"/>
      <c r="N27" s="29"/>
      <c r="O27" s="59" t="s">
        <v>1453</v>
      </c>
      <c r="P27" s="57">
        <v>18</v>
      </c>
      <c r="Q27" s="57">
        <f ca="1" t="shared" si="1"/>
        <v>80.1</v>
      </c>
      <c r="R27" s="57">
        <f t="shared" si="2"/>
        <v>2</v>
      </c>
      <c r="S27" s="57">
        <f ca="1" t="shared" si="3"/>
        <v>8.9</v>
      </c>
      <c r="T27" s="3"/>
    </row>
    <row r="28" ht="15" customHeight="1" spans="1:20">
      <c r="A28" s="31"/>
      <c r="B28" s="21" t="s">
        <v>1284</v>
      </c>
      <c r="C28" s="27"/>
      <c r="D28" s="23" t="s">
        <v>434</v>
      </c>
      <c r="E28" s="24">
        <f>D3*2</f>
        <v>6</v>
      </c>
      <c r="F28" s="23"/>
      <c r="G28" s="29">
        <v>6.51</v>
      </c>
      <c r="H28" s="26"/>
      <c r="I28" s="26"/>
      <c r="J28" s="29"/>
      <c r="K28" s="29"/>
      <c r="L28" s="29"/>
      <c r="M28" s="29"/>
      <c r="N28" s="29"/>
      <c r="O28" s="59" t="s">
        <v>1607</v>
      </c>
      <c r="P28" s="57">
        <v>4</v>
      </c>
      <c r="Q28" s="57">
        <f ca="1" t="shared" si="1"/>
        <v>26.04</v>
      </c>
      <c r="R28" s="57">
        <f t="shared" si="2"/>
        <v>2</v>
      </c>
      <c r="S28" s="57">
        <f ca="1" t="shared" si="3"/>
        <v>13.02</v>
      </c>
      <c r="T28" s="3"/>
    </row>
    <row r="29" ht="15" customHeight="1" spans="1:20">
      <c r="A29" s="31"/>
      <c r="B29" s="21" t="s">
        <v>519</v>
      </c>
      <c r="C29" s="27"/>
      <c r="D29" s="23" t="s">
        <v>434</v>
      </c>
      <c r="E29" s="24">
        <f>F3*2</f>
        <v>4</v>
      </c>
      <c r="F29" s="23"/>
      <c r="G29" s="29">
        <v>6.5</v>
      </c>
      <c r="H29" s="36"/>
      <c r="I29" s="36"/>
      <c r="J29" s="65"/>
      <c r="K29" s="65"/>
      <c r="L29" s="65"/>
      <c r="M29" s="65"/>
      <c r="N29" s="65"/>
      <c r="O29" s="66" t="s">
        <v>1455</v>
      </c>
      <c r="P29" s="57">
        <v>4</v>
      </c>
      <c r="Q29" s="57">
        <f ca="1" t="shared" si="1"/>
        <v>26</v>
      </c>
      <c r="R29" s="57">
        <f t="shared" si="2"/>
        <v>0</v>
      </c>
      <c r="S29" s="57">
        <f ca="1" t="shared" si="3"/>
        <v>0</v>
      </c>
      <c r="T29" s="3"/>
    </row>
    <row r="30" ht="15" customHeight="1" spans="1:20">
      <c r="A30" s="31"/>
      <c r="B30" s="21" t="s">
        <v>1568</v>
      </c>
      <c r="C30" s="27"/>
      <c r="D30" s="23" t="s">
        <v>612</v>
      </c>
      <c r="E30" s="24">
        <f>A3</f>
        <v>2</v>
      </c>
      <c r="F30" s="23"/>
      <c r="G30" s="29">
        <f ca="1">J30+K30+L30+M30+N30</f>
        <v>3573.8</v>
      </c>
      <c r="H30" s="26">
        <v>33.4</v>
      </c>
      <c r="I30" s="26">
        <v>5</v>
      </c>
      <c r="J30" s="29">
        <f ca="1">H30*I30*'30米（人字250料）参数 '!D16*1.1</f>
        <v>3306.6</v>
      </c>
      <c r="K30" s="29">
        <f>33.4*2*4</f>
        <v>267.2</v>
      </c>
      <c r="L30" s="29"/>
      <c r="M30" s="29"/>
      <c r="N30" s="29"/>
      <c r="O30" s="67" t="s">
        <v>1569</v>
      </c>
      <c r="P30" s="68">
        <v>1</v>
      </c>
      <c r="Q30" s="57">
        <f ca="1" t="shared" si="1"/>
        <v>3573.8</v>
      </c>
      <c r="R30" s="57">
        <f t="shared" si="2"/>
        <v>1</v>
      </c>
      <c r="S30" s="57">
        <f ca="1" t="shared" si="3"/>
        <v>3573.8</v>
      </c>
      <c r="T30" s="3"/>
    </row>
    <row r="31" ht="15" customHeight="1" spans="1:20">
      <c r="A31" s="31"/>
      <c r="B31" s="21" t="s">
        <v>1570</v>
      </c>
      <c r="C31" s="27"/>
      <c r="D31" s="23" t="s">
        <v>664</v>
      </c>
      <c r="E31" s="24">
        <f>F3</f>
        <v>2</v>
      </c>
      <c r="F31" s="23"/>
      <c r="G31" s="29">
        <f ca="1">J31+K31+L31+M31+N31</f>
        <v>1858.588192</v>
      </c>
      <c r="H31" s="37">
        <v>15.32</v>
      </c>
      <c r="I31" s="37">
        <v>5.97</v>
      </c>
      <c r="J31" s="69">
        <f ca="1">H31*I31*'30米（人字250料）参数 '!D15*1.1</f>
        <v>1690.188192</v>
      </c>
      <c r="K31" s="69">
        <f>42.1*4</f>
        <v>168.4</v>
      </c>
      <c r="L31" s="69"/>
      <c r="M31" s="69"/>
      <c r="N31" s="69"/>
      <c r="O31" s="70" t="s">
        <v>1571</v>
      </c>
      <c r="P31" s="57">
        <v>2</v>
      </c>
      <c r="Q31" s="57">
        <f ca="1" t="shared" si="1"/>
        <v>3717.176384</v>
      </c>
      <c r="R31" s="57">
        <f t="shared" si="2"/>
        <v>0</v>
      </c>
      <c r="S31" s="57">
        <f ca="1" t="shared" si="3"/>
        <v>0</v>
      </c>
      <c r="T31" s="3"/>
    </row>
    <row r="32" ht="15" customHeight="1" spans="1:20">
      <c r="A32" s="31"/>
      <c r="B32" s="21" t="s">
        <v>1572</v>
      </c>
      <c r="C32" s="27"/>
      <c r="D32" s="23" t="s">
        <v>664</v>
      </c>
      <c r="E32" s="24">
        <f>F3*6+A3*2</f>
        <v>16</v>
      </c>
      <c r="F32" s="23"/>
      <c r="G32" s="29">
        <f ca="1">J32+K32+L32+M32+N32</f>
        <v>452.7072</v>
      </c>
      <c r="H32" s="26">
        <v>5.2</v>
      </c>
      <c r="I32" s="26">
        <v>5.2</v>
      </c>
      <c r="J32" s="29">
        <f ca="1">H32*I32*'30米（人字250料）参数 '!D14*1.1</f>
        <v>410.4672</v>
      </c>
      <c r="K32" s="71">
        <f>6.1*2</f>
        <v>12.2</v>
      </c>
      <c r="L32" s="71">
        <f>0.5*10</f>
        <v>5</v>
      </c>
      <c r="M32" s="71">
        <f>0.32*22</f>
        <v>7.04</v>
      </c>
      <c r="N32" s="71">
        <f>18*1</f>
        <v>18</v>
      </c>
      <c r="O32" s="60" t="s">
        <v>1580</v>
      </c>
      <c r="P32" s="57">
        <v>14</v>
      </c>
      <c r="Q32" s="57">
        <f ca="1" t="shared" si="1"/>
        <v>6337.9008</v>
      </c>
      <c r="R32" s="57">
        <f t="shared" si="2"/>
        <v>2</v>
      </c>
      <c r="S32" s="57">
        <f ca="1" t="shared" si="3"/>
        <v>905.4144</v>
      </c>
      <c r="T32" s="3"/>
    </row>
    <row r="33" ht="15" customHeight="1" spans="1:20">
      <c r="A33" s="31"/>
      <c r="B33" s="38" t="s">
        <v>1274</v>
      </c>
      <c r="C33" s="27"/>
      <c r="D33" s="23" t="s">
        <v>28</v>
      </c>
      <c r="E33" s="24">
        <f>E32</f>
        <v>16</v>
      </c>
      <c r="F33" s="23"/>
      <c r="G33" s="39">
        <v>21</v>
      </c>
      <c r="H33" s="40"/>
      <c r="I33" s="40"/>
      <c r="J33" s="41"/>
      <c r="K33" s="41"/>
      <c r="L33" s="41"/>
      <c r="M33" s="41"/>
      <c r="N33" s="41"/>
      <c r="O33" s="66" t="s">
        <v>1608</v>
      </c>
      <c r="P33" s="57">
        <v>14</v>
      </c>
      <c r="Q33" s="57">
        <f ca="1" t="shared" si="1"/>
        <v>294</v>
      </c>
      <c r="R33" s="57">
        <f t="shared" si="2"/>
        <v>2</v>
      </c>
      <c r="S33" s="57">
        <f ca="1" t="shared" si="3"/>
        <v>42</v>
      </c>
      <c r="T33" s="3"/>
    </row>
    <row r="34" ht="15" customHeight="1" spans="1:20">
      <c r="A34" s="31"/>
      <c r="B34" s="38" t="s">
        <v>551</v>
      </c>
      <c r="C34" s="27"/>
      <c r="D34" s="23" t="s">
        <v>434</v>
      </c>
      <c r="E34" s="24">
        <f>F3*5</f>
        <v>10</v>
      </c>
      <c r="F34" s="23"/>
      <c r="G34" s="41">
        <v>15.5</v>
      </c>
      <c r="H34" s="40"/>
      <c r="I34" s="40"/>
      <c r="J34" s="41"/>
      <c r="K34" s="41"/>
      <c r="L34" s="41"/>
      <c r="M34" s="41"/>
      <c r="N34" s="41"/>
      <c r="O34" s="66" t="s">
        <v>1456</v>
      </c>
      <c r="P34" s="57">
        <v>10</v>
      </c>
      <c r="Q34" s="57">
        <f ca="1" t="shared" si="1"/>
        <v>155</v>
      </c>
      <c r="R34" s="57">
        <f t="shared" si="2"/>
        <v>0</v>
      </c>
      <c r="S34" s="57">
        <f ca="1" t="shared" si="3"/>
        <v>0</v>
      </c>
      <c r="T34" s="3"/>
    </row>
    <row r="35" ht="15" customHeight="1" spans="1:20">
      <c r="A35" s="31"/>
      <c r="B35" s="42" t="s">
        <v>1609</v>
      </c>
      <c r="C35" s="27"/>
      <c r="D35" s="43" t="s">
        <v>555</v>
      </c>
      <c r="E35" s="44">
        <f>E5+E8+E9+E10+E22+E18</f>
        <v>28</v>
      </c>
      <c r="F35" s="23"/>
      <c r="G35" s="45">
        <v>1.46</v>
      </c>
      <c r="H35" s="46"/>
      <c r="I35" s="46"/>
      <c r="J35" s="45"/>
      <c r="K35" s="45"/>
      <c r="L35" s="45"/>
      <c r="M35" s="45"/>
      <c r="N35" s="45"/>
      <c r="O35" s="59" t="s">
        <v>1610</v>
      </c>
      <c r="P35" s="57">
        <v>26</v>
      </c>
      <c r="Q35" s="57">
        <f ca="1" t="shared" si="1"/>
        <v>37.96</v>
      </c>
      <c r="R35" s="57">
        <f t="shared" si="2"/>
        <v>2</v>
      </c>
      <c r="S35" s="57">
        <f ca="1" t="shared" si="3"/>
        <v>2.92</v>
      </c>
      <c r="T35" s="3"/>
    </row>
    <row r="36" ht="15" customHeight="1" spans="1:20">
      <c r="A36" s="31"/>
      <c r="B36" s="42" t="s">
        <v>1575</v>
      </c>
      <c r="C36" s="27"/>
      <c r="D36" s="43" t="s">
        <v>555</v>
      </c>
      <c r="E36" s="44">
        <f>E24+E25*2+E26*2</f>
        <v>42</v>
      </c>
      <c r="F36" s="23"/>
      <c r="G36" s="45">
        <v>1.2</v>
      </c>
      <c r="H36" s="46"/>
      <c r="I36" s="46"/>
      <c r="J36" s="45"/>
      <c r="K36" s="45"/>
      <c r="L36" s="45"/>
      <c r="M36" s="45"/>
      <c r="N36" s="45"/>
      <c r="O36" s="59"/>
      <c r="P36" s="57">
        <v>42</v>
      </c>
      <c r="Q36" s="57">
        <f ca="1" t="shared" si="1"/>
        <v>50.4</v>
      </c>
      <c r="R36" s="57">
        <f t="shared" si="2"/>
        <v>0</v>
      </c>
      <c r="S36" s="57">
        <f ca="1" t="shared" si="3"/>
        <v>0</v>
      </c>
      <c r="T36" s="3"/>
    </row>
    <row r="37" ht="15" customHeight="1" spans="1:19">
      <c r="A37" s="20" t="s">
        <v>1217</v>
      </c>
      <c r="B37" s="21" t="s">
        <v>1574</v>
      </c>
      <c r="C37" s="24"/>
      <c r="D37" s="23" t="s">
        <v>434</v>
      </c>
      <c r="E37" s="24">
        <f>D3*6</f>
        <v>18</v>
      </c>
      <c r="F37" s="23"/>
      <c r="G37" s="47">
        <v>1.95</v>
      </c>
      <c r="H37" s="48"/>
      <c r="I37" s="48"/>
      <c r="J37" s="47"/>
      <c r="K37" s="47"/>
      <c r="L37" s="47"/>
      <c r="M37" s="47"/>
      <c r="N37" s="47"/>
      <c r="O37" s="59" t="s">
        <v>1375</v>
      </c>
      <c r="P37" s="57">
        <v>12</v>
      </c>
      <c r="Q37" s="57">
        <f ca="1" t="shared" si="1"/>
        <v>23.4</v>
      </c>
      <c r="R37" s="57">
        <f t="shared" si="2"/>
        <v>6</v>
      </c>
      <c r="S37" s="57">
        <f ca="1" t="shared" si="3"/>
        <v>11.7</v>
      </c>
    </row>
    <row r="38" ht="15" customHeight="1" spans="1:19">
      <c r="A38" s="20"/>
      <c r="B38" s="21" t="s">
        <v>1581</v>
      </c>
      <c r="C38" s="24"/>
      <c r="D38" s="23" t="s">
        <v>434</v>
      </c>
      <c r="E38" s="24">
        <f>D3*22+E24+E25+E26+F3*7</f>
        <v>104</v>
      </c>
      <c r="F38" s="23"/>
      <c r="G38" s="47">
        <v>2.15</v>
      </c>
      <c r="H38" s="48"/>
      <c r="I38" s="48"/>
      <c r="J38" s="47"/>
      <c r="K38" s="47"/>
      <c r="L38" s="47"/>
      <c r="M38" s="47"/>
      <c r="N38" s="47"/>
      <c r="O38" s="59" t="s">
        <v>1372</v>
      </c>
      <c r="P38" s="57">
        <v>82</v>
      </c>
      <c r="Q38" s="57">
        <f ca="1" t="shared" si="1"/>
        <v>176.3</v>
      </c>
      <c r="R38" s="57">
        <f t="shared" si="2"/>
        <v>22</v>
      </c>
      <c r="S38" s="57">
        <f ca="1" t="shared" si="3"/>
        <v>47.3</v>
      </c>
    </row>
    <row r="39" ht="15" customHeight="1" spans="1:19">
      <c r="A39" s="20"/>
      <c r="B39" s="21" t="s">
        <v>1582</v>
      </c>
      <c r="C39" s="24"/>
      <c r="D39" s="23" t="s">
        <v>434</v>
      </c>
      <c r="E39" s="28">
        <f>E18+E24+E25+E26</f>
        <v>30</v>
      </c>
      <c r="F39" s="23"/>
      <c r="G39" s="47">
        <v>2.55</v>
      </c>
      <c r="H39" s="48"/>
      <c r="I39" s="48"/>
      <c r="J39" s="47"/>
      <c r="K39" s="47"/>
      <c r="L39" s="47"/>
      <c r="M39" s="47"/>
      <c r="N39" s="47"/>
      <c r="O39" s="59" t="s">
        <v>1373</v>
      </c>
      <c r="P39" s="57">
        <v>30</v>
      </c>
      <c r="Q39" s="57">
        <f ca="1" t="shared" si="1"/>
        <v>76.5</v>
      </c>
      <c r="R39" s="57">
        <f t="shared" si="2"/>
        <v>0</v>
      </c>
      <c r="S39" s="57">
        <f ca="1" t="shared" si="3"/>
        <v>0</v>
      </c>
    </row>
    <row r="40" spans="5:20">
      <c r="E40" s="3"/>
      <c r="F40" s="3"/>
      <c r="G40" s="3"/>
      <c r="H40" s="3"/>
      <c r="I40" s="3"/>
      <c r="J40" s="3"/>
      <c r="K40" s="3"/>
      <c r="L40" s="3"/>
      <c r="M40" s="3"/>
      <c r="N40" s="3"/>
      <c r="P40" s="1" t="s">
        <v>1218</v>
      </c>
      <c r="Q40" s="3">
        <f ca="1">SUM(Q5:Q39)</f>
        <v>70771.2262754784</v>
      </c>
      <c r="R40" s="3" t="s">
        <v>1219</v>
      </c>
      <c r="S40" s="3">
        <f ca="1">SUM(S5:S39)</f>
        <v>27693.7940184992</v>
      </c>
      <c r="T40" s="3"/>
    </row>
    <row r="41" spans="2:20">
      <c r="B41" s="50" t="s">
        <v>1221</v>
      </c>
      <c r="E41" s="3"/>
      <c r="F41" s="3"/>
      <c r="G41" s="3"/>
      <c r="H41" s="3"/>
      <c r="I41" s="3"/>
      <c r="J41" s="3"/>
      <c r="K41" s="3"/>
      <c r="L41" s="3"/>
      <c r="M41" s="3"/>
      <c r="N41" s="3"/>
      <c r="Q41" s="3"/>
      <c r="R41" s="3"/>
      <c r="S41" s="3"/>
      <c r="T41" s="3"/>
    </row>
    <row r="42" spans="5:20">
      <c r="E42" s="3"/>
      <c r="F42" s="3"/>
      <c r="G42" s="3"/>
      <c r="H42" s="3"/>
      <c r="I42" s="3"/>
      <c r="J42" s="3"/>
      <c r="K42" s="3"/>
      <c r="L42" s="3"/>
      <c r="M42" s="3"/>
      <c r="N42" s="3"/>
      <c r="P42" s="50" t="s">
        <v>1576</v>
      </c>
      <c r="Q42" s="3">
        <f ca="1">Q40+S40</f>
        <v>98465.0202939776</v>
      </c>
      <c r="R42" s="3"/>
      <c r="S42" s="3"/>
      <c r="T42" s="3"/>
    </row>
    <row r="43" spans="3:20"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2" t="s">
        <v>1577</v>
      </c>
      <c r="Q43" s="3">
        <f ca="1">Q42/E2</f>
        <v>328.216734313259</v>
      </c>
      <c r="R43" s="3"/>
      <c r="S43" s="3"/>
      <c r="T43" s="3"/>
    </row>
    <row r="44" spans="2:20">
      <c r="B44" s="50"/>
      <c r="C44" s="51"/>
      <c r="D44" s="51"/>
      <c r="E44" s="51"/>
      <c r="F44" s="50"/>
      <c r="G44" s="3"/>
      <c r="H44" s="3"/>
      <c r="I44" s="3"/>
      <c r="J44" s="3"/>
      <c r="K44" s="3"/>
      <c r="L44" s="3"/>
      <c r="M44" s="3"/>
      <c r="N44" s="3"/>
      <c r="R44" s="3"/>
      <c r="S44" s="3"/>
      <c r="T44" s="3"/>
    </row>
    <row r="45" spans="2:20">
      <c r="B45" s="52"/>
      <c r="C45" s="52"/>
      <c r="D45" s="52"/>
      <c r="E45" s="52"/>
      <c r="F45" s="52"/>
      <c r="G45" s="3"/>
      <c r="H45" s="3"/>
      <c r="I45" s="3"/>
      <c r="J45" s="3"/>
      <c r="K45" s="3"/>
      <c r="L45" s="3"/>
      <c r="M45" s="3"/>
      <c r="N45" s="3"/>
      <c r="R45" s="3"/>
      <c r="S45" s="3"/>
      <c r="T45" s="3"/>
    </row>
    <row r="46" spans="2:20">
      <c r="B46" s="53"/>
      <c r="C46" s="53"/>
      <c r="D46" s="53"/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Q46" s="3"/>
      <c r="R46" s="3"/>
      <c r="S46" s="3"/>
      <c r="T46" s="3"/>
    </row>
    <row r="47" spans="2:20">
      <c r="B47" s="54"/>
      <c r="C47" s="54"/>
      <c r="D47" s="54"/>
      <c r="E47" s="54"/>
      <c r="F47" s="54"/>
      <c r="Q47" s="3"/>
      <c r="R47" s="3"/>
      <c r="S47" s="3"/>
      <c r="T47" s="3"/>
    </row>
    <row r="48" spans="2:20">
      <c r="B48" s="54"/>
      <c r="C48" s="54"/>
      <c r="D48" s="54"/>
      <c r="E48" s="54"/>
      <c r="F48" s="54"/>
      <c r="Q48" s="3"/>
      <c r="R48" s="3"/>
      <c r="S48" s="3"/>
      <c r="T48" s="3"/>
    </row>
    <row r="49" spans="2:20">
      <c r="B49" s="54"/>
      <c r="C49" s="54"/>
      <c r="D49" s="54"/>
      <c r="E49" s="54"/>
      <c r="F49" s="54"/>
      <c r="Q49" s="3"/>
      <c r="R49" s="3"/>
      <c r="S49" s="3"/>
      <c r="T49" s="3"/>
    </row>
    <row r="50" spans="2:20">
      <c r="B50" s="54"/>
      <c r="C50" s="54"/>
      <c r="D50" s="54"/>
      <c r="E50" s="54"/>
      <c r="F50" s="54"/>
      <c r="Q50" s="3"/>
      <c r="R50" s="3"/>
      <c r="S50" s="3"/>
      <c r="T50" s="3"/>
    </row>
    <row r="51" spans="2:20">
      <c r="B51" s="54"/>
      <c r="C51" s="54"/>
      <c r="D51" s="54"/>
      <c r="E51" s="54"/>
      <c r="F51" s="54"/>
      <c r="Q51" s="3"/>
      <c r="R51" s="3"/>
      <c r="S51" s="3"/>
      <c r="T51" s="3"/>
    </row>
  </sheetData>
  <mergeCells count="9">
    <mergeCell ref="A1:N1"/>
    <mergeCell ref="A2:C2"/>
    <mergeCell ref="F2:N2"/>
    <mergeCell ref="A3:B3"/>
    <mergeCell ref="H3:N3"/>
    <mergeCell ref="B46:O46"/>
    <mergeCell ref="A5:A18"/>
    <mergeCell ref="A19:A36"/>
    <mergeCell ref="A37:A39"/>
  </mergeCells>
  <pageMargins left="0.75" right="0.75" top="1" bottom="1" header="0.509027777777778" footer="0.509027777777778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50"/>
  <sheetViews>
    <sheetView showGridLines="0" workbookViewId="0">
      <selection activeCell="B31" sqref="B31:B50"/>
    </sheetView>
  </sheetViews>
  <sheetFormatPr defaultColWidth="9" defaultRowHeight="13.5" outlineLevelCol="5"/>
  <cols>
    <col min="3" max="3" width="21.625" customWidth="1"/>
    <col min="4" max="4" width="12" customWidth="1"/>
  </cols>
  <sheetData>
    <row r="1" ht="18.75" spans="1:6">
      <c r="A1" s="315" t="s">
        <v>17</v>
      </c>
      <c r="B1" s="316"/>
      <c r="C1" s="317"/>
      <c r="D1" s="317"/>
      <c r="E1" s="317"/>
      <c r="F1" s="318"/>
    </row>
    <row r="2" spans="1:6">
      <c r="A2" s="319" t="s">
        <v>18</v>
      </c>
      <c r="B2" s="319" t="s">
        <v>19</v>
      </c>
      <c r="C2" s="319" t="s">
        <v>20</v>
      </c>
      <c r="D2" s="319" t="s">
        <v>21</v>
      </c>
      <c r="E2" s="319" t="s">
        <v>22</v>
      </c>
      <c r="F2" s="320" t="s">
        <v>23</v>
      </c>
    </row>
    <row r="3" spans="1:6">
      <c r="A3" s="321" t="s">
        <v>1097</v>
      </c>
      <c r="B3" s="23" t="s">
        <v>1098</v>
      </c>
      <c r="C3" s="91" t="s">
        <v>1099</v>
      </c>
      <c r="D3" s="91"/>
      <c r="E3" s="23" t="s">
        <v>612</v>
      </c>
      <c r="F3" s="322">
        <v>1</v>
      </c>
    </row>
    <row r="4" spans="1:6">
      <c r="A4" s="321"/>
      <c r="B4" s="23" t="s">
        <v>1100</v>
      </c>
      <c r="C4" s="91" t="s">
        <v>1101</v>
      </c>
      <c r="D4" s="91"/>
      <c r="E4" s="23" t="s">
        <v>612</v>
      </c>
      <c r="F4" s="322">
        <v>1</v>
      </c>
    </row>
    <row r="5" spans="1:6">
      <c r="A5" s="321"/>
      <c r="B5" s="23" t="s">
        <v>1102</v>
      </c>
      <c r="C5" s="91" t="s">
        <v>1103</v>
      </c>
      <c r="D5" s="91"/>
      <c r="E5" s="23" t="s">
        <v>612</v>
      </c>
      <c r="F5" s="322">
        <v>1</v>
      </c>
    </row>
    <row r="6" spans="1:6">
      <c r="A6" s="321"/>
      <c r="B6" s="23" t="s">
        <v>1104</v>
      </c>
      <c r="C6" s="91" t="s">
        <v>1105</v>
      </c>
      <c r="D6" s="91"/>
      <c r="E6" s="23" t="s">
        <v>612</v>
      </c>
      <c r="F6" s="322">
        <v>1</v>
      </c>
    </row>
    <row r="7" spans="1:6">
      <c r="A7" s="321"/>
      <c r="B7" s="23" t="s">
        <v>1106</v>
      </c>
      <c r="C7" s="91" t="s">
        <v>1107</v>
      </c>
      <c r="D7" s="91"/>
      <c r="E7" s="23" t="s">
        <v>612</v>
      </c>
      <c r="F7" s="322">
        <v>1</v>
      </c>
    </row>
    <row r="8" spans="1:6">
      <c r="A8" s="321"/>
      <c r="B8" s="23" t="s">
        <v>1108</v>
      </c>
      <c r="C8" s="91" t="s">
        <v>1109</v>
      </c>
      <c r="D8" s="91"/>
      <c r="E8" s="23" t="s">
        <v>612</v>
      </c>
      <c r="F8" s="322">
        <v>1</v>
      </c>
    </row>
    <row r="9" spans="1:6">
      <c r="A9" s="321"/>
      <c r="B9" s="23" t="s">
        <v>1110</v>
      </c>
      <c r="C9" s="91" t="s">
        <v>1111</v>
      </c>
      <c r="D9" s="91"/>
      <c r="E9" s="23" t="s">
        <v>612</v>
      </c>
      <c r="F9" s="322">
        <v>1</v>
      </c>
    </row>
    <row r="10" spans="1:6">
      <c r="A10" s="321"/>
      <c r="B10" s="23" t="s">
        <v>1112</v>
      </c>
      <c r="C10" s="91" t="s">
        <v>1113</v>
      </c>
      <c r="D10" s="91"/>
      <c r="E10" s="23" t="s">
        <v>612</v>
      </c>
      <c r="F10" s="322">
        <v>1</v>
      </c>
    </row>
    <row r="11" spans="1:6">
      <c r="A11" s="321"/>
      <c r="B11" s="23" t="s">
        <v>1114</v>
      </c>
      <c r="C11" s="91" t="s">
        <v>1115</v>
      </c>
      <c r="D11" s="91"/>
      <c r="E11" s="23" t="s">
        <v>612</v>
      </c>
      <c r="F11" s="322">
        <v>1</v>
      </c>
    </row>
    <row r="12" spans="1:6">
      <c r="A12" s="321"/>
      <c r="B12" s="23" t="s">
        <v>1116</v>
      </c>
      <c r="C12" s="91" t="s">
        <v>1117</v>
      </c>
      <c r="D12" s="91"/>
      <c r="E12" s="23" t="s">
        <v>612</v>
      </c>
      <c r="F12" s="322">
        <v>1</v>
      </c>
    </row>
    <row r="13" spans="1:6">
      <c r="A13" s="321"/>
      <c r="B13" s="23" t="s">
        <v>1118</v>
      </c>
      <c r="C13" s="91" t="s">
        <v>1119</v>
      </c>
      <c r="D13" s="91"/>
      <c r="E13" s="23" t="s">
        <v>612</v>
      </c>
      <c r="F13" s="322">
        <v>1</v>
      </c>
    </row>
    <row r="14" spans="1:6">
      <c r="A14" s="321"/>
      <c r="B14" s="23" t="s">
        <v>1120</v>
      </c>
      <c r="C14" s="91" t="s">
        <v>1121</v>
      </c>
      <c r="D14" s="91"/>
      <c r="E14" s="23" t="s">
        <v>612</v>
      </c>
      <c r="F14" s="322">
        <v>1</v>
      </c>
    </row>
    <row r="15" spans="1:6">
      <c r="A15" s="321"/>
      <c r="B15" s="23" t="s">
        <v>1122</v>
      </c>
      <c r="C15" s="91" t="s">
        <v>1123</v>
      </c>
      <c r="D15" s="91"/>
      <c r="E15" s="23" t="s">
        <v>612</v>
      </c>
      <c r="F15" s="322">
        <v>1</v>
      </c>
    </row>
    <row r="16" spans="1:6">
      <c r="A16" s="321"/>
      <c r="B16" s="23" t="s">
        <v>1124</v>
      </c>
      <c r="C16" s="91" t="s">
        <v>1125</v>
      </c>
      <c r="D16" s="91"/>
      <c r="E16" s="23" t="s">
        <v>612</v>
      </c>
      <c r="F16" s="322">
        <v>1</v>
      </c>
    </row>
    <row r="17" spans="1:6">
      <c r="A17" s="321"/>
      <c r="B17" s="23" t="s">
        <v>1126</v>
      </c>
      <c r="C17" s="91" t="s">
        <v>1127</v>
      </c>
      <c r="D17" s="91"/>
      <c r="E17" s="23" t="s">
        <v>612</v>
      </c>
      <c r="F17" s="322">
        <v>1</v>
      </c>
    </row>
    <row r="18" spans="1:6">
      <c r="A18" s="321"/>
      <c r="B18" s="23" t="s">
        <v>1128</v>
      </c>
      <c r="C18" s="91" t="s">
        <v>1129</v>
      </c>
      <c r="D18" s="91"/>
      <c r="E18" s="23" t="s">
        <v>612</v>
      </c>
      <c r="F18" s="322">
        <v>1</v>
      </c>
    </row>
    <row r="19" spans="1:6">
      <c r="A19" s="321"/>
      <c r="B19" s="23" t="s">
        <v>1130</v>
      </c>
      <c r="C19" s="91" t="s">
        <v>1131</v>
      </c>
      <c r="D19" s="91"/>
      <c r="E19" s="23" t="s">
        <v>612</v>
      </c>
      <c r="F19" s="322">
        <v>1</v>
      </c>
    </row>
    <row r="20" spans="1:6">
      <c r="A20" s="321"/>
      <c r="B20" s="23" t="s">
        <v>1132</v>
      </c>
      <c r="C20" s="91" t="s">
        <v>1133</v>
      </c>
      <c r="D20" s="91"/>
      <c r="E20" s="23" t="s">
        <v>612</v>
      </c>
      <c r="F20" s="322">
        <v>1</v>
      </c>
    </row>
    <row r="21" spans="1:6">
      <c r="A21" s="321"/>
      <c r="B21" s="23" t="s">
        <v>1134</v>
      </c>
      <c r="C21" s="91" t="s">
        <v>1135</v>
      </c>
      <c r="D21" s="91"/>
      <c r="E21" s="23" t="s">
        <v>612</v>
      </c>
      <c r="F21" s="322">
        <v>1</v>
      </c>
    </row>
    <row r="22" spans="1:6">
      <c r="A22" s="321"/>
      <c r="B22" s="23" t="s">
        <v>1136</v>
      </c>
      <c r="C22" s="91" t="s">
        <v>1137</v>
      </c>
      <c r="D22" s="91"/>
      <c r="E22" s="23" t="s">
        <v>612</v>
      </c>
      <c r="F22" s="322">
        <v>1</v>
      </c>
    </row>
    <row r="23" spans="1:6">
      <c r="A23" s="321"/>
      <c r="B23" s="23" t="s">
        <v>1138</v>
      </c>
      <c r="C23" s="91" t="s">
        <v>1139</v>
      </c>
      <c r="D23" s="91"/>
      <c r="E23" s="23" t="s">
        <v>612</v>
      </c>
      <c r="F23" s="322">
        <v>1</v>
      </c>
    </row>
    <row r="24" spans="1:6">
      <c r="A24" s="321"/>
      <c r="B24" s="23" t="s">
        <v>1140</v>
      </c>
      <c r="C24" s="91" t="s">
        <v>1141</v>
      </c>
      <c r="D24" s="91"/>
      <c r="E24" s="23" t="s">
        <v>612</v>
      </c>
      <c r="F24" s="322">
        <v>1</v>
      </c>
    </row>
    <row r="25" spans="1:6">
      <c r="A25" s="321" t="s">
        <v>1142</v>
      </c>
      <c r="B25" s="23" t="s">
        <v>1143</v>
      </c>
      <c r="C25" s="91" t="s">
        <v>1144</v>
      </c>
      <c r="D25" s="91"/>
      <c r="E25" s="23" t="s">
        <v>612</v>
      </c>
      <c r="F25" s="322">
        <v>1</v>
      </c>
    </row>
    <row r="26" spans="1:6">
      <c r="A26" s="321"/>
      <c r="B26" s="23" t="s">
        <v>1145</v>
      </c>
      <c r="C26" s="91" t="s">
        <v>1146</v>
      </c>
      <c r="D26" s="91"/>
      <c r="E26" s="23" t="s">
        <v>612</v>
      </c>
      <c r="F26" s="322">
        <v>1</v>
      </c>
    </row>
    <row r="27" spans="1:6">
      <c r="A27" s="321"/>
      <c r="B27" s="23" t="s">
        <v>1147</v>
      </c>
      <c r="C27" s="91" t="s">
        <v>1148</v>
      </c>
      <c r="D27" s="91"/>
      <c r="E27" s="23" t="s">
        <v>612</v>
      </c>
      <c r="F27" s="322">
        <v>1</v>
      </c>
    </row>
    <row r="28" spans="1:6">
      <c r="A28" s="321"/>
      <c r="B28" s="23" t="s">
        <v>1149</v>
      </c>
      <c r="C28" s="91" t="s">
        <v>1150</v>
      </c>
      <c r="D28" s="91"/>
      <c r="E28" s="23" t="s">
        <v>612</v>
      </c>
      <c r="F28" s="322">
        <v>1</v>
      </c>
    </row>
    <row r="29" spans="1:6">
      <c r="A29" s="321"/>
      <c r="B29" s="23" t="s">
        <v>1151</v>
      </c>
      <c r="C29" s="91" t="s">
        <v>1152</v>
      </c>
      <c r="D29" s="91"/>
      <c r="E29" s="23" t="s">
        <v>612</v>
      </c>
      <c r="F29" s="322">
        <v>1</v>
      </c>
    </row>
    <row r="30" spans="1:6">
      <c r="A30" s="321"/>
      <c r="B30" s="23" t="s">
        <v>1153</v>
      </c>
      <c r="C30" s="91" t="s">
        <v>1154</v>
      </c>
      <c r="D30" s="91"/>
      <c r="E30" s="23" t="s">
        <v>612</v>
      </c>
      <c r="F30" s="322">
        <v>1</v>
      </c>
    </row>
    <row r="31" spans="1:6">
      <c r="A31" s="321" t="s">
        <v>1155</v>
      </c>
      <c r="B31" s="23" t="s">
        <v>1156</v>
      </c>
      <c r="C31" s="91" t="s">
        <v>1157</v>
      </c>
      <c r="D31" s="91"/>
      <c r="E31" s="23" t="s">
        <v>664</v>
      </c>
      <c r="F31" s="322">
        <v>1</v>
      </c>
    </row>
    <row r="32" spans="1:6">
      <c r="A32" s="321"/>
      <c r="B32" s="23" t="s">
        <v>1158</v>
      </c>
      <c r="C32" s="91" t="s">
        <v>1159</v>
      </c>
      <c r="D32" s="91"/>
      <c r="E32" s="23" t="s">
        <v>664</v>
      </c>
      <c r="F32" s="322">
        <v>1</v>
      </c>
    </row>
    <row r="33" spans="1:6">
      <c r="A33" s="321"/>
      <c r="B33" s="23" t="s">
        <v>1160</v>
      </c>
      <c r="C33" s="91" t="s">
        <v>1161</v>
      </c>
      <c r="D33" s="91"/>
      <c r="E33" s="23" t="s">
        <v>664</v>
      </c>
      <c r="F33" s="322">
        <v>1</v>
      </c>
    </row>
    <row r="34" spans="1:6">
      <c r="A34" s="321"/>
      <c r="B34" s="23" t="s">
        <v>1162</v>
      </c>
      <c r="C34" s="91" t="s">
        <v>1163</v>
      </c>
      <c r="D34" s="91"/>
      <c r="E34" s="23" t="s">
        <v>664</v>
      </c>
      <c r="F34" s="322">
        <v>1</v>
      </c>
    </row>
    <row r="35" spans="1:6">
      <c r="A35" s="321"/>
      <c r="B35" s="23" t="s">
        <v>1164</v>
      </c>
      <c r="C35" s="91" t="s">
        <v>1165</v>
      </c>
      <c r="D35" s="91"/>
      <c r="E35" s="23" t="s">
        <v>664</v>
      </c>
      <c r="F35" s="322">
        <v>1</v>
      </c>
    </row>
    <row r="36" spans="1:6">
      <c r="A36" s="321"/>
      <c r="B36" s="23" t="s">
        <v>1166</v>
      </c>
      <c r="C36" s="91" t="s">
        <v>1167</v>
      </c>
      <c r="D36" s="91"/>
      <c r="E36" s="23" t="s">
        <v>664</v>
      </c>
      <c r="F36" s="322">
        <v>1</v>
      </c>
    </row>
    <row r="37" spans="1:6">
      <c r="A37" s="321"/>
      <c r="B37" s="23" t="s">
        <v>1168</v>
      </c>
      <c r="C37" s="91" t="s">
        <v>1169</v>
      </c>
      <c r="D37" s="91"/>
      <c r="E37" s="23" t="s">
        <v>664</v>
      </c>
      <c r="F37" s="322">
        <v>1</v>
      </c>
    </row>
    <row r="38" spans="1:6">
      <c r="A38" s="321"/>
      <c r="B38" s="23" t="s">
        <v>1170</v>
      </c>
      <c r="C38" s="91" t="s">
        <v>1171</v>
      </c>
      <c r="D38" s="91"/>
      <c r="E38" s="23" t="s">
        <v>664</v>
      </c>
      <c r="F38" s="322">
        <v>1</v>
      </c>
    </row>
    <row r="39" spans="1:6">
      <c r="A39" s="321"/>
      <c r="B39" s="23" t="s">
        <v>1172</v>
      </c>
      <c r="C39" s="91" t="s">
        <v>1173</v>
      </c>
      <c r="D39" s="91"/>
      <c r="E39" s="23" t="s">
        <v>664</v>
      </c>
      <c r="F39" s="322">
        <v>1</v>
      </c>
    </row>
    <row r="40" spans="1:6">
      <c r="A40" s="321"/>
      <c r="B40" s="23" t="s">
        <v>1174</v>
      </c>
      <c r="C40" s="91" t="s">
        <v>1175</v>
      </c>
      <c r="D40" s="91"/>
      <c r="E40" s="23" t="s">
        <v>664</v>
      </c>
      <c r="F40" s="322">
        <v>1</v>
      </c>
    </row>
    <row r="41" spans="1:6">
      <c r="A41" s="321"/>
      <c r="B41" s="23" t="s">
        <v>1176</v>
      </c>
      <c r="C41" s="91" t="s">
        <v>1177</v>
      </c>
      <c r="D41" s="91"/>
      <c r="E41" s="23" t="s">
        <v>664</v>
      </c>
      <c r="F41" s="322">
        <v>1</v>
      </c>
    </row>
    <row r="42" spans="1:6">
      <c r="A42" s="321"/>
      <c r="B42" s="23" t="s">
        <v>1178</v>
      </c>
      <c r="C42" s="91" t="s">
        <v>1179</v>
      </c>
      <c r="D42" s="91"/>
      <c r="E42" s="23" t="s">
        <v>664</v>
      </c>
      <c r="F42" s="322">
        <v>1</v>
      </c>
    </row>
    <row r="43" spans="1:6">
      <c r="A43" s="321"/>
      <c r="B43" s="23" t="s">
        <v>1180</v>
      </c>
      <c r="C43" s="91" t="s">
        <v>1181</v>
      </c>
      <c r="D43" s="91"/>
      <c r="E43" s="23" t="s">
        <v>664</v>
      </c>
      <c r="F43" s="322">
        <v>1</v>
      </c>
    </row>
    <row r="44" spans="1:6">
      <c r="A44" s="321"/>
      <c r="B44" s="23" t="s">
        <v>1182</v>
      </c>
      <c r="C44" s="91" t="s">
        <v>1183</v>
      </c>
      <c r="D44" s="91"/>
      <c r="E44" s="23" t="s">
        <v>664</v>
      </c>
      <c r="F44" s="322">
        <v>1</v>
      </c>
    </row>
    <row r="45" spans="1:6">
      <c r="A45" s="321"/>
      <c r="B45" s="23" t="s">
        <v>1184</v>
      </c>
      <c r="C45" s="91" t="s">
        <v>1185</v>
      </c>
      <c r="D45" s="91"/>
      <c r="E45" s="23" t="s">
        <v>664</v>
      </c>
      <c r="F45" s="322">
        <v>1</v>
      </c>
    </row>
    <row r="46" spans="1:6">
      <c r="A46" s="321"/>
      <c r="B46" s="23" t="s">
        <v>1186</v>
      </c>
      <c r="C46" s="91" t="s">
        <v>1187</v>
      </c>
      <c r="D46" s="91"/>
      <c r="E46" s="23" t="s">
        <v>664</v>
      </c>
      <c r="F46" s="322">
        <v>1</v>
      </c>
    </row>
    <row r="47" spans="1:6">
      <c r="A47" s="321"/>
      <c r="B47" s="23" t="s">
        <v>1188</v>
      </c>
      <c r="C47" s="91" t="s">
        <v>1189</v>
      </c>
      <c r="D47" s="91"/>
      <c r="E47" s="23" t="s">
        <v>664</v>
      </c>
      <c r="F47" s="322">
        <v>1</v>
      </c>
    </row>
    <row r="48" spans="1:6">
      <c r="A48" s="321"/>
      <c r="B48" s="23" t="s">
        <v>1190</v>
      </c>
      <c r="C48" s="91" t="s">
        <v>1191</v>
      </c>
      <c r="D48" s="91"/>
      <c r="E48" s="23" t="s">
        <v>664</v>
      </c>
      <c r="F48" s="322">
        <v>1</v>
      </c>
    </row>
    <row r="49" spans="1:6">
      <c r="A49" s="321"/>
      <c r="B49" s="23" t="s">
        <v>1192</v>
      </c>
      <c r="C49" s="91" t="s">
        <v>1193</v>
      </c>
      <c r="D49" s="91"/>
      <c r="E49" s="23" t="s">
        <v>664</v>
      </c>
      <c r="F49" s="322">
        <v>1</v>
      </c>
    </row>
    <row r="50" spans="1:6">
      <c r="A50" s="321"/>
      <c r="B50" s="23" t="s">
        <v>1194</v>
      </c>
      <c r="C50" s="91" t="s">
        <v>1195</v>
      </c>
      <c r="D50" s="91"/>
      <c r="E50" s="23" t="s">
        <v>664</v>
      </c>
      <c r="F50" s="322">
        <v>1</v>
      </c>
    </row>
  </sheetData>
  <mergeCells count="3">
    <mergeCell ref="A3:A24"/>
    <mergeCell ref="A25:A30"/>
    <mergeCell ref="A31:A50"/>
  </mergeCells>
  <conditionalFormatting sqref="C2">
    <cfRule type="duplicateValues" dxfId="0" priority="1"/>
  </conditionalFormatting>
  <pageMargins left="0.75" right="0.75" top="1" bottom="1" header="0.511805555555556" footer="0.511805555555556"/>
  <headerFooter/>
</worksheet>
</file>

<file path=xl/worksheets/sheet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FF0000"/>
  </sheetPr>
  <dimension ref="A1:X51"/>
  <sheetViews>
    <sheetView showGridLines="0" workbookViewId="0">
      <selection activeCell="G13" sqref="G13"/>
    </sheetView>
  </sheetViews>
  <sheetFormatPr defaultColWidth="9" defaultRowHeight="14.25"/>
  <cols>
    <col min="1" max="1" width="2.375" style="1" customWidth="1"/>
    <col min="2" max="2" width="17.375" style="1" customWidth="1"/>
    <col min="3" max="4" width="9.125" style="1" customWidth="1"/>
    <col min="5" max="6" width="9.125" style="3" customWidth="1"/>
    <col min="7" max="8" width="10.375" style="1" customWidth="1"/>
    <col min="9" max="9" width="10.25" style="1" customWidth="1"/>
    <col min="10" max="10" width="13.125" style="1" customWidth="1"/>
    <col min="11" max="11" width="14.25" style="1" customWidth="1"/>
    <col min="12" max="12" width="11.125" style="1" customWidth="1"/>
    <col min="13" max="13" width="16.875" style="1" customWidth="1"/>
    <col min="14" max="14" width="13.625" style="1" customWidth="1"/>
    <col min="15" max="15" width="73.875" style="1" customWidth="1"/>
    <col min="16" max="16" width="14.375" style="1" customWidth="1"/>
    <col min="17" max="17" width="13.75" style="3" customWidth="1"/>
    <col min="18" max="18" width="13" style="3" customWidth="1"/>
    <col min="19" max="19" width="15" style="3" customWidth="1"/>
    <col min="20" max="24" width="9" style="3"/>
    <col min="25" max="16384" width="9" style="1"/>
  </cols>
  <sheetData>
    <row r="1" ht="18.95" customHeight="1" spans="1:24">
      <c r="A1" s="86" t="s">
        <v>1611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3"/>
      <c r="P1" s="3"/>
      <c r="S1" s="1"/>
      <c r="T1" s="1"/>
      <c r="U1" s="1"/>
      <c r="V1" s="1"/>
      <c r="W1" s="1"/>
      <c r="X1" s="1"/>
    </row>
    <row r="2" ht="17.1" customHeight="1" spans="1:24">
      <c r="A2" s="8" t="s">
        <v>1246</v>
      </c>
      <c r="B2" s="8"/>
      <c r="C2" s="8"/>
      <c r="D2" s="9" t="s">
        <v>1198</v>
      </c>
      <c r="E2" s="10">
        <f>A3*5*30</f>
        <v>300</v>
      </c>
      <c r="F2" s="11"/>
      <c r="G2" s="11"/>
      <c r="H2" s="11"/>
      <c r="I2" s="11"/>
      <c r="J2" s="11"/>
      <c r="K2" s="11"/>
      <c r="L2" s="11"/>
      <c r="M2" s="11"/>
      <c r="N2" s="11"/>
      <c r="O2" s="55"/>
      <c r="P2" s="3"/>
      <c r="Q2" s="1"/>
      <c r="R2" s="1"/>
      <c r="S2" s="1"/>
      <c r="T2" s="1"/>
      <c r="U2" s="1"/>
      <c r="V2" s="1"/>
      <c r="W2" s="1"/>
      <c r="X2" s="1"/>
    </row>
    <row r="3" ht="17.1" customHeight="1" spans="1:24">
      <c r="A3" s="12">
        <v>2</v>
      </c>
      <c r="B3" s="12"/>
      <c r="C3" s="9" t="s">
        <v>1247</v>
      </c>
      <c r="D3" s="13">
        <v>3</v>
      </c>
      <c r="E3" s="11" t="s">
        <v>1248</v>
      </c>
      <c r="F3" s="14">
        <v>2</v>
      </c>
      <c r="G3" s="11" t="s">
        <v>1249</v>
      </c>
      <c r="H3" s="11"/>
      <c r="I3" s="11"/>
      <c r="J3" s="11"/>
      <c r="K3" s="11"/>
      <c r="L3" s="11"/>
      <c r="M3" s="11"/>
      <c r="N3" s="11"/>
      <c r="O3" s="55"/>
      <c r="P3" s="3"/>
      <c r="Q3" s="1"/>
      <c r="R3" s="1"/>
      <c r="S3" s="1"/>
      <c r="T3" s="1"/>
      <c r="U3" s="1"/>
      <c r="V3" s="1"/>
      <c r="W3" s="1"/>
      <c r="X3" s="1"/>
    </row>
    <row r="4" ht="25.5" spans="1:19">
      <c r="A4" s="15" t="s">
        <v>1200</v>
      </c>
      <c r="B4" s="16" t="s">
        <v>1201</v>
      </c>
      <c r="C4" s="17" t="s">
        <v>1396</v>
      </c>
      <c r="D4" s="18" t="s">
        <v>22</v>
      </c>
      <c r="E4" s="18" t="s">
        <v>1203</v>
      </c>
      <c r="F4" s="18" t="s">
        <v>1202</v>
      </c>
      <c r="G4" s="17" t="s">
        <v>1204</v>
      </c>
      <c r="H4" s="19" t="s">
        <v>1205</v>
      </c>
      <c r="I4" s="17" t="s">
        <v>1253</v>
      </c>
      <c r="J4" s="17" t="s">
        <v>1254</v>
      </c>
      <c r="K4" s="17" t="s">
        <v>1255</v>
      </c>
      <c r="L4" s="17" t="s">
        <v>1209</v>
      </c>
      <c r="M4" s="17" t="s">
        <v>1420</v>
      </c>
      <c r="N4" s="17" t="s">
        <v>1211</v>
      </c>
      <c r="O4" s="56" t="s">
        <v>1257</v>
      </c>
      <c r="P4" s="57" t="s">
        <v>1430</v>
      </c>
      <c r="Q4" s="57" t="s">
        <v>1213</v>
      </c>
      <c r="R4" s="57" t="s">
        <v>1541</v>
      </c>
      <c r="S4" s="57" t="s">
        <v>1213</v>
      </c>
    </row>
    <row r="5" ht="12.95" customHeight="1" spans="1:19">
      <c r="A5" s="20" t="s">
        <v>1215</v>
      </c>
      <c r="B5" s="21" t="s">
        <v>1224</v>
      </c>
      <c r="C5" s="22"/>
      <c r="D5" s="23" t="s">
        <v>28</v>
      </c>
      <c r="E5" s="24">
        <f>D3*2</f>
        <v>6</v>
      </c>
      <c r="F5" s="23"/>
      <c r="G5" s="25">
        <f ca="1" t="shared" ref="G5:G12" si="0">J5+K5+L5+M5+N5</f>
        <v>2084.60008444</v>
      </c>
      <c r="H5" s="26">
        <f>11.7/2</f>
        <v>5.85</v>
      </c>
      <c r="I5" s="26">
        <v>10.649</v>
      </c>
      <c r="J5" s="25">
        <f ca="1">H5*I5*'30米（人字250料）参数 '!G9*1.1</f>
        <v>1807.45008444</v>
      </c>
      <c r="K5" s="29">
        <f ca="1">96*2</f>
        <v>192</v>
      </c>
      <c r="L5" s="29">
        <v>62</v>
      </c>
      <c r="M5" s="29">
        <f>2.55*5</f>
        <v>12.75</v>
      </c>
      <c r="N5" s="29">
        <f>0.65*16</f>
        <v>10.4</v>
      </c>
      <c r="O5" s="58" t="s">
        <v>1612</v>
      </c>
      <c r="P5" s="57">
        <v>4</v>
      </c>
      <c r="Q5" s="57">
        <f ca="1" t="shared" ref="Q5:Q39" si="1">G5*P5</f>
        <v>8338.40033776</v>
      </c>
      <c r="R5" s="57">
        <f t="shared" ref="R5:R22" si="2">E5-P5</f>
        <v>2</v>
      </c>
      <c r="S5" s="57">
        <f ca="1" t="shared" ref="S5:S39" si="3">G5*R5</f>
        <v>4169.20016888</v>
      </c>
    </row>
    <row r="6" ht="12.95" customHeight="1" spans="1:19">
      <c r="A6" s="20"/>
      <c r="B6" s="21" t="s">
        <v>1543</v>
      </c>
      <c r="C6" s="27"/>
      <c r="D6" s="23" t="s">
        <v>28</v>
      </c>
      <c r="E6" s="24">
        <f>D3*2</f>
        <v>6</v>
      </c>
      <c r="F6" s="23"/>
      <c r="G6" s="25">
        <f ca="1" t="shared" si="0"/>
        <v>3358.649896368</v>
      </c>
      <c r="H6" s="26">
        <v>10.62</v>
      </c>
      <c r="I6" s="26">
        <v>10.649</v>
      </c>
      <c r="J6" s="25">
        <f ca="1">H6*I6*'30米（人字250料）参数 '!G9*1.1</f>
        <v>3281.217076368</v>
      </c>
      <c r="K6" s="29">
        <f ca="1">8*2.5</f>
        <v>20</v>
      </c>
      <c r="L6" s="29">
        <v>21.61</v>
      </c>
      <c r="M6" s="29">
        <f>1.5*8</f>
        <v>12</v>
      </c>
      <c r="N6" s="29">
        <f ca="1">1.25*0.882*'30米（人字250料）参数 '!G5</f>
        <v>23.82282</v>
      </c>
      <c r="O6" s="58" t="s">
        <v>1585</v>
      </c>
      <c r="P6" s="57">
        <v>4</v>
      </c>
      <c r="Q6" s="57">
        <f ca="1" t="shared" si="1"/>
        <v>13434.599585472</v>
      </c>
      <c r="R6" s="57">
        <f t="shared" si="2"/>
        <v>2</v>
      </c>
      <c r="S6" s="57">
        <f ca="1" t="shared" si="3"/>
        <v>6717.299792736</v>
      </c>
    </row>
    <row r="7" ht="12.95" customHeight="1" spans="1:19">
      <c r="A7" s="20"/>
      <c r="B7" s="21" t="s">
        <v>1586</v>
      </c>
      <c r="C7" s="27"/>
      <c r="D7" s="23" t="s">
        <v>28</v>
      </c>
      <c r="E7" s="24">
        <f>D3*2</f>
        <v>6</v>
      </c>
      <c r="F7" s="23"/>
      <c r="G7" s="25">
        <f ca="1" t="shared" si="0"/>
        <v>2138.93095088</v>
      </c>
      <c r="H7" s="26">
        <v>5.4</v>
      </c>
      <c r="I7" s="26">
        <v>10.649</v>
      </c>
      <c r="J7" s="25">
        <f ca="1">H7*I7*'30米（人字250料）参数 '!G10*1.1</f>
        <v>1622.36577888</v>
      </c>
      <c r="K7" s="29">
        <f ca="1">2.5*2</f>
        <v>5</v>
      </c>
      <c r="L7" s="29">
        <f ca="1">1.5*12.715*'30米（人字250料）参数 '!G10</f>
        <v>489.17148</v>
      </c>
      <c r="M7" s="29">
        <f>2.55*2+1.5*2</f>
        <v>8.1</v>
      </c>
      <c r="N7" s="29">
        <f ca="1">0.75*0.882*'30米（人字250料）参数 '!G5</f>
        <v>14.293692</v>
      </c>
      <c r="O7" s="58" t="s">
        <v>1587</v>
      </c>
      <c r="P7" s="57">
        <v>4</v>
      </c>
      <c r="Q7" s="57">
        <f ca="1" t="shared" si="1"/>
        <v>8555.72380352</v>
      </c>
      <c r="R7" s="57">
        <f t="shared" si="2"/>
        <v>2</v>
      </c>
      <c r="S7" s="57">
        <f ca="1" t="shared" si="3"/>
        <v>4277.86190176</v>
      </c>
    </row>
    <row r="8" ht="12.95" customHeight="1" spans="1:19">
      <c r="A8" s="20"/>
      <c r="B8" s="21" t="s">
        <v>1588</v>
      </c>
      <c r="C8" s="27"/>
      <c r="D8" s="23" t="s">
        <v>28</v>
      </c>
      <c r="E8" s="24">
        <f>F3*2</f>
        <v>4</v>
      </c>
      <c r="F8" s="23"/>
      <c r="G8" s="25">
        <f ca="1" t="shared" si="0"/>
        <v>1071.2073672</v>
      </c>
      <c r="H8" s="26">
        <v>7.33</v>
      </c>
      <c r="I8" s="26">
        <v>5.3</v>
      </c>
      <c r="J8" s="25">
        <f ca="1">H8*I8*'30米（人字250料）参数 '!G3*1.1</f>
        <v>967.8373672</v>
      </c>
      <c r="K8" s="29">
        <f ca="1">2.5*2</f>
        <v>5</v>
      </c>
      <c r="L8" s="29">
        <f ca="1">49.51+41.21</f>
        <v>90.72</v>
      </c>
      <c r="M8" s="29">
        <f>2.55*3</f>
        <v>7.65</v>
      </c>
      <c r="N8" s="29"/>
      <c r="O8" s="58" t="s">
        <v>1613</v>
      </c>
      <c r="P8" s="57">
        <v>4</v>
      </c>
      <c r="Q8" s="57">
        <f ca="1" t="shared" si="1"/>
        <v>4284.8294688</v>
      </c>
      <c r="R8" s="57">
        <f t="shared" si="2"/>
        <v>0</v>
      </c>
      <c r="S8" s="57">
        <f ca="1" t="shared" si="3"/>
        <v>0</v>
      </c>
    </row>
    <row r="9" ht="12.95" customHeight="1" spans="1:19">
      <c r="A9" s="20"/>
      <c r="B9" s="21" t="s">
        <v>1590</v>
      </c>
      <c r="C9" s="27"/>
      <c r="D9" s="23" t="s">
        <v>28</v>
      </c>
      <c r="E9" s="24">
        <f>F3*2</f>
        <v>4</v>
      </c>
      <c r="F9" s="23"/>
      <c r="G9" s="25">
        <f ca="1" t="shared" si="0"/>
        <v>1275.8660192</v>
      </c>
      <c r="H9" s="26">
        <v>8.88</v>
      </c>
      <c r="I9" s="26">
        <v>5.3</v>
      </c>
      <c r="J9" s="25">
        <f ca="1">H9*I9*'30米（人字250料）参数 '!G3*1.1</f>
        <v>1172.4960192</v>
      </c>
      <c r="K9" s="29">
        <f ca="1">2.5*2</f>
        <v>5</v>
      </c>
      <c r="L9" s="29">
        <f ca="1">49.51+41.21</f>
        <v>90.72</v>
      </c>
      <c r="M9" s="29">
        <f>2.55*3</f>
        <v>7.65</v>
      </c>
      <c r="N9" s="29"/>
      <c r="O9" s="58" t="s">
        <v>1614</v>
      </c>
      <c r="P9" s="57">
        <v>4</v>
      </c>
      <c r="Q9" s="57">
        <f ca="1" t="shared" si="1"/>
        <v>5103.4640768</v>
      </c>
      <c r="R9" s="57">
        <f t="shared" si="2"/>
        <v>0</v>
      </c>
      <c r="S9" s="57">
        <f ca="1" t="shared" si="3"/>
        <v>0</v>
      </c>
    </row>
    <row r="10" ht="12.95" customHeight="1" spans="1:19">
      <c r="A10" s="20"/>
      <c r="B10" s="21" t="s">
        <v>1592</v>
      </c>
      <c r="C10" s="27"/>
      <c r="D10" s="23" t="s">
        <v>28</v>
      </c>
      <c r="E10" s="24">
        <v>2</v>
      </c>
      <c r="F10" s="23"/>
      <c r="G10" s="25">
        <f ca="1" t="shared" si="0"/>
        <v>1480.5246712</v>
      </c>
      <c r="H10" s="26">
        <v>10.43</v>
      </c>
      <c r="I10" s="26">
        <v>5.3</v>
      </c>
      <c r="J10" s="25">
        <f ca="1">H10*I10*'30米（人字250料）参数 '!G3*1.1</f>
        <v>1377.1546712</v>
      </c>
      <c r="K10" s="29">
        <f ca="1">2.5*2</f>
        <v>5</v>
      </c>
      <c r="L10" s="29">
        <f ca="1">49.51+41.21</f>
        <v>90.72</v>
      </c>
      <c r="M10" s="29">
        <f>2.55*3</f>
        <v>7.65</v>
      </c>
      <c r="N10" s="29"/>
      <c r="O10" s="58" t="s">
        <v>1615</v>
      </c>
      <c r="P10" s="57">
        <v>2</v>
      </c>
      <c r="Q10" s="57">
        <f ca="1" t="shared" si="1"/>
        <v>2961.0493424</v>
      </c>
      <c r="R10" s="57">
        <f t="shared" si="2"/>
        <v>0</v>
      </c>
      <c r="S10" s="57">
        <f ca="1" t="shared" si="3"/>
        <v>0</v>
      </c>
    </row>
    <row r="11" ht="12.95" customHeight="1" spans="1:19">
      <c r="A11" s="20"/>
      <c r="B11" s="21" t="s">
        <v>1226</v>
      </c>
      <c r="C11" s="27"/>
      <c r="D11" s="23" t="s">
        <v>28</v>
      </c>
      <c r="E11" s="24">
        <f>A3*10+F3*4</f>
        <v>28</v>
      </c>
      <c r="F11" s="23"/>
      <c r="G11" s="25">
        <f ca="1" t="shared" si="0"/>
        <v>336.5448493136</v>
      </c>
      <c r="H11" s="26">
        <v>4.882</v>
      </c>
      <c r="I11" s="26">
        <v>2.771</v>
      </c>
      <c r="J11" s="25">
        <f ca="1">H11*I11*'30米（人字250料）参数 '!G5*1.1</f>
        <v>321.5448493136</v>
      </c>
      <c r="K11" s="29"/>
      <c r="L11" s="29"/>
      <c r="M11" s="29">
        <f>0.5*4</f>
        <v>2</v>
      </c>
      <c r="N11" s="29">
        <f>6.5*2</f>
        <v>13</v>
      </c>
      <c r="O11" s="59" t="s">
        <v>1595</v>
      </c>
      <c r="P11" s="57">
        <v>18</v>
      </c>
      <c r="Q11" s="57">
        <f ca="1" t="shared" si="1"/>
        <v>6057.8072876448</v>
      </c>
      <c r="R11" s="57">
        <f t="shared" si="2"/>
        <v>10</v>
      </c>
      <c r="S11" s="57">
        <f ca="1" t="shared" si="3"/>
        <v>3365.448493136</v>
      </c>
    </row>
    <row r="12" ht="12.95" customHeight="1" spans="1:19">
      <c r="A12" s="20"/>
      <c r="B12" s="21" t="s">
        <v>1596</v>
      </c>
      <c r="C12" s="27"/>
      <c r="D12" s="23" t="s">
        <v>28</v>
      </c>
      <c r="E12" s="24">
        <f>A3*3</f>
        <v>6</v>
      </c>
      <c r="F12" s="23"/>
      <c r="G12" s="25">
        <f ca="1" t="shared" si="0"/>
        <v>737.9347773824</v>
      </c>
      <c r="H12" s="26">
        <v>4.882</v>
      </c>
      <c r="I12" s="26">
        <v>5.944</v>
      </c>
      <c r="J12" s="25">
        <f ca="1">H12*I12*'30米（人字250料）参数 '!G3*1.1</f>
        <v>722.9347773824</v>
      </c>
      <c r="K12" s="29"/>
      <c r="L12" s="29"/>
      <c r="M12" s="29">
        <f>0.5*4</f>
        <v>2</v>
      </c>
      <c r="N12" s="29">
        <f>6.5*2</f>
        <v>13</v>
      </c>
      <c r="O12" s="60" t="s">
        <v>1597</v>
      </c>
      <c r="P12" s="57">
        <v>3</v>
      </c>
      <c r="Q12" s="57">
        <f ca="1" t="shared" si="1"/>
        <v>2213.8043321472</v>
      </c>
      <c r="R12" s="57">
        <f t="shared" si="2"/>
        <v>3</v>
      </c>
      <c r="S12" s="57">
        <f ca="1" t="shared" si="3"/>
        <v>2213.8043321472</v>
      </c>
    </row>
    <row r="13" ht="12.95" customHeight="1" spans="1:19">
      <c r="A13" s="20"/>
      <c r="B13" s="21" t="s">
        <v>1266</v>
      </c>
      <c r="C13" s="27"/>
      <c r="D13" s="23" t="s">
        <v>28</v>
      </c>
      <c r="E13" s="24">
        <f>A3*2+F3*6</f>
        <v>16</v>
      </c>
      <c r="F13" s="23"/>
      <c r="G13" s="25">
        <f ca="1">'数据修改（批量）'!A28</f>
        <v>95</v>
      </c>
      <c r="H13" s="26">
        <v>4.86</v>
      </c>
      <c r="I13" s="26">
        <v>1.345</v>
      </c>
      <c r="J13" s="25">
        <f ca="1">H13*I13*'30米（人字250料）参数 '!G5*1.1</f>
        <v>155.36951496</v>
      </c>
      <c r="K13" s="29"/>
      <c r="L13" s="29"/>
      <c r="M13" s="29"/>
      <c r="N13" s="29"/>
      <c r="O13" s="59" t="s">
        <v>1554</v>
      </c>
      <c r="P13" s="57">
        <v>14</v>
      </c>
      <c r="Q13" s="57">
        <f ca="1" t="shared" si="1"/>
        <v>1330</v>
      </c>
      <c r="R13" s="57">
        <f t="shared" si="2"/>
        <v>2</v>
      </c>
      <c r="S13" s="57">
        <f ca="1" t="shared" si="3"/>
        <v>190</v>
      </c>
    </row>
    <row r="14" ht="12.95" customHeight="1" spans="1:19">
      <c r="A14" s="20"/>
      <c r="B14" s="21" t="s">
        <v>1276</v>
      </c>
      <c r="C14" s="27"/>
      <c r="D14" s="23" t="s">
        <v>28</v>
      </c>
      <c r="E14" s="28">
        <f>F3*2</f>
        <v>4</v>
      </c>
      <c r="F14" s="23"/>
      <c r="G14" s="25">
        <f ca="1" t="shared" ref="G14:G19" si="4">J14+K14+L14+M14+N14</f>
        <v>348.2448493136</v>
      </c>
      <c r="H14" s="26">
        <v>4.882</v>
      </c>
      <c r="I14" s="26">
        <v>2.771</v>
      </c>
      <c r="J14" s="25">
        <f ca="1">H14*I14*'30米（人字250料）参数 '!G5*1.1</f>
        <v>321.5448493136</v>
      </c>
      <c r="K14" s="29"/>
      <c r="L14" s="61">
        <v>15</v>
      </c>
      <c r="M14" s="61">
        <f>8*0.65</f>
        <v>5.2</v>
      </c>
      <c r="N14" s="61">
        <v>6.5</v>
      </c>
      <c r="O14" s="59" t="s">
        <v>1598</v>
      </c>
      <c r="P14" s="57">
        <v>4</v>
      </c>
      <c r="Q14" s="57">
        <f ca="1" t="shared" si="1"/>
        <v>1392.9793972544</v>
      </c>
      <c r="R14" s="57">
        <f t="shared" si="2"/>
        <v>0</v>
      </c>
      <c r="S14" s="57">
        <f ca="1" t="shared" si="3"/>
        <v>0</v>
      </c>
    </row>
    <row r="15" ht="12.95" customHeight="1" spans="1:19">
      <c r="A15" s="20"/>
      <c r="B15" s="21" t="s">
        <v>1356</v>
      </c>
      <c r="C15" s="27"/>
      <c r="D15" s="23" t="s">
        <v>28</v>
      </c>
      <c r="E15" s="28">
        <f>F3</f>
        <v>2</v>
      </c>
      <c r="F15" s="23"/>
      <c r="G15" s="25">
        <f ca="1" t="shared" si="4"/>
        <v>162.06</v>
      </c>
      <c r="H15" s="26">
        <v>7.5</v>
      </c>
      <c r="I15" s="26">
        <v>1</v>
      </c>
      <c r="J15" s="29">
        <f ca="1">H15*I15*'30米（人字250料）参数 '!G5</f>
        <v>162.06</v>
      </c>
      <c r="K15" s="29"/>
      <c r="L15" s="29"/>
      <c r="M15" s="29"/>
      <c r="N15" s="29"/>
      <c r="O15" s="60" t="s">
        <v>1599</v>
      </c>
      <c r="P15" s="57">
        <v>2</v>
      </c>
      <c r="Q15" s="57">
        <f ca="1" t="shared" si="1"/>
        <v>324.12</v>
      </c>
      <c r="R15" s="57">
        <f t="shared" si="2"/>
        <v>0</v>
      </c>
      <c r="S15" s="57">
        <f ca="1" t="shared" si="3"/>
        <v>0</v>
      </c>
    </row>
    <row r="16" ht="12.95" customHeight="1" spans="1:19">
      <c r="A16" s="20"/>
      <c r="B16" s="21" t="s">
        <v>1448</v>
      </c>
      <c r="C16" s="27"/>
      <c r="D16" s="23" t="s">
        <v>28</v>
      </c>
      <c r="E16" s="28">
        <f>D3*2-F3*2</f>
        <v>2</v>
      </c>
      <c r="F16" s="23"/>
      <c r="G16" s="29">
        <f ca="1" t="shared" si="4"/>
        <v>259</v>
      </c>
      <c r="H16" s="26"/>
      <c r="I16" s="26"/>
      <c r="J16" s="29">
        <f>128*1.5</f>
        <v>192</v>
      </c>
      <c r="K16" s="29"/>
      <c r="L16" s="29">
        <f>2.5*2</f>
        <v>5</v>
      </c>
      <c r="M16" s="29">
        <f>21*2</f>
        <v>42</v>
      </c>
      <c r="N16" s="29">
        <v>20</v>
      </c>
      <c r="O16" s="58" t="s">
        <v>1558</v>
      </c>
      <c r="P16" s="57">
        <v>0</v>
      </c>
      <c r="Q16" s="57">
        <f ca="1" t="shared" si="1"/>
        <v>0</v>
      </c>
      <c r="R16" s="57">
        <f t="shared" si="2"/>
        <v>2</v>
      </c>
      <c r="S16" s="57">
        <f ca="1" t="shared" si="3"/>
        <v>518</v>
      </c>
    </row>
    <row r="17" ht="12.95" customHeight="1" spans="1:19">
      <c r="A17" s="20"/>
      <c r="B17" s="21" t="s">
        <v>1559</v>
      </c>
      <c r="C17" s="27"/>
      <c r="D17" s="23" t="s">
        <v>28</v>
      </c>
      <c r="E17" s="28">
        <f>D3-F3</f>
        <v>1</v>
      </c>
      <c r="F17" s="23"/>
      <c r="G17" s="29">
        <f ca="1" t="shared" si="4"/>
        <v>259</v>
      </c>
      <c r="H17" s="26"/>
      <c r="I17" s="26"/>
      <c r="J17" s="29">
        <f>128*1.5</f>
        <v>192</v>
      </c>
      <c r="K17" s="29"/>
      <c r="L17" s="29">
        <f>2.5*2</f>
        <v>5</v>
      </c>
      <c r="M17" s="29">
        <f>21*2</f>
        <v>42</v>
      </c>
      <c r="N17" s="29">
        <v>20</v>
      </c>
      <c r="O17" s="58" t="s">
        <v>1558</v>
      </c>
      <c r="P17" s="57">
        <v>0</v>
      </c>
      <c r="Q17" s="57">
        <f ca="1" t="shared" si="1"/>
        <v>0</v>
      </c>
      <c r="R17" s="57">
        <f t="shared" si="2"/>
        <v>1</v>
      </c>
      <c r="S17" s="57">
        <f ca="1" t="shared" si="3"/>
        <v>259</v>
      </c>
    </row>
    <row r="18" ht="12.95" customHeight="1" spans="1:19">
      <c r="A18" s="20"/>
      <c r="B18" s="21" t="s">
        <v>1272</v>
      </c>
      <c r="C18" s="27"/>
      <c r="D18" s="23" t="s">
        <v>28</v>
      </c>
      <c r="E18" s="30">
        <v>6</v>
      </c>
      <c r="F18" s="23"/>
      <c r="G18" s="29">
        <f ca="1" t="shared" si="4"/>
        <v>237</v>
      </c>
      <c r="H18" s="26"/>
      <c r="I18" s="26"/>
      <c r="J18" s="29">
        <f>108*2</f>
        <v>216</v>
      </c>
      <c r="K18" s="29"/>
      <c r="L18" s="29">
        <v>6</v>
      </c>
      <c r="M18" s="29">
        <v>10</v>
      </c>
      <c r="N18" s="29">
        <v>5</v>
      </c>
      <c r="O18" s="60" t="s">
        <v>1561</v>
      </c>
      <c r="P18" s="57">
        <v>4</v>
      </c>
      <c r="Q18" s="57">
        <f ca="1" t="shared" si="1"/>
        <v>948</v>
      </c>
      <c r="R18" s="57">
        <f t="shared" si="2"/>
        <v>2</v>
      </c>
      <c r="S18" s="57">
        <f ca="1" t="shared" si="3"/>
        <v>474</v>
      </c>
    </row>
    <row r="19" ht="12.95" customHeight="1" spans="1:19">
      <c r="A19" s="20" t="s">
        <v>1562</v>
      </c>
      <c r="B19" s="21" t="s">
        <v>1304</v>
      </c>
      <c r="C19" s="27"/>
      <c r="D19" s="23" t="s">
        <v>434</v>
      </c>
      <c r="E19" s="24">
        <f>D3</f>
        <v>3</v>
      </c>
      <c r="F19" s="23"/>
      <c r="G19" s="25">
        <f ca="1" t="shared" si="4"/>
        <v>1239.42283808</v>
      </c>
      <c r="H19" s="26">
        <v>1.8</v>
      </c>
      <c r="I19" s="26">
        <v>16.257</v>
      </c>
      <c r="J19" s="29">
        <f ca="1">H19*I19*'30米（人字250料）参数 '!G10*1.1</f>
        <v>825.57988128</v>
      </c>
      <c r="K19" s="29">
        <v>100</v>
      </c>
      <c r="L19" s="25">
        <f ca="1">0.8*15.052*'30米（人字250料）参数 '!G10</f>
        <v>308.8429568</v>
      </c>
      <c r="M19" s="29">
        <f>2*2.5</f>
        <v>5</v>
      </c>
      <c r="N19" s="29"/>
      <c r="O19" s="60" t="s">
        <v>1616</v>
      </c>
      <c r="P19" s="57">
        <v>2</v>
      </c>
      <c r="Q19" s="57">
        <f ca="1" t="shared" si="1"/>
        <v>2478.84567616</v>
      </c>
      <c r="R19" s="57">
        <f t="shared" si="2"/>
        <v>1</v>
      </c>
      <c r="S19" s="57">
        <f ca="1" t="shared" si="3"/>
        <v>1239.42283808</v>
      </c>
    </row>
    <row r="20" ht="12.95" customHeight="1" spans="1:19">
      <c r="A20" s="31"/>
      <c r="B20" s="21" t="s">
        <v>1310</v>
      </c>
      <c r="C20" s="27"/>
      <c r="D20" s="23" t="s">
        <v>434</v>
      </c>
      <c r="E20" s="24">
        <f>E8+E9+E10</f>
        <v>10</v>
      </c>
      <c r="F20" s="23"/>
      <c r="G20" s="29">
        <v>76.4</v>
      </c>
      <c r="H20" s="26"/>
      <c r="I20" s="26"/>
      <c r="J20" s="29"/>
      <c r="K20" s="29"/>
      <c r="L20" s="29"/>
      <c r="M20" s="29"/>
      <c r="N20" s="29"/>
      <c r="O20" s="59" t="s">
        <v>1361</v>
      </c>
      <c r="P20" s="57">
        <v>10</v>
      </c>
      <c r="Q20" s="57">
        <f ca="1" t="shared" si="1"/>
        <v>764</v>
      </c>
      <c r="R20" s="57">
        <f t="shared" si="2"/>
        <v>0</v>
      </c>
      <c r="S20" s="57">
        <f ca="1" t="shared" si="3"/>
        <v>0</v>
      </c>
    </row>
    <row r="21" ht="12.95" customHeight="1" spans="1:19">
      <c r="A21" s="31"/>
      <c r="B21" s="21" t="s">
        <v>1280</v>
      </c>
      <c r="C21" s="27"/>
      <c r="D21" s="23" t="s">
        <v>434</v>
      </c>
      <c r="E21" s="28">
        <f>E5</f>
        <v>6</v>
      </c>
      <c r="F21" s="23"/>
      <c r="G21" s="29">
        <v>137</v>
      </c>
      <c r="H21" s="26"/>
      <c r="I21" s="26"/>
      <c r="J21" s="29"/>
      <c r="K21" s="29"/>
      <c r="L21" s="29"/>
      <c r="M21" s="29"/>
      <c r="N21" s="29"/>
      <c r="O21" s="59" t="s">
        <v>1361</v>
      </c>
      <c r="P21" s="57">
        <v>4</v>
      </c>
      <c r="Q21" s="57">
        <f ca="1" t="shared" si="1"/>
        <v>548</v>
      </c>
      <c r="R21" s="57">
        <f t="shared" si="2"/>
        <v>2</v>
      </c>
      <c r="S21" s="57">
        <f ca="1" t="shared" si="3"/>
        <v>274</v>
      </c>
    </row>
    <row r="22" ht="12.95" customHeight="1" spans="1:19">
      <c r="A22" s="31"/>
      <c r="B22" s="21" t="s">
        <v>1600</v>
      </c>
      <c r="C22" s="27"/>
      <c r="D22" s="23" t="s">
        <v>28</v>
      </c>
      <c r="E22" s="32">
        <f>E18</f>
        <v>6</v>
      </c>
      <c r="F22" s="23"/>
      <c r="G22" s="29">
        <v>119.3</v>
      </c>
      <c r="H22" s="26"/>
      <c r="I22" s="26"/>
      <c r="J22" s="29"/>
      <c r="K22" s="29"/>
      <c r="L22" s="29"/>
      <c r="M22" s="29"/>
      <c r="N22" s="29"/>
      <c r="O22" s="60" t="s">
        <v>1601</v>
      </c>
      <c r="P22" s="57">
        <v>4</v>
      </c>
      <c r="Q22" s="57">
        <f ca="1" t="shared" si="1"/>
        <v>477.2</v>
      </c>
      <c r="R22" s="57">
        <f t="shared" si="2"/>
        <v>2</v>
      </c>
      <c r="S22" s="57">
        <f ca="1" t="shared" si="3"/>
        <v>238.6</v>
      </c>
    </row>
    <row r="23" ht="12.95" customHeight="1" spans="1:19">
      <c r="A23" s="31"/>
      <c r="B23" s="21" t="s">
        <v>1602</v>
      </c>
      <c r="C23" s="27"/>
      <c r="D23" s="23" t="s">
        <v>28</v>
      </c>
      <c r="E23" s="32">
        <f>E18</f>
        <v>6</v>
      </c>
      <c r="F23" s="23"/>
      <c r="G23" s="29">
        <v>97.5</v>
      </c>
      <c r="H23" s="33"/>
      <c r="I23" s="33"/>
      <c r="J23" s="62"/>
      <c r="K23" s="62"/>
      <c r="L23" s="62"/>
      <c r="M23" s="62"/>
      <c r="N23" s="62"/>
      <c r="O23" s="63" t="s">
        <v>1603</v>
      </c>
      <c r="P23" s="57">
        <v>4</v>
      </c>
      <c r="Q23" s="57">
        <f ca="1" t="shared" si="1"/>
        <v>390</v>
      </c>
      <c r="R23" s="57">
        <f>E22-P23</f>
        <v>2</v>
      </c>
      <c r="S23" s="57">
        <f ca="1" t="shared" si="3"/>
        <v>195</v>
      </c>
    </row>
    <row r="24" ht="12.95" customHeight="1" spans="1:19">
      <c r="A24" s="31"/>
      <c r="B24" s="21" t="s">
        <v>522</v>
      </c>
      <c r="C24" s="27"/>
      <c r="D24" s="23" t="s">
        <v>434</v>
      </c>
      <c r="E24" s="32">
        <f>E18</f>
        <v>6</v>
      </c>
      <c r="F24" s="23"/>
      <c r="G24" s="34">
        <v>9.65</v>
      </c>
      <c r="H24" s="35"/>
      <c r="I24" s="35"/>
      <c r="J24" s="34"/>
      <c r="K24" s="34"/>
      <c r="L24" s="34"/>
      <c r="M24" s="34"/>
      <c r="N24" s="34"/>
      <c r="O24" s="64" t="s">
        <v>1604</v>
      </c>
      <c r="P24" s="57">
        <v>4</v>
      </c>
      <c r="Q24" s="57">
        <f ca="1" t="shared" si="1"/>
        <v>38.6</v>
      </c>
      <c r="R24" s="57">
        <f t="shared" ref="R24:R39" si="5">E24-P24</f>
        <v>2</v>
      </c>
      <c r="S24" s="57">
        <f ca="1" t="shared" si="3"/>
        <v>19.3</v>
      </c>
    </row>
    <row r="25" ht="12.95" customHeight="1" spans="1:19">
      <c r="A25" s="31"/>
      <c r="B25" s="21" t="s">
        <v>524</v>
      </c>
      <c r="C25" s="27"/>
      <c r="D25" s="23" t="s">
        <v>434</v>
      </c>
      <c r="E25" s="32">
        <f>E18*2</f>
        <v>12</v>
      </c>
      <c r="F25" s="23"/>
      <c r="G25" s="29">
        <v>18.36</v>
      </c>
      <c r="H25" s="26"/>
      <c r="I25" s="26"/>
      <c r="J25" s="29"/>
      <c r="K25" s="29"/>
      <c r="L25" s="29"/>
      <c r="M25" s="29"/>
      <c r="N25" s="29"/>
      <c r="O25" s="60" t="s">
        <v>1605</v>
      </c>
      <c r="P25" s="57">
        <v>8</v>
      </c>
      <c r="Q25" s="57">
        <f ca="1" t="shared" si="1"/>
        <v>146.88</v>
      </c>
      <c r="R25" s="57">
        <f t="shared" si="5"/>
        <v>4</v>
      </c>
      <c r="S25" s="57">
        <f ca="1" t="shared" si="3"/>
        <v>73.44</v>
      </c>
    </row>
    <row r="26" ht="12.95" customHeight="1" spans="1:19">
      <c r="A26" s="31"/>
      <c r="B26" s="21" t="s">
        <v>526</v>
      </c>
      <c r="C26" s="27"/>
      <c r="D26" s="23" t="s">
        <v>434</v>
      </c>
      <c r="E26" s="32">
        <f>E25/2</f>
        <v>6</v>
      </c>
      <c r="F26" s="23"/>
      <c r="G26" s="29">
        <v>24.84</v>
      </c>
      <c r="H26" s="26"/>
      <c r="I26" s="26"/>
      <c r="J26" s="29"/>
      <c r="K26" s="29"/>
      <c r="L26" s="29"/>
      <c r="M26" s="29"/>
      <c r="N26" s="29"/>
      <c r="O26" s="60" t="s">
        <v>1606</v>
      </c>
      <c r="P26" s="57">
        <v>4</v>
      </c>
      <c r="Q26" s="57">
        <f ca="1" t="shared" si="1"/>
        <v>99.36</v>
      </c>
      <c r="R26" s="57">
        <f t="shared" si="5"/>
        <v>2</v>
      </c>
      <c r="S26" s="57">
        <f ca="1" t="shared" si="3"/>
        <v>49.68</v>
      </c>
    </row>
    <row r="27" ht="12.95" customHeight="1" spans="1:19">
      <c r="A27" s="31"/>
      <c r="B27" s="21" t="s">
        <v>1282</v>
      </c>
      <c r="C27" s="27"/>
      <c r="D27" s="23" t="s">
        <v>434</v>
      </c>
      <c r="E27" s="24">
        <f>D3*2+F3*7</f>
        <v>20</v>
      </c>
      <c r="F27" s="23"/>
      <c r="G27" s="29">
        <v>4.45</v>
      </c>
      <c r="H27" s="26"/>
      <c r="I27" s="26"/>
      <c r="J27" s="29"/>
      <c r="K27" s="29"/>
      <c r="L27" s="29"/>
      <c r="M27" s="29"/>
      <c r="N27" s="29"/>
      <c r="O27" s="59" t="s">
        <v>1453</v>
      </c>
      <c r="P27" s="57">
        <v>18</v>
      </c>
      <c r="Q27" s="57">
        <f ca="1" t="shared" si="1"/>
        <v>80.1</v>
      </c>
      <c r="R27" s="57">
        <f t="shared" si="5"/>
        <v>2</v>
      </c>
      <c r="S27" s="57">
        <f ca="1" t="shared" si="3"/>
        <v>8.9</v>
      </c>
    </row>
    <row r="28" ht="12.95" customHeight="1" spans="1:19">
      <c r="A28" s="31"/>
      <c r="B28" s="21" t="s">
        <v>1284</v>
      </c>
      <c r="C28" s="27"/>
      <c r="D28" s="23" t="s">
        <v>434</v>
      </c>
      <c r="E28" s="24">
        <f>D3*2</f>
        <v>6</v>
      </c>
      <c r="F28" s="23"/>
      <c r="G28" s="29">
        <v>6.51</v>
      </c>
      <c r="H28" s="26"/>
      <c r="I28" s="26"/>
      <c r="J28" s="29"/>
      <c r="K28" s="29"/>
      <c r="L28" s="29"/>
      <c r="M28" s="29"/>
      <c r="N28" s="29"/>
      <c r="O28" s="59" t="s">
        <v>1607</v>
      </c>
      <c r="P28" s="57">
        <v>4</v>
      </c>
      <c r="Q28" s="57">
        <f ca="1" t="shared" si="1"/>
        <v>26.04</v>
      </c>
      <c r="R28" s="57">
        <f t="shared" si="5"/>
        <v>2</v>
      </c>
      <c r="S28" s="57">
        <f ca="1" t="shared" si="3"/>
        <v>13.02</v>
      </c>
    </row>
    <row r="29" ht="12.95" customHeight="1" spans="1:19">
      <c r="A29" s="31"/>
      <c r="B29" s="21" t="s">
        <v>519</v>
      </c>
      <c r="C29" s="27"/>
      <c r="D29" s="23" t="s">
        <v>434</v>
      </c>
      <c r="E29" s="24">
        <f>F3*2</f>
        <v>4</v>
      </c>
      <c r="F29" s="23"/>
      <c r="G29" s="29">
        <v>6.5</v>
      </c>
      <c r="H29" s="36"/>
      <c r="I29" s="36"/>
      <c r="J29" s="65"/>
      <c r="K29" s="65"/>
      <c r="L29" s="65"/>
      <c r="M29" s="65"/>
      <c r="N29" s="65"/>
      <c r="O29" s="66" t="s">
        <v>1455</v>
      </c>
      <c r="P29" s="57">
        <v>4</v>
      </c>
      <c r="Q29" s="57">
        <f ca="1" t="shared" si="1"/>
        <v>26</v>
      </c>
      <c r="R29" s="57">
        <f t="shared" si="5"/>
        <v>0</v>
      </c>
      <c r="S29" s="57">
        <f ca="1" t="shared" si="3"/>
        <v>0</v>
      </c>
    </row>
    <row r="30" ht="12.95" customHeight="1" spans="1:19">
      <c r="A30" s="31"/>
      <c r="B30" s="21" t="s">
        <v>1568</v>
      </c>
      <c r="C30" s="27"/>
      <c r="D30" s="23" t="s">
        <v>612</v>
      </c>
      <c r="E30" s="24">
        <f>A3</f>
        <v>2</v>
      </c>
      <c r="F30" s="23"/>
      <c r="G30" s="29">
        <f ca="1">J30+K30+L30+M30+N30</f>
        <v>3573.8</v>
      </c>
      <c r="H30" s="26">
        <v>33.4</v>
      </c>
      <c r="I30" s="26">
        <v>5</v>
      </c>
      <c r="J30" s="29">
        <f ca="1">H30*I30*'30米（人字250料）参数 '!D16*1.1</f>
        <v>3306.6</v>
      </c>
      <c r="K30" s="29">
        <f>33.4*2*4</f>
        <v>267.2</v>
      </c>
      <c r="L30" s="29"/>
      <c r="M30" s="29"/>
      <c r="N30" s="29"/>
      <c r="O30" s="67" t="s">
        <v>1569</v>
      </c>
      <c r="P30" s="68">
        <v>1</v>
      </c>
      <c r="Q30" s="57">
        <f ca="1" t="shared" si="1"/>
        <v>3573.8</v>
      </c>
      <c r="R30" s="57">
        <f t="shared" si="5"/>
        <v>1</v>
      </c>
      <c r="S30" s="57">
        <f ca="1" t="shared" si="3"/>
        <v>3573.8</v>
      </c>
    </row>
    <row r="31" ht="12.95" customHeight="1" spans="1:19">
      <c r="A31" s="31"/>
      <c r="B31" s="21" t="s">
        <v>1570</v>
      </c>
      <c r="C31" s="27"/>
      <c r="D31" s="23" t="s">
        <v>664</v>
      </c>
      <c r="E31" s="24">
        <f>F3</f>
        <v>2</v>
      </c>
      <c r="F31" s="23"/>
      <c r="G31" s="29">
        <f ca="1">J31+K31+L31+M31+N31</f>
        <v>1957.388192</v>
      </c>
      <c r="H31" s="37">
        <v>15.32</v>
      </c>
      <c r="I31" s="37">
        <v>5.97</v>
      </c>
      <c r="J31" s="69">
        <f ca="1">H31*I31*'30米（人字250料）参数 '!D15*1.1</f>
        <v>1690.188192</v>
      </c>
      <c r="K31" s="69">
        <f>66.8*4</f>
        <v>267.2</v>
      </c>
      <c r="L31" s="69"/>
      <c r="M31" s="69"/>
      <c r="N31" s="69"/>
      <c r="O31" s="70" t="s">
        <v>1571</v>
      </c>
      <c r="P31" s="57">
        <v>2</v>
      </c>
      <c r="Q31" s="57">
        <f ca="1" t="shared" si="1"/>
        <v>3914.776384</v>
      </c>
      <c r="R31" s="57">
        <f t="shared" si="5"/>
        <v>0</v>
      </c>
      <c r="S31" s="57">
        <f ca="1" t="shared" si="3"/>
        <v>0</v>
      </c>
    </row>
    <row r="32" ht="12.95" customHeight="1" spans="1:19">
      <c r="A32" s="31"/>
      <c r="B32" s="21" t="s">
        <v>1572</v>
      </c>
      <c r="C32" s="27"/>
      <c r="D32" s="23" t="s">
        <v>664</v>
      </c>
      <c r="E32" s="24">
        <f>F3*6+A3*2</f>
        <v>16</v>
      </c>
      <c r="F32" s="23"/>
      <c r="G32" s="29">
        <f ca="1">J32+K32+L32+M32+N32</f>
        <v>531.6432</v>
      </c>
      <c r="H32" s="26">
        <v>6.2</v>
      </c>
      <c r="I32" s="26">
        <v>5.2</v>
      </c>
      <c r="J32" s="29">
        <f ca="1">H32*I32*'30米（人字250料）参数 '!D14*1.1</f>
        <v>489.4032</v>
      </c>
      <c r="K32" s="71">
        <f>6.1*2</f>
        <v>12.2</v>
      </c>
      <c r="L32" s="71">
        <f>0.5*10</f>
        <v>5</v>
      </c>
      <c r="M32" s="71">
        <f>0.32*22</f>
        <v>7.04</v>
      </c>
      <c r="N32" s="71">
        <f>18*1</f>
        <v>18</v>
      </c>
      <c r="O32" s="60" t="s">
        <v>1580</v>
      </c>
      <c r="P32" s="57">
        <v>14</v>
      </c>
      <c r="Q32" s="57">
        <f ca="1" t="shared" si="1"/>
        <v>7443.0048</v>
      </c>
      <c r="R32" s="57">
        <f t="shared" si="5"/>
        <v>2</v>
      </c>
      <c r="S32" s="57">
        <f ca="1" t="shared" si="3"/>
        <v>1063.2864</v>
      </c>
    </row>
    <row r="33" ht="12.95" customHeight="1" spans="1:19">
      <c r="A33" s="31"/>
      <c r="B33" s="38" t="s">
        <v>1274</v>
      </c>
      <c r="C33" s="27"/>
      <c r="D33" s="23" t="s">
        <v>28</v>
      </c>
      <c r="E33" s="24">
        <f>E32</f>
        <v>16</v>
      </c>
      <c r="F33" s="23"/>
      <c r="G33" s="39">
        <v>21</v>
      </c>
      <c r="H33" s="40"/>
      <c r="I33" s="40"/>
      <c r="J33" s="41"/>
      <c r="K33" s="41"/>
      <c r="L33" s="41"/>
      <c r="M33" s="41"/>
      <c r="N33" s="41"/>
      <c r="O33" s="66" t="s">
        <v>1608</v>
      </c>
      <c r="P33" s="57">
        <v>14</v>
      </c>
      <c r="Q33" s="57">
        <f ca="1" t="shared" si="1"/>
        <v>294</v>
      </c>
      <c r="R33" s="57">
        <f t="shared" si="5"/>
        <v>2</v>
      </c>
      <c r="S33" s="57">
        <f ca="1" t="shared" si="3"/>
        <v>42</v>
      </c>
    </row>
    <row r="34" ht="12.95" customHeight="1" spans="1:19">
      <c r="A34" s="31"/>
      <c r="B34" s="38" t="s">
        <v>551</v>
      </c>
      <c r="C34" s="27"/>
      <c r="D34" s="23" t="s">
        <v>434</v>
      </c>
      <c r="E34" s="24">
        <f>F3*5</f>
        <v>10</v>
      </c>
      <c r="F34" s="23"/>
      <c r="G34" s="41">
        <v>15.5</v>
      </c>
      <c r="H34" s="40"/>
      <c r="I34" s="40"/>
      <c r="J34" s="41"/>
      <c r="K34" s="41"/>
      <c r="L34" s="41"/>
      <c r="M34" s="41"/>
      <c r="N34" s="41"/>
      <c r="O34" s="66" t="s">
        <v>1456</v>
      </c>
      <c r="P34" s="57">
        <v>10</v>
      </c>
      <c r="Q34" s="57">
        <f ca="1" t="shared" si="1"/>
        <v>155</v>
      </c>
      <c r="R34" s="57">
        <f t="shared" si="5"/>
        <v>0</v>
      </c>
      <c r="S34" s="57">
        <f ca="1" t="shared" si="3"/>
        <v>0</v>
      </c>
    </row>
    <row r="35" ht="12.95" customHeight="1" spans="1:19">
      <c r="A35" s="31"/>
      <c r="B35" s="42" t="s">
        <v>1609</v>
      </c>
      <c r="C35" s="27"/>
      <c r="D35" s="43" t="s">
        <v>555</v>
      </c>
      <c r="E35" s="44">
        <f>E5+E8+E9+E10+E22+E18</f>
        <v>28</v>
      </c>
      <c r="F35" s="23"/>
      <c r="G35" s="45">
        <v>1.46</v>
      </c>
      <c r="H35" s="46"/>
      <c r="I35" s="46"/>
      <c r="J35" s="45"/>
      <c r="K35" s="45"/>
      <c r="L35" s="45"/>
      <c r="M35" s="45"/>
      <c r="N35" s="45"/>
      <c r="O35" s="59" t="s">
        <v>1610</v>
      </c>
      <c r="P35" s="57">
        <v>26</v>
      </c>
      <c r="Q35" s="57">
        <f ca="1" t="shared" si="1"/>
        <v>37.96</v>
      </c>
      <c r="R35" s="57">
        <f t="shared" si="5"/>
        <v>2</v>
      </c>
      <c r="S35" s="57">
        <f ca="1" t="shared" si="3"/>
        <v>2.92</v>
      </c>
    </row>
    <row r="36" ht="12.95" customHeight="1" spans="1:19">
      <c r="A36" s="31"/>
      <c r="B36" s="42" t="s">
        <v>1575</v>
      </c>
      <c r="C36" s="27"/>
      <c r="D36" s="43" t="s">
        <v>555</v>
      </c>
      <c r="E36" s="44">
        <f>E24+E25*2+E26*2</f>
        <v>42</v>
      </c>
      <c r="F36" s="23"/>
      <c r="G36" s="45">
        <v>1.2</v>
      </c>
      <c r="H36" s="46"/>
      <c r="I36" s="46"/>
      <c r="J36" s="45"/>
      <c r="K36" s="45"/>
      <c r="L36" s="45"/>
      <c r="M36" s="45"/>
      <c r="N36" s="45"/>
      <c r="O36" s="59"/>
      <c r="P36" s="57">
        <v>42</v>
      </c>
      <c r="Q36" s="57">
        <f ca="1" t="shared" si="1"/>
        <v>50.4</v>
      </c>
      <c r="R36" s="57">
        <f t="shared" si="5"/>
        <v>0</v>
      </c>
      <c r="S36" s="57">
        <f ca="1" t="shared" si="3"/>
        <v>0</v>
      </c>
    </row>
    <row r="37" ht="12.95" customHeight="1" spans="1:24">
      <c r="A37" s="20" t="s">
        <v>1217</v>
      </c>
      <c r="B37" s="21" t="s">
        <v>1574</v>
      </c>
      <c r="C37" s="24"/>
      <c r="D37" s="23" t="s">
        <v>434</v>
      </c>
      <c r="E37" s="24">
        <f>D3*6</f>
        <v>18</v>
      </c>
      <c r="F37" s="23"/>
      <c r="G37" s="47">
        <v>1.95</v>
      </c>
      <c r="H37" s="48"/>
      <c r="I37" s="48"/>
      <c r="J37" s="47"/>
      <c r="K37" s="47"/>
      <c r="L37" s="47"/>
      <c r="M37" s="47"/>
      <c r="N37" s="47"/>
      <c r="O37" s="59" t="s">
        <v>1375</v>
      </c>
      <c r="P37" s="57">
        <v>12</v>
      </c>
      <c r="Q37" s="57">
        <f ca="1" t="shared" si="1"/>
        <v>23.4</v>
      </c>
      <c r="R37" s="57">
        <f t="shared" si="5"/>
        <v>6</v>
      </c>
      <c r="S37" s="57">
        <f ca="1" t="shared" si="3"/>
        <v>11.7</v>
      </c>
      <c r="T37" s="1"/>
      <c r="U37" s="1"/>
      <c r="V37" s="1"/>
      <c r="W37" s="1"/>
      <c r="X37" s="1"/>
    </row>
    <row r="38" ht="12.95" customHeight="1" spans="1:24">
      <c r="A38" s="20"/>
      <c r="B38" s="21" t="s">
        <v>1581</v>
      </c>
      <c r="C38" s="24"/>
      <c r="D38" s="23" t="s">
        <v>434</v>
      </c>
      <c r="E38" s="24">
        <f>D3*22+E24+E25+E26+F3*7</f>
        <v>104</v>
      </c>
      <c r="F38" s="23"/>
      <c r="G38" s="47">
        <v>2.15</v>
      </c>
      <c r="H38" s="48"/>
      <c r="I38" s="48"/>
      <c r="J38" s="47"/>
      <c r="K38" s="47"/>
      <c r="L38" s="47"/>
      <c r="M38" s="47"/>
      <c r="N38" s="47"/>
      <c r="O38" s="59" t="s">
        <v>1372</v>
      </c>
      <c r="P38" s="57">
        <v>82</v>
      </c>
      <c r="Q38" s="57">
        <f ca="1" t="shared" si="1"/>
        <v>176.3</v>
      </c>
      <c r="R38" s="57">
        <f t="shared" si="5"/>
        <v>22</v>
      </c>
      <c r="S38" s="57">
        <f ca="1" t="shared" si="3"/>
        <v>47.3</v>
      </c>
      <c r="T38" s="1"/>
      <c r="U38" s="1"/>
      <c r="V38" s="1"/>
      <c r="W38" s="1"/>
      <c r="X38" s="1"/>
    </row>
    <row r="39" ht="12.95" customHeight="1" spans="1:24">
      <c r="A39" s="20"/>
      <c r="B39" s="21" t="s">
        <v>1582</v>
      </c>
      <c r="C39" s="24"/>
      <c r="D39" s="23" t="s">
        <v>434</v>
      </c>
      <c r="E39" s="28">
        <f>E18+E24+E25+E26</f>
        <v>30</v>
      </c>
      <c r="F39" s="23"/>
      <c r="G39" s="47">
        <v>2.55</v>
      </c>
      <c r="H39" s="48"/>
      <c r="I39" s="48"/>
      <c r="J39" s="47"/>
      <c r="K39" s="47"/>
      <c r="L39" s="47"/>
      <c r="M39" s="47"/>
      <c r="N39" s="47"/>
      <c r="O39" s="59" t="s">
        <v>1373</v>
      </c>
      <c r="P39" s="57">
        <v>30</v>
      </c>
      <c r="Q39" s="57">
        <f ca="1" t="shared" si="1"/>
        <v>76.5</v>
      </c>
      <c r="R39" s="57">
        <f t="shared" si="5"/>
        <v>0</v>
      </c>
      <c r="S39" s="57">
        <f ca="1" t="shared" si="3"/>
        <v>0</v>
      </c>
      <c r="T39" s="1"/>
      <c r="U39" s="1"/>
      <c r="V39" s="1"/>
      <c r="W39" s="1"/>
      <c r="X39" s="1"/>
    </row>
    <row r="40" spans="7:19">
      <c r="G40" s="3"/>
      <c r="H40" s="3"/>
      <c r="I40" s="3"/>
      <c r="J40" s="3"/>
      <c r="K40" s="3"/>
      <c r="L40" s="3"/>
      <c r="M40" s="3"/>
      <c r="N40" s="3"/>
      <c r="P40" s="1" t="s">
        <v>1218</v>
      </c>
      <c r="Q40" s="3">
        <f ca="1">SUM(Q5:Q39)</f>
        <v>75764.9444919584</v>
      </c>
      <c r="R40" s="3" t="s">
        <v>1219</v>
      </c>
      <c r="S40" s="3">
        <f ca="1">SUM(S5:S39)</f>
        <v>29036.9839267392</v>
      </c>
    </row>
    <row r="41" spans="7:14">
      <c r="G41" s="3"/>
      <c r="H41" s="3"/>
      <c r="I41" s="3"/>
      <c r="J41" s="3"/>
      <c r="K41" s="3"/>
      <c r="L41" s="3"/>
      <c r="M41" s="3"/>
      <c r="N41" s="3"/>
    </row>
    <row r="42" spans="7:17">
      <c r="G42" s="3"/>
      <c r="H42" s="3"/>
      <c r="I42" s="3"/>
      <c r="J42" s="3"/>
      <c r="K42" s="3"/>
      <c r="L42" s="3"/>
      <c r="M42" s="3"/>
      <c r="N42" s="3"/>
      <c r="P42" s="50" t="s">
        <v>1576</v>
      </c>
      <c r="Q42" s="3">
        <f ca="1">Q40+S40</f>
        <v>104801.928418698</v>
      </c>
    </row>
    <row r="43" spans="2:17">
      <c r="B43" s="49" t="s">
        <v>1221</v>
      </c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52" t="s">
        <v>1577</v>
      </c>
      <c r="Q43" s="3">
        <f ca="1">Q42/E2</f>
        <v>349.339761395659</v>
      </c>
    </row>
    <row r="44" spans="2:14">
      <c r="B44" s="50"/>
      <c r="C44" s="51"/>
      <c r="D44" s="51"/>
      <c r="E44" s="51"/>
      <c r="F44" s="50"/>
      <c r="G44" s="3"/>
      <c r="H44" s="3"/>
      <c r="I44" s="3"/>
      <c r="J44" s="3"/>
      <c r="K44" s="3"/>
      <c r="L44" s="3"/>
      <c r="M44" s="3"/>
      <c r="N44" s="3"/>
    </row>
    <row r="45" spans="2:14">
      <c r="B45" s="52"/>
      <c r="C45" s="52"/>
      <c r="D45" s="52"/>
      <c r="E45" s="52"/>
      <c r="F45" s="52"/>
      <c r="G45" s="3"/>
      <c r="H45" s="3"/>
      <c r="I45" s="3"/>
      <c r="J45" s="3"/>
      <c r="K45" s="3"/>
      <c r="L45" s="3"/>
      <c r="M45" s="3"/>
      <c r="N45" s="3"/>
    </row>
    <row r="46" ht="18" customHeight="1" spans="2:15">
      <c r="B46" s="53"/>
      <c r="C46" s="53"/>
      <c r="D46" s="53"/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</row>
    <row r="47" spans="2:6">
      <c r="B47" s="54"/>
      <c r="C47" s="54"/>
      <c r="D47" s="54"/>
      <c r="E47" s="54"/>
      <c r="F47" s="54"/>
    </row>
    <row r="48" spans="2:6">
      <c r="B48" s="54"/>
      <c r="C48" s="54"/>
      <c r="D48" s="54"/>
      <c r="E48" s="54"/>
      <c r="F48" s="54"/>
    </row>
    <row r="49" spans="2:6">
      <c r="B49" s="54"/>
      <c r="C49" s="54"/>
      <c r="D49" s="54"/>
      <c r="E49" s="54"/>
      <c r="F49" s="54"/>
    </row>
    <row r="50" spans="2:6">
      <c r="B50" s="54"/>
      <c r="C50" s="54"/>
      <c r="D50" s="54"/>
      <c r="E50" s="54"/>
      <c r="F50" s="54"/>
    </row>
    <row r="51" ht="51" customHeight="1" spans="2:6">
      <c r="B51" s="54"/>
      <c r="C51" s="54"/>
      <c r="D51" s="54"/>
      <c r="E51" s="54"/>
      <c r="F51" s="54"/>
    </row>
  </sheetData>
  <mergeCells count="10">
    <mergeCell ref="A1:N1"/>
    <mergeCell ref="A2:C2"/>
    <mergeCell ref="F2:N2"/>
    <mergeCell ref="A3:B3"/>
    <mergeCell ref="H3:N3"/>
    <mergeCell ref="B43:O43"/>
    <mergeCell ref="B46:O46"/>
    <mergeCell ref="A5:A18"/>
    <mergeCell ref="A19:A36"/>
    <mergeCell ref="A37:A39"/>
  </mergeCells>
  <printOptions horizontalCentered="1"/>
  <pageMargins left="0.11875" right="0.11875" top="0.159027777777778" bottom="0.259027777777778" header="0.159027777777778" footer="0.2"/>
  <pageSetup paperSize="9" orientation="portrait"/>
  <headerFooter alignWithMargins="0" scaleWithDoc="0">
    <oddFooter>&amp;L&amp;"SimSun"&amp;9&amp;C&amp;"SimSun"&amp;9第 &amp;P 页，共 &amp;N 页&amp;R&amp;"SimSun"&amp;9</oddFooter>
  </headerFooter>
</worksheet>
</file>

<file path=xl/worksheets/sheet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7030A0"/>
  </sheetPr>
  <dimension ref="A1:G21"/>
  <sheetViews>
    <sheetView showGridLines="0" workbookViewId="0">
      <selection activeCell="E31" sqref="E31"/>
    </sheetView>
  </sheetViews>
  <sheetFormatPr defaultColWidth="9" defaultRowHeight="14.25" outlineLevelCol="6"/>
  <cols>
    <col min="1" max="1" width="19" style="1" customWidth="1"/>
    <col min="2" max="2" width="18.375" style="1" customWidth="1"/>
    <col min="3" max="6" width="9" style="1"/>
    <col min="7" max="7" width="15.75" style="1" customWidth="1"/>
    <col min="8" max="16384" width="9" style="1"/>
  </cols>
  <sheetData>
    <row r="1" spans="1:4">
      <c r="A1" s="2" t="str">
        <f ca="1">'数据修改（批量）'!A1</f>
        <v>上海有色铝锭价格</v>
      </c>
      <c r="B1" s="2"/>
      <c r="C1" s="2"/>
      <c r="D1" s="3"/>
    </row>
    <row r="2" spans="1:7">
      <c r="A2" s="4">
        <f ca="1">'数据修改（批量）'!A2</f>
        <v>16200</v>
      </c>
      <c r="B2" s="2" t="str">
        <f ca="1">'数据修改（批量）'!B2</f>
        <v>项目</v>
      </c>
      <c r="C2" s="2" t="str">
        <f ca="1">'数据修改（批量）'!C2</f>
        <v>加工费</v>
      </c>
      <c r="D2" s="2" t="str">
        <f ca="1">'数据修改（批量）'!D2</f>
        <v>包装物</v>
      </c>
      <c r="E2" s="2" t="str">
        <f ca="1">'数据修改（批量）'!E2</f>
        <v>运费</v>
      </c>
      <c r="F2" s="2" t="str">
        <f ca="1">'数据修改（批量）'!F2</f>
        <v>单价</v>
      </c>
      <c r="G2" s="2" t="str">
        <f ca="1">'数据修改（批量）'!G2</f>
        <v>每公斤价格</v>
      </c>
    </row>
    <row r="3" spans="1:7">
      <c r="A3" s="2"/>
      <c r="B3" s="2" t="str">
        <f ca="1">'数据修改（批量）'!B3</f>
        <v>203料</v>
      </c>
      <c r="C3" s="2">
        <f ca="1">'数据修改（批量）'!C3</f>
        <v>5500</v>
      </c>
      <c r="D3" s="2">
        <f ca="1">'数据修改（批量）'!D3</f>
        <v>868</v>
      </c>
      <c r="E3" s="2">
        <f ca="1">'数据修改（批量）'!E3</f>
        <v>80</v>
      </c>
      <c r="F3" s="2">
        <f ca="1">'数据修改（批量）'!F3</f>
        <v>22648</v>
      </c>
      <c r="G3" s="2">
        <f ca="1">'数据修改（批量）'!G3</f>
        <v>22.648</v>
      </c>
    </row>
    <row r="4" spans="1:7">
      <c r="A4" s="2"/>
      <c r="B4" s="2" t="str">
        <f ca="1">'数据修改（批量）'!B4</f>
        <v>203料氧化</v>
      </c>
      <c r="C4" s="2">
        <f ca="1">'数据修改（批量）'!C4</f>
        <v>6000</v>
      </c>
      <c r="D4" s="2">
        <f ca="1">'数据修改（批量）'!D4</f>
        <v>888</v>
      </c>
      <c r="E4" s="2">
        <f ca="1">'数据修改（批量）'!E4</f>
        <v>80</v>
      </c>
      <c r="F4" s="2">
        <f ca="1">'数据修改（批量）'!F4</f>
        <v>23168</v>
      </c>
      <c r="G4" s="2">
        <f ca="1">'数据修改（批量）'!G4</f>
        <v>23.168</v>
      </c>
    </row>
    <row r="5" spans="2:7">
      <c r="B5" s="2" t="str">
        <f ca="1">'数据修改（批量）'!B5</f>
        <v>小料加工费</v>
      </c>
      <c r="C5" s="2">
        <f ca="1">'数据修改（批量）'!C5</f>
        <v>4500</v>
      </c>
      <c r="D5" s="2">
        <f ca="1">'数据修改（批量）'!D5</f>
        <v>828</v>
      </c>
      <c r="E5" s="2">
        <f ca="1">'数据修改（批量）'!E5</f>
        <v>80</v>
      </c>
      <c r="F5" s="2">
        <f ca="1">'数据修改（批量）'!F5</f>
        <v>21608</v>
      </c>
      <c r="G5" s="2">
        <f ca="1">'数据修改（批量）'!G5</f>
        <v>21.608</v>
      </c>
    </row>
    <row r="6" spans="1:4">
      <c r="A6" s="2" t="str">
        <f ca="1">'数据修改（批量）'!A6</f>
        <v>南海有色铝锭价格</v>
      </c>
      <c r="D6" s="5"/>
    </row>
    <row r="7" spans="1:1">
      <c r="A7" s="4">
        <f ca="1">'数据修改（批量）'!A7</f>
        <v>16600</v>
      </c>
    </row>
    <row r="8" spans="2:7">
      <c r="B8" s="2" t="str">
        <f ca="1">'数据修改（批量）'!B8</f>
        <v>项目</v>
      </c>
      <c r="C8" s="2" t="str">
        <f ca="1">'数据修改（批量）'!C8</f>
        <v>加工费</v>
      </c>
      <c r="D8" s="2" t="str">
        <f ca="1">'数据修改（批量）'!D8</f>
        <v>包装物</v>
      </c>
      <c r="E8" s="2" t="str">
        <f ca="1">'数据修改（批量）'!E8</f>
        <v>运费</v>
      </c>
      <c r="F8" s="2" t="str">
        <f ca="1">'数据修改（批量）'!F8</f>
        <v>单价</v>
      </c>
      <c r="G8" s="2" t="str">
        <f ca="1">'数据修改（批量）'!G8</f>
        <v>每公斤价格</v>
      </c>
    </row>
    <row r="9" spans="2:7">
      <c r="B9" s="2" t="str">
        <f ca="1">'数据修改（批量）'!B9</f>
        <v>300/350料8米以上</v>
      </c>
      <c r="C9" s="2">
        <f ca="1">'数据修改（批量）'!C9</f>
        <v>7800</v>
      </c>
      <c r="D9" s="2">
        <f ca="1">'数据修改（批量）'!D9</f>
        <v>976</v>
      </c>
      <c r="E9" s="2">
        <f ca="1">'数据修改（批量）'!E9</f>
        <v>1000</v>
      </c>
      <c r="F9" s="2">
        <f ca="1">'数据修改（批量）'!F9</f>
        <v>26376</v>
      </c>
      <c r="G9" s="2">
        <f ca="1">'数据修改（批量）'!G9</f>
        <v>26.376</v>
      </c>
    </row>
    <row r="10" spans="2:7">
      <c r="B10" s="2" t="str">
        <f ca="1">'数据修改（批量）'!B10</f>
        <v>300/350料8米以下</v>
      </c>
      <c r="C10" s="2">
        <f ca="1">'数据修改（批量）'!C10</f>
        <v>7100</v>
      </c>
      <c r="D10" s="2">
        <f ca="1">'数据修改（批量）'!D10</f>
        <v>948</v>
      </c>
      <c r="E10" s="2">
        <f ca="1">'数据修改（批量）'!E10</f>
        <v>1000</v>
      </c>
      <c r="F10" s="2">
        <f ca="1">'数据修改（批量）'!F10</f>
        <v>25648</v>
      </c>
      <c r="G10" s="2">
        <f ca="1">'数据修改（批量）'!G10</f>
        <v>25.648</v>
      </c>
    </row>
    <row r="12" spans="1:4">
      <c r="A12" s="2" t="str">
        <f ca="1">'数据修改（批量）'!A12</f>
        <v>篷布</v>
      </c>
      <c r="B12" s="2"/>
      <c r="C12" s="2"/>
      <c r="D12" s="3"/>
    </row>
    <row r="13" spans="1:7">
      <c r="A13" s="2"/>
      <c r="B13" s="2" t="str">
        <f ca="1">'数据修改（批量）'!B13</f>
        <v>项目</v>
      </c>
      <c r="C13" s="2" t="str">
        <f ca="1">'数据修改（批量）'!C13</f>
        <v>运费</v>
      </c>
      <c r="D13" s="2" t="str">
        <f ca="1">'数据修改（批量）'!D13</f>
        <v>单价</v>
      </c>
      <c r="E13" s="2" t="str">
        <f ca="1">'数据修改（批量）'!E13</f>
        <v>每平价格</v>
      </c>
      <c r="F13" s="2"/>
      <c r="G13" s="2"/>
    </row>
    <row r="14" spans="1:7">
      <c r="A14" s="2"/>
      <c r="B14" s="2">
        <f ca="1">'数据修改（批量）'!B14</f>
        <v>650</v>
      </c>
      <c r="C14" s="2">
        <f ca="1">'数据修改（批量）'!C14</f>
        <v>0.5</v>
      </c>
      <c r="D14" s="4">
        <f ca="1">'数据修改（批量）'!D14</f>
        <v>13.8</v>
      </c>
      <c r="E14" s="2">
        <f ca="1">'数据修改（批量）'!E14</f>
        <v>14.3</v>
      </c>
      <c r="F14" s="2"/>
      <c r="G14" s="2"/>
    </row>
    <row r="15" spans="1:7">
      <c r="A15" s="2"/>
      <c r="B15" s="2">
        <f ca="1">'数据修改（批量）'!B15</f>
        <v>780</v>
      </c>
      <c r="C15" s="2">
        <f ca="1">'数据修改（批量）'!C15</f>
        <v>0.5</v>
      </c>
      <c r="D15" s="4">
        <f ca="1">'数据修改（批量）'!D15</f>
        <v>16.8</v>
      </c>
      <c r="E15" s="2">
        <f ca="1">'数据修改（批量）'!E15</f>
        <v>17.3</v>
      </c>
      <c r="F15" s="2"/>
      <c r="G15" s="2"/>
    </row>
    <row r="16" spans="2:7">
      <c r="B16" s="2">
        <f ca="1">'数据修改（批量）'!B16</f>
        <v>850</v>
      </c>
      <c r="C16" s="2">
        <f ca="1">'数据修改（批量）'!C16</f>
        <v>0.5</v>
      </c>
      <c r="D16" s="4">
        <f ca="1">'数据修改（批量）'!D16</f>
        <v>18</v>
      </c>
      <c r="E16" s="2">
        <f ca="1">'数据修改（批量）'!E16</f>
        <v>18.5</v>
      </c>
      <c r="F16" s="2"/>
      <c r="G16" s="2"/>
    </row>
    <row r="21" spans="1:7">
      <c r="A21" s="6" t="str">
        <f ca="1">'数据修改（批量）'!A21</f>
        <v>说明：黄色部分可以根据价格修改</v>
      </c>
      <c r="B21" s="6"/>
      <c r="C21" s="6"/>
      <c r="D21" s="6"/>
      <c r="E21" s="6"/>
      <c r="F21" s="6"/>
      <c r="G21" s="6"/>
    </row>
  </sheetData>
  <mergeCells count="1">
    <mergeCell ref="A21:G21"/>
  </mergeCells>
  <pageMargins left="0.75" right="0.75" top="1" bottom="1" header="0.509027777777778" footer="0.509027777777778"/>
  <headerFooter/>
</worksheet>
</file>

<file path=xl/worksheets/sheet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FFFF00"/>
  </sheetPr>
  <dimension ref="A1:T51"/>
  <sheetViews>
    <sheetView showGridLines="0" workbookViewId="0">
      <selection activeCell="G14" sqref="G14"/>
    </sheetView>
  </sheetViews>
  <sheetFormatPr defaultColWidth="9" defaultRowHeight="14.25"/>
  <cols>
    <col min="1" max="1" width="2.375" style="1" customWidth="1"/>
    <col min="2" max="2" width="16.75" style="1" customWidth="1"/>
    <col min="3" max="5" width="9" style="1"/>
    <col min="6" max="6" width="9" style="1" customWidth="1"/>
    <col min="7" max="7" width="11.125" style="1" customWidth="1"/>
    <col min="8" max="9" width="9" style="1" customWidth="1"/>
    <col min="10" max="10" width="11.125" style="1" customWidth="1"/>
    <col min="11" max="11" width="9" style="1" customWidth="1"/>
    <col min="12" max="12" width="11.125" style="1" customWidth="1"/>
    <col min="13" max="13" width="9" style="1" customWidth="1"/>
    <col min="14" max="14" width="10.125" style="1" customWidth="1"/>
    <col min="15" max="15" width="59.75" style="1" customWidth="1"/>
    <col min="16" max="16" width="9" style="1"/>
    <col min="17" max="17" width="15" style="1" customWidth="1"/>
    <col min="18" max="18" width="9" style="1"/>
    <col min="19" max="19" width="15.5" style="1" customWidth="1"/>
    <col min="20" max="16384" width="9" style="1"/>
  </cols>
  <sheetData>
    <row r="1" ht="18.75" spans="1:18">
      <c r="A1" s="72" t="s">
        <v>1617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3"/>
      <c r="P1" s="3"/>
      <c r="Q1" s="3"/>
      <c r="R1" s="3"/>
    </row>
    <row r="2" spans="1:16">
      <c r="A2" s="8" t="s">
        <v>1246</v>
      </c>
      <c r="B2" s="8"/>
      <c r="C2" s="8"/>
      <c r="D2" s="9" t="s">
        <v>1198</v>
      </c>
      <c r="E2" s="10">
        <f>A3*5*30</f>
        <v>300</v>
      </c>
      <c r="F2" s="11"/>
      <c r="G2" s="11"/>
      <c r="H2" s="11"/>
      <c r="I2" s="11"/>
      <c r="J2" s="11"/>
      <c r="K2" s="11"/>
      <c r="L2" s="11"/>
      <c r="M2" s="11"/>
      <c r="N2" s="11"/>
      <c r="O2" s="55"/>
      <c r="P2" s="3"/>
    </row>
    <row r="3" spans="1:16">
      <c r="A3" s="12">
        <v>2</v>
      </c>
      <c r="B3" s="12"/>
      <c r="C3" s="9" t="s">
        <v>1247</v>
      </c>
      <c r="D3" s="13">
        <v>3</v>
      </c>
      <c r="E3" s="11" t="s">
        <v>1248</v>
      </c>
      <c r="F3" s="14">
        <v>2</v>
      </c>
      <c r="G3" s="11" t="s">
        <v>1249</v>
      </c>
      <c r="H3" s="11"/>
      <c r="I3" s="11"/>
      <c r="J3" s="11"/>
      <c r="K3" s="11"/>
      <c r="L3" s="11"/>
      <c r="M3" s="11"/>
      <c r="N3" s="11"/>
      <c r="O3" s="55"/>
      <c r="P3" s="3"/>
    </row>
    <row r="4" ht="25.5" spans="1:20">
      <c r="A4" s="73" t="s">
        <v>1200</v>
      </c>
      <c r="B4" s="74" t="s">
        <v>1201</v>
      </c>
      <c r="C4" s="75" t="s">
        <v>1396</v>
      </c>
      <c r="D4" s="76" t="s">
        <v>22</v>
      </c>
      <c r="E4" s="76" t="s">
        <v>1203</v>
      </c>
      <c r="F4" s="18" t="s">
        <v>1202</v>
      </c>
      <c r="G4" s="17" t="s">
        <v>1204</v>
      </c>
      <c r="H4" s="19" t="s">
        <v>1205</v>
      </c>
      <c r="I4" s="17" t="s">
        <v>1253</v>
      </c>
      <c r="J4" s="17" t="s">
        <v>1254</v>
      </c>
      <c r="K4" s="17" t="s">
        <v>1255</v>
      </c>
      <c r="L4" s="17" t="s">
        <v>1209</v>
      </c>
      <c r="M4" s="17" t="s">
        <v>1420</v>
      </c>
      <c r="N4" s="17" t="s">
        <v>1211</v>
      </c>
      <c r="O4" s="56" t="s">
        <v>1257</v>
      </c>
      <c r="P4" s="57" t="s">
        <v>1430</v>
      </c>
      <c r="Q4" s="57" t="s">
        <v>1213</v>
      </c>
      <c r="R4" s="57" t="s">
        <v>1541</v>
      </c>
      <c r="S4" s="57" t="s">
        <v>1213</v>
      </c>
      <c r="T4" s="3"/>
    </row>
    <row r="5" ht="12.95" customHeight="1" spans="1:20">
      <c r="A5" s="20" t="s">
        <v>1215</v>
      </c>
      <c r="B5" s="21" t="s">
        <v>1224</v>
      </c>
      <c r="C5" s="22"/>
      <c r="D5" s="23" t="s">
        <v>28</v>
      </c>
      <c r="E5" s="24">
        <f>D3*2</f>
        <v>6</v>
      </c>
      <c r="F5" s="23"/>
      <c r="G5" s="25">
        <f ca="1" t="shared" ref="G5:G12" si="0">J5+K5+L5+M5+N5</f>
        <v>2234.15246936</v>
      </c>
      <c r="H5" s="26">
        <f>9.8/2</f>
        <v>4.9</v>
      </c>
      <c r="I5" s="26">
        <v>13.649</v>
      </c>
      <c r="J5" s="25">
        <f ca="1">H5*I5*'30米（人字300料）参数 '!G9*1.1</f>
        <v>1940.43246936</v>
      </c>
      <c r="K5" s="29">
        <f ca="1">101.64*2</f>
        <v>203.28</v>
      </c>
      <c r="L5" s="29">
        <v>67.29</v>
      </c>
      <c r="M5" s="29">
        <f>2.55*5</f>
        <v>12.75</v>
      </c>
      <c r="N5" s="29">
        <f>0.65*16</f>
        <v>10.4</v>
      </c>
      <c r="O5" s="58" t="s">
        <v>1618</v>
      </c>
      <c r="P5" s="57">
        <v>4</v>
      </c>
      <c r="Q5" s="57">
        <f ca="1" t="shared" ref="Q5:Q39" si="1">G5*P5</f>
        <v>8936.60987744</v>
      </c>
      <c r="R5" s="57">
        <f t="shared" ref="R5:R39" si="2">E5-P5</f>
        <v>2</v>
      </c>
      <c r="S5" s="57">
        <f ca="1" t="shared" ref="S5:S39" si="3">G5*R5</f>
        <v>4468.30493872</v>
      </c>
      <c r="T5" s="3"/>
    </row>
    <row r="6" ht="12.95" customHeight="1" spans="1:20">
      <c r="A6" s="20"/>
      <c r="B6" s="21" t="s">
        <v>1543</v>
      </c>
      <c r="C6" s="27"/>
      <c r="D6" s="23" t="s">
        <v>28</v>
      </c>
      <c r="E6" s="24">
        <f>D3*2</f>
        <v>6</v>
      </c>
      <c r="F6" s="23"/>
      <c r="G6" s="25">
        <f ca="1" t="shared" si="0"/>
        <v>4283.023192368</v>
      </c>
      <c r="H6" s="26">
        <v>10.62</v>
      </c>
      <c r="I6" s="26">
        <v>13.649</v>
      </c>
      <c r="J6" s="25">
        <f ca="1">H6*I6*'30米（人字300料）参数 '!G9*1.1</f>
        <v>4205.590372368</v>
      </c>
      <c r="K6" s="29">
        <f ca="1">8*2.5</f>
        <v>20</v>
      </c>
      <c r="L6" s="29">
        <v>21.61</v>
      </c>
      <c r="M6" s="29">
        <f>1.5*8</f>
        <v>12</v>
      </c>
      <c r="N6" s="29">
        <f ca="1">1.25*0.882*'30米（人字300料）参数 '!G5</f>
        <v>23.82282</v>
      </c>
      <c r="O6" s="58" t="s">
        <v>1619</v>
      </c>
      <c r="P6" s="57">
        <v>4</v>
      </c>
      <c r="Q6" s="57">
        <f ca="1" t="shared" si="1"/>
        <v>17132.092769472</v>
      </c>
      <c r="R6" s="57">
        <f t="shared" si="2"/>
        <v>2</v>
      </c>
      <c r="S6" s="57">
        <f ca="1" t="shared" si="3"/>
        <v>8566.046384736</v>
      </c>
      <c r="T6" s="3"/>
    </row>
    <row r="7" ht="12.95" customHeight="1" spans="1:20">
      <c r="A7" s="20"/>
      <c r="B7" s="21" t="s">
        <v>1586</v>
      </c>
      <c r="C7" s="27"/>
      <c r="D7" s="23" t="s">
        <v>28</v>
      </c>
      <c r="E7" s="24">
        <f>D3*2</f>
        <v>6</v>
      </c>
      <c r="F7" s="23"/>
      <c r="G7" s="25">
        <f ca="1" t="shared" si="0"/>
        <v>2645.53024688</v>
      </c>
      <c r="H7" s="26">
        <v>5.4</v>
      </c>
      <c r="I7" s="26">
        <v>13.649</v>
      </c>
      <c r="J7" s="25">
        <f ca="1">H7*I7*'30米（人字300料）参数 '!G10*1.1</f>
        <v>2079.41313888</v>
      </c>
      <c r="K7" s="29">
        <f ca="1">2.5*2</f>
        <v>5</v>
      </c>
      <c r="L7" s="25">
        <f ca="1">1.5*14.003*'30米（人字300料）参数 '!G10</f>
        <v>538.723416</v>
      </c>
      <c r="M7" s="29">
        <f>2.55*2+1.5*2</f>
        <v>8.1</v>
      </c>
      <c r="N7" s="29">
        <f ca="1">0.75*0.882*'30米（人字300料）参数 '!G5</f>
        <v>14.293692</v>
      </c>
      <c r="O7" s="58" t="s">
        <v>1620</v>
      </c>
      <c r="P7" s="57">
        <v>4</v>
      </c>
      <c r="Q7" s="57">
        <f ca="1" t="shared" si="1"/>
        <v>10582.12098752</v>
      </c>
      <c r="R7" s="57">
        <f t="shared" si="2"/>
        <v>2</v>
      </c>
      <c r="S7" s="57">
        <f ca="1" t="shared" si="3"/>
        <v>5291.06049376</v>
      </c>
      <c r="T7" s="3"/>
    </row>
    <row r="8" ht="12.95" customHeight="1" spans="1:20">
      <c r="A8" s="20"/>
      <c r="B8" s="21" t="s">
        <v>1588</v>
      </c>
      <c r="C8" s="27"/>
      <c r="D8" s="23" t="s">
        <v>28</v>
      </c>
      <c r="E8" s="24">
        <f>F3*2</f>
        <v>4</v>
      </c>
      <c r="F8" s="23"/>
      <c r="G8" s="25">
        <f ca="1" t="shared" si="0"/>
        <v>939.1695272</v>
      </c>
      <c r="H8" s="26">
        <v>6.33</v>
      </c>
      <c r="I8" s="26">
        <v>5.3</v>
      </c>
      <c r="J8" s="25">
        <f ca="1">H8*I8*'30米（人字300料）参数 '!G3*1.1</f>
        <v>835.7995272</v>
      </c>
      <c r="K8" s="29">
        <f ca="1">2.5*2</f>
        <v>5</v>
      </c>
      <c r="L8" s="29">
        <f ca="1">49.51+41.21</f>
        <v>90.72</v>
      </c>
      <c r="M8" s="29">
        <f>2.55*3</f>
        <v>7.65</v>
      </c>
      <c r="N8" s="29"/>
      <c r="O8" s="58" t="s">
        <v>1589</v>
      </c>
      <c r="P8" s="57">
        <v>4</v>
      </c>
      <c r="Q8" s="57">
        <f ca="1" t="shared" si="1"/>
        <v>3756.6781088</v>
      </c>
      <c r="R8" s="57">
        <f t="shared" si="2"/>
        <v>0</v>
      </c>
      <c r="S8" s="57">
        <f ca="1" t="shared" si="3"/>
        <v>0</v>
      </c>
      <c r="T8" s="3"/>
    </row>
    <row r="9" ht="12.95" customHeight="1" spans="1:20">
      <c r="A9" s="20"/>
      <c r="B9" s="21" t="s">
        <v>1590</v>
      </c>
      <c r="C9" s="27"/>
      <c r="D9" s="23" t="s">
        <v>28</v>
      </c>
      <c r="E9" s="24">
        <f>F3*2</f>
        <v>4</v>
      </c>
      <c r="F9" s="23"/>
      <c r="G9" s="25">
        <f ca="1" t="shared" si="0"/>
        <v>1143.8281792</v>
      </c>
      <c r="H9" s="26">
        <v>7.88</v>
      </c>
      <c r="I9" s="26">
        <v>5.3</v>
      </c>
      <c r="J9" s="25">
        <f ca="1">H9*I9*'30米（人字300料）参数 '!G3*1.1</f>
        <v>1040.4581792</v>
      </c>
      <c r="K9" s="29">
        <f ca="1">2.5*2</f>
        <v>5</v>
      </c>
      <c r="L9" s="29">
        <f ca="1">49.51+41.21</f>
        <v>90.72</v>
      </c>
      <c r="M9" s="29">
        <f>2.55*3</f>
        <v>7.65</v>
      </c>
      <c r="N9" s="29"/>
      <c r="O9" s="58" t="s">
        <v>1591</v>
      </c>
      <c r="P9" s="57">
        <v>4</v>
      </c>
      <c r="Q9" s="57">
        <f ca="1" t="shared" si="1"/>
        <v>4575.3127168</v>
      </c>
      <c r="R9" s="57">
        <f t="shared" si="2"/>
        <v>0</v>
      </c>
      <c r="S9" s="57">
        <f ca="1" t="shared" si="3"/>
        <v>0</v>
      </c>
      <c r="T9" s="3"/>
    </row>
    <row r="10" ht="12.95" customHeight="1" spans="1:20">
      <c r="A10" s="20"/>
      <c r="B10" s="21" t="s">
        <v>1592</v>
      </c>
      <c r="C10" s="27"/>
      <c r="D10" s="23" t="s">
        <v>28</v>
      </c>
      <c r="E10" s="24">
        <v>2</v>
      </c>
      <c r="F10" s="23"/>
      <c r="G10" s="25">
        <f ca="1" t="shared" si="0"/>
        <v>1348.4868312</v>
      </c>
      <c r="H10" s="26">
        <v>9.43</v>
      </c>
      <c r="I10" s="26">
        <v>5.3</v>
      </c>
      <c r="J10" s="25">
        <f ca="1">H10*I10*'30米（人字300料）参数 '!G3*1.1</f>
        <v>1245.1168312</v>
      </c>
      <c r="K10" s="29">
        <f ca="1">2.5*2</f>
        <v>5</v>
      </c>
      <c r="L10" s="29">
        <f ca="1">49.51+41.21</f>
        <v>90.72</v>
      </c>
      <c r="M10" s="29">
        <f>2.55*3</f>
        <v>7.65</v>
      </c>
      <c r="N10" s="29"/>
      <c r="O10" s="58" t="s">
        <v>1593</v>
      </c>
      <c r="P10" s="57">
        <v>2</v>
      </c>
      <c r="Q10" s="57">
        <f ca="1" t="shared" si="1"/>
        <v>2696.9736624</v>
      </c>
      <c r="R10" s="57">
        <f t="shared" si="2"/>
        <v>0</v>
      </c>
      <c r="S10" s="57">
        <f ca="1" t="shared" si="3"/>
        <v>0</v>
      </c>
      <c r="T10" s="3"/>
    </row>
    <row r="11" ht="12.95" customHeight="1" spans="1:20">
      <c r="A11" s="20"/>
      <c r="B11" s="21" t="s">
        <v>1226</v>
      </c>
      <c r="C11" s="27"/>
      <c r="D11" s="23" t="s">
        <v>28</v>
      </c>
      <c r="E11" s="24">
        <f>A3*10+F3*4</f>
        <v>28</v>
      </c>
      <c r="F11" s="23"/>
      <c r="G11" s="25">
        <f ca="1" t="shared" si="0"/>
        <v>336.5448493136</v>
      </c>
      <c r="H11" s="26">
        <v>4.882</v>
      </c>
      <c r="I11" s="26">
        <v>2.771</v>
      </c>
      <c r="J11" s="25">
        <f ca="1">H11*I11*'30米（人字300料）参数 '!G5*1.1</f>
        <v>321.5448493136</v>
      </c>
      <c r="K11" s="29"/>
      <c r="L11" s="29"/>
      <c r="M11" s="29">
        <f>0.5*4</f>
        <v>2</v>
      </c>
      <c r="N11" s="29">
        <f>6.5*2</f>
        <v>13</v>
      </c>
      <c r="O11" s="59" t="s">
        <v>1595</v>
      </c>
      <c r="P11" s="57">
        <v>18</v>
      </c>
      <c r="Q11" s="57">
        <f ca="1" t="shared" si="1"/>
        <v>6057.8072876448</v>
      </c>
      <c r="R11" s="57">
        <f t="shared" si="2"/>
        <v>10</v>
      </c>
      <c r="S11" s="57">
        <f ca="1" t="shared" si="3"/>
        <v>3365.448493136</v>
      </c>
      <c r="T11" s="3"/>
    </row>
    <row r="12" ht="12.95" customHeight="1" spans="1:20">
      <c r="A12" s="20"/>
      <c r="B12" s="21" t="s">
        <v>1596</v>
      </c>
      <c r="C12" s="27"/>
      <c r="D12" s="23" t="s">
        <v>28</v>
      </c>
      <c r="E12" s="24">
        <f>A3*3</f>
        <v>6</v>
      </c>
      <c r="F12" s="23"/>
      <c r="G12" s="25">
        <f ca="1" t="shared" si="0"/>
        <v>737.9347773824</v>
      </c>
      <c r="H12" s="26">
        <v>4.882</v>
      </c>
      <c r="I12" s="26">
        <v>5.944</v>
      </c>
      <c r="J12" s="25">
        <f ca="1">H12*I12*'30米（人字300料）参数 '!G3*1.1</f>
        <v>722.9347773824</v>
      </c>
      <c r="K12" s="29"/>
      <c r="L12" s="29"/>
      <c r="M12" s="29">
        <f>0.5*4</f>
        <v>2</v>
      </c>
      <c r="N12" s="29">
        <f>6.5*2</f>
        <v>13</v>
      </c>
      <c r="O12" s="60" t="s">
        <v>1597</v>
      </c>
      <c r="P12" s="57">
        <v>3</v>
      </c>
      <c r="Q12" s="57">
        <f ca="1" t="shared" si="1"/>
        <v>2213.8043321472</v>
      </c>
      <c r="R12" s="57">
        <f t="shared" si="2"/>
        <v>3</v>
      </c>
      <c r="S12" s="57">
        <f ca="1" t="shared" si="3"/>
        <v>2213.8043321472</v>
      </c>
      <c r="T12" s="3"/>
    </row>
    <row r="13" ht="12.95" customHeight="1" spans="1:20">
      <c r="A13" s="20"/>
      <c r="B13" s="21" t="s">
        <v>1266</v>
      </c>
      <c r="C13" s="27"/>
      <c r="D13" s="23" t="s">
        <v>28</v>
      </c>
      <c r="E13" s="24">
        <f>A3*2+F3*6</f>
        <v>16</v>
      </c>
      <c r="F13" s="23"/>
      <c r="G13" s="25">
        <f ca="1">'数据修改（批量）'!A28</f>
        <v>95</v>
      </c>
      <c r="H13" s="26">
        <v>4.86</v>
      </c>
      <c r="I13" s="26">
        <v>1.345</v>
      </c>
      <c r="J13" s="25">
        <f ca="1">H13*I13*'30米（人字300料）参数 '!G5*1.1</f>
        <v>155.36951496</v>
      </c>
      <c r="K13" s="29"/>
      <c r="L13" s="29"/>
      <c r="M13" s="29"/>
      <c r="N13" s="29"/>
      <c r="O13" s="59" t="s">
        <v>1554</v>
      </c>
      <c r="P13" s="57">
        <v>14</v>
      </c>
      <c r="Q13" s="57">
        <f ca="1" t="shared" si="1"/>
        <v>1330</v>
      </c>
      <c r="R13" s="57">
        <f t="shared" si="2"/>
        <v>2</v>
      </c>
      <c r="S13" s="57">
        <f ca="1" t="shared" si="3"/>
        <v>190</v>
      </c>
      <c r="T13" s="3"/>
    </row>
    <row r="14" ht="12.95" customHeight="1" spans="1:20">
      <c r="A14" s="20"/>
      <c r="B14" s="21" t="s">
        <v>1276</v>
      </c>
      <c r="C14" s="27"/>
      <c r="D14" s="23" t="s">
        <v>28</v>
      </c>
      <c r="E14" s="28">
        <f>F3*2</f>
        <v>4</v>
      </c>
      <c r="F14" s="23"/>
      <c r="G14" s="25">
        <f ca="1">J14+K14+L14+M14+N14</f>
        <v>348.2448493136</v>
      </c>
      <c r="H14" s="26">
        <v>4.882</v>
      </c>
      <c r="I14" s="26">
        <v>2.771</v>
      </c>
      <c r="J14" s="25">
        <f ca="1">H14*I14*'30米（人字300料）参数 '!G5*1.1</f>
        <v>321.5448493136</v>
      </c>
      <c r="K14" s="29"/>
      <c r="L14" s="61">
        <v>15</v>
      </c>
      <c r="M14" s="61">
        <f>8*0.65</f>
        <v>5.2</v>
      </c>
      <c r="N14" s="61">
        <v>6.5</v>
      </c>
      <c r="O14" s="59" t="s">
        <v>1598</v>
      </c>
      <c r="P14" s="57">
        <v>4</v>
      </c>
      <c r="Q14" s="57">
        <f ca="1" t="shared" si="1"/>
        <v>1392.9793972544</v>
      </c>
      <c r="R14" s="57">
        <f t="shared" si="2"/>
        <v>0</v>
      </c>
      <c r="S14" s="57">
        <f ca="1" t="shared" si="3"/>
        <v>0</v>
      </c>
      <c r="T14" s="3"/>
    </row>
    <row r="15" ht="12.95" customHeight="1" spans="1:20">
      <c r="A15" s="20"/>
      <c r="B15" s="21" t="s">
        <v>1356</v>
      </c>
      <c r="C15" s="27"/>
      <c r="D15" s="23" t="s">
        <v>28</v>
      </c>
      <c r="E15" s="28">
        <f>F3</f>
        <v>2</v>
      </c>
      <c r="F15" s="23"/>
      <c r="G15" s="29">
        <f ca="1">J15+K15+L15+M15+N15</f>
        <v>162.06</v>
      </c>
      <c r="H15" s="26">
        <v>7.5</v>
      </c>
      <c r="I15" s="26">
        <v>1</v>
      </c>
      <c r="J15" s="29">
        <f ca="1">H15*I15*'30米（人字300料）参数 '!G5</f>
        <v>162.06</v>
      </c>
      <c r="K15" s="29"/>
      <c r="L15" s="29"/>
      <c r="M15" s="29"/>
      <c r="N15" s="29"/>
      <c r="O15" s="60" t="s">
        <v>1599</v>
      </c>
      <c r="P15" s="57">
        <v>2</v>
      </c>
      <c r="Q15" s="57">
        <f ca="1" t="shared" si="1"/>
        <v>324.12</v>
      </c>
      <c r="R15" s="57">
        <f t="shared" si="2"/>
        <v>0</v>
      </c>
      <c r="S15" s="57">
        <f ca="1" t="shared" si="3"/>
        <v>0</v>
      </c>
      <c r="T15" s="3"/>
    </row>
    <row r="16" ht="12.95" customHeight="1" spans="1:20">
      <c r="A16" s="20"/>
      <c r="B16" s="21" t="s">
        <v>1448</v>
      </c>
      <c r="C16" s="27"/>
      <c r="D16" s="23" t="s">
        <v>28</v>
      </c>
      <c r="E16" s="28">
        <f>D3*2-F3*2</f>
        <v>2</v>
      </c>
      <c r="F16" s="23"/>
      <c r="G16" s="29">
        <f>J16+K16+L16+M16+N16</f>
        <v>259</v>
      </c>
      <c r="H16" s="26"/>
      <c r="I16" s="26"/>
      <c r="J16" s="29">
        <f>128*1.5</f>
        <v>192</v>
      </c>
      <c r="K16" s="29"/>
      <c r="L16" s="29">
        <f>2.5*2</f>
        <v>5</v>
      </c>
      <c r="M16" s="29">
        <f>21*2</f>
        <v>42</v>
      </c>
      <c r="N16" s="29">
        <v>20</v>
      </c>
      <c r="O16" s="58" t="s">
        <v>1558</v>
      </c>
      <c r="P16" s="57">
        <v>0</v>
      </c>
      <c r="Q16" s="57">
        <f ca="1" t="shared" si="1"/>
        <v>0</v>
      </c>
      <c r="R16" s="57">
        <f t="shared" si="2"/>
        <v>2</v>
      </c>
      <c r="S16" s="57">
        <f ca="1" t="shared" si="3"/>
        <v>518</v>
      </c>
      <c r="T16" s="3"/>
    </row>
    <row r="17" ht="12.95" customHeight="1" spans="1:20">
      <c r="A17" s="20"/>
      <c r="B17" s="21" t="s">
        <v>1559</v>
      </c>
      <c r="C17" s="27"/>
      <c r="D17" s="23" t="s">
        <v>28</v>
      </c>
      <c r="E17" s="28">
        <f>D3-F3</f>
        <v>1</v>
      </c>
      <c r="F17" s="23"/>
      <c r="G17" s="29">
        <f>J17+K17+L17+M17+N17</f>
        <v>259</v>
      </c>
      <c r="H17" s="26"/>
      <c r="I17" s="26"/>
      <c r="J17" s="29">
        <f>128*1.5</f>
        <v>192</v>
      </c>
      <c r="K17" s="29"/>
      <c r="L17" s="29">
        <f>2.5*2</f>
        <v>5</v>
      </c>
      <c r="M17" s="29">
        <f>21*2</f>
        <v>42</v>
      </c>
      <c r="N17" s="29">
        <v>20</v>
      </c>
      <c r="O17" s="58" t="s">
        <v>1558</v>
      </c>
      <c r="P17" s="57">
        <v>0</v>
      </c>
      <c r="Q17" s="57">
        <f ca="1" t="shared" si="1"/>
        <v>0</v>
      </c>
      <c r="R17" s="57">
        <f t="shared" si="2"/>
        <v>1</v>
      </c>
      <c r="S17" s="57">
        <f ca="1" t="shared" si="3"/>
        <v>259</v>
      </c>
      <c r="T17" s="3"/>
    </row>
    <row r="18" ht="12.95" customHeight="1" spans="1:20">
      <c r="A18" s="20"/>
      <c r="B18" s="21" t="s">
        <v>1272</v>
      </c>
      <c r="C18" s="27"/>
      <c r="D18" s="23" t="s">
        <v>28</v>
      </c>
      <c r="E18" s="30">
        <v>6</v>
      </c>
      <c r="F18" s="23"/>
      <c r="G18" s="29">
        <f>J18+K18+L18+M18+N18</f>
        <v>237</v>
      </c>
      <c r="H18" s="26"/>
      <c r="I18" s="26"/>
      <c r="J18" s="29">
        <f>108*2</f>
        <v>216</v>
      </c>
      <c r="K18" s="29"/>
      <c r="L18" s="29">
        <v>6</v>
      </c>
      <c r="M18" s="29">
        <v>10</v>
      </c>
      <c r="N18" s="29">
        <v>5</v>
      </c>
      <c r="O18" s="60" t="s">
        <v>1561</v>
      </c>
      <c r="P18" s="57">
        <v>4</v>
      </c>
      <c r="Q18" s="57">
        <f ca="1" t="shared" si="1"/>
        <v>948</v>
      </c>
      <c r="R18" s="57">
        <f t="shared" si="2"/>
        <v>2</v>
      </c>
      <c r="S18" s="57">
        <f ca="1" t="shared" si="3"/>
        <v>474</v>
      </c>
      <c r="T18" s="3"/>
    </row>
    <row r="19" ht="12.95" customHeight="1" spans="1:20">
      <c r="A19" s="20" t="s">
        <v>1562</v>
      </c>
      <c r="B19" s="21" t="s">
        <v>1304</v>
      </c>
      <c r="C19" s="27"/>
      <c r="D19" s="23" t="s">
        <v>434</v>
      </c>
      <c r="E19" s="24">
        <f>D3</f>
        <v>3</v>
      </c>
      <c r="F19" s="23"/>
      <c r="G19" s="25">
        <v>608</v>
      </c>
      <c r="H19" s="26">
        <v>1.8</v>
      </c>
      <c r="I19" s="26">
        <v>16.257</v>
      </c>
      <c r="J19" s="25">
        <f ca="1">H19*I19*'30米（人字300料）参数 '!G10*1.1</f>
        <v>825.57988128</v>
      </c>
      <c r="K19" s="29">
        <v>100</v>
      </c>
      <c r="L19" s="25">
        <f ca="1">0.8*15.052*'30米（人字300料）参数 '!G10</f>
        <v>308.8429568</v>
      </c>
      <c r="M19" s="29">
        <f>2*2.5</f>
        <v>5</v>
      </c>
      <c r="N19" s="29"/>
      <c r="O19" s="60" t="s">
        <v>1361</v>
      </c>
      <c r="P19" s="57">
        <v>2</v>
      </c>
      <c r="Q19" s="57">
        <f ca="1" t="shared" si="1"/>
        <v>1216</v>
      </c>
      <c r="R19" s="57">
        <f t="shared" si="2"/>
        <v>1</v>
      </c>
      <c r="S19" s="57">
        <f ca="1" t="shared" si="3"/>
        <v>608</v>
      </c>
      <c r="T19" s="3"/>
    </row>
    <row r="20" ht="12.95" customHeight="1" spans="1:20">
      <c r="A20" s="31"/>
      <c r="B20" s="21" t="s">
        <v>1310</v>
      </c>
      <c r="C20" s="27"/>
      <c r="D20" s="23" t="s">
        <v>434</v>
      </c>
      <c r="E20" s="24">
        <f>E8+E9+E10</f>
        <v>10</v>
      </c>
      <c r="F20" s="23"/>
      <c r="G20" s="29">
        <v>76.4</v>
      </c>
      <c r="H20" s="26"/>
      <c r="I20" s="26"/>
      <c r="J20" s="29"/>
      <c r="K20" s="29"/>
      <c r="L20" s="29"/>
      <c r="M20" s="29"/>
      <c r="N20" s="29"/>
      <c r="O20" s="59" t="s">
        <v>1361</v>
      </c>
      <c r="P20" s="57">
        <v>10</v>
      </c>
      <c r="Q20" s="57">
        <f ca="1" t="shared" si="1"/>
        <v>764</v>
      </c>
      <c r="R20" s="57">
        <f t="shared" si="2"/>
        <v>0</v>
      </c>
      <c r="S20" s="57">
        <f ca="1" t="shared" si="3"/>
        <v>0</v>
      </c>
      <c r="T20" s="3"/>
    </row>
    <row r="21" ht="12.95" customHeight="1" spans="1:20">
      <c r="A21" s="31"/>
      <c r="B21" s="21" t="s">
        <v>1280</v>
      </c>
      <c r="C21" s="27"/>
      <c r="D21" s="23" t="s">
        <v>434</v>
      </c>
      <c r="E21" s="28">
        <f>E5</f>
        <v>6</v>
      </c>
      <c r="F21" s="23"/>
      <c r="G21" s="29">
        <v>137</v>
      </c>
      <c r="H21" s="26"/>
      <c r="I21" s="26"/>
      <c r="J21" s="29"/>
      <c r="K21" s="29"/>
      <c r="L21" s="29"/>
      <c r="M21" s="29"/>
      <c r="N21" s="29"/>
      <c r="O21" s="59" t="s">
        <v>1361</v>
      </c>
      <c r="P21" s="57">
        <v>4</v>
      </c>
      <c r="Q21" s="57">
        <f ca="1" t="shared" si="1"/>
        <v>548</v>
      </c>
      <c r="R21" s="57">
        <f t="shared" si="2"/>
        <v>2</v>
      </c>
      <c r="S21" s="57">
        <f ca="1" t="shared" si="3"/>
        <v>274</v>
      </c>
      <c r="T21" s="3"/>
    </row>
    <row r="22" ht="12.95" customHeight="1" spans="1:20">
      <c r="A22" s="31"/>
      <c r="B22" s="21" t="s">
        <v>1600</v>
      </c>
      <c r="C22" s="27"/>
      <c r="D22" s="23" t="s">
        <v>28</v>
      </c>
      <c r="E22" s="32">
        <f>E18</f>
        <v>6</v>
      </c>
      <c r="F22" s="23"/>
      <c r="G22" s="29">
        <v>119.3</v>
      </c>
      <c r="H22" s="26"/>
      <c r="I22" s="26"/>
      <c r="J22" s="29"/>
      <c r="K22" s="29"/>
      <c r="L22" s="29"/>
      <c r="M22" s="29"/>
      <c r="N22" s="29"/>
      <c r="O22" s="60" t="s">
        <v>1601</v>
      </c>
      <c r="P22" s="57">
        <v>4</v>
      </c>
      <c r="Q22" s="57">
        <f ca="1" t="shared" si="1"/>
        <v>477.2</v>
      </c>
      <c r="R22" s="57">
        <f t="shared" si="2"/>
        <v>2</v>
      </c>
      <c r="S22" s="57">
        <f ca="1" t="shared" si="3"/>
        <v>238.6</v>
      </c>
      <c r="T22" s="3"/>
    </row>
    <row r="23" ht="12.95" customHeight="1" spans="1:20">
      <c r="A23" s="31"/>
      <c r="B23" s="21" t="s">
        <v>1602</v>
      </c>
      <c r="C23" s="27"/>
      <c r="D23" s="23" t="s">
        <v>28</v>
      </c>
      <c r="E23" s="32">
        <f>E18</f>
        <v>6</v>
      </c>
      <c r="F23" s="23"/>
      <c r="G23" s="29">
        <v>97.5</v>
      </c>
      <c r="H23" s="33"/>
      <c r="I23" s="33"/>
      <c r="J23" s="62"/>
      <c r="K23" s="62"/>
      <c r="L23" s="62"/>
      <c r="M23" s="62"/>
      <c r="N23" s="62"/>
      <c r="O23" s="63" t="s">
        <v>1603</v>
      </c>
      <c r="P23" s="57">
        <v>4</v>
      </c>
      <c r="Q23" s="57">
        <f ca="1" t="shared" si="1"/>
        <v>390</v>
      </c>
      <c r="R23" s="57">
        <f t="shared" si="2"/>
        <v>2</v>
      </c>
      <c r="S23" s="57">
        <f ca="1" t="shared" si="3"/>
        <v>195</v>
      </c>
      <c r="T23" s="3"/>
    </row>
    <row r="24" ht="12.95" customHeight="1" spans="1:20">
      <c r="A24" s="31"/>
      <c r="B24" s="21" t="s">
        <v>522</v>
      </c>
      <c r="C24" s="27"/>
      <c r="D24" s="23" t="s">
        <v>434</v>
      </c>
      <c r="E24" s="32">
        <f>E18</f>
        <v>6</v>
      </c>
      <c r="F24" s="23"/>
      <c r="G24" s="34">
        <v>9.65</v>
      </c>
      <c r="H24" s="35"/>
      <c r="I24" s="35"/>
      <c r="J24" s="34"/>
      <c r="K24" s="34"/>
      <c r="L24" s="34"/>
      <c r="M24" s="34"/>
      <c r="N24" s="34"/>
      <c r="O24" s="64" t="s">
        <v>1604</v>
      </c>
      <c r="P24" s="57">
        <v>4</v>
      </c>
      <c r="Q24" s="57">
        <f ca="1" t="shared" si="1"/>
        <v>38.6</v>
      </c>
      <c r="R24" s="57">
        <f t="shared" si="2"/>
        <v>2</v>
      </c>
      <c r="S24" s="57">
        <f ca="1" t="shared" si="3"/>
        <v>19.3</v>
      </c>
      <c r="T24" s="3"/>
    </row>
    <row r="25" ht="12.95" customHeight="1" spans="1:20">
      <c r="A25" s="31"/>
      <c r="B25" s="21" t="s">
        <v>524</v>
      </c>
      <c r="C25" s="27"/>
      <c r="D25" s="23" t="s">
        <v>434</v>
      </c>
      <c r="E25" s="32">
        <f>E18*2</f>
        <v>12</v>
      </c>
      <c r="F25" s="23"/>
      <c r="G25" s="29">
        <v>18.36</v>
      </c>
      <c r="H25" s="26"/>
      <c r="I25" s="26"/>
      <c r="J25" s="29"/>
      <c r="K25" s="29"/>
      <c r="L25" s="29"/>
      <c r="M25" s="29"/>
      <c r="N25" s="29"/>
      <c r="O25" s="60" t="s">
        <v>1605</v>
      </c>
      <c r="P25" s="57">
        <v>8</v>
      </c>
      <c r="Q25" s="57">
        <f ca="1" t="shared" si="1"/>
        <v>146.88</v>
      </c>
      <c r="R25" s="57">
        <f t="shared" si="2"/>
        <v>4</v>
      </c>
      <c r="S25" s="57">
        <f ca="1" t="shared" si="3"/>
        <v>73.44</v>
      </c>
      <c r="T25" s="3"/>
    </row>
    <row r="26" ht="12.95" customHeight="1" spans="1:20">
      <c r="A26" s="31"/>
      <c r="B26" s="21" t="s">
        <v>526</v>
      </c>
      <c r="C26" s="27"/>
      <c r="D26" s="23" t="s">
        <v>434</v>
      </c>
      <c r="E26" s="32">
        <f>E25/2</f>
        <v>6</v>
      </c>
      <c r="F26" s="23"/>
      <c r="G26" s="29">
        <v>24.84</v>
      </c>
      <c r="H26" s="26"/>
      <c r="I26" s="26"/>
      <c r="J26" s="29"/>
      <c r="K26" s="29"/>
      <c r="L26" s="29"/>
      <c r="M26" s="29"/>
      <c r="N26" s="29"/>
      <c r="O26" s="60" t="s">
        <v>1606</v>
      </c>
      <c r="P26" s="57">
        <v>4</v>
      </c>
      <c r="Q26" s="57">
        <f ca="1" t="shared" si="1"/>
        <v>99.36</v>
      </c>
      <c r="R26" s="57">
        <f t="shared" si="2"/>
        <v>2</v>
      </c>
      <c r="S26" s="57">
        <f ca="1" t="shared" si="3"/>
        <v>49.68</v>
      </c>
      <c r="T26" s="3"/>
    </row>
    <row r="27" ht="12.95" customHeight="1" spans="1:20">
      <c r="A27" s="31"/>
      <c r="B27" s="21" t="s">
        <v>1282</v>
      </c>
      <c r="C27" s="27"/>
      <c r="D27" s="23" t="s">
        <v>434</v>
      </c>
      <c r="E27" s="24">
        <f>D3*2+F3*7</f>
        <v>20</v>
      </c>
      <c r="F27" s="23"/>
      <c r="G27" s="29">
        <v>4.45</v>
      </c>
      <c r="H27" s="26"/>
      <c r="I27" s="26"/>
      <c r="J27" s="29"/>
      <c r="K27" s="29"/>
      <c r="L27" s="29"/>
      <c r="M27" s="29"/>
      <c r="N27" s="29"/>
      <c r="O27" s="59" t="s">
        <v>1453</v>
      </c>
      <c r="P27" s="57">
        <v>18</v>
      </c>
      <c r="Q27" s="57">
        <f ca="1" t="shared" si="1"/>
        <v>80.1</v>
      </c>
      <c r="R27" s="57">
        <f t="shared" si="2"/>
        <v>2</v>
      </c>
      <c r="S27" s="57">
        <f ca="1" t="shared" si="3"/>
        <v>8.9</v>
      </c>
      <c r="T27" s="3"/>
    </row>
    <row r="28" ht="12.95" customHeight="1" spans="1:20">
      <c r="A28" s="31"/>
      <c r="B28" s="21" t="s">
        <v>1284</v>
      </c>
      <c r="C28" s="27"/>
      <c r="D28" s="23" t="s">
        <v>434</v>
      </c>
      <c r="E28" s="24">
        <f>D3*2</f>
        <v>6</v>
      </c>
      <c r="F28" s="23"/>
      <c r="G28" s="29">
        <v>6.51</v>
      </c>
      <c r="H28" s="26"/>
      <c r="I28" s="26"/>
      <c r="J28" s="29"/>
      <c r="K28" s="29"/>
      <c r="L28" s="29"/>
      <c r="M28" s="29"/>
      <c r="N28" s="29"/>
      <c r="O28" s="59" t="s">
        <v>1607</v>
      </c>
      <c r="P28" s="57">
        <v>4</v>
      </c>
      <c r="Q28" s="57">
        <f ca="1" t="shared" si="1"/>
        <v>26.04</v>
      </c>
      <c r="R28" s="57">
        <f t="shared" si="2"/>
        <v>2</v>
      </c>
      <c r="S28" s="57">
        <f ca="1" t="shared" si="3"/>
        <v>13.02</v>
      </c>
      <c r="T28" s="3"/>
    </row>
    <row r="29" ht="12.95" customHeight="1" spans="1:20">
      <c r="A29" s="31"/>
      <c r="B29" s="21" t="s">
        <v>519</v>
      </c>
      <c r="C29" s="27"/>
      <c r="D29" s="23" t="s">
        <v>434</v>
      </c>
      <c r="E29" s="24">
        <f>F3*2</f>
        <v>4</v>
      </c>
      <c r="F29" s="23"/>
      <c r="G29" s="29">
        <v>6.5</v>
      </c>
      <c r="H29" s="36"/>
      <c r="I29" s="36"/>
      <c r="J29" s="65"/>
      <c r="K29" s="65"/>
      <c r="L29" s="65"/>
      <c r="M29" s="65"/>
      <c r="N29" s="65"/>
      <c r="O29" s="66" t="s">
        <v>1455</v>
      </c>
      <c r="P29" s="57">
        <v>4</v>
      </c>
      <c r="Q29" s="57">
        <f ca="1" t="shared" si="1"/>
        <v>26</v>
      </c>
      <c r="R29" s="57">
        <f t="shared" si="2"/>
        <v>0</v>
      </c>
      <c r="S29" s="57">
        <f ca="1" t="shared" si="3"/>
        <v>0</v>
      </c>
      <c r="T29" s="3"/>
    </row>
    <row r="30" ht="12.95" customHeight="1" spans="1:20">
      <c r="A30" s="31"/>
      <c r="B30" s="21" t="s">
        <v>1568</v>
      </c>
      <c r="C30" s="27"/>
      <c r="D30" s="23" t="s">
        <v>612</v>
      </c>
      <c r="E30" s="24">
        <f>A3</f>
        <v>2</v>
      </c>
      <c r="F30" s="23"/>
      <c r="G30" s="29">
        <f ca="1">J30+K30+L30+M30+N30</f>
        <v>3573.8</v>
      </c>
      <c r="H30" s="26">
        <v>33.4</v>
      </c>
      <c r="I30" s="26">
        <v>5</v>
      </c>
      <c r="J30" s="29">
        <f ca="1">H30*I30*'30米（人字300料）参数 '!D16*1.1</f>
        <v>3306.6</v>
      </c>
      <c r="K30" s="29">
        <f>33.4*2*4</f>
        <v>267.2</v>
      </c>
      <c r="L30" s="29"/>
      <c r="M30" s="29"/>
      <c r="N30" s="29"/>
      <c r="O30" s="67" t="s">
        <v>1569</v>
      </c>
      <c r="P30" s="68">
        <v>1</v>
      </c>
      <c r="Q30" s="57">
        <f ca="1" t="shared" si="1"/>
        <v>3573.8</v>
      </c>
      <c r="R30" s="57">
        <f t="shared" si="2"/>
        <v>1</v>
      </c>
      <c r="S30" s="57">
        <f ca="1" t="shared" si="3"/>
        <v>3573.8</v>
      </c>
      <c r="T30" s="3"/>
    </row>
    <row r="31" ht="12.95" customHeight="1" spans="1:20">
      <c r="A31" s="31"/>
      <c r="B31" s="21" t="s">
        <v>1570</v>
      </c>
      <c r="C31" s="27"/>
      <c r="D31" s="23" t="s">
        <v>664</v>
      </c>
      <c r="E31" s="24">
        <f>F3</f>
        <v>2</v>
      </c>
      <c r="F31" s="23"/>
      <c r="G31" s="29">
        <f ca="1">J31+K31+L31+M31+N31</f>
        <v>1858.588192</v>
      </c>
      <c r="H31" s="37">
        <v>15.32</v>
      </c>
      <c r="I31" s="37">
        <v>5.97</v>
      </c>
      <c r="J31" s="69">
        <f ca="1">H31*I31*'30米（人字300料）参数 '!D15*1.1</f>
        <v>1690.188192</v>
      </c>
      <c r="K31" s="69">
        <f>42.1*4</f>
        <v>168.4</v>
      </c>
      <c r="L31" s="69"/>
      <c r="M31" s="69"/>
      <c r="N31" s="69"/>
      <c r="O31" s="70" t="s">
        <v>1571</v>
      </c>
      <c r="P31" s="57">
        <v>2</v>
      </c>
      <c r="Q31" s="57">
        <f ca="1" t="shared" si="1"/>
        <v>3717.176384</v>
      </c>
      <c r="R31" s="57">
        <f t="shared" si="2"/>
        <v>0</v>
      </c>
      <c r="S31" s="57">
        <f ca="1" t="shared" si="3"/>
        <v>0</v>
      </c>
      <c r="T31" s="3"/>
    </row>
    <row r="32" ht="12.95" customHeight="1" spans="1:20">
      <c r="A32" s="31"/>
      <c r="B32" s="21" t="s">
        <v>1572</v>
      </c>
      <c r="C32" s="27"/>
      <c r="D32" s="23" t="s">
        <v>664</v>
      </c>
      <c r="E32" s="24">
        <f>F3*6+A3*2</f>
        <v>16</v>
      </c>
      <c r="F32" s="23"/>
      <c r="G32" s="29">
        <f ca="1">J32+K32+L32+M32+N32</f>
        <v>452.7072</v>
      </c>
      <c r="H32" s="26">
        <v>5.2</v>
      </c>
      <c r="I32" s="26">
        <v>5.2</v>
      </c>
      <c r="J32" s="29">
        <f ca="1">H32*I32*'30米（人字300料）参数 '!D14*1.1</f>
        <v>410.4672</v>
      </c>
      <c r="K32" s="71">
        <f>6.1*2</f>
        <v>12.2</v>
      </c>
      <c r="L32" s="71">
        <f>0.5*10</f>
        <v>5</v>
      </c>
      <c r="M32" s="71">
        <f>0.32*22</f>
        <v>7.04</v>
      </c>
      <c r="N32" s="71">
        <f>18*1</f>
        <v>18</v>
      </c>
      <c r="O32" s="60" t="s">
        <v>1580</v>
      </c>
      <c r="P32" s="57">
        <v>14</v>
      </c>
      <c r="Q32" s="57">
        <f ca="1" t="shared" si="1"/>
        <v>6337.9008</v>
      </c>
      <c r="R32" s="57">
        <f t="shared" si="2"/>
        <v>2</v>
      </c>
      <c r="S32" s="57">
        <f ca="1" t="shared" si="3"/>
        <v>905.4144</v>
      </c>
      <c r="T32" s="3"/>
    </row>
    <row r="33" ht="12.95" customHeight="1" spans="1:20">
      <c r="A33" s="31"/>
      <c r="B33" s="38" t="s">
        <v>1274</v>
      </c>
      <c r="C33" s="27"/>
      <c r="D33" s="23" t="s">
        <v>28</v>
      </c>
      <c r="E33" s="24">
        <f>E32</f>
        <v>16</v>
      </c>
      <c r="F33" s="23"/>
      <c r="G33" s="39">
        <v>21</v>
      </c>
      <c r="H33" s="40"/>
      <c r="I33" s="40"/>
      <c r="J33" s="41"/>
      <c r="K33" s="41"/>
      <c r="L33" s="41"/>
      <c r="M33" s="41"/>
      <c r="N33" s="41"/>
      <c r="O33" s="66" t="s">
        <v>1608</v>
      </c>
      <c r="P33" s="57">
        <v>14</v>
      </c>
      <c r="Q33" s="57">
        <f ca="1" t="shared" si="1"/>
        <v>294</v>
      </c>
      <c r="R33" s="57">
        <f t="shared" si="2"/>
        <v>2</v>
      </c>
      <c r="S33" s="57">
        <f ca="1" t="shared" si="3"/>
        <v>42</v>
      </c>
      <c r="T33" s="3"/>
    </row>
    <row r="34" ht="12.95" customHeight="1" spans="1:20">
      <c r="A34" s="31"/>
      <c r="B34" s="38" t="s">
        <v>551</v>
      </c>
      <c r="C34" s="27"/>
      <c r="D34" s="23" t="s">
        <v>434</v>
      </c>
      <c r="E34" s="24">
        <f>F3*5</f>
        <v>10</v>
      </c>
      <c r="F34" s="23"/>
      <c r="G34" s="41">
        <v>15.5</v>
      </c>
      <c r="H34" s="40"/>
      <c r="I34" s="40"/>
      <c r="J34" s="41"/>
      <c r="K34" s="41"/>
      <c r="L34" s="41"/>
      <c r="M34" s="41"/>
      <c r="N34" s="41"/>
      <c r="O34" s="66" t="s">
        <v>1456</v>
      </c>
      <c r="P34" s="57">
        <v>10</v>
      </c>
      <c r="Q34" s="57">
        <f ca="1" t="shared" si="1"/>
        <v>155</v>
      </c>
      <c r="R34" s="57">
        <f t="shared" si="2"/>
        <v>0</v>
      </c>
      <c r="S34" s="57">
        <f ca="1" t="shared" si="3"/>
        <v>0</v>
      </c>
      <c r="T34" s="3"/>
    </row>
    <row r="35" ht="12.95" customHeight="1" spans="1:20">
      <c r="A35" s="31"/>
      <c r="B35" s="42" t="s">
        <v>1609</v>
      </c>
      <c r="C35" s="27"/>
      <c r="D35" s="43" t="s">
        <v>555</v>
      </c>
      <c r="E35" s="44">
        <f>E5+E8+E9+E10+E22+E18</f>
        <v>28</v>
      </c>
      <c r="F35" s="23"/>
      <c r="G35" s="45">
        <v>1.46</v>
      </c>
      <c r="H35" s="46"/>
      <c r="I35" s="46"/>
      <c r="J35" s="45"/>
      <c r="K35" s="45"/>
      <c r="L35" s="45"/>
      <c r="M35" s="45"/>
      <c r="N35" s="45"/>
      <c r="O35" s="59" t="s">
        <v>1610</v>
      </c>
      <c r="P35" s="57">
        <v>26</v>
      </c>
      <c r="Q35" s="57">
        <f ca="1" t="shared" si="1"/>
        <v>37.96</v>
      </c>
      <c r="R35" s="57">
        <f t="shared" si="2"/>
        <v>2</v>
      </c>
      <c r="S35" s="57">
        <f ca="1" t="shared" si="3"/>
        <v>2.92</v>
      </c>
      <c r="T35" s="3"/>
    </row>
    <row r="36" ht="12.95" customHeight="1" spans="1:20">
      <c r="A36" s="31"/>
      <c r="B36" s="42" t="s">
        <v>1575</v>
      </c>
      <c r="C36" s="27"/>
      <c r="D36" s="43" t="s">
        <v>555</v>
      </c>
      <c r="E36" s="44">
        <f>E24+E25*2+E26*2</f>
        <v>42</v>
      </c>
      <c r="F36" s="23"/>
      <c r="G36" s="45">
        <v>1.2</v>
      </c>
      <c r="H36" s="46"/>
      <c r="I36" s="46"/>
      <c r="J36" s="45"/>
      <c r="K36" s="45"/>
      <c r="L36" s="45"/>
      <c r="M36" s="45"/>
      <c r="N36" s="45"/>
      <c r="O36" s="59"/>
      <c r="P36" s="57">
        <v>42</v>
      </c>
      <c r="Q36" s="57">
        <f ca="1" t="shared" si="1"/>
        <v>50.4</v>
      </c>
      <c r="R36" s="57">
        <f t="shared" si="2"/>
        <v>0</v>
      </c>
      <c r="S36" s="57">
        <f ca="1" t="shared" si="3"/>
        <v>0</v>
      </c>
      <c r="T36" s="3"/>
    </row>
    <row r="37" ht="12.95" customHeight="1" spans="1:19">
      <c r="A37" s="20" t="s">
        <v>1217</v>
      </c>
      <c r="B37" s="21" t="s">
        <v>1574</v>
      </c>
      <c r="C37" s="24"/>
      <c r="D37" s="23" t="s">
        <v>434</v>
      </c>
      <c r="E37" s="24">
        <f>D3*6</f>
        <v>18</v>
      </c>
      <c r="F37" s="23"/>
      <c r="G37" s="47">
        <v>1.95</v>
      </c>
      <c r="H37" s="48"/>
      <c r="I37" s="48"/>
      <c r="J37" s="47"/>
      <c r="K37" s="47"/>
      <c r="L37" s="47"/>
      <c r="M37" s="47"/>
      <c r="N37" s="47"/>
      <c r="O37" s="59" t="s">
        <v>1375</v>
      </c>
      <c r="P37" s="57">
        <v>12</v>
      </c>
      <c r="Q37" s="57">
        <f ca="1" t="shared" si="1"/>
        <v>23.4</v>
      </c>
      <c r="R37" s="57">
        <f t="shared" si="2"/>
        <v>6</v>
      </c>
      <c r="S37" s="57">
        <f ca="1" t="shared" si="3"/>
        <v>11.7</v>
      </c>
    </row>
    <row r="38" ht="12.95" customHeight="1" spans="1:19">
      <c r="A38" s="20"/>
      <c r="B38" s="21" t="s">
        <v>1581</v>
      </c>
      <c r="C38" s="24"/>
      <c r="D38" s="23" t="s">
        <v>434</v>
      </c>
      <c r="E38" s="24">
        <f>D3*22+E24+E25+E26+F3*7</f>
        <v>104</v>
      </c>
      <c r="F38" s="23"/>
      <c r="G38" s="47">
        <v>2.15</v>
      </c>
      <c r="H38" s="48"/>
      <c r="I38" s="48"/>
      <c r="J38" s="47"/>
      <c r="K38" s="47"/>
      <c r="L38" s="47"/>
      <c r="M38" s="47"/>
      <c r="N38" s="47"/>
      <c r="O38" s="59" t="s">
        <v>1372</v>
      </c>
      <c r="P38" s="57">
        <v>82</v>
      </c>
      <c r="Q38" s="57">
        <f ca="1" t="shared" si="1"/>
        <v>176.3</v>
      </c>
      <c r="R38" s="57">
        <f t="shared" si="2"/>
        <v>22</v>
      </c>
      <c r="S38" s="57">
        <f ca="1" t="shared" si="3"/>
        <v>47.3</v>
      </c>
    </row>
    <row r="39" ht="12.95" customHeight="1" spans="1:19">
      <c r="A39" s="20"/>
      <c r="B39" s="21" t="s">
        <v>1582</v>
      </c>
      <c r="C39" s="24"/>
      <c r="D39" s="23" t="s">
        <v>434</v>
      </c>
      <c r="E39" s="28">
        <f>E18+E24+E25+E26</f>
        <v>30</v>
      </c>
      <c r="F39" s="23"/>
      <c r="G39" s="47">
        <v>2.55</v>
      </c>
      <c r="H39" s="48"/>
      <c r="I39" s="48"/>
      <c r="J39" s="47"/>
      <c r="K39" s="47"/>
      <c r="L39" s="47"/>
      <c r="M39" s="47"/>
      <c r="N39" s="47"/>
      <c r="O39" s="59" t="s">
        <v>1373</v>
      </c>
      <c r="P39" s="57">
        <v>30</v>
      </c>
      <c r="Q39" s="57">
        <f ca="1" t="shared" si="1"/>
        <v>76.5</v>
      </c>
      <c r="R39" s="57">
        <f t="shared" si="2"/>
        <v>0</v>
      </c>
      <c r="S39" s="57">
        <f ca="1" t="shared" si="3"/>
        <v>0</v>
      </c>
    </row>
    <row r="40" spans="5:20">
      <c r="E40" s="3"/>
      <c r="F40" s="3"/>
      <c r="G40" s="3"/>
      <c r="H40" s="3"/>
      <c r="I40" s="3"/>
      <c r="J40" s="3"/>
      <c r="K40" s="3"/>
      <c r="L40" s="3"/>
      <c r="M40" s="3"/>
      <c r="N40" s="3"/>
      <c r="P40" s="1" t="s">
        <v>1218</v>
      </c>
      <c r="Q40" s="3">
        <f ca="1">SUM(Q5:Q39)</f>
        <v>78201.1163234784</v>
      </c>
      <c r="R40" s="3" t="s">
        <v>1219</v>
      </c>
      <c r="S40" s="3">
        <f ca="1">SUM(S5:S39)</f>
        <v>31408.7390424992</v>
      </c>
      <c r="T40" s="3"/>
    </row>
    <row r="41" spans="5:20">
      <c r="E41" s="3"/>
      <c r="F41" s="3"/>
      <c r="G41" s="3"/>
      <c r="H41" s="3"/>
      <c r="I41" s="3"/>
      <c r="J41" s="3"/>
      <c r="K41" s="3"/>
      <c r="L41" s="3"/>
      <c r="M41" s="3"/>
      <c r="N41" s="3"/>
      <c r="Q41" s="3"/>
      <c r="R41" s="3"/>
      <c r="S41" s="3"/>
      <c r="T41" s="3"/>
    </row>
    <row r="42" spans="5:20">
      <c r="E42" s="3"/>
      <c r="F42" s="3"/>
      <c r="G42" s="3"/>
      <c r="H42" s="3"/>
      <c r="I42" s="3"/>
      <c r="J42" s="3"/>
      <c r="K42" s="3"/>
      <c r="L42" s="3"/>
      <c r="M42" s="3"/>
      <c r="N42" s="3"/>
      <c r="P42" s="50" t="s">
        <v>1576</v>
      </c>
      <c r="Q42" s="3">
        <f ca="1">Q40+S40</f>
        <v>109609.855365978</v>
      </c>
      <c r="R42" s="3"/>
      <c r="S42" s="3"/>
      <c r="T42" s="3"/>
    </row>
    <row r="43" spans="2:20">
      <c r="B43" s="49" t="s">
        <v>1221</v>
      </c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52" t="s">
        <v>1577</v>
      </c>
      <c r="Q43" s="3">
        <f ca="1">Q42/E2</f>
        <v>365.366184553259</v>
      </c>
      <c r="R43" s="3"/>
      <c r="S43" s="3"/>
      <c r="T43" s="3"/>
    </row>
    <row r="44" spans="2:20">
      <c r="B44" s="50"/>
      <c r="C44" s="51"/>
      <c r="D44" s="51"/>
      <c r="E44" s="51"/>
      <c r="F44" s="50"/>
      <c r="G44" s="3"/>
      <c r="H44" s="3"/>
      <c r="I44" s="3"/>
      <c r="J44" s="3"/>
      <c r="K44" s="3"/>
      <c r="L44" s="3"/>
      <c r="M44" s="3"/>
      <c r="N44" s="3"/>
      <c r="R44" s="3"/>
      <c r="S44" s="3"/>
      <c r="T44" s="3"/>
    </row>
    <row r="45" spans="2:20">
      <c r="B45" s="52"/>
      <c r="C45" s="52"/>
      <c r="D45" s="52"/>
      <c r="E45" s="52"/>
      <c r="F45" s="52"/>
      <c r="G45" s="3"/>
      <c r="H45" s="3"/>
      <c r="I45" s="3"/>
      <c r="J45" s="3"/>
      <c r="K45" s="3"/>
      <c r="L45" s="3"/>
      <c r="M45" s="3"/>
      <c r="N45" s="3"/>
      <c r="R45" s="3"/>
      <c r="S45" s="3"/>
      <c r="T45" s="3"/>
    </row>
    <row r="46" spans="2:20"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Q46" s="3"/>
      <c r="R46" s="3"/>
      <c r="S46" s="3"/>
      <c r="T46" s="3"/>
    </row>
    <row r="47" spans="2:20">
      <c r="B47" s="54"/>
      <c r="C47" s="54"/>
      <c r="D47" s="54"/>
      <c r="E47" s="54"/>
      <c r="F47" s="54"/>
      <c r="Q47" s="3"/>
      <c r="R47" s="3"/>
      <c r="S47" s="3"/>
      <c r="T47" s="3"/>
    </row>
    <row r="48" spans="2:20">
      <c r="B48" s="54"/>
      <c r="C48" s="54"/>
      <c r="D48" s="54"/>
      <c r="E48" s="54"/>
      <c r="F48" s="54"/>
      <c r="Q48" s="3"/>
      <c r="R48" s="3"/>
      <c r="S48" s="3"/>
      <c r="T48" s="3"/>
    </row>
    <row r="49" spans="2:20">
      <c r="B49" s="54"/>
      <c r="C49" s="54"/>
      <c r="D49" s="54"/>
      <c r="E49" s="54"/>
      <c r="F49" s="54"/>
      <c r="Q49" s="3"/>
      <c r="R49" s="3"/>
      <c r="S49" s="3"/>
      <c r="T49" s="3"/>
    </row>
    <row r="50" spans="2:20">
      <c r="B50" s="54"/>
      <c r="C50" s="54"/>
      <c r="D50" s="54"/>
      <c r="E50" s="54"/>
      <c r="F50" s="54"/>
      <c r="Q50" s="3"/>
      <c r="R50" s="3"/>
      <c r="S50" s="3"/>
      <c r="T50" s="3"/>
    </row>
    <row r="51" spans="2:20">
      <c r="B51" s="54"/>
      <c r="C51" s="54"/>
      <c r="D51" s="54"/>
      <c r="E51" s="54"/>
      <c r="F51" s="54"/>
      <c r="Q51" s="3"/>
      <c r="R51" s="3"/>
      <c r="S51" s="3"/>
      <c r="T51" s="3"/>
    </row>
  </sheetData>
  <mergeCells count="9">
    <mergeCell ref="A1:N1"/>
    <mergeCell ref="A2:C2"/>
    <mergeCell ref="F2:N2"/>
    <mergeCell ref="A3:B3"/>
    <mergeCell ref="H3:N3"/>
    <mergeCell ref="B43:O43"/>
    <mergeCell ref="A5:A18"/>
    <mergeCell ref="A19:A36"/>
    <mergeCell ref="A37:A39"/>
  </mergeCells>
  <pageMargins left="0.75" right="0.75" top="1" bottom="1" header="0.509027777777778" footer="0.509027777777778"/>
  <pageSetup paperSize="9" orientation="portrait"/>
  <headerFooter/>
</worksheet>
</file>

<file path=xl/worksheets/sheet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FFFF00"/>
  </sheetPr>
  <dimension ref="A1:X51"/>
  <sheetViews>
    <sheetView showGridLines="0" workbookViewId="0">
      <selection activeCell="G13" sqref="G13"/>
    </sheetView>
  </sheetViews>
  <sheetFormatPr defaultColWidth="9" defaultRowHeight="14.25"/>
  <cols>
    <col min="1" max="1" width="3.75" style="1" customWidth="1"/>
    <col min="2" max="2" width="15.75" style="1" customWidth="1"/>
    <col min="3" max="4" width="8.25" style="1" customWidth="1"/>
    <col min="5" max="6" width="8.25" style="3" customWidth="1"/>
    <col min="7" max="8" width="10.375" style="1" customWidth="1"/>
    <col min="9" max="9" width="10.25" style="1" customWidth="1"/>
    <col min="10" max="10" width="13.125" style="1" customWidth="1"/>
    <col min="11" max="11" width="10.375" style="1" customWidth="1"/>
    <col min="12" max="12" width="11.125" style="1" customWidth="1"/>
    <col min="13" max="13" width="11" style="1" customWidth="1"/>
    <col min="14" max="14" width="13.625" style="1" customWidth="1"/>
    <col min="15" max="15" width="73.875" style="1" customWidth="1"/>
    <col min="16" max="16" width="14.375" style="1" customWidth="1"/>
    <col min="17" max="17" width="16.125" style="3" customWidth="1"/>
    <col min="18" max="18" width="13" style="3" customWidth="1"/>
    <col min="19" max="19" width="16.875" style="3" customWidth="1"/>
    <col min="20" max="24" width="9" style="3"/>
    <col min="25" max="16384" width="9" style="1"/>
  </cols>
  <sheetData>
    <row r="1" ht="18" customHeight="1" spans="1:24">
      <c r="A1" s="7" t="s">
        <v>1621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3"/>
      <c r="P1" s="3"/>
      <c r="S1" s="1"/>
      <c r="T1" s="1"/>
      <c r="U1" s="1"/>
      <c r="V1" s="1"/>
      <c r="W1" s="1"/>
      <c r="X1" s="1"/>
    </row>
    <row r="2" ht="24" customHeight="1" spans="1:24">
      <c r="A2" s="8" t="s">
        <v>1246</v>
      </c>
      <c r="B2" s="8"/>
      <c r="C2" s="8"/>
      <c r="D2" s="9" t="s">
        <v>1198</v>
      </c>
      <c r="E2" s="10">
        <f>A3*5*30</f>
        <v>300</v>
      </c>
      <c r="F2" s="11"/>
      <c r="G2" s="11"/>
      <c r="H2" s="11"/>
      <c r="I2" s="11"/>
      <c r="J2" s="11"/>
      <c r="K2" s="11"/>
      <c r="L2" s="11"/>
      <c r="M2" s="11"/>
      <c r="N2" s="11"/>
      <c r="O2" s="55"/>
      <c r="P2" s="3"/>
      <c r="Q2" s="1"/>
      <c r="R2" s="1"/>
      <c r="S2" s="1"/>
      <c r="T2" s="1"/>
      <c r="U2" s="1"/>
      <c r="V2" s="1"/>
      <c r="W2" s="1"/>
      <c r="X2" s="1"/>
    </row>
    <row r="3" ht="17.1" customHeight="1" spans="1:24">
      <c r="A3" s="12">
        <v>2</v>
      </c>
      <c r="B3" s="12"/>
      <c r="C3" s="9" t="s">
        <v>1247</v>
      </c>
      <c r="D3" s="13">
        <v>3</v>
      </c>
      <c r="E3" s="11" t="s">
        <v>1248</v>
      </c>
      <c r="F3" s="14">
        <v>2</v>
      </c>
      <c r="G3" s="11" t="s">
        <v>1249</v>
      </c>
      <c r="H3" s="11"/>
      <c r="I3" s="11"/>
      <c r="J3" s="11"/>
      <c r="K3" s="11"/>
      <c r="L3" s="11"/>
      <c r="M3" s="11"/>
      <c r="N3" s="11"/>
      <c r="O3" s="55"/>
      <c r="P3" s="3"/>
      <c r="Q3" s="1"/>
      <c r="R3" s="1"/>
      <c r="S3" s="1"/>
      <c r="T3" s="1"/>
      <c r="U3" s="1"/>
      <c r="V3" s="1"/>
      <c r="W3" s="1"/>
      <c r="X3" s="1"/>
    </row>
    <row r="4" ht="25.5" spans="1:19">
      <c r="A4" s="73" t="s">
        <v>1200</v>
      </c>
      <c r="B4" s="74" t="s">
        <v>1201</v>
      </c>
      <c r="C4" s="75" t="s">
        <v>1396</v>
      </c>
      <c r="D4" s="76" t="s">
        <v>22</v>
      </c>
      <c r="E4" s="76" t="s">
        <v>1203</v>
      </c>
      <c r="F4" s="18" t="s">
        <v>1202</v>
      </c>
      <c r="G4" s="17" t="s">
        <v>1204</v>
      </c>
      <c r="H4" s="19" t="s">
        <v>1205</v>
      </c>
      <c r="I4" s="17" t="s">
        <v>1253</v>
      </c>
      <c r="J4" s="17" t="s">
        <v>1254</v>
      </c>
      <c r="K4" s="17" t="s">
        <v>1255</v>
      </c>
      <c r="L4" s="17" t="s">
        <v>1209</v>
      </c>
      <c r="M4" s="17" t="s">
        <v>1420</v>
      </c>
      <c r="N4" s="17" t="s">
        <v>1211</v>
      </c>
      <c r="O4" s="56" t="s">
        <v>1257</v>
      </c>
      <c r="P4" s="57" t="s">
        <v>1430</v>
      </c>
      <c r="Q4" s="57" t="s">
        <v>1213</v>
      </c>
      <c r="R4" s="57" t="s">
        <v>1541</v>
      </c>
      <c r="S4" s="57" t="s">
        <v>1213</v>
      </c>
    </row>
    <row r="5" ht="12.95" customHeight="1" spans="1:19">
      <c r="A5" s="20" t="s">
        <v>1215</v>
      </c>
      <c r="B5" s="21" t="s">
        <v>1224</v>
      </c>
      <c r="C5" s="22"/>
      <c r="D5" s="23" t="s">
        <v>28</v>
      </c>
      <c r="E5" s="24">
        <f>D3*2</f>
        <v>6</v>
      </c>
      <c r="F5" s="23"/>
      <c r="G5" s="25">
        <f ca="1" t="shared" ref="G5:G12" si="0">J5+K5+L5+M5+N5</f>
        <v>2610.35876444</v>
      </c>
      <c r="H5" s="26">
        <f>11.7/2</f>
        <v>5.85</v>
      </c>
      <c r="I5" s="26">
        <v>13.649</v>
      </c>
      <c r="J5" s="25">
        <f ca="1">H5*I5*'30米（人字300料）参数 '!G9*1.1</f>
        <v>2316.63876444</v>
      </c>
      <c r="K5" s="29">
        <f ca="1">101.64*2</f>
        <v>203.28</v>
      </c>
      <c r="L5" s="29">
        <v>67.29</v>
      </c>
      <c r="M5" s="29">
        <f>2.55*5</f>
        <v>12.75</v>
      </c>
      <c r="N5" s="29">
        <f>0.65*16</f>
        <v>10.4</v>
      </c>
      <c r="O5" s="58" t="s">
        <v>1622</v>
      </c>
      <c r="P5" s="57">
        <v>4</v>
      </c>
      <c r="Q5" s="57">
        <f ca="1" t="shared" ref="Q5:Q39" si="1">G5*P5</f>
        <v>10441.43505776</v>
      </c>
      <c r="R5" s="57">
        <f>E5-P5</f>
        <v>2</v>
      </c>
      <c r="S5" s="57">
        <f ca="1" t="shared" ref="S5:S39" si="2">G5*R5</f>
        <v>5220.71752888</v>
      </c>
    </row>
    <row r="6" ht="12.95" customHeight="1" spans="1:19">
      <c r="A6" s="20"/>
      <c r="B6" s="21" t="s">
        <v>1543</v>
      </c>
      <c r="C6" s="27"/>
      <c r="D6" s="23" t="s">
        <v>28</v>
      </c>
      <c r="E6" s="24">
        <f>D3*2</f>
        <v>6</v>
      </c>
      <c r="F6" s="23"/>
      <c r="G6" s="25">
        <f ca="1" t="shared" si="0"/>
        <v>4283.023192368</v>
      </c>
      <c r="H6" s="26">
        <v>10.62</v>
      </c>
      <c r="I6" s="26">
        <v>13.649</v>
      </c>
      <c r="J6" s="25">
        <f ca="1">H6*I6*'30米（人字300料）参数 '!G9*1.1</f>
        <v>4205.590372368</v>
      </c>
      <c r="K6" s="29">
        <f ca="1">8*2.5</f>
        <v>20</v>
      </c>
      <c r="L6" s="29">
        <v>21.61</v>
      </c>
      <c r="M6" s="29">
        <f>1.5*8</f>
        <v>12</v>
      </c>
      <c r="N6" s="29">
        <f ca="1">1.25*0.882*'30米（人字300料）参数 '!G5</f>
        <v>23.82282</v>
      </c>
      <c r="O6" s="58" t="s">
        <v>1619</v>
      </c>
      <c r="P6" s="57">
        <v>4</v>
      </c>
      <c r="Q6" s="57">
        <f ca="1" t="shared" si="1"/>
        <v>17132.092769472</v>
      </c>
      <c r="R6" s="57">
        <f t="shared" ref="R6:R39" si="3">E6-P6</f>
        <v>2</v>
      </c>
      <c r="S6" s="57">
        <f ca="1" t="shared" si="2"/>
        <v>8566.046384736</v>
      </c>
    </row>
    <row r="7" ht="12.95" customHeight="1" spans="1:19">
      <c r="A7" s="20"/>
      <c r="B7" s="21" t="s">
        <v>1586</v>
      </c>
      <c r="C7" s="27"/>
      <c r="D7" s="23" t="s">
        <v>28</v>
      </c>
      <c r="E7" s="24">
        <f>D3*2</f>
        <v>6</v>
      </c>
      <c r="F7" s="23"/>
      <c r="G7" s="25">
        <f ca="1" t="shared" si="0"/>
        <v>2645.53024688</v>
      </c>
      <c r="H7" s="26">
        <v>5.4</v>
      </c>
      <c r="I7" s="26">
        <v>13.649</v>
      </c>
      <c r="J7" s="25">
        <f ca="1">H7*I7*'30米（人字300料）参数 '!G10*1.1</f>
        <v>2079.41313888</v>
      </c>
      <c r="K7" s="29">
        <f ca="1">2.5*2</f>
        <v>5</v>
      </c>
      <c r="L7" s="29">
        <f ca="1">1.5*14.003*'30米（人字300料）参数 '!G10</f>
        <v>538.723416</v>
      </c>
      <c r="M7" s="29">
        <f>2.55*2+1.5*2</f>
        <v>8.1</v>
      </c>
      <c r="N7" s="29">
        <f ca="1">0.75*0.882*'30米（人字300料）参数 '!G5</f>
        <v>14.293692</v>
      </c>
      <c r="O7" s="58" t="s">
        <v>1620</v>
      </c>
      <c r="P7" s="57">
        <v>4</v>
      </c>
      <c r="Q7" s="57">
        <f ca="1" t="shared" si="1"/>
        <v>10582.12098752</v>
      </c>
      <c r="R7" s="57">
        <f t="shared" si="3"/>
        <v>2</v>
      </c>
      <c r="S7" s="57">
        <f ca="1" t="shared" si="2"/>
        <v>5291.06049376</v>
      </c>
    </row>
    <row r="8" ht="12.95" customHeight="1" spans="1:19">
      <c r="A8" s="20"/>
      <c r="B8" s="21" t="s">
        <v>1588</v>
      </c>
      <c r="C8" s="27"/>
      <c r="D8" s="23" t="s">
        <v>28</v>
      </c>
      <c r="E8" s="24">
        <f>F3*2</f>
        <v>4</v>
      </c>
      <c r="F8" s="23"/>
      <c r="G8" s="25">
        <f ca="1" t="shared" si="0"/>
        <v>1071.2073672</v>
      </c>
      <c r="H8" s="26">
        <v>7.33</v>
      </c>
      <c r="I8" s="26">
        <v>5.3</v>
      </c>
      <c r="J8" s="25">
        <f ca="1">H8*I8*'30米（人字300料）参数 '!G3*1.1</f>
        <v>967.8373672</v>
      </c>
      <c r="K8" s="29">
        <f ca="1">2.5*2</f>
        <v>5</v>
      </c>
      <c r="L8" s="29">
        <f ca="1">49.51+41.21</f>
        <v>90.72</v>
      </c>
      <c r="M8" s="29">
        <f>2.55*3</f>
        <v>7.65</v>
      </c>
      <c r="N8" s="29"/>
      <c r="O8" s="58" t="s">
        <v>1613</v>
      </c>
      <c r="P8" s="57">
        <v>4</v>
      </c>
      <c r="Q8" s="57">
        <f ca="1" t="shared" si="1"/>
        <v>4284.8294688</v>
      </c>
      <c r="R8" s="57">
        <f t="shared" si="3"/>
        <v>0</v>
      </c>
      <c r="S8" s="57">
        <f ca="1" t="shared" si="2"/>
        <v>0</v>
      </c>
    </row>
    <row r="9" ht="12.95" customHeight="1" spans="1:19">
      <c r="A9" s="20"/>
      <c r="B9" s="21" t="s">
        <v>1590</v>
      </c>
      <c r="C9" s="27"/>
      <c r="D9" s="23" t="s">
        <v>28</v>
      </c>
      <c r="E9" s="24">
        <f>F3*2</f>
        <v>4</v>
      </c>
      <c r="F9" s="23"/>
      <c r="G9" s="25">
        <f ca="1" t="shared" si="0"/>
        <v>1275.8660192</v>
      </c>
      <c r="H9" s="26">
        <v>8.88</v>
      </c>
      <c r="I9" s="26">
        <v>5.3</v>
      </c>
      <c r="J9" s="25">
        <f ca="1">H9*I9*'30米（人字300料）参数 '!G3*1.1</f>
        <v>1172.4960192</v>
      </c>
      <c r="K9" s="29">
        <f ca="1">2.5*2</f>
        <v>5</v>
      </c>
      <c r="L9" s="29">
        <f ca="1">49.51+41.21</f>
        <v>90.72</v>
      </c>
      <c r="M9" s="29">
        <f>2.55*3</f>
        <v>7.65</v>
      </c>
      <c r="N9" s="29"/>
      <c r="O9" s="58" t="s">
        <v>1614</v>
      </c>
      <c r="P9" s="57">
        <v>4</v>
      </c>
      <c r="Q9" s="57">
        <f ca="1" t="shared" si="1"/>
        <v>5103.4640768</v>
      </c>
      <c r="R9" s="57">
        <f t="shared" si="3"/>
        <v>0</v>
      </c>
      <c r="S9" s="57">
        <f ca="1" t="shared" si="2"/>
        <v>0</v>
      </c>
    </row>
    <row r="10" ht="12.95" customHeight="1" spans="1:19">
      <c r="A10" s="20"/>
      <c r="B10" s="21" t="s">
        <v>1592</v>
      </c>
      <c r="C10" s="27"/>
      <c r="D10" s="23" t="s">
        <v>28</v>
      </c>
      <c r="E10" s="24">
        <v>2</v>
      </c>
      <c r="F10" s="23"/>
      <c r="G10" s="25">
        <f ca="1" t="shared" si="0"/>
        <v>1480.5246712</v>
      </c>
      <c r="H10" s="26">
        <v>10.43</v>
      </c>
      <c r="I10" s="26">
        <v>5.3</v>
      </c>
      <c r="J10" s="25">
        <f ca="1">H10*I10*'30米（人字300料）参数 '!G3*1.1</f>
        <v>1377.1546712</v>
      </c>
      <c r="K10" s="29">
        <f ca="1">2.5*2</f>
        <v>5</v>
      </c>
      <c r="L10" s="29">
        <f ca="1">49.51+41.21</f>
        <v>90.72</v>
      </c>
      <c r="M10" s="29">
        <f>2.55*3</f>
        <v>7.65</v>
      </c>
      <c r="N10" s="29"/>
      <c r="O10" s="58" t="s">
        <v>1615</v>
      </c>
      <c r="P10" s="57">
        <v>2</v>
      </c>
      <c r="Q10" s="57">
        <f ca="1" t="shared" si="1"/>
        <v>2961.0493424</v>
      </c>
      <c r="R10" s="57">
        <f t="shared" si="3"/>
        <v>0</v>
      </c>
      <c r="S10" s="57">
        <f ca="1" t="shared" si="2"/>
        <v>0</v>
      </c>
    </row>
    <row r="11" ht="12.95" customHeight="1" spans="1:19">
      <c r="A11" s="20"/>
      <c r="B11" s="21" t="s">
        <v>1226</v>
      </c>
      <c r="C11" s="27"/>
      <c r="D11" s="23" t="s">
        <v>28</v>
      </c>
      <c r="E11" s="24">
        <f>A3*10+F3*4</f>
        <v>28</v>
      </c>
      <c r="F11" s="23"/>
      <c r="G11" s="25">
        <f ca="1" t="shared" si="0"/>
        <v>336.5448493136</v>
      </c>
      <c r="H11" s="26">
        <v>4.882</v>
      </c>
      <c r="I11" s="26">
        <v>2.771</v>
      </c>
      <c r="J11" s="25">
        <f ca="1">H11*I11*'30米（人字300料）参数 '!G5*1.1</f>
        <v>321.5448493136</v>
      </c>
      <c r="K11" s="29"/>
      <c r="L11" s="29"/>
      <c r="M11" s="29">
        <f>0.5*4</f>
        <v>2</v>
      </c>
      <c r="N11" s="29">
        <f>6.5*2</f>
        <v>13</v>
      </c>
      <c r="O11" s="59" t="s">
        <v>1595</v>
      </c>
      <c r="P11" s="57">
        <v>18</v>
      </c>
      <c r="Q11" s="57">
        <f ca="1" t="shared" si="1"/>
        <v>6057.8072876448</v>
      </c>
      <c r="R11" s="57">
        <f t="shared" si="3"/>
        <v>10</v>
      </c>
      <c r="S11" s="57">
        <f ca="1" t="shared" si="2"/>
        <v>3365.448493136</v>
      </c>
    </row>
    <row r="12" ht="12.95" customHeight="1" spans="1:19">
      <c r="A12" s="20"/>
      <c r="B12" s="21" t="s">
        <v>1596</v>
      </c>
      <c r="C12" s="27"/>
      <c r="D12" s="23" t="s">
        <v>28</v>
      </c>
      <c r="E12" s="24">
        <f>A3*3</f>
        <v>6</v>
      </c>
      <c r="F12" s="23"/>
      <c r="G12" s="25">
        <f ca="1" t="shared" si="0"/>
        <v>737.9347773824</v>
      </c>
      <c r="H12" s="26">
        <v>4.882</v>
      </c>
      <c r="I12" s="26">
        <v>5.944</v>
      </c>
      <c r="J12" s="25">
        <f ca="1">H12*I12*'30米（人字300料）参数 '!G3*1.1</f>
        <v>722.9347773824</v>
      </c>
      <c r="K12" s="29"/>
      <c r="L12" s="29"/>
      <c r="M12" s="29">
        <f>0.5*4</f>
        <v>2</v>
      </c>
      <c r="N12" s="29">
        <f>6.5*2</f>
        <v>13</v>
      </c>
      <c r="O12" s="60" t="s">
        <v>1597</v>
      </c>
      <c r="P12" s="57">
        <v>3</v>
      </c>
      <c r="Q12" s="57">
        <f ca="1" t="shared" si="1"/>
        <v>2213.8043321472</v>
      </c>
      <c r="R12" s="57">
        <f t="shared" si="3"/>
        <v>3</v>
      </c>
      <c r="S12" s="57">
        <f ca="1" t="shared" si="2"/>
        <v>2213.8043321472</v>
      </c>
    </row>
    <row r="13" ht="12.95" customHeight="1" spans="1:19">
      <c r="A13" s="20"/>
      <c r="B13" s="21" t="s">
        <v>1266</v>
      </c>
      <c r="C13" s="27"/>
      <c r="D13" s="23" t="s">
        <v>28</v>
      </c>
      <c r="E13" s="24">
        <f>A3*2+F3*6</f>
        <v>16</v>
      </c>
      <c r="F13" s="23"/>
      <c r="G13" s="25">
        <f ca="1">'数据修改（批量）'!A28</f>
        <v>95</v>
      </c>
      <c r="H13" s="26">
        <v>4.86</v>
      </c>
      <c r="I13" s="26">
        <v>1.345</v>
      </c>
      <c r="J13" s="25">
        <f ca="1">H13*I13*'30米（人字300料）参数 '!G5*1.1</f>
        <v>155.36951496</v>
      </c>
      <c r="K13" s="29"/>
      <c r="L13" s="29"/>
      <c r="M13" s="29"/>
      <c r="N13" s="29"/>
      <c r="O13" s="59" t="s">
        <v>1554</v>
      </c>
      <c r="P13" s="57">
        <v>14</v>
      </c>
      <c r="Q13" s="57">
        <f ca="1" t="shared" si="1"/>
        <v>1330</v>
      </c>
      <c r="R13" s="57">
        <f t="shared" si="3"/>
        <v>2</v>
      </c>
      <c r="S13" s="57">
        <f ca="1" t="shared" si="2"/>
        <v>190</v>
      </c>
    </row>
    <row r="14" ht="12.95" customHeight="1" spans="1:19">
      <c r="A14" s="20"/>
      <c r="B14" s="21" t="s">
        <v>1276</v>
      </c>
      <c r="C14" s="27"/>
      <c r="D14" s="23" t="s">
        <v>28</v>
      </c>
      <c r="E14" s="28">
        <f>F3*2</f>
        <v>4</v>
      </c>
      <c r="F14" s="23"/>
      <c r="G14" s="25">
        <f ca="1" t="shared" ref="G14:G19" si="4">J14+K14+L14+M14+N14</f>
        <v>348.2448493136</v>
      </c>
      <c r="H14" s="26">
        <v>4.882</v>
      </c>
      <c r="I14" s="26">
        <v>2.771</v>
      </c>
      <c r="J14" s="25">
        <f ca="1">H14*I14*'30米（人字300料）参数 '!G5*1.1</f>
        <v>321.5448493136</v>
      </c>
      <c r="K14" s="29"/>
      <c r="L14" s="61">
        <v>15</v>
      </c>
      <c r="M14" s="61">
        <f>8*0.65</f>
        <v>5.2</v>
      </c>
      <c r="N14" s="61">
        <v>6.5</v>
      </c>
      <c r="O14" s="59" t="s">
        <v>1598</v>
      </c>
      <c r="P14" s="57">
        <v>4</v>
      </c>
      <c r="Q14" s="57">
        <f ca="1" t="shared" si="1"/>
        <v>1392.9793972544</v>
      </c>
      <c r="R14" s="57">
        <f t="shared" si="3"/>
        <v>0</v>
      </c>
      <c r="S14" s="57">
        <f ca="1" t="shared" si="2"/>
        <v>0</v>
      </c>
    </row>
    <row r="15" ht="12.95" customHeight="1" spans="1:19">
      <c r="A15" s="20"/>
      <c r="B15" s="21" t="s">
        <v>1356</v>
      </c>
      <c r="C15" s="27"/>
      <c r="D15" s="23" t="s">
        <v>28</v>
      </c>
      <c r="E15" s="28">
        <f>F3</f>
        <v>2</v>
      </c>
      <c r="F15" s="23"/>
      <c r="G15" s="25">
        <f ca="1" t="shared" si="4"/>
        <v>162.06</v>
      </c>
      <c r="H15" s="26">
        <v>7.5</v>
      </c>
      <c r="I15" s="26">
        <v>1</v>
      </c>
      <c r="J15" s="29">
        <f ca="1">H15*I15*'30米（人字300料）参数 '!G5</f>
        <v>162.06</v>
      </c>
      <c r="K15" s="29"/>
      <c r="L15" s="29"/>
      <c r="M15" s="29"/>
      <c r="N15" s="29"/>
      <c r="O15" s="60" t="s">
        <v>1599</v>
      </c>
      <c r="P15" s="57">
        <v>2</v>
      </c>
      <c r="Q15" s="57">
        <f ca="1" t="shared" si="1"/>
        <v>324.12</v>
      </c>
      <c r="R15" s="57">
        <f t="shared" si="3"/>
        <v>0</v>
      </c>
      <c r="S15" s="57">
        <f ca="1" t="shared" si="2"/>
        <v>0</v>
      </c>
    </row>
    <row r="16" ht="12.95" customHeight="1" spans="1:19">
      <c r="A16" s="20"/>
      <c r="B16" s="21" t="s">
        <v>1448</v>
      </c>
      <c r="C16" s="27"/>
      <c r="D16" s="23" t="s">
        <v>28</v>
      </c>
      <c r="E16" s="28">
        <f>D3*2-F3*2</f>
        <v>2</v>
      </c>
      <c r="F16" s="23"/>
      <c r="G16" s="29">
        <f ca="1" t="shared" si="4"/>
        <v>259</v>
      </c>
      <c r="H16" s="26"/>
      <c r="I16" s="26"/>
      <c r="J16" s="29">
        <f>128*1.5</f>
        <v>192</v>
      </c>
      <c r="K16" s="29"/>
      <c r="L16" s="29">
        <f>2.5*2</f>
        <v>5</v>
      </c>
      <c r="M16" s="29">
        <f>21*2</f>
        <v>42</v>
      </c>
      <c r="N16" s="29">
        <v>20</v>
      </c>
      <c r="O16" s="58" t="s">
        <v>1558</v>
      </c>
      <c r="P16" s="57">
        <v>0</v>
      </c>
      <c r="Q16" s="57">
        <f ca="1" t="shared" si="1"/>
        <v>0</v>
      </c>
      <c r="R16" s="57">
        <f t="shared" si="3"/>
        <v>2</v>
      </c>
      <c r="S16" s="57">
        <f ca="1" t="shared" si="2"/>
        <v>518</v>
      </c>
    </row>
    <row r="17" ht="12.95" customHeight="1" spans="1:19">
      <c r="A17" s="20"/>
      <c r="B17" s="21" t="s">
        <v>1559</v>
      </c>
      <c r="C17" s="27"/>
      <c r="D17" s="23" t="s">
        <v>28</v>
      </c>
      <c r="E17" s="28">
        <f>D3-F3</f>
        <v>1</v>
      </c>
      <c r="F17" s="23"/>
      <c r="G17" s="29">
        <f ca="1" t="shared" si="4"/>
        <v>259</v>
      </c>
      <c r="H17" s="26"/>
      <c r="I17" s="26"/>
      <c r="J17" s="29">
        <f>128*1.5</f>
        <v>192</v>
      </c>
      <c r="K17" s="29"/>
      <c r="L17" s="29">
        <f>2.5*2</f>
        <v>5</v>
      </c>
      <c r="M17" s="29">
        <f>21*2</f>
        <v>42</v>
      </c>
      <c r="N17" s="29">
        <v>20</v>
      </c>
      <c r="O17" s="58" t="s">
        <v>1558</v>
      </c>
      <c r="P17" s="57">
        <v>0</v>
      </c>
      <c r="Q17" s="57">
        <f ca="1" t="shared" si="1"/>
        <v>0</v>
      </c>
      <c r="R17" s="57">
        <f t="shared" si="3"/>
        <v>1</v>
      </c>
      <c r="S17" s="57">
        <f ca="1" t="shared" si="2"/>
        <v>259</v>
      </c>
    </row>
    <row r="18" ht="12.95" customHeight="1" spans="1:19">
      <c r="A18" s="20"/>
      <c r="B18" s="21" t="s">
        <v>1272</v>
      </c>
      <c r="C18" s="27"/>
      <c r="D18" s="23" t="s">
        <v>28</v>
      </c>
      <c r="E18" s="30">
        <v>6</v>
      </c>
      <c r="F18" s="23"/>
      <c r="G18" s="29">
        <f ca="1" t="shared" si="4"/>
        <v>237</v>
      </c>
      <c r="H18" s="26"/>
      <c r="I18" s="26"/>
      <c r="J18" s="29">
        <f>108*2</f>
        <v>216</v>
      </c>
      <c r="K18" s="29"/>
      <c r="L18" s="29">
        <v>6</v>
      </c>
      <c r="M18" s="29">
        <v>10</v>
      </c>
      <c r="N18" s="29">
        <v>5</v>
      </c>
      <c r="O18" s="60" t="s">
        <v>1561</v>
      </c>
      <c r="P18" s="57">
        <v>4</v>
      </c>
      <c r="Q18" s="57">
        <f ca="1" t="shared" si="1"/>
        <v>948</v>
      </c>
      <c r="R18" s="57">
        <f t="shared" si="3"/>
        <v>2</v>
      </c>
      <c r="S18" s="57">
        <f ca="1" t="shared" si="2"/>
        <v>474</v>
      </c>
    </row>
    <row r="19" ht="12.95" customHeight="1" spans="1:19">
      <c r="A19" s="20" t="s">
        <v>1562</v>
      </c>
      <c r="B19" s="21" t="s">
        <v>1304</v>
      </c>
      <c r="C19" s="27"/>
      <c r="D19" s="23" t="s">
        <v>434</v>
      </c>
      <c r="E19" s="24">
        <f>D3</f>
        <v>3</v>
      </c>
      <c r="F19" s="23"/>
      <c r="G19" s="25">
        <f ca="1" t="shared" si="4"/>
        <v>1239.42283808</v>
      </c>
      <c r="H19" s="26">
        <v>1.8</v>
      </c>
      <c r="I19" s="26">
        <v>16.257</v>
      </c>
      <c r="J19" s="29">
        <f ca="1">H19*I19*'30米（人字300料）参数 '!G10*1.1</f>
        <v>825.57988128</v>
      </c>
      <c r="K19" s="29">
        <v>100</v>
      </c>
      <c r="L19" s="25">
        <f ca="1">0.8*15.052*'30米（人字300料）参数 '!G10</f>
        <v>308.8429568</v>
      </c>
      <c r="M19" s="29">
        <f>2*2.5</f>
        <v>5</v>
      </c>
      <c r="N19" s="29"/>
      <c r="O19" s="60" t="s">
        <v>1616</v>
      </c>
      <c r="P19" s="57">
        <v>2</v>
      </c>
      <c r="Q19" s="57">
        <f ca="1" t="shared" si="1"/>
        <v>2478.84567616</v>
      </c>
      <c r="R19" s="57">
        <f t="shared" si="3"/>
        <v>1</v>
      </c>
      <c r="S19" s="57">
        <f ca="1" t="shared" si="2"/>
        <v>1239.42283808</v>
      </c>
    </row>
    <row r="20" ht="12.95" customHeight="1" spans="1:19">
      <c r="A20" s="31"/>
      <c r="B20" s="21" t="s">
        <v>1310</v>
      </c>
      <c r="C20" s="27"/>
      <c r="D20" s="23" t="s">
        <v>434</v>
      </c>
      <c r="E20" s="24">
        <f>E8+E9+E10</f>
        <v>10</v>
      </c>
      <c r="F20" s="23"/>
      <c r="G20" s="29">
        <v>76.4</v>
      </c>
      <c r="H20" s="26"/>
      <c r="I20" s="26"/>
      <c r="J20" s="29"/>
      <c r="K20" s="29"/>
      <c r="L20" s="29"/>
      <c r="M20" s="29"/>
      <c r="N20" s="29"/>
      <c r="O20" s="59" t="s">
        <v>1361</v>
      </c>
      <c r="P20" s="57">
        <v>10</v>
      </c>
      <c r="Q20" s="57">
        <f ca="1" t="shared" si="1"/>
        <v>764</v>
      </c>
      <c r="R20" s="57">
        <f t="shared" si="3"/>
        <v>0</v>
      </c>
      <c r="S20" s="57">
        <f ca="1" t="shared" si="2"/>
        <v>0</v>
      </c>
    </row>
    <row r="21" ht="12.95" customHeight="1" spans="1:19">
      <c r="A21" s="31"/>
      <c r="B21" s="21" t="s">
        <v>1280</v>
      </c>
      <c r="C21" s="27"/>
      <c r="D21" s="23" t="s">
        <v>434</v>
      </c>
      <c r="E21" s="28">
        <f>E5</f>
        <v>6</v>
      </c>
      <c r="F21" s="23"/>
      <c r="G21" s="29">
        <v>137</v>
      </c>
      <c r="H21" s="26"/>
      <c r="I21" s="26"/>
      <c r="J21" s="29"/>
      <c r="K21" s="29"/>
      <c r="L21" s="29"/>
      <c r="M21" s="29"/>
      <c r="N21" s="29"/>
      <c r="O21" s="59" t="s">
        <v>1361</v>
      </c>
      <c r="P21" s="57">
        <v>4</v>
      </c>
      <c r="Q21" s="57">
        <f ca="1" t="shared" si="1"/>
        <v>548</v>
      </c>
      <c r="R21" s="57">
        <f t="shared" si="3"/>
        <v>2</v>
      </c>
      <c r="S21" s="57">
        <f ca="1" t="shared" si="2"/>
        <v>274</v>
      </c>
    </row>
    <row r="22" ht="12.95" customHeight="1" spans="1:19">
      <c r="A22" s="31"/>
      <c r="B22" s="21" t="s">
        <v>1600</v>
      </c>
      <c r="C22" s="27"/>
      <c r="D22" s="23" t="s">
        <v>28</v>
      </c>
      <c r="E22" s="32">
        <f>E18</f>
        <v>6</v>
      </c>
      <c r="F22" s="23"/>
      <c r="G22" s="29">
        <v>119.3</v>
      </c>
      <c r="H22" s="26"/>
      <c r="I22" s="26"/>
      <c r="J22" s="29"/>
      <c r="K22" s="29"/>
      <c r="L22" s="29"/>
      <c r="M22" s="29"/>
      <c r="N22" s="29"/>
      <c r="O22" s="60" t="s">
        <v>1601</v>
      </c>
      <c r="P22" s="57">
        <v>4</v>
      </c>
      <c r="Q22" s="57">
        <f ca="1" t="shared" si="1"/>
        <v>477.2</v>
      </c>
      <c r="R22" s="57">
        <f t="shared" si="3"/>
        <v>2</v>
      </c>
      <c r="S22" s="57">
        <f ca="1" t="shared" si="2"/>
        <v>238.6</v>
      </c>
    </row>
    <row r="23" ht="12.95" customHeight="1" spans="1:19">
      <c r="A23" s="31"/>
      <c r="B23" s="21" t="s">
        <v>1602</v>
      </c>
      <c r="C23" s="27"/>
      <c r="D23" s="23" t="s">
        <v>28</v>
      </c>
      <c r="E23" s="32">
        <f>E18</f>
        <v>6</v>
      </c>
      <c r="F23" s="23"/>
      <c r="G23" s="29">
        <v>97.5</v>
      </c>
      <c r="H23" s="33"/>
      <c r="I23" s="33"/>
      <c r="J23" s="62"/>
      <c r="K23" s="62"/>
      <c r="L23" s="62"/>
      <c r="M23" s="62"/>
      <c r="N23" s="62"/>
      <c r="O23" s="63" t="s">
        <v>1603</v>
      </c>
      <c r="P23" s="57">
        <v>4</v>
      </c>
      <c r="Q23" s="57">
        <f ca="1" t="shared" si="1"/>
        <v>390</v>
      </c>
      <c r="R23" s="57">
        <f t="shared" si="3"/>
        <v>2</v>
      </c>
      <c r="S23" s="57">
        <f ca="1" t="shared" si="2"/>
        <v>195</v>
      </c>
    </row>
    <row r="24" ht="12.95" customHeight="1" spans="1:19">
      <c r="A24" s="31"/>
      <c r="B24" s="21" t="s">
        <v>522</v>
      </c>
      <c r="C24" s="27"/>
      <c r="D24" s="23" t="s">
        <v>434</v>
      </c>
      <c r="E24" s="32">
        <f>E18</f>
        <v>6</v>
      </c>
      <c r="F24" s="23"/>
      <c r="G24" s="34">
        <v>9.65</v>
      </c>
      <c r="H24" s="35"/>
      <c r="I24" s="35"/>
      <c r="J24" s="34"/>
      <c r="K24" s="34"/>
      <c r="L24" s="34"/>
      <c r="M24" s="34"/>
      <c r="N24" s="34"/>
      <c r="O24" s="64" t="s">
        <v>1604</v>
      </c>
      <c r="P24" s="57">
        <v>4</v>
      </c>
      <c r="Q24" s="57">
        <f ca="1" t="shared" si="1"/>
        <v>38.6</v>
      </c>
      <c r="R24" s="57">
        <f t="shared" si="3"/>
        <v>2</v>
      </c>
      <c r="S24" s="57">
        <f ca="1" t="shared" si="2"/>
        <v>19.3</v>
      </c>
    </row>
    <row r="25" ht="12.95" customHeight="1" spans="1:19">
      <c r="A25" s="31"/>
      <c r="B25" s="21" t="s">
        <v>524</v>
      </c>
      <c r="C25" s="27"/>
      <c r="D25" s="23" t="s">
        <v>434</v>
      </c>
      <c r="E25" s="32">
        <f>E18*2</f>
        <v>12</v>
      </c>
      <c r="F25" s="23"/>
      <c r="G25" s="29">
        <v>18.36</v>
      </c>
      <c r="H25" s="26"/>
      <c r="I25" s="26"/>
      <c r="J25" s="29"/>
      <c r="K25" s="29"/>
      <c r="L25" s="29"/>
      <c r="M25" s="29"/>
      <c r="N25" s="29"/>
      <c r="O25" s="60" t="s">
        <v>1605</v>
      </c>
      <c r="P25" s="57">
        <v>8</v>
      </c>
      <c r="Q25" s="57">
        <f ca="1" t="shared" si="1"/>
        <v>146.88</v>
      </c>
      <c r="R25" s="57">
        <f t="shared" si="3"/>
        <v>4</v>
      </c>
      <c r="S25" s="57">
        <f ca="1" t="shared" si="2"/>
        <v>73.44</v>
      </c>
    </row>
    <row r="26" ht="12.95" customHeight="1" spans="1:19">
      <c r="A26" s="31"/>
      <c r="B26" s="21" t="s">
        <v>526</v>
      </c>
      <c r="C26" s="27"/>
      <c r="D26" s="23" t="s">
        <v>434</v>
      </c>
      <c r="E26" s="32">
        <f>E25/2</f>
        <v>6</v>
      </c>
      <c r="F26" s="23"/>
      <c r="G26" s="29">
        <v>24.84</v>
      </c>
      <c r="H26" s="26"/>
      <c r="I26" s="26"/>
      <c r="J26" s="29"/>
      <c r="K26" s="29"/>
      <c r="L26" s="29"/>
      <c r="M26" s="29"/>
      <c r="N26" s="29"/>
      <c r="O26" s="60" t="s">
        <v>1606</v>
      </c>
      <c r="P26" s="57">
        <v>4</v>
      </c>
      <c r="Q26" s="57">
        <f ca="1" t="shared" si="1"/>
        <v>99.36</v>
      </c>
      <c r="R26" s="57">
        <f t="shared" si="3"/>
        <v>2</v>
      </c>
      <c r="S26" s="57">
        <f ca="1" t="shared" si="2"/>
        <v>49.68</v>
      </c>
    </row>
    <row r="27" ht="12.95" customHeight="1" spans="1:19">
      <c r="A27" s="31"/>
      <c r="B27" s="21" t="s">
        <v>1282</v>
      </c>
      <c r="C27" s="27"/>
      <c r="D27" s="23" t="s">
        <v>434</v>
      </c>
      <c r="E27" s="24">
        <f>D3*2+F3*7</f>
        <v>20</v>
      </c>
      <c r="F27" s="23"/>
      <c r="G27" s="29">
        <v>4.45</v>
      </c>
      <c r="H27" s="26"/>
      <c r="I27" s="26"/>
      <c r="J27" s="29"/>
      <c r="K27" s="29"/>
      <c r="L27" s="29"/>
      <c r="M27" s="29"/>
      <c r="N27" s="29"/>
      <c r="O27" s="59" t="s">
        <v>1453</v>
      </c>
      <c r="P27" s="57">
        <v>18</v>
      </c>
      <c r="Q27" s="57">
        <f ca="1" t="shared" si="1"/>
        <v>80.1</v>
      </c>
      <c r="R27" s="57">
        <f t="shared" si="3"/>
        <v>2</v>
      </c>
      <c r="S27" s="57">
        <f ca="1" t="shared" si="2"/>
        <v>8.9</v>
      </c>
    </row>
    <row r="28" ht="12.95" customHeight="1" spans="1:19">
      <c r="A28" s="31"/>
      <c r="B28" s="21" t="s">
        <v>1284</v>
      </c>
      <c r="C28" s="27"/>
      <c r="D28" s="23" t="s">
        <v>434</v>
      </c>
      <c r="E28" s="24">
        <f>D3*2</f>
        <v>6</v>
      </c>
      <c r="F28" s="23"/>
      <c r="G28" s="29">
        <v>6.51</v>
      </c>
      <c r="H28" s="26"/>
      <c r="I28" s="26"/>
      <c r="J28" s="29"/>
      <c r="K28" s="29"/>
      <c r="L28" s="29"/>
      <c r="M28" s="29"/>
      <c r="N28" s="29"/>
      <c r="O28" s="59" t="s">
        <v>1607</v>
      </c>
      <c r="P28" s="57">
        <v>4</v>
      </c>
      <c r="Q28" s="57">
        <f ca="1" t="shared" si="1"/>
        <v>26.04</v>
      </c>
      <c r="R28" s="57">
        <f t="shared" si="3"/>
        <v>2</v>
      </c>
      <c r="S28" s="57">
        <f ca="1" t="shared" si="2"/>
        <v>13.02</v>
      </c>
    </row>
    <row r="29" ht="12.95" customHeight="1" spans="1:19">
      <c r="A29" s="31"/>
      <c r="B29" s="21" t="s">
        <v>519</v>
      </c>
      <c r="C29" s="27"/>
      <c r="D29" s="23" t="s">
        <v>434</v>
      </c>
      <c r="E29" s="24">
        <f>F3*2</f>
        <v>4</v>
      </c>
      <c r="F29" s="23"/>
      <c r="G29" s="29">
        <v>6.5</v>
      </c>
      <c r="H29" s="36"/>
      <c r="I29" s="36"/>
      <c r="J29" s="65"/>
      <c r="K29" s="65"/>
      <c r="L29" s="65"/>
      <c r="M29" s="65"/>
      <c r="N29" s="65"/>
      <c r="O29" s="66" t="s">
        <v>1455</v>
      </c>
      <c r="P29" s="57">
        <v>4</v>
      </c>
      <c r="Q29" s="57">
        <f ca="1" t="shared" si="1"/>
        <v>26</v>
      </c>
      <c r="R29" s="57">
        <f t="shared" si="3"/>
        <v>0</v>
      </c>
      <c r="S29" s="57">
        <f ca="1" t="shared" si="2"/>
        <v>0</v>
      </c>
    </row>
    <row r="30" ht="12.95" customHeight="1" spans="1:19">
      <c r="A30" s="31"/>
      <c r="B30" s="21" t="s">
        <v>1568</v>
      </c>
      <c r="C30" s="27"/>
      <c r="D30" s="23" t="s">
        <v>612</v>
      </c>
      <c r="E30" s="24">
        <f>A3</f>
        <v>2</v>
      </c>
      <c r="F30" s="23"/>
      <c r="G30" s="29">
        <f ca="1">J30+K30+L30+M30+N30</f>
        <v>3573.8</v>
      </c>
      <c r="H30" s="26">
        <v>33.4</v>
      </c>
      <c r="I30" s="26">
        <v>5</v>
      </c>
      <c r="J30" s="29">
        <f ca="1">H30*I30*'30米（人字300料）参数 '!D16*1.1</f>
        <v>3306.6</v>
      </c>
      <c r="K30" s="29">
        <f>33.4*2*4</f>
        <v>267.2</v>
      </c>
      <c r="L30" s="29"/>
      <c r="M30" s="29"/>
      <c r="N30" s="29"/>
      <c r="O30" s="67" t="s">
        <v>1569</v>
      </c>
      <c r="P30" s="68">
        <v>1</v>
      </c>
      <c r="Q30" s="57">
        <f ca="1" t="shared" si="1"/>
        <v>3573.8</v>
      </c>
      <c r="R30" s="57">
        <f t="shared" si="3"/>
        <v>1</v>
      </c>
      <c r="S30" s="57">
        <f ca="1" t="shared" si="2"/>
        <v>3573.8</v>
      </c>
    </row>
    <row r="31" ht="12.95" customHeight="1" spans="1:19">
      <c r="A31" s="31"/>
      <c r="B31" s="21" t="s">
        <v>1570</v>
      </c>
      <c r="C31" s="27"/>
      <c r="D31" s="23" t="s">
        <v>664</v>
      </c>
      <c r="E31" s="24">
        <f>F3</f>
        <v>2</v>
      </c>
      <c r="F31" s="23"/>
      <c r="G31" s="29">
        <f ca="1">J31+K31+L31+M31+N31</f>
        <v>1957.388192</v>
      </c>
      <c r="H31" s="37">
        <v>15.32</v>
      </c>
      <c r="I31" s="37">
        <v>5.97</v>
      </c>
      <c r="J31" s="69">
        <f ca="1">H31*I31*'30米（人字300料）参数 '!D15*1.1</f>
        <v>1690.188192</v>
      </c>
      <c r="K31" s="69">
        <f>66.8*4</f>
        <v>267.2</v>
      </c>
      <c r="L31" s="69"/>
      <c r="M31" s="69"/>
      <c r="N31" s="69"/>
      <c r="O31" s="70" t="s">
        <v>1571</v>
      </c>
      <c r="P31" s="57">
        <v>2</v>
      </c>
      <c r="Q31" s="57">
        <f ca="1" t="shared" si="1"/>
        <v>3914.776384</v>
      </c>
      <c r="R31" s="57">
        <f t="shared" si="3"/>
        <v>0</v>
      </c>
      <c r="S31" s="57">
        <f ca="1" t="shared" si="2"/>
        <v>0</v>
      </c>
    </row>
    <row r="32" ht="12.95" customHeight="1" spans="1:19">
      <c r="A32" s="31"/>
      <c r="B32" s="21" t="s">
        <v>1572</v>
      </c>
      <c r="C32" s="27"/>
      <c r="D32" s="23" t="s">
        <v>664</v>
      </c>
      <c r="E32" s="24">
        <f>F3*6+A3*2</f>
        <v>16</v>
      </c>
      <c r="F32" s="23"/>
      <c r="G32" s="29">
        <f ca="1">J32+K32+L32+M32+N32</f>
        <v>531.6432</v>
      </c>
      <c r="H32" s="26">
        <v>6.2</v>
      </c>
      <c r="I32" s="26">
        <v>5.2</v>
      </c>
      <c r="J32" s="29">
        <f ca="1">H32*I32*'30米（人字300料）参数 '!D14*1.1</f>
        <v>489.4032</v>
      </c>
      <c r="K32" s="71">
        <f>6.1*2</f>
        <v>12.2</v>
      </c>
      <c r="L32" s="71">
        <f>0.5*10</f>
        <v>5</v>
      </c>
      <c r="M32" s="71">
        <f>0.32*22</f>
        <v>7.04</v>
      </c>
      <c r="N32" s="71">
        <f>18*1</f>
        <v>18</v>
      </c>
      <c r="O32" s="60" t="s">
        <v>1580</v>
      </c>
      <c r="P32" s="57">
        <v>14</v>
      </c>
      <c r="Q32" s="57">
        <f ca="1" t="shared" si="1"/>
        <v>7443.0048</v>
      </c>
      <c r="R32" s="57">
        <f t="shared" si="3"/>
        <v>2</v>
      </c>
      <c r="S32" s="57">
        <f ca="1" t="shared" si="2"/>
        <v>1063.2864</v>
      </c>
    </row>
    <row r="33" ht="12.95" customHeight="1" spans="1:19">
      <c r="A33" s="31"/>
      <c r="B33" s="38" t="s">
        <v>1274</v>
      </c>
      <c r="C33" s="27"/>
      <c r="D33" s="23" t="s">
        <v>28</v>
      </c>
      <c r="E33" s="24">
        <f>E32</f>
        <v>16</v>
      </c>
      <c r="F33" s="23"/>
      <c r="G33" s="39">
        <v>21</v>
      </c>
      <c r="H33" s="40"/>
      <c r="I33" s="40"/>
      <c r="J33" s="41"/>
      <c r="K33" s="41"/>
      <c r="L33" s="41"/>
      <c r="M33" s="41"/>
      <c r="N33" s="41"/>
      <c r="O33" s="66" t="s">
        <v>1608</v>
      </c>
      <c r="P33" s="57">
        <v>14</v>
      </c>
      <c r="Q33" s="57">
        <f ca="1" t="shared" si="1"/>
        <v>294</v>
      </c>
      <c r="R33" s="57">
        <f t="shared" si="3"/>
        <v>2</v>
      </c>
      <c r="S33" s="57">
        <f ca="1" t="shared" si="2"/>
        <v>42</v>
      </c>
    </row>
    <row r="34" ht="12.95" customHeight="1" spans="1:19">
      <c r="A34" s="31"/>
      <c r="B34" s="38" t="s">
        <v>551</v>
      </c>
      <c r="C34" s="27"/>
      <c r="D34" s="23" t="s">
        <v>434</v>
      </c>
      <c r="E34" s="24">
        <f>F3*5</f>
        <v>10</v>
      </c>
      <c r="F34" s="23"/>
      <c r="G34" s="41">
        <v>15.5</v>
      </c>
      <c r="H34" s="40"/>
      <c r="I34" s="40"/>
      <c r="J34" s="41"/>
      <c r="K34" s="41"/>
      <c r="L34" s="41"/>
      <c r="M34" s="41"/>
      <c r="N34" s="41"/>
      <c r="O34" s="66" t="s">
        <v>1456</v>
      </c>
      <c r="P34" s="57">
        <v>10</v>
      </c>
      <c r="Q34" s="57">
        <f ca="1" t="shared" si="1"/>
        <v>155</v>
      </c>
      <c r="R34" s="57">
        <f t="shared" si="3"/>
        <v>0</v>
      </c>
      <c r="S34" s="57">
        <f ca="1" t="shared" si="2"/>
        <v>0</v>
      </c>
    </row>
    <row r="35" ht="12.95" customHeight="1" spans="1:19">
      <c r="A35" s="31"/>
      <c r="B35" s="42" t="s">
        <v>1609</v>
      </c>
      <c r="C35" s="27"/>
      <c r="D35" s="43" t="s">
        <v>555</v>
      </c>
      <c r="E35" s="44">
        <f>E5+E8+E9+E10+E22+E18</f>
        <v>28</v>
      </c>
      <c r="F35" s="23"/>
      <c r="G35" s="45">
        <v>1.46</v>
      </c>
      <c r="H35" s="46"/>
      <c r="I35" s="46"/>
      <c r="J35" s="45"/>
      <c r="K35" s="45"/>
      <c r="L35" s="45"/>
      <c r="M35" s="45"/>
      <c r="N35" s="45"/>
      <c r="O35" s="59" t="s">
        <v>1610</v>
      </c>
      <c r="P35" s="57">
        <v>26</v>
      </c>
      <c r="Q35" s="57">
        <f ca="1" t="shared" si="1"/>
        <v>37.96</v>
      </c>
      <c r="R35" s="57">
        <f t="shared" si="3"/>
        <v>2</v>
      </c>
      <c r="S35" s="57">
        <f ca="1" t="shared" si="2"/>
        <v>2.92</v>
      </c>
    </row>
    <row r="36" ht="12.95" customHeight="1" spans="1:19">
      <c r="A36" s="31"/>
      <c r="B36" s="42" t="s">
        <v>1575</v>
      </c>
      <c r="C36" s="27"/>
      <c r="D36" s="43" t="s">
        <v>555</v>
      </c>
      <c r="E36" s="44">
        <f>E24+E25*2+E26*2</f>
        <v>42</v>
      </c>
      <c r="F36" s="23"/>
      <c r="G36" s="45">
        <v>1.2</v>
      </c>
      <c r="H36" s="46"/>
      <c r="I36" s="46"/>
      <c r="J36" s="45"/>
      <c r="K36" s="45"/>
      <c r="L36" s="45"/>
      <c r="M36" s="45"/>
      <c r="N36" s="45"/>
      <c r="O36" s="59"/>
      <c r="P36" s="57">
        <v>42</v>
      </c>
      <c r="Q36" s="57">
        <f ca="1" t="shared" si="1"/>
        <v>50.4</v>
      </c>
      <c r="R36" s="57">
        <f t="shared" si="3"/>
        <v>0</v>
      </c>
      <c r="S36" s="57">
        <f ca="1" t="shared" si="2"/>
        <v>0</v>
      </c>
    </row>
    <row r="37" ht="12.95" customHeight="1" spans="1:24">
      <c r="A37" s="20" t="s">
        <v>1217</v>
      </c>
      <c r="B37" s="21" t="s">
        <v>1574</v>
      </c>
      <c r="C37" s="24"/>
      <c r="D37" s="23" t="s">
        <v>434</v>
      </c>
      <c r="E37" s="24">
        <f>D3*6</f>
        <v>18</v>
      </c>
      <c r="F37" s="23"/>
      <c r="G37" s="47">
        <v>1.95</v>
      </c>
      <c r="H37" s="48"/>
      <c r="I37" s="48"/>
      <c r="J37" s="47"/>
      <c r="K37" s="47"/>
      <c r="L37" s="47"/>
      <c r="M37" s="47"/>
      <c r="N37" s="47"/>
      <c r="O37" s="59" t="s">
        <v>1375</v>
      </c>
      <c r="P37" s="57">
        <v>12</v>
      </c>
      <c r="Q37" s="57">
        <f ca="1" t="shared" si="1"/>
        <v>23.4</v>
      </c>
      <c r="R37" s="57">
        <f t="shared" si="3"/>
        <v>6</v>
      </c>
      <c r="S37" s="57">
        <f ca="1" t="shared" si="2"/>
        <v>11.7</v>
      </c>
      <c r="T37" s="1"/>
      <c r="U37" s="1"/>
      <c r="V37" s="1"/>
      <c r="W37" s="1"/>
      <c r="X37" s="1"/>
    </row>
    <row r="38" ht="12.95" customHeight="1" spans="1:24">
      <c r="A38" s="20"/>
      <c r="B38" s="21" t="s">
        <v>1581</v>
      </c>
      <c r="C38" s="24"/>
      <c r="D38" s="23" t="s">
        <v>434</v>
      </c>
      <c r="E38" s="24">
        <f>D3*22+E24+E25+E26+F3*7</f>
        <v>104</v>
      </c>
      <c r="F38" s="23"/>
      <c r="G38" s="47">
        <v>2.15</v>
      </c>
      <c r="H38" s="48"/>
      <c r="I38" s="48"/>
      <c r="J38" s="47"/>
      <c r="K38" s="47"/>
      <c r="L38" s="47"/>
      <c r="M38" s="47"/>
      <c r="N38" s="47"/>
      <c r="O38" s="59" t="s">
        <v>1372</v>
      </c>
      <c r="P38" s="57">
        <v>82</v>
      </c>
      <c r="Q38" s="57">
        <f ca="1" t="shared" si="1"/>
        <v>176.3</v>
      </c>
      <c r="R38" s="57">
        <f t="shared" si="3"/>
        <v>22</v>
      </c>
      <c r="S38" s="57">
        <f ca="1" t="shared" si="2"/>
        <v>47.3</v>
      </c>
      <c r="T38" s="1"/>
      <c r="U38" s="1"/>
      <c r="V38" s="1"/>
      <c r="W38" s="1"/>
      <c r="X38" s="1"/>
    </row>
    <row r="39" ht="12.95" customHeight="1" spans="1:24">
      <c r="A39" s="20"/>
      <c r="B39" s="21" t="s">
        <v>1582</v>
      </c>
      <c r="C39" s="24"/>
      <c r="D39" s="23" t="s">
        <v>434</v>
      </c>
      <c r="E39" s="28">
        <f>E18+E24+E25+E26</f>
        <v>30</v>
      </c>
      <c r="F39" s="23"/>
      <c r="G39" s="47">
        <v>2.55</v>
      </c>
      <c r="H39" s="48"/>
      <c r="I39" s="48"/>
      <c r="J39" s="47"/>
      <c r="K39" s="47"/>
      <c r="L39" s="47"/>
      <c r="M39" s="47"/>
      <c r="N39" s="47"/>
      <c r="O39" s="59" t="s">
        <v>1373</v>
      </c>
      <c r="P39" s="57">
        <v>30</v>
      </c>
      <c r="Q39" s="57">
        <f ca="1" t="shared" si="1"/>
        <v>76.5</v>
      </c>
      <c r="R39" s="57">
        <f t="shared" si="3"/>
        <v>0</v>
      </c>
      <c r="S39" s="57">
        <f ca="1" t="shared" si="2"/>
        <v>0</v>
      </c>
      <c r="T39" s="1"/>
      <c r="U39" s="1"/>
      <c r="V39" s="1"/>
      <c r="W39" s="1"/>
      <c r="X39" s="1"/>
    </row>
    <row r="40" spans="7:19">
      <c r="G40" s="3"/>
      <c r="H40" s="3"/>
      <c r="I40" s="3"/>
      <c r="J40" s="3"/>
      <c r="K40" s="3"/>
      <c r="L40" s="3"/>
      <c r="M40" s="3"/>
      <c r="N40" s="3"/>
      <c r="P40" s="1" t="s">
        <v>1218</v>
      </c>
      <c r="Q40" s="3">
        <f ca="1">SUM(Q5:Q39)</f>
        <v>83591.8695799584</v>
      </c>
      <c r="R40" s="3" t="s">
        <v>1219</v>
      </c>
      <c r="S40" s="3">
        <f ca="1">SUM(S5:S39)</f>
        <v>32950.4464707392</v>
      </c>
    </row>
    <row r="41" spans="7:14">
      <c r="G41" s="3"/>
      <c r="H41" s="3"/>
      <c r="I41" s="3"/>
      <c r="J41" s="3"/>
      <c r="K41" s="3"/>
      <c r="L41" s="3"/>
      <c r="M41" s="3"/>
      <c r="N41" s="3"/>
    </row>
    <row r="42" spans="7:17">
      <c r="G42" s="3"/>
      <c r="H42" s="3"/>
      <c r="I42" s="3"/>
      <c r="J42" s="3"/>
      <c r="K42" s="3"/>
      <c r="L42" s="3"/>
      <c r="M42" s="3"/>
      <c r="N42" s="3"/>
      <c r="P42" s="50" t="s">
        <v>1576</v>
      </c>
      <c r="Q42" s="3">
        <f ca="1">Q40+S40</f>
        <v>116542.316050698</v>
      </c>
    </row>
    <row r="43" spans="2:17">
      <c r="B43" s="49" t="s">
        <v>1221</v>
      </c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52" t="s">
        <v>1577</v>
      </c>
      <c r="Q43" s="3">
        <f ca="1">Q42/E2</f>
        <v>388.474386835659</v>
      </c>
    </row>
    <row r="44" spans="2:14">
      <c r="B44" s="50"/>
      <c r="C44" s="51"/>
      <c r="D44" s="51"/>
      <c r="E44" s="51"/>
      <c r="F44" s="50"/>
      <c r="G44" s="3"/>
      <c r="H44" s="3"/>
      <c r="I44" s="3"/>
      <c r="J44" s="3"/>
      <c r="K44" s="3"/>
      <c r="L44" s="3"/>
      <c r="M44" s="3"/>
      <c r="N44" s="3"/>
    </row>
    <row r="45" spans="2:14">
      <c r="B45" s="52"/>
      <c r="C45" s="52"/>
      <c r="D45" s="52"/>
      <c r="E45" s="52"/>
      <c r="F45" s="52"/>
      <c r="G45" s="3"/>
      <c r="H45" s="3"/>
      <c r="I45" s="3"/>
      <c r="J45" s="3"/>
      <c r="K45" s="3"/>
      <c r="L45" s="3"/>
      <c r="M45" s="3"/>
      <c r="N45" s="3"/>
    </row>
    <row r="46" ht="18" customHeight="1" spans="2:15">
      <c r="B46" s="53"/>
      <c r="C46" s="53"/>
      <c r="D46" s="53"/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</row>
    <row r="47" spans="2:6">
      <c r="B47" s="54"/>
      <c r="C47" s="54"/>
      <c r="D47" s="54"/>
      <c r="E47" s="54"/>
      <c r="F47" s="54"/>
    </row>
    <row r="48" spans="2:6">
      <c r="B48" s="54"/>
      <c r="C48" s="54"/>
      <c r="D48" s="54"/>
      <c r="E48" s="54"/>
      <c r="F48" s="54"/>
    </row>
    <row r="49" spans="2:6">
      <c r="B49" s="54"/>
      <c r="C49" s="54"/>
      <c r="D49" s="54"/>
      <c r="E49" s="54"/>
      <c r="F49" s="54"/>
    </row>
    <row r="50" spans="2:6">
      <c r="B50" s="54"/>
      <c r="C50" s="54"/>
      <c r="D50" s="54"/>
      <c r="E50" s="54"/>
      <c r="F50" s="54"/>
    </row>
    <row r="51" ht="51" customHeight="1" spans="2:6">
      <c r="B51" s="54"/>
      <c r="C51" s="54"/>
      <c r="D51" s="54"/>
      <c r="E51" s="54"/>
      <c r="F51" s="54"/>
    </row>
  </sheetData>
  <mergeCells count="10">
    <mergeCell ref="A1:N1"/>
    <mergeCell ref="A2:C2"/>
    <mergeCell ref="F2:N2"/>
    <mergeCell ref="A3:B3"/>
    <mergeCell ref="H3:N3"/>
    <mergeCell ref="B43:O43"/>
    <mergeCell ref="B46:O46"/>
    <mergeCell ref="A5:A18"/>
    <mergeCell ref="A19:A36"/>
    <mergeCell ref="A37:A39"/>
  </mergeCells>
  <printOptions horizontalCentered="1"/>
  <pageMargins left="0.11875" right="0.11875" top="0.159027777777778" bottom="0.259027777777778" header="0.159027777777778" footer="0.2"/>
  <pageSetup paperSize="9" orientation="portrait"/>
  <headerFooter alignWithMargins="0" scaleWithDoc="0">
    <oddFooter>&amp;L&amp;"SimSun"&amp;9&amp;C&amp;"SimSun"&amp;9第 &amp;P 页，共 &amp;N 页&amp;R&amp;"SimSun"&amp;9</oddFooter>
  </headerFooter>
</worksheet>
</file>

<file path=xl/worksheets/sheet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7030A0"/>
  </sheetPr>
  <dimension ref="A1:G21"/>
  <sheetViews>
    <sheetView showGridLines="0" workbookViewId="0">
      <selection activeCell="E31" sqref="E31"/>
    </sheetView>
  </sheetViews>
  <sheetFormatPr defaultColWidth="9" defaultRowHeight="14.25" outlineLevelCol="6"/>
  <cols>
    <col min="1" max="1" width="19" style="1" customWidth="1"/>
    <col min="2" max="2" width="18.375" style="1" customWidth="1"/>
    <col min="3" max="6" width="9" style="1"/>
    <col min="7" max="7" width="15.75" style="1" customWidth="1"/>
    <col min="8" max="16384" width="9" style="1"/>
  </cols>
  <sheetData>
    <row r="1" spans="1:4">
      <c r="A1" s="2" t="str">
        <f ca="1">'数据修改（批量）'!A1</f>
        <v>上海有色铝锭价格</v>
      </c>
      <c r="B1" s="2"/>
      <c r="C1" s="2"/>
      <c r="D1" s="3"/>
    </row>
    <row r="2" spans="1:7">
      <c r="A2" s="4">
        <f ca="1">'数据修改（批量）'!A2</f>
        <v>16200</v>
      </c>
      <c r="B2" s="2" t="str">
        <f ca="1">'数据修改（批量）'!B2</f>
        <v>项目</v>
      </c>
      <c r="C2" s="2" t="str">
        <f ca="1">'数据修改（批量）'!C2</f>
        <v>加工费</v>
      </c>
      <c r="D2" s="2" t="str">
        <f ca="1">'数据修改（批量）'!D2</f>
        <v>包装物</v>
      </c>
      <c r="E2" s="2" t="str">
        <f ca="1">'数据修改（批量）'!E2</f>
        <v>运费</v>
      </c>
      <c r="F2" s="2" t="str">
        <f ca="1">'数据修改（批量）'!F2</f>
        <v>单价</v>
      </c>
      <c r="G2" s="2" t="str">
        <f ca="1">'数据修改（批量）'!G2</f>
        <v>每公斤价格</v>
      </c>
    </row>
    <row r="3" spans="1:7">
      <c r="A3" s="2"/>
      <c r="B3" s="2" t="str">
        <f ca="1">'数据修改（批量）'!B3</f>
        <v>203料</v>
      </c>
      <c r="C3" s="2">
        <f ca="1">'数据修改（批量）'!C3</f>
        <v>5500</v>
      </c>
      <c r="D3" s="2">
        <f ca="1">'数据修改（批量）'!D3</f>
        <v>868</v>
      </c>
      <c r="E3" s="2">
        <f ca="1">'数据修改（批量）'!E3</f>
        <v>80</v>
      </c>
      <c r="F3" s="2">
        <f ca="1">'数据修改（批量）'!F3</f>
        <v>22648</v>
      </c>
      <c r="G3" s="2">
        <f ca="1">'数据修改（批量）'!G3</f>
        <v>22.648</v>
      </c>
    </row>
    <row r="4" spans="1:7">
      <c r="A4" s="2"/>
      <c r="B4" s="2" t="str">
        <f ca="1">'数据修改（批量）'!B4</f>
        <v>203料氧化</v>
      </c>
      <c r="C4" s="2">
        <f ca="1">'数据修改（批量）'!C4</f>
        <v>6000</v>
      </c>
      <c r="D4" s="2">
        <f ca="1">'数据修改（批量）'!D4</f>
        <v>888</v>
      </c>
      <c r="E4" s="2">
        <f ca="1">'数据修改（批量）'!E4</f>
        <v>80</v>
      </c>
      <c r="F4" s="2">
        <f ca="1">'数据修改（批量）'!F4</f>
        <v>23168</v>
      </c>
      <c r="G4" s="2">
        <f ca="1">'数据修改（批量）'!G4</f>
        <v>23.168</v>
      </c>
    </row>
    <row r="5" spans="2:7">
      <c r="B5" s="2" t="str">
        <f ca="1">'数据修改（批量）'!B5</f>
        <v>小料加工费</v>
      </c>
      <c r="C5" s="2">
        <f ca="1">'数据修改（批量）'!C5</f>
        <v>4500</v>
      </c>
      <c r="D5" s="2">
        <f ca="1">'数据修改（批量）'!D5</f>
        <v>828</v>
      </c>
      <c r="E5" s="2">
        <f ca="1">'数据修改（批量）'!E5</f>
        <v>80</v>
      </c>
      <c r="F5" s="2">
        <f ca="1">'数据修改（批量）'!F5</f>
        <v>21608</v>
      </c>
      <c r="G5" s="2">
        <f ca="1">'数据修改（批量）'!G5</f>
        <v>21.608</v>
      </c>
    </row>
    <row r="6" spans="1:4">
      <c r="A6" s="2" t="str">
        <f ca="1">'数据修改（批量）'!A6</f>
        <v>南海有色铝锭价格</v>
      </c>
      <c r="D6" s="5"/>
    </row>
    <row r="7" spans="1:1">
      <c r="A7" s="4">
        <f ca="1">'数据修改（批量）'!A7</f>
        <v>16600</v>
      </c>
    </row>
    <row r="8" spans="2:7">
      <c r="B8" s="2" t="str">
        <f ca="1">'数据修改（批量）'!B8</f>
        <v>项目</v>
      </c>
      <c r="C8" s="2" t="str">
        <f ca="1">'数据修改（批量）'!C8</f>
        <v>加工费</v>
      </c>
      <c r="D8" s="2" t="str">
        <f ca="1">'数据修改（批量）'!D8</f>
        <v>包装物</v>
      </c>
      <c r="E8" s="2" t="str">
        <f ca="1">'数据修改（批量）'!E8</f>
        <v>运费</v>
      </c>
      <c r="F8" s="2" t="str">
        <f ca="1">'数据修改（批量）'!F8</f>
        <v>单价</v>
      </c>
      <c r="G8" s="2" t="str">
        <f ca="1">'数据修改（批量）'!G8</f>
        <v>每公斤价格</v>
      </c>
    </row>
    <row r="9" spans="2:7">
      <c r="B9" s="2" t="str">
        <f ca="1">'数据修改（批量）'!B9</f>
        <v>300/350料8米以上</v>
      </c>
      <c r="C9" s="2">
        <f ca="1">'数据修改（批量）'!C9</f>
        <v>7800</v>
      </c>
      <c r="D9" s="2">
        <f ca="1">'数据修改（批量）'!D9</f>
        <v>976</v>
      </c>
      <c r="E9" s="2">
        <f ca="1">'数据修改（批量）'!E9</f>
        <v>1000</v>
      </c>
      <c r="F9" s="2">
        <f ca="1">'数据修改（批量）'!F9</f>
        <v>26376</v>
      </c>
      <c r="G9" s="2">
        <f ca="1">'数据修改（批量）'!G9</f>
        <v>26.376</v>
      </c>
    </row>
    <row r="10" spans="2:7">
      <c r="B10" s="2" t="str">
        <f ca="1">'数据修改（批量）'!B10</f>
        <v>300/350料8米以下</v>
      </c>
      <c r="C10" s="2">
        <f ca="1">'数据修改（批量）'!C10</f>
        <v>7100</v>
      </c>
      <c r="D10" s="2">
        <f ca="1">'数据修改（批量）'!D10</f>
        <v>948</v>
      </c>
      <c r="E10" s="2">
        <f ca="1">'数据修改（批量）'!E10</f>
        <v>1000</v>
      </c>
      <c r="F10" s="2">
        <f ca="1">'数据修改（批量）'!F10</f>
        <v>25648</v>
      </c>
      <c r="G10" s="2">
        <f ca="1">'数据修改（批量）'!G10</f>
        <v>25.648</v>
      </c>
    </row>
    <row r="12" spans="1:4">
      <c r="A12" s="2" t="str">
        <f ca="1">'数据修改（批量）'!A12</f>
        <v>篷布</v>
      </c>
      <c r="B12" s="2"/>
      <c r="C12" s="2"/>
      <c r="D12" s="3"/>
    </row>
    <row r="13" spans="1:7">
      <c r="A13" s="2"/>
      <c r="B13" s="2" t="str">
        <f ca="1">'数据修改（批量）'!B13</f>
        <v>项目</v>
      </c>
      <c r="C13" s="2" t="str">
        <f ca="1">'数据修改（批量）'!C13</f>
        <v>运费</v>
      </c>
      <c r="D13" s="2" t="str">
        <f ca="1">'数据修改（批量）'!D13</f>
        <v>单价</v>
      </c>
      <c r="E13" s="2" t="str">
        <f ca="1">'数据修改（批量）'!E13</f>
        <v>每平价格</v>
      </c>
      <c r="F13" s="2"/>
      <c r="G13" s="2"/>
    </row>
    <row r="14" spans="1:7">
      <c r="A14" s="2"/>
      <c r="B14" s="2">
        <f ca="1">'数据修改（批量）'!B14</f>
        <v>650</v>
      </c>
      <c r="C14" s="2">
        <f ca="1">'数据修改（批量）'!C14</f>
        <v>0.5</v>
      </c>
      <c r="D14" s="4">
        <f ca="1">'数据修改（批量）'!D14</f>
        <v>13.8</v>
      </c>
      <c r="E14" s="2">
        <f ca="1">'数据修改（批量）'!E14</f>
        <v>14.3</v>
      </c>
      <c r="F14" s="2"/>
      <c r="G14" s="2"/>
    </row>
    <row r="15" spans="1:7">
      <c r="A15" s="2"/>
      <c r="B15" s="2">
        <f ca="1">'数据修改（批量）'!B15</f>
        <v>780</v>
      </c>
      <c r="C15" s="2">
        <f ca="1">'数据修改（批量）'!C15</f>
        <v>0.5</v>
      </c>
      <c r="D15" s="4">
        <f ca="1">'数据修改（批量）'!D15</f>
        <v>16.8</v>
      </c>
      <c r="E15" s="2">
        <f ca="1">'数据修改（批量）'!E15</f>
        <v>17.3</v>
      </c>
      <c r="F15" s="2"/>
      <c r="G15" s="2"/>
    </row>
    <row r="16" spans="2:7">
      <c r="B16" s="2">
        <f ca="1">'数据修改（批量）'!B16</f>
        <v>850</v>
      </c>
      <c r="C16" s="2">
        <f ca="1">'数据修改（批量）'!C16</f>
        <v>0.5</v>
      </c>
      <c r="D16" s="4">
        <f ca="1">'数据修改（批量）'!D16</f>
        <v>18</v>
      </c>
      <c r="E16" s="2">
        <f ca="1">'数据修改（批量）'!E16</f>
        <v>18.5</v>
      </c>
      <c r="F16" s="2"/>
      <c r="G16" s="2"/>
    </row>
    <row r="21" spans="1:7">
      <c r="A21" s="6" t="str">
        <f ca="1">'数据修改（批量）'!A21</f>
        <v>说明：黄色部分可以根据价格修改</v>
      </c>
      <c r="B21" s="6"/>
      <c r="C21" s="6"/>
      <c r="D21" s="6"/>
      <c r="E21" s="6"/>
      <c r="F21" s="6"/>
      <c r="G21" s="6"/>
    </row>
  </sheetData>
  <mergeCells count="1">
    <mergeCell ref="A21:G21"/>
  </mergeCells>
  <pageMargins left="0.75" right="0.75" top="1" bottom="1" header="0.509027777777778" footer="0.509027777777778"/>
  <headerFooter/>
</worksheet>
</file>

<file path=xl/worksheets/sheet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FF0000"/>
  </sheetPr>
  <dimension ref="A1:T52"/>
  <sheetViews>
    <sheetView showGridLines="0" workbookViewId="0">
      <selection activeCell="G14" sqref="G14"/>
    </sheetView>
  </sheetViews>
  <sheetFormatPr defaultColWidth="9" defaultRowHeight="14.25"/>
  <cols>
    <col min="1" max="1" width="2.625" style="1" customWidth="1"/>
    <col min="2" max="2" width="16.75" style="1" customWidth="1"/>
    <col min="3" max="4" width="9" style="1" customWidth="1"/>
    <col min="5" max="5" width="9" style="1"/>
    <col min="6" max="6" width="9" style="1" customWidth="1"/>
    <col min="7" max="7" width="11.125" style="1" customWidth="1"/>
    <col min="8" max="9" width="9" style="1" customWidth="1"/>
    <col min="10" max="10" width="11.125" style="1" customWidth="1"/>
    <col min="11" max="11" width="9" style="1" customWidth="1"/>
    <col min="12" max="12" width="11.125" style="1" customWidth="1"/>
    <col min="13" max="13" width="9" style="1" customWidth="1"/>
    <col min="14" max="14" width="10.125" style="1" customWidth="1"/>
    <col min="15" max="15" width="59.75" style="1" customWidth="1"/>
    <col min="16" max="16" width="9" style="1"/>
    <col min="17" max="17" width="14.25" style="1" customWidth="1"/>
    <col min="18" max="18" width="9" style="1"/>
    <col min="19" max="19" width="15.875" style="1" customWidth="1"/>
    <col min="20" max="16384" width="9" style="1"/>
  </cols>
  <sheetData>
    <row r="1" ht="18.75" spans="1:18">
      <c r="A1" s="72" t="s">
        <v>1623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3"/>
      <c r="P1" s="3"/>
      <c r="Q1" s="3"/>
      <c r="R1" s="3"/>
    </row>
    <row r="2" spans="1:16">
      <c r="A2" s="8" t="s">
        <v>1246</v>
      </c>
      <c r="B2" s="8"/>
      <c r="C2" s="8"/>
      <c r="D2" s="9" t="s">
        <v>1198</v>
      </c>
      <c r="E2" s="10">
        <f>A3*5*40</f>
        <v>400</v>
      </c>
      <c r="F2" s="11" t="s">
        <v>1202</v>
      </c>
      <c r="G2" s="11"/>
      <c r="H2" s="11"/>
      <c r="I2" s="11"/>
      <c r="J2" s="11"/>
      <c r="K2" s="11"/>
      <c r="L2" s="11"/>
      <c r="M2" s="11"/>
      <c r="N2" s="11"/>
      <c r="O2" s="55"/>
      <c r="P2" s="3"/>
    </row>
    <row r="3" spans="1:16">
      <c r="A3" s="12">
        <v>2</v>
      </c>
      <c r="B3" s="12"/>
      <c r="C3" s="9" t="s">
        <v>1247</v>
      </c>
      <c r="D3" s="13">
        <v>3</v>
      </c>
      <c r="E3" s="11" t="s">
        <v>1248</v>
      </c>
      <c r="F3" s="14">
        <v>2</v>
      </c>
      <c r="G3" s="11" t="s">
        <v>1249</v>
      </c>
      <c r="H3" s="11"/>
      <c r="I3" s="11"/>
      <c r="J3" s="11"/>
      <c r="K3" s="11"/>
      <c r="L3" s="11"/>
      <c r="M3" s="11"/>
      <c r="N3" s="11"/>
      <c r="O3" s="55"/>
      <c r="P3" s="3"/>
    </row>
    <row r="4" ht="25.5" spans="1:20">
      <c r="A4" s="73" t="s">
        <v>1200</v>
      </c>
      <c r="B4" s="74" t="s">
        <v>1201</v>
      </c>
      <c r="C4" s="75" t="s">
        <v>1396</v>
      </c>
      <c r="D4" s="76" t="s">
        <v>22</v>
      </c>
      <c r="E4" s="76" t="s">
        <v>1203</v>
      </c>
      <c r="F4" s="76" t="s">
        <v>1202</v>
      </c>
      <c r="G4" s="17" t="s">
        <v>1204</v>
      </c>
      <c r="H4" s="19" t="s">
        <v>1205</v>
      </c>
      <c r="I4" s="17" t="s">
        <v>1253</v>
      </c>
      <c r="J4" s="17" t="s">
        <v>1254</v>
      </c>
      <c r="K4" s="17" t="s">
        <v>1255</v>
      </c>
      <c r="L4" s="17" t="s">
        <v>1209</v>
      </c>
      <c r="M4" s="17" t="s">
        <v>1420</v>
      </c>
      <c r="N4" s="17" t="s">
        <v>1211</v>
      </c>
      <c r="O4" s="56" t="s">
        <v>1257</v>
      </c>
      <c r="P4" s="57" t="s">
        <v>1430</v>
      </c>
      <c r="Q4" s="57" t="s">
        <v>1213</v>
      </c>
      <c r="R4" s="57" t="s">
        <v>1541</v>
      </c>
      <c r="S4" s="57" t="s">
        <v>1213</v>
      </c>
      <c r="T4" s="3"/>
    </row>
    <row r="5" ht="12.95" customHeight="1" spans="1:20">
      <c r="A5" s="20" t="s">
        <v>1215</v>
      </c>
      <c r="B5" s="21" t="s">
        <v>1224</v>
      </c>
      <c r="C5" s="22"/>
      <c r="D5" s="23" t="s">
        <v>28</v>
      </c>
      <c r="E5" s="24">
        <f>D3*2</f>
        <v>6</v>
      </c>
      <c r="F5" s="23"/>
      <c r="G5" s="25">
        <f ca="1" t="shared" ref="G5:G13" si="0">J5+K5+L5+M5+N5</f>
        <v>2301.93246936</v>
      </c>
      <c r="H5" s="26">
        <f>9.8/2</f>
        <v>4.9</v>
      </c>
      <c r="I5" s="26">
        <v>13.649</v>
      </c>
      <c r="J5" s="25">
        <f ca="1">H5*I5*'40米（人字300料）参数 '!G9*1.1</f>
        <v>1940.43246936</v>
      </c>
      <c r="K5" s="29">
        <f ca="1">135.53*2</f>
        <v>271.06</v>
      </c>
      <c r="L5" s="29">
        <v>67.29</v>
      </c>
      <c r="M5" s="29">
        <f>2.55*5</f>
        <v>12.75</v>
      </c>
      <c r="N5" s="29">
        <f>0.65*16</f>
        <v>10.4</v>
      </c>
      <c r="O5" s="58" t="s">
        <v>1618</v>
      </c>
      <c r="P5" s="57">
        <v>4</v>
      </c>
      <c r="Q5" s="57">
        <f ca="1" t="shared" ref="Q5:Q40" si="1">G5*P5</f>
        <v>9207.72987744</v>
      </c>
      <c r="R5" s="57">
        <f t="shared" ref="R5:R40" si="2">E5-P5</f>
        <v>2</v>
      </c>
      <c r="S5" s="57">
        <f ca="1" t="shared" ref="S5:S40" si="3">G5*R5</f>
        <v>4603.86493872</v>
      </c>
      <c r="T5" s="3"/>
    </row>
    <row r="6" ht="12.95" customHeight="1" spans="1:20">
      <c r="A6" s="20"/>
      <c r="B6" s="21" t="s">
        <v>1543</v>
      </c>
      <c r="C6" s="27"/>
      <c r="D6" s="23" t="s">
        <v>28</v>
      </c>
      <c r="E6" s="24">
        <f>D3*2</f>
        <v>6</v>
      </c>
      <c r="F6" s="23"/>
      <c r="G6" s="25">
        <f ca="1" t="shared" si="0"/>
        <v>4281.473192368</v>
      </c>
      <c r="H6" s="26">
        <v>10.62</v>
      </c>
      <c r="I6" s="26">
        <v>13.649</v>
      </c>
      <c r="J6" s="25">
        <f ca="1">H6*I6*'40米（人字300料）参数 '!G9*1.1</f>
        <v>4205.590372368</v>
      </c>
      <c r="K6" s="29">
        <f ca="1">8*2.5</f>
        <v>20</v>
      </c>
      <c r="L6" s="29">
        <v>20.06</v>
      </c>
      <c r="M6" s="29">
        <f>1.5*8</f>
        <v>12</v>
      </c>
      <c r="N6" s="29">
        <f ca="1">1.25*0.882*'40米（人字300料）参数 '!G5</f>
        <v>23.82282</v>
      </c>
      <c r="O6" s="58" t="s">
        <v>1624</v>
      </c>
      <c r="P6" s="57">
        <v>4</v>
      </c>
      <c r="Q6" s="57">
        <f ca="1" t="shared" si="1"/>
        <v>17125.892769472</v>
      </c>
      <c r="R6" s="57">
        <f t="shared" si="2"/>
        <v>2</v>
      </c>
      <c r="S6" s="57">
        <f ca="1" t="shared" si="3"/>
        <v>8562.946384736</v>
      </c>
      <c r="T6" s="3"/>
    </row>
    <row r="7" ht="12.95" customHeight="1" spans="1:20">
      <c r="A7" s="20"/>
      <c r="B7" s="21" t="s">
        <v>1625</v>
      </c>
      <c r="C7" s="27"/>
      <c r="D7" s="23" t="s">
        <v>28</v>
      </c>
      <c r="E7" s="24">
        <f>D3*2</f>
        <v>6</v>
      </c>
      <c r="F7" s="23"/>
      <c r="G7" s="25">
        <f ca="1" t="shared" si="0"/>
        <v>4805.236608368</v>
      </c>
      <c r="H7" s="26">
        <v>10.62</v>
      </c>
      <c r="I7" s="26">
        <v>13.649</v>
      </c>
      <c r="J7" s="25">
        <f ca="1">H7*I7*'40米（人字300料）参数 '!G9*1.1</f>
        <v>4205.590372368</v>
      </c>
      <c r="K7" s="29">
        <f ca="1">8*2.5</f>
        <v>20</v>
      </c>
      <c r="L7" s="25">
        <f ca="1">1.5*14.003*'40米（人字300料）参数 '!G10</f>
        <v>538.723416</v>
      </c>
      <c r="M7" s="29">
        <f>2.55*2+1.5*8</f>
        <v>17.1</v>
      </c>
      <c r="N7" s="29">
        <f ca="1">1.25*0.882*'40米（人字300料）参数 '!G5</f>
        <v>23.82282</v>
      </c>
      <c r="O7" s="58" t="s">
        <v>1626</v>
      </c>
      <c r="P7" s="57">
        <v>4</v>
      </c>
      <c r="Q7" s="57">
        <f ca="1" t="shared" si="1"/>
        <v>19220.946433472</v>
      </c>
      <c r="R7" s="57">
        <f t="shared" si="2"/>
        <v>2</v>
      </c>
      <c r="S7" s="57">
        <f ca="1" t="shared" si="3"/>
        <v>9610.473216736</v>
      </c>
      <c r="T7" s="3"/>
    </row>
    <row r="8" ht="12.95" customHeight="1" spans="1:20">
      <c r="A8" s="20"/>
      <c r="B8" s="21" t="s">
        <v>1588</v>
      </c>
      <c r="C8" s="27"/>
      <c r="D8" s="23" t="s">
        <v>28</v>
      </c>
      <c r="E8" s="24">
        <f>F3*2</f>
        <v>4</v>
      </c>
      <c r="F8" s="23"/>
      <c r="G8" s="25">
        <f ca="1" t="shared" si="0"/>
        <v>939.1695272</v>
      </c>
      <c r="H8" s="26">
        <v>6.33</v>
      </c>
      <c r="I8" s="26">
        <v>5.3</v>
      </c>
      <c r="J8" s="25">
        <f ca="1">H8*I8*'40米（人字300料）参数 '!G3*1.1</f>
        <v>835.7995272</v>
      </c>
      <c r="K8" s="29">
        <f ca="1">2.5*2</f>
        <v>5</v>
      </c>
      <c r="L8" s="29">
        <f ca="1">49.51+41.21</f>
        <v>90.72</v>
      </c>
      <c r="M8" s="29">
        <f>2.55*3</f>
        <v>7.65</v>
      </c>
      <c r="N8" s="29"/>
      <c r="O8" s="58" t="s">
        <v>1589</v>
      </c>
      <c r="P8" s="57">
        <v>4</v>
      </c>
      <c r="Q8" s="57">
        <f ca="1" t="shared" si="1"/>
        <v>3756.6781088</v>
      </c>
      <c r="R8" s="57">
        <f t="shared" si="2"/>
        <v>0</v>
      </c>
      <c r="S8" s="57">
        <f ca="1" t="shared" si="3"/>
        <v>0</v>
      </c>
      <c r="T8" s="3"/>
    </row>
    <row r="9" ht="12.95" customHeight="1" spans="1:20">
      <c r="A9" s="20"/>
      <c r="B9" s="21" t="s">
        <v>1590</v>
      </c>
      <c r="C9" s="27"/>
      <c r="D9" s="23" t="s">
        <v>28</v>
      </c>
      <c r="E9" s="24">
        <f>F3*2</f>
        <v>4</v>
      </c>
      <c r="F9" s="23"/>
      <c r="G9" s="25">
        <f ca="1" t="shared" si="0"/>
        <v>1143.8281792</v>
      </c>
      <c r="H9" s="26">
        <v>7.88</v>
      </c>
      <c r="I9" s="26">
        <v>5.3</v>
      </c>
      <c r="J9" s="25">
        <f ca="1">H9*I9*'40米（人字300料）参数 '!G3*1.1</f>
        <v>1040.4581792</v>
      </c>
      <c r="K9" s="29">
        <f ca="1">2.5*2</f>
        <v>5</v>
      </c>
      <c r="L9" s="29">
        <f ca="1">49.51+41.21</f>
        <v>90.72</v>
      </c>
      <c r="M9" s="29">
        <f>2.55*3</f>
        <v>7.65</v>
      </c>
      <c r="N9" s="29"/>
      <c r="O9" s="58" t="s">
        <v>1591</v>
      </c>
      <c r="P9" s="57">
        <v>4</v>
      </c>
      <c r="Q9" s="57">
        <f ca="1" t="shared" si="1"/>
        <v>4575.3127168</v>
      </c>
      <c r="R9" s="57">
        <f t="shared" si="2"/>
        <v>0</v>
      </c>
      <c r="S9" s="57">
        <f ca="1" t="shared" si="3"/>
        <v>0</v>
      </c>
      <c r="T9" s="3"/>
    </row>
    <row r="10" ht="12.95" customHeight="1" spans="1:20">
      <c r="A10" s="20"/>
      <c r="B10" s="21" t="s">
        <v>1592</v>
      </c>
      <c r="C10" s="27"/>
      <c r="D10" s="23" t="s">
        <v>28</v>
      </c>
      <c r="E10" s="24">
        <f>F3*2</f>
        <v>4</v>
      </c>
      <c r="F10" s="23"/>
      <c r="G10" s="25">
        <f ca="1" t="shared" si="0"/>
        <v>1348.4868312</v>
      </c>
      <c r="H10" s="26">
        <v>9.43</v>
      </c>
      <c r="I10" s="26">
        <v>5.3</v>
      </c>
      <c r="J10" s="25">
        <f ca="1">H10*I10*'40米（人字300料）参数 '!G3*1.1</f>
        <v>1245.1168312</v>
      </c>
      <c r="K10" s="29">
        <f ca="1">2.5*2</f>
        <v>5</v>
      </c>
      <c r="L10" s="29">
        <f ca="1">49.51+41.21</f>
        <v>90.72</v>
      </c>
      <c r="M10" s="29">
        <f>2.55*3</f>
        <v>7.65</v>
      </c>
      <c r="N10" s="29"/>
      <c r="O10" s="58" t="s">
        <v>1593</v>
      </c>
      <c r="P10" s="57">
        <v>4</v>
      </c>
      <c r="Q10" s="57">
        <f ca="1" t="shared" si="1"/>
        <v>5393.9473248</v>
      </c>
      <c r="R10" s="57">
        <f t="shared" si="2"/>
        <v>0</v>
      </c>
      <c r="S10" s="57">
        <f ca="1" t="shared" si="3"/>
        <v>0</v>
      </c>
      <c r="T10" s="3"/>
    </row>
    <row r="11" ht="12.95" customHeight="1" spans="1:20">
      <c r="A11" s="20"/>
      <c r="B11" s="21" t="s">
        <v>1627</v>
      </c>
      <c r="C11" s="27"/>
      <c r="D11" s="23" t="s">
        <v>28</v>
      </c>
      <c r="E11" s="24">
        <v>2</v>
      </c>
      <c r="F11" s="23"/>
      <c r="G11" s="25">
        <f ca="1" t="shared" si="0"/>
        <v>2351.343623104</v>
      </c>
      <c r="H11" s="26">
        <v>10.96</v>
      </c>
      <c r="I11" s="26">
        <v>8.233</v>
      </c>
      <c r="J11" s="25">
        <f ca="1">H11*I11*'40米（人字300料）参数 '!G3*1.1</f>
        <v>2247.973623104</v>
      </c>
      <c r="K11" s="29">
        <f ca="1">2.5*2</f>
        <v>5</v>
      </c>
      <c r="L11" s="29">
        <f ca="1">49.51+41.21</f>
        <v>90.72</v>
      </c>
      <c r="M11" s="29">
        <f>2.55*3</f>
        <v>7.65</v>
      </c>
      <c r="N11" s="29"/>
      <c r="O11" s="58" t="s">
        <v>1628</v>
      </c>
      <c r="P11" s="57">
        <v>2</v>
      </c>
      <c r="Q11" s="57">
        <f ca="1" t="shared" si="1"/>
        <v>4702.687246208</v>
      </c>
      <c r="R11" s="57">
        <f t="shared" si="2"/>
        <v>0</v>
      </c>
      <c r="S11" s="57">
        <f ca="1" t="shared" si="3"/>
        <v>0</v>
      </c>
      <c r="T11" s="3"/>
    </row>
    <row r="12" ht="12.95" customHeight="1" spans="1:20">
      <c r="A12" s="20"/>
      <c r="B12" s="21" t="s">
        <v>1226</v>
      </c>
      <c r="C12" s="27"/>
      <c r="D12" s="23" t="s">
        <v>28</v>
      </c>
      <c r="E12" s="24">
        <f>A3*12+F3*6</f>
        <v>36</v>
      </c>
      <c r="F12" s="23"/>
      <c r="G12" s="25">
        <f ca="1" t="shared" si="0"/>
        <v>336.5448493136</v>
      </c>
      <c r="H12" s="26">
        <v>4.882</v>
      </c>
      <c r="I12" s="26">
        <v>2.771</v>
      </c>
      <c r="J12" s="25">
        <f ca="1">H12*I12*'40米（人字300料）参数 '!G5*1.1</f>
        <v>321.5448493136</v>
      </c>
      <c r="K12" s="29"/>
      <c r="L12" s="29"/>
      <c r="M12" s="29">
        <f>0.5*4</f>
        <v>2</v>
      </c>
      <c r="N12" s="29">
        <f>6.5*2</f>
        <v>13</v>
      </c>
      <c r="O12" s="59" t="s">
        <v>1595</v>
      </c>
      <c r="P12" s="85">
        <v>24</v>
      </c>
      <c r="Q12" s="57">
        <f ca="1" t="shared" si="1"/>
        <v>8077.0763835264</v>
      </c>
      <c r="R12" s="57">
        <f t="shared" si="2"/>
        <v>12</v>
      </c>
      <c r="S12" s="57">
        <f ca="1" t="shared" si="3"/>
        <v>4038.5381917632</v>
      </c>
      <c r="T12" s="3"/>
    </row>
    <row r="13" ht="12.95" customHeight="1" spans="1:20">
      <c r="A13" s="20"/>
      <c r="B13" s="21" t="s">
        <v>1596</v>
      </c>
      <c r="C13" s="27"/>
      <c r="D13" s="23" t="s">
        <v>28</v>
      </c>
      <c r="E13" s="24">
        <f>A3*5</f>
        <v>10</v>
      </c>
      <c r="F13" s="23"/>
      <c r="G13" s="25">
        <f ca="1" t="shared" si="0"/>
        <v>737.9347773824</v>
      </c>
      <c r="H13" s="26">
        <v>4.882</v>
      </c>
      <c r="I13" s="26">
        <v>5.944</v>
      </c>
      <c r="J13" s="25">
        <f ca="1">H13*I13*'40米（人字300料）参数 '!G3*1.1</f>
        <v>722.9347773824</v>
      </c>
      <c r="K13" s="29"/>
      <c r="L13" s="29"/>
      <c r="M13" s="29">
        <f>0.5*4</f>
        <v>2</v>
      </c>
      <c r="N13" s="29">
        <f>6.5*2</f>
        <v>13</v>
      </c>
      <c r="O13" s="60" t="s">
        <v>1597</v>
      </c>
      <c r="P13" s="57">
        <v>5</v>
      </c>
      <c r="Q13" s="57">
        <f ca="1" t="shared" si="1"/>
        <v>3689.673886912</v>
      </c>
      <c r="R13" s="57">
        <f t="shared" si="2"/>
        <v>5</v>
      </c>
      <c r="S13" s="57">
        <f ca="1" t="shared" si="3"/>
        <v>3689.673886912</v>
      </c>
      <c r="T13" s="3"/>
    </row>
    <row r="14" ht="12.95" customHeight="1" spans="1:20">
      <c r="A14" s="20"/>
      <c r="B14" s="21" t="s">
        <v>1266</v>
      </c>
      <c r="C14" s="27"/>
      <c r="D14" s="23" t="s">
        <v>28</v>
      </c>
      <c r="E14" s="24">
        <f>A3*2+F3*8</f>
        <v>20</v>
      </c>
      <c r="F14" s="23"/>
      <c r="G14" s="25">
        <f ca="1">'数据修改（批量）'!A28</f>
        <v>95</v>
      </c>
      <c r="H14" s="26">
        <v>4.86</v>
      </c>
      <c r="I14" s="26">
        <v>1.345</v>
      </c>
      <c r="J14" s="25">
        <f ca="1">H14*I14*'40米（人字300料）参数 '!G5*1.1</f>
        <v>155.36951496</v>
      </c>
      <c r="K14" s="29"/>
      <c r="L14" s="29"/>
      <c r="M14" s="29"/>
      <c r="N14" s="29"/>
      <c r="O14" s="59" t="s">
        <v>1554</v>
      </c>
      <c r="P14" s="85">
        <v>18</v>
      </c>
      <c r="Q14" s="57">
        <f ca="1" t="shared" si="1"/>
        <v>1710</v>
      </c>
      <c r="R14" s="57">
        <f t="shared" si="2"/>
        <v>2</v>
      </c>
      <c r="S14" s="57">
        <f ca="1" t="shared" si="3"/>
        <v>190</v>
      </c>
      <c r="T14" s="3"/>
    </row>
    <row r="15" ht="12.95" customHeight="1" spans="1:20">
      <c r="A15" s="20"/>
      <c r="B15" s="21" t="s">
        <v>1276</v>
      </c>
      <c r="C15" s="27"/>
      <c r="D15" s="23" t="s">
        <v>28</v>
      </c>
      <c r="E15" s="28">
        <f>F3*2</f>
        <v>4</v>
      </c>
      <c r="F15" s="23"/>
      <c r="G15" s="25">
        <f ca="1">J15+K15+L15+M15+N15</f>
        <v>348.2448493136</v>
      </c>
      <c r="H15" s="26">
        <v>4.882</v>
      </c>
      <c r="I15" s="26">
        <v>2.771</v>
      </c>
      <c r="J15" s="25">
        <f ca="1">H15*I15*'40米（人字300料）参数 '!G5*1.1</f>
        <v>321.5448493136</v>
      </c>
      <c r="K15" s="29"/>
      <c r="L15" s="61">
        <v>15</v>
      </c>
      <c r="M15" s="61">
        <f>8*0.65</f>
        <v>5.2</v>
      </c>
      <c r="N15" s="61">
        <v>6.5</v>
      </c>
      <c r="O15" s="59" t="s">
        <v>1598</v>
      </c>
      <c r="P15" s="57">
        <v>4</v>
      </c>
      <c r="Q15" s="57">
        <f ca="1" t="shared" si="1"/>
        <v>1392.9793972544</v>
      </c>
      <c r="R15" s="57">
        <f t="shared" si="2"/>
        <v>0</v>
      </c>
      <c r="S15" s="57">
        <f ca="1" t="shared" si="3"/>
        <v>0</v>
      </c>
      <c r="T15" s="3"/>
    </row>
    <row r="16" ht="12.95" customHeight="1" spans="1:20">
      <c r="A16" s="20"/>
      <c r="B16" s="21" t="s">
        <v>1356</v>
      </c>
      <c r="C16" s="27"/>
      <c r="D16" s="23" t="s">
        <v>28</v>
      </c>
      <c r="E16" s="28">
        <f>F3</f>
        <v>2</v>
      </c>
      <c r="F16" s="23"/>
      <c r="G16" s="29">
        <f ca="1">J16+K16+L16+M16+N16</f>
        <v>162.06</v>
      </c>
      <c r="H16" s="26">
        <v>7.5</v>
      </c>
      <c r="I16" s="26">
        <v>1</v>
      </c>
      <c r="J16" s="29">
        <f ca="1">H16*I16*'40米（人字300料）参数 '!G5</f>
        <v>162.06</v>
      </c>
      <c r="K16" s="29"/>
      <c r="L16" s="29"/>
      <c r="M16" s="29"/>
      <c r="N16" s="29"/>
      <c r="O16" s="60" t="s">
        <v>1599</v>
      </c>
      <c r="P16" s="57">
        <v>2</v>
      </c>
      <c r="Q16" s="57">
        <f ca="1" t="shared" si="1"/>
        <v>324.12</v>
      </c>
      <c r="R16" s="57">
        <f t="shared" si="2"/>
        <v>0</v>
      </c>
      <c r="S16" s="57">
        <f ca="1" t="shared" si="3"/>
        <v>0</v>
      </c>
      <c r="T16" s="3"/>
    </row>
    <row r="17" ht="12.95" customHeight="1" spans="1:20">
      <c r="A17" s="20"/>
      <c r="B17" s="21" t="s">
        <v>1448</v>
      </c>
      <c r="C17" s="27"/>
      <c r="D17" s="23" t="s">
        <v>28</v>
      </c>
      <c r="E17" s="28">
        <f>D3*2-F3*2</f>
        <v>2</v>
      </c>
      <c r="F17" s="23"/>
      <c r="G17" s="29">
        <f>J17+K17+L17+M17+N17</f>
        <v>259</v>
      </c>
      <c r="H17" s="26"/>
      <c r="I17" s="26"/>
      <c r="J17" s="29">
        <f>128*1.5</f>
        <v>192</v>
      </c>
      <c r="K17" s="29"/>
      <c r="L17" s="29">
        <f>2.5*2</f>
        <v>5</v>
      </c>
      <c r="M17" s="29">
        <f>21*2</f>
        <v>42</v>
      </c>
      <c r="N17" s="29">
        <v>20</v>
      </c>
      <c r="O17" s="58" t="s">
        <v>1558</v>
      </c>
      <c r="P17" s="57">
        <v>0</v>
      </c>
      <c r="Q17" s="57">
        <f ca="1" t="shared" si="1"/>
        <v>0</v>
      </c>
      <c r="R17" s="57">
        <f t="shared" si="2"/>
        <v>2</v>
      </c>
      <c r="S17" s="57">
        <f ca="1" t="shared" si="3"/>
        <v>518</v>
      </c>
      <c r="T17" s="3"/>
    </row>
    <row r="18" ht="12.95" customHeight="1" spans="1:20">
      <c r="A18" s="20"/>
      <c r="B18" s="21" t="s">
        <v>1559</v>
      </c>
      <c r="C18" s="27"/>
      <c r="D18" s="23" t="s">
        <v>28</v>
      </c>
      <c r="E18" s="28">
        <f>D3-F3</f>
        <v>1</v>
      </c>
      <c r="F18" s="23"/>
      <c r="G18" s="29">
        <f>J18+K18+L18+M18+N18</f>
        <v>259</v>
      </c>
      <c r="H18" s="26"/>
      <c r="I18" s="26"/>
      <c r="J18" s="29">
        <f>128*1.5</f>
        <v>192</v>
      </c>
      <c r="K18" s="29"/>
      <c r="L18" s="29">
        <f>2.5*2</f>
        <v>5</v>
      </c>
      <c r="M18" s="29">
        <f>21*2</f>
        <v>42</v>
      </c>
      <c r="N18" s="29">
        <v>20</v>
      </c>
      <c r="O18" s="58" t="s">
        <v>1558</v>
      </c>
      <c r="P18" s="57">
        <v>0</v>
      </c>
      <c r="Q18" s="57">
        <f ca="1" t="shared" si="1"/>
        <v>0</v>
      </c>
      <c r="R18" s="57">
        <f t="shared" si="2"/>
        <v>1</v>
      </c>
      <c r="S18" s="57">
        <f ca="1" t="shared" si="3"/>
        <v>259</v>
      </c>
      <c r="T18" s="3"/>
    </row>
    <row r="19" ht="12.95" customHeight="1" spans="1:20">
      <c r="A19" s="20"/>
      <c r="B19" s="21" t="s">
        <v>1272</v>
      </c>
      <c r="C19" s="27"/>
      <c r="D19" s="23" t="s">
        <v>28</v>
      </c>
      <c r="E19" s="30">
        <v>6</v>
      </c>
      <c r="F19" s="23"/>
      <c r="G19" s="29">
        <f>J19+K19+L19+M19+N19</f>
        <v>237</v>
      </c>
      <c r="H19" s="26"/>
      <c r="I19" s="26"/>
      <c r="J19" s="29">
        <f>108*2</f>
        <v>216</v>
      </c>
      <c r="K19" s="29"/>
      <c r="L19" s="29">
        <v>6</v>
      </c>
      <c r="M19" s="29">
        <v>10</v>
      </c>
      <c r="N19" s="29">
        <v>5</v>
      </c>
      <c r="O19" s="60" t="s">
        <v>1561</v>
      </c>
      <c r="P19" s="57">
        <v>4</v>
      </c>
      <c r="Q19" s="57">
        <f ca="1" t="shared" si="1"/>
        <v>948</v>
      </c>
      <c r="R19" s="57">
        <f t="shared" si="2"/>
        <v>2</v>
      </c>
      <c r="S19" s="57">
        <f ca="1" t="shared" si="3"/>
        <v>474</v>
      </c>
      <c r="T19" s="3"/>
    </row>
    <row r="20" ht="12.95" customHeight="1" spans="1:20">
      <c r="A20" s="20" t="s">
        <v>1278</v>
      </c>
      <c r="B20" s="21" t="s">
        <v>1304</v>
      </c>
      <c r="C20" s="27"/>
      <c r="D20" s="23" t="s">
        <v>434</v>
      </c>
      <c r="E20" s="24">
        <f>D3</f>
        <v>3</v>
      </c>
      <c r="F20" s="23"/>
      <c r="G20" s="25">
        <v>608</v>
      </c>
      <c r="H20" s="26"/>
      <c r="I20" s="26"/>
      <c r="J20" s="25">
        <f ca="1">H20*I20*'40米（人字300料）参数 '!G10*1.1</f>
        <v>0</v>
      </c>
      <c r="K20" s="29"/>
      <c r="L20" s="25"/>
      <c r="M20" s="29"/>
      <c r="N20" s="29"/>
      <c r="O20" s="59" t="s">
        <v>1361</v>
      </c>
      <c r="P20" s="57">
        <v>2</v>
      </c>
      <c r="Q20" s="57">
        <f ca="1" t="shared" si="1"/>
        <v>1216</v>
      </c>
      <c r="R20" s="57">
        <f t="shared" si="2"/>
        <v>1</v>
      </c>
      <c r="S20" s="57">
        <f ca="1" t="shared" si="3"/>
        <v>608</v>
      </c>
      <c r="T20" s="3"/>
    </row>
    <row r="21" ht="12.95" customHeight="1" spans="1:20">
      <c r="A21" s="31"/>
      <c r="B21" s="21" t="s">
        <v>1310</v>
      </c>
      <c r="C21" s="27"/>
      <c r="D21" s="23" t="s">
        <v>434</v>
      </c>
      <c r="E21" s="24">
        <f>E8+E9+E10+E11</f>
        <v>14</v>
      </c>
      <c r="F21" s="23"/>
      <c r="G21" s="29">
        <v>76.4</v>
      </c>
      <c r="H21" s="26"/>
      <c r="I21" s="26"/>
      <c r="J21" s="29"/>
      <c r="K21" s="29"/>
      <c r="L21" s="29"/>
      <c r="M21" s="29"/>
      <c r="N21" s="29"/>
      <c r="O21" s="59" t="s">
        <v>1361</v>
      </c>
      <c r="P21" s="57">
        <v>14</v>
      </c>
      <c r="Q21" s="57">
        <f ca="1" t="shared" si="1"/>
        <v>1069.6</v>
      </c>
      <c r="R21" s="57">
        <f t="shared" si="2"/>
        <v>0</v>
      </c>
      <c r="S21" s="57">
        <f ca="1" t="shared" si="3"/>
        <v>0</v>
      </c>
      <c r="T21" s="3"/>
    </row>
    <row r="22" ht="12.95" customHeight="1" spans="1:20">
      <c r="A22" s="31"/>
      <c r="B22" s="21" t="s">
        <v>1280</v>
      </c>
      <c r="C22" s="27"/>
      <c r="D22" s="23" t="s">
        <v>434</v>
      </c>
      <c r="E22" s="28">
        <f>E5</f>
        <v>6</v>
      </c>
      <c r="F22" s="23"/>
      <c r="G22" s="29">
        <v>137</v>
      </c>
      <c r="H22" s="26"/>
      <c r="I22" s="26"/>
      <c r="J22" s="29"/>
      <c r="K22" s="29"/>
      <c r="L22" s="29"/>
      <c r="M22" s="29"/>
      <c r="N22" s="29"/>
      <c r="O22" s="59" t="s">
        <v>1361</v>
      </c>
      <c r="P22" s="57">
        <v>4</v>
      </c>
      <c r="Q22" s="57">
        <f ca="1" t="shared" si="1"/>
        <v>548</v>
      </c>
      <c r="R22" s="57">
        <f t="shared" si="2"/>
        <v>2</v>
      </c>
      <c r="S22" s="57">
        <f ca="1" t="shared" si="3"/>
        <v>274</v>
      </c>
      <c r="T22" s="3"/>
    </row>
    <row r="23" ht="12.95" customHeight="1" spans="1:20">
      <c r="A23" s="31"/>
      <c r="B23" s="21" t="s">
        <v>1629</v>
      </c>
      <c r="C23" s="27"/>
      <c r="D23" s="23" t="s">
        <v>28</v>
      </c>
      <c r="E23" s="32">
        <f>E19</f>
        <v>6</v>
      </c>
      <c r="F23" s="23"/>
      <c r="G23" s="29">
        <v>124</v>
      </c>
      <c r="H23" s="26"/>
      <c r="I23" s="26"/>
      <c r="J23" s="29"/>
      <c r="K23" s="29"/>
      <c r="L23" s="29"/>
      <c r="M23" s="29"/>
      <c r="N23" s="29"/>
      <c r="O23" s="60" t="s">
        <v>1630</v>
      </c>
      <c r="P23" s="57">
        <v>4</v>
      </c>
      <c r="Q23" s="57">
        <f ca="1" t="shared" si="1"/>
        <v>496</v>
      </c>
      <c r="R23" s="57">
        <f t="shared" si="2"/>
        <v>2</v>
      </c>
      <c r="S23" s="57">
        <f ca="1" t="shared" si="3"/>
        <v>248</v>
      </c>
      <c r="T23" s="3"/>
    </row>
    <row r="24" ht="12.95" customHeight="1" spans="1:20">
      <c r="A24" s="31"/>
      <c r="B24" s="21" t="s">
        <v>1600</v>
      </c>
      <c r="C24" s="27"/>
      <c r="D24" s="23" t="s">
        <v>28</v>
      </c>
      <c r="E24" s="32">
        <f>E19</f>
        <v>6</v>
      </c>
      <c r="F24" s="23"/>
      <c r="G24" s="29">
        <v>119.3</v>
      </c>
      <c r="H24" s="26"/>
      <c r="I24" s="26"/>
      <c r="J24" s="29"/>
      <c r="K24" s="29"/>
      <c r="L24" s="29"/>
      <c r="M24" s="29"/>
      <c r="N24" s="29"/>
      <c r="O24" s="60" t="s">
        <v>1601</v>
      </c>
      <c r="P24" s="57">
        <v>4</v>
      </c>
      <c r="Q24" s="57">
        <f ca="1" t="shared" si="1"/>
        <v>477.2</v>
      </c>
      <c r="R24" s="57">
        <f t="shared" si="2"/>
        <v>2</v>
      </c>
      <c r="S24" s="57">
        <f ca="1" t="shared" si="3"/>
        <v>238.6</v>
      </c>
      <c r="T24" s="3"/>
    </row>
    <row r="25" ht="12.95" customHeight="1" spans="1:20">
      <c r="A25" s="31"/>
      <c r="B25" s="21" t="s">
        <v>522</v>
      </c>
      <c r="C25" s="27"/>
      <c r="D25" s="23" t="s">
        <v>434</v>
      </c>
      <c r="E25" s="32">
        <f>E19</f>
        <v>6</v>
      </c>
      <c r="F25" s="23"/>
      <c r="G25" s="34">
        <v>9.65</v>
      </c>
      <c r="H25" s="82"/>
      <c r="I25" s="82"/>
      <c r="J25" s="83"/>
      <c r="K25" s="83"/>
      <c r="L25" s="83"/>
      <c r="M25" s="83"/>
      <c r="N25" s="83"/>
      <c r="O25" s="64" t="s">
        <v>1604</v>
      </c>
      <c r="P25" s="57">
        <v>4</v>
      </c>
      <c r="Q25" s="57">
        <f ca="1" t="shared" si="1"/>
        <v>38.6</v>
      </c>
      <c r="R25" s="57">
        <f t="shared" si="2"/>
        <v>2</v>
      </c>
      <c r="S25" s="57">
        <f ca="1" t="shared" si="3"/>
        <v>19.3</v>
      </c>
      <c r="T25" s="3"/>
    </row>
    <row r="26" ht="12.95" customHeight="1" spans="1:20">
      <c r="A26" s="31"/>
      <c r="B26" s="21" t="s">
        <v>524</v>
      </c>
      <c r="C26" s="27"/>
      <c r="D26" s="23" t="s">
        <v>434</v>
      </c>
      <c r="E26" s="32">
        <f>E19*2</f>
        <v>12</v>
      </c>
      <c r="F26" s="23"/>
      <c r="G26" s="29">
        <v>18.36</v>
      </c>
      <c r="H26" s="26"/>
      <c r="I26" s="26"/>
      <c r="J26" s="29"/>
      <c r="K26" s="29"/>
      <c r="L26" s="29"/>
      <c r="M26" s="29"/>
      <c r="N26" s="29"/>
      <c r="O26" s="60" t="s">
        <v>1605</v>
      </c>
      <c r="P26" s="57">
        <v>8</v>
      </c>
      <c r="Q26" s="57">
        <f ca="1" t="shared" si="1"/>
        <v>146.88</v>
      </c>
      <c r="R26" s="57">
        <f t="shared" si="2"/>
        <v>4</v>
      </c>
      <c r="S26" s="57">
        <f ca="1" t="shared" si="3"/>
        <v>73.44</v>
      </c>
      <c r="T26" s="3"/>
    </row>
    <row r="27" ht="12.95" customHeight="1" spans="1:20">
      <c r="A27" s="31"/>
      <c r="B27" s="21" t="s">
        <v>526</v>
      </c>
      <c r="C27" s="27"/>
      <c r="D27" s="23" t="s">
        <v>434</v>
      </c>
      <c r="E27" s="32">
        <f>E26/2</f>
        <v>6</v>
      </c>
      <c r="F27" s="23"/>
      <c r="G27" s="29">
        <v>24.84</v>
      </c>
      <c r="H27" s="26"/>
      <c r="I27" s="26"/>
      <c r="J27" s="29"/>
      <c r="K27" s="29"/>
      <c r="L27" s="29"/>
      <c r="M27" s="29"/>
      <c r="N27" s="29"/>
      <c r="O27" s="60" t="s">
        <v>1606</v>
      </c>
      <c r="P27" s="57">
        <v>4</v>
      </c>
      <c r="Q27" s="57">
        <f ca="1" t="shared" si="1"/>
        <v>99.36</v>
      </c>
      <c r="R27" s="57">
        <f t="shared" si="2"/>
        <v>2</v>
      </c>
      <c r="S27" s="57">
        <f ca="1" t="shared" si="3"/>
        <v>49.68</v>
      </c>
      <c r="T27" s="3"/>
    </row>
    <row r="28" ht="12.95" customHeight="1" spans="1:20">
      <c r="A28" s="31"/>
      <c r="B28" s="21" t="s">
        <v>1282</v>
      </c>
      <c r="C28" s="27"/>
      <c r="D28" s="23" t="s">
        <v>434</v>
      </c>
      <c r="E28" s="24">
        <f>D3*2+F3*7</f>
        <v>20</v>
      </c>
      <c r="F28" s="23"/>
      <c r="G28" s="29">
        <v>4.45</v>
      </c>
      <c r="H28" s="26"/>
      <c r="I28" s="26"/>
      <c r="J28" s="29"/>
      <c r="K28" s="29"/>
      <c r="L28" s="29"/>
      <c r="M28" s="29"/>
      <c r="N28" s="29"/>
      <c r="O28" s="59" t="s">
        <v>1453</v>
      </c>
      <c r="P28" s="57">
        <v>18</v>
      </c>
      <c r="Q28" s="57">
        <f ca="1" t="shared" si="1"/>
        <v>80.1</v>
      </c>
      <c r="R28" s="57">
        <f t="shared" si="2"/>
        <v>2</v>
      </c>
      <c r="S28" s="57">
        <f ca="1" t="shared" si="3"/>
        <v>8.9</v>
      </c>
      <c r="T28" s="3"/>
    </row>
    <row r="29" ht="12.95" customHeight="1" spans="1:20">
      <c r="A29" s="31"/>
      <c r="B29" s="21" t="s">
        <v>1284</v>
      </c>
      <c r="C29" s="27"/>
      <c r="D29" s="23" t="s">
        <v>434</v>
      </c>
      <c r="E29" s="24">
        <f>D3*2</f>
        <v>6</v>
      </c>
      <c r="F29" s="23"/>
      <c r="G29" s="29">
        <v>6.51</v>
      </c>
      <c r="H29" s="26"/>
      <c r="I29" s="26"/>
      <c r="J29" s="29"/>
      <c r="K29" s="29"/>
      <c r="L29" s="29"/>
      <c r="M29" s="29"/>
      <c r="N29" s="29"/>
      <c r="O29" s="59" t="s">
        <v>1607</v>
      </c>
      <c r="P29" s="57">
        <v>4</v>
      </c>
      <c r="Q29" s="57">
        <f ca="1" t="shared" si="1"/>
        <v>26.04</v>
      </c>
      <c r="R29" s="57">
        <f t="shared" si="2"/>
        <v>2</v>
      </c>
      <c r="S29" s="57">
        <f ca="1" t="shared" si="3"/>
        <v>13.02</v>
      </c>
      <c r="T29" s="3"/>
    </row>
    <row r="30" ht="12.95" customHeight="1" spans="1:20">
      <c r="A30" s="31"/>
      <c r="B30" s="21" t="s">
        <v>519</v>
      </c>
      <c r="C30" s="27"/>
      <c r="D30" s="23" t="s">
        <v>434</v>
      </c>
      <c r="E30" s="24">
        <f>F3*2</f>
        <v>4</v>
      </c>
      <c r="F30" s="23"/>
      <c r="G30" s="29">
        <v>6.5</v>
      </c>
      <c r="H30" s="36"/>
      <c r="I30" s="36"/>
      <c r="J30" s="65"/>
      <c r="K30" s="65"/>
      <c r="L30" s="65"/>
      <c r="M30" s="65"/>
      <c r="N30" s="65"/>
      <c r="O30" s="66" t="s">
        <v>1455</v>
      </c>
      <c r="P30" s="57">
        <v>4</v>
      </c>
      <c r="Q30" s="57">
        <f ca="1" t="shared" si="1"/>
        <v>26</v>
      </c>
      <c r="R30" s="57">
        <f t="shared" si="2"/>
        <v>0</v>
      </c>
      <c r="S30" s="57">
        <f ca="1" t="shared" si="3"/>
        <v>0</v>
      </c>
      <c r="T30" s="3"/>
    </row>
    <row r="31" ht="12.95" customHeight="1" spans="1:20">
      <c r="A31" s="31"/>
      <c r="B31" s="21" t="s">
        <v>1568</v>
      </c>
      <c r="C31" s="27"/>
      <c r="D31" s="23" t="s">
        <v>612</v>
      </c>
      <c r="E31" s="24">
        <f>A3</f>
        <v>2</v>
      </c>
      <c r="F31" s="23"/>
      <c r="G31" s="29">
        <f ca="1">J31+K31+L31+M31+N31</f>
        <v>4750.8</v>
      </c>
      <c r="H31" s="26">
        <v>44.4</v>
      </c>
      <c r="I31" s="26">
        <v>5</v>
      </c>
      <c r="J31" s="29">
        <f ca="1">H31*I31*'40米（人字300料）参数 '!D16*1.1</f>
        <v>4395.6</v>
      </c>
      <c r="K31" s="29">
        <f>44.4*2*4</f>
        <v>355.2</v>
      </c>
      <c r="L31" s="29"/>
      <c r="M31" s="29"/>
      <c r="N31" s="29"/>
      <c r="O31" s="67" t="s">
        <v>1631</v>
      </c>
      <c r="P31" s="68">
        <v>1</v>
      </c>
      <c r="Q31" s="57">
        <f ca="1" t="shared" si="1"/>
        <v>4750.8</v>
      </c>
      <c r="R31" s="57">
        <f t="shared" si="2"/>
        <v>1</v>
      </c>
      <c r="S31" s="57">
        <f ca="1" t="shared" si="3"/>
        <v>4750.8</v>
      </c>
      <c r="T31" s="3"/>
    </row>
    <row r="32" ht="12.95" customHeight="1" spans="1:20">
      <c r="A32" s="31"/>
      <c r="B32" s="21" t="s">
        <v>1570</v>
      </c>
      <c r="C32" s="27"/>
      <c r="D32" s="23" t="s">
        <v>664</v>
      </c>
      <c r="E32" s="24">
        <f>F3</f>
        <v>2</v>
      </c>
      <c r="F32" s="23"/>
      <c r="G32" s="29">
        <f ca="1">J32+K32+L32+M32+N32</f>
        <v>3163.10592</v>
      </c>
      <c r="H32" s="37">
        <v>20.3</v>
      </c>
      <c r="I32" s="37">
        <v>7.68</v>
      </c>
      <c r="J32" s="69">
        <f ca="1">H32*I32*'40米（人字300料）参数 '!D15*1.1</f>
        <v>2881.10592</v>
      </c>
      <c r="K32" s="69">
        <f>70.5*4</f>
        <v>282</v>
      </c>
      <c r="L32" s="69"/>
      <c r="M32" s="69"/>
      <c r="N32" s="69"/>
      <c r="O32" s="70" t="s">
        <v>1632</v>
      </c>
      <c r="P32" s="57">
        <v>2</v>
      </c>
      <c r="Q32" s="57">
        <f ca="1" t="shared" si="1"/>
        <v>6326.21184</v>
      </c>
      <c r="R32" s="57">
        <f t="shared" si="2"/>
        <v>0</v>
      </c>
      <c r="S32" s="57">
        <f ca="1" t="shared" si="3"/>
        <v>0</v>
      </c>
      <c r="T32" s="3"/>
    </row>
    <row r="33" ht="12.95" customHeight="1" spans="1:20">
      <c r="A33" s="31"/>
      <c r="B33" s="21" t="s">
        <v>1572</v>
      </c>
      <c r="C33" s="27"/>
      <c r="D33" s="23" t="s">
        <v>664</v>
      </c>
      <c r="E33" s="24">
        <f>F3*8+A3*2</f>
        <v>20</v>
      </c>
      <c r="F33" s="23"/>
      <c r="G33" s="29">
        <f ca="1">J33+K33+L33+M33+N33</f>
        <v>452.7072</v>
      </c>
      <c r="H33" s="26">
        <v>5.2</v>
      </c>
      <c r="I33" s="26">
        <v>5.2</v>
      </c>
      <c r="J33" s="29">
        <f ca="1">H33*I33*'40米（人字300料）参数 '!D14*1.1</f>
        <v>410.4672</v>
      </c>
      <c r="K33" s="71">
        <f>6.1*2</f>
        <v>12.2</v>
      </c>
      <c r="L33" s="71">
        <f>0.5*10</f>
        <v>5</v>
      </c>
      <c r="M33" s="71">
        <f>0.32*22</f>
        <v>7.04</v>
      </c>
      <c r="N33" s="71">
        <f>18*1</f>
        <v>18</v>
      </c>
      <c r="O33" s="60" t="s">
        <v>1573</v>
      </c>
      <c r="P33" s="85">
        <v>18</v>
      </c>
      <c r="Q33" s="57">
        <f ca="1" t="shared" si="1"/>
        <v>8148.7296</v>
      </c>
      <c r="R33" s="57">
        <f t="shared" si="2"/>
        <v>2</v>
      </c>
      <c r="S33" s="57">
        <f ca="1" t="shared" si="3"/>
        <v>905.4144</v>
      </c>
      <c r="T33" s="3"/>
    </row>
    <row r="34" ht="12.95" customHeight="1" spans="1:20">
      <c r="A34" s="31"/>
      <c r="B34" s="38" t="s">
        <v>1274</v>
      </c>
      <c r="C34" s="27"/>
      <c r="D34" s="23" t="s">
        <v>28</v>
      </c>
      <c r="E34" s="24">
        <f>E33</f>
        <v>20</v>
      </c>
      <c r="F34" s="23"/>
      <c r="G34" s="39">
        <v>21</v>
      </c>
      <c r="H34" s="40"/>
      <c r="I34" s="40"/>
      <c r="J34" s="41"/>
      <c r="K34" s="41"/>
      <c r="L34" s="41"/>
      <c r="M34" s="41"/>
      <c r="N34" s="41"/>
      <c r="O34" s="66" t="s">
        <v>1608</v>
      </c>
      <c r="P34" s="57">
        <v>18</v>
      </c>
      <c r="Q34" s="57">
        <f ca="1" t="shared" si="1"/>
        <v>378</v>
      </c>
      <c r="R34" s="57">
        <f t="shared" si="2"/>
        <v>2</v>
      </c>
      <c r="S34" s="57">
        <f ca="1" t="shared" si="3"/>
        <v>42</v>
      </c>
      <c r="T34" s="3"/>
    </row>
    <row r="35" ht="12.95" customHeight="1" spans="1:20">
      <c r="A35" s="31"/>
      <c r="B35" s="38" t="s">
        <v>551</v>
      </c>
      <c r="C35" s="27"/>
      <c r="D35" s="23" t="s">
        <v>434</v>
      </c>
      <c r="E35" s="24">
        <f>F3*7</f>
        <v>14</v>
      </c>
      <c r="F35" s="23"/>
      <c r="G35" s="41">
        <v>15.5</v>
      </c>
      <c r="H35" s="40"/>
      <c r="I35" s="40"/>
      <c r="J35" s="41"/>
      <c r="K35" s="41"/>
      <c r="L35" s="41"/>
      <c r="M35" s="41"/>
      <c r="N35" s="41"/>
      <c r="O35" s="66" t="s">
        <v>1456</v>
      </c>
      <c r="P35" s="57">
        <v>14</v>
      </c>
      <c r="Q35" s="57">
        <f ca="1" t="shared" si="1"/>
        <v>217</v>
      </c>
      <c r="R35" s="57">
        <f t="shared" si="2"/>
        <v>0</v>
      </c>
      <c r="S35" s="57">
        <f ca="1" t="shared" si="3"/>
        <v>0</v>
      </c>
      <c r="T35" s="3"/>
    </row>
    <row r="36" ht="12.95" customHeight="1" spans="1:20">
      <c r="A36" s="31"/>
      <c r="B36" s="42" t="s">
        <v>1609</v>
      </c>
      <c r="C36" s="27"/>
      <c r="D36" s="43" t="s">
        <v>555</v>
      </c>
      <c r="E36" s="44">
        <f>E5+E8+E9+E10+E23+E24+E19</f>
        <v>36</v>
      </c>
      <c r="F36" s="23"/>
      <c r="G36" s="45">
        <v>1.46</v>
      </c>
      <c r="H36" s="46"/>
      <c r="I36" s="46"/>
      <c r="J36" s="45"/>
      <c r="K36" s="45"/>
      <c r="L36" s="45"/>
      <c r="M36" s="45"/>
      <c r="N36" s="45"/>
      <c r="O36" s="59" t="s">
        <v>1610</v>
      </c>
      <c r="P36" s="57">
        <v>34</v>
      </c>
      <c r="Q36" s="57">
        <f ca="1" t="shared" si="1"/>
        <v>49.64</v>
      </c>
      <c r="R36" s="57">
        <f t="shared" si="2"/>
        <v>2</v>
      </c>
      <c r="S36" s="57">
        <f ca="1" t="shared" si="3"/>
        <v>2.92</v>
      </c>
      <c r="T36" s="3"/>
    </row>
    <row r="37" ht="12.95" customHeight="1" spans="1:20">
      <c r="A37" s="31"/>
      <c r="B37" s="42" t="s">
        <v>1575</v>
      </c>
      <c r="C37" s="27"/>
      <c r="D37" s="43" t="s">
        <v>555</v>
      </c>
      <c r="E37" s="44">
        <f>E25+E26*2+E27*2</f>
        <v>42</v>
      </c>
      <c r="F37" s="23"/>
      <c r="G37" s="45">
        <v>1.2</v>
      </c>
      <c r="H37" s="46"/>
      <c r="I37" s="46"/>
      <c r="J37" s="45"/>
      <c r="K37" s="45"/>
      <c r="L37" s="45"/>
      <c r="M37" s="45"/>
      <c r="N37" s="45"/>
      <c r="O37" s="59"/>
      <c r="P37" s="57">
        <v>42</v>
      </c>
      <c r="Q37" s="57">
        <f ca="1" t="shared" si="1"/>
        <v>50.4</v>
      </c>
      <c r="R37" s="57">
        <f t="shared" si="2"/>
        <v>0</v>
      </c>
      <c r="S37" s="57">
        <f ca="1" t="shared" si="3"/>
        <v>0</v>
      </c>
      <c r="T37" s="3"/>
    </row>
    <row r="38" ht="12.95" customHeight="1" spans="1:19">
      <c r="A38" s="20" t="s">
        <v>1217</v>
      </c>
      <c r="B38" s="21" t="s">
        <v>1574</v>
      </c>
      <c r="C38" s="24"/>
      <c r="D38" s="23" t="s">
        <v>434</v>
      </c>
      <c r="E38" s="24">
        <f>D3*6</f>
        <v>18</v>
      </c>
      <c r="F38" s="23"/>
      <c r="G38" s="47">
        <v>1.95</v>
      </c>
      <c r="H38" s="48"/>
      <c r="I38" s="48"/>
      <c r="J38" s="47"/>
      <c r="K38" s="47"/>
      <c r="L38" s="47"/>
      <c r="M38" s="47"/>
      <c r="N38" s="47"/>
      <c r="O38" s="59" t="s">
        <v>1375</v>
      </c>
      <c r="P38" s="57">
        <v>12</v>
      </c>
      <c r="Q38" s="57">
        <f ca="1" t="shared" si="1"/>
        <v>23.4</v>
      </c>
      <c r="R38" s="57">
        <f t="shared" si="2"/>
        <v>6</v>
      </c>
      <c r="S38" s="57">
        <f ca="1" t="shared" si="3"/>
        <v>11.7</v>
      </c>
    </row>
    <row r="39" ht="12.95" customHeight="1" spans="1:19">
      <c r="A39" s="20"/>
      <c r="B39" s="21" t="s">
        <v>1581</v>
      </c>
      <c r="C39" s="24"/>
      <c r="D39" s="23" t="s">
        <v>434</v>
      </c>
      <c r="E39" s="24">
        <f>D3*22+E25+E26+E27+F3*7</f>
        <v>104</v>
      </c>
      <c r="F39" s="23"/>
      <c r="G39" s="47">
        <v>2.15</v>
      </c>
      <c r="H39" s="48"/>
      <c r="I39" s="48"/>
      <c r="J39" s="47"/>
      <c r="K39" s="47"/>
      <c r="L39" s="47"/>
      <c r="M39" s="47"/>
      <c r="N39" s="47"/>
      <c r="O39" s="59" t="s">
        <v>1372</v>
      </c>
      <c r="P39" s="57">
        <v>82</v>
      </c>
      <c r="Q39" s="57">
        <f ca="1" t="shared" si="1"/>
        <v>176.3</v>
      </c>
      <c r="R39" s="57">
        <f t="shared" si="2"/>
        <v>22</v>
      </c>
      <c r="S39" s="57">
        <f ca="1" t="shared" si="3"/>
        <v>47.3</v>
      </c>
    </row>
    <row r="40" ht="12.95" customHeight="1" spans="1:19">
      <c r="A40" s="20"/>
      <c r="B40" s="21" t="s">
        <v>1582</v>
      </c>
      <c r="C40" s="24"/>
      <c r="D40" s="23" t="s">
        <v>434</v>
      </c>
      <c r="E40" s="28">
        <f>E19+E25+E26+E27</f>
        <v>30</v>
      </c>
      <c r="F40" s="23"/>
      <c r="G40" s="47">
        <v>2.55</v>
      </c>
      <c r="H40" s="48"/>
      <c r="I40" s="48"/>
      <c r="J40" s="47"/>
      <c r="K40" s="47"/>
      <c r="L40" s="47"/>
      <c r="M40" s="47"/>
      <c r="N40" s="47"/>
      <c r="O40" s="59" t="s">
        <v>1373</v>
      </c>
      <c r="P40" s="57">
        <v>30</v>
      </c>
      <c r="Q40" s="57">
        <f ca="1" t="shared" si="1"/>
        <v>76.5</v>
      </c>
      <c r="R40" s="57">
        <f t="shared" si="2"/>
        <v>0</v>
      </c>
      <c r="S40" s="57">
        <f ca="1" t="shared" si="3"/>
        <v>0</v>
      </c>
    </row>
    <row r="41" spans="5:20">
      <c r="E41" s="3"/>
      <c r="F41" s="3"/>
      <c r="G41" s="3"/>
      <c r="H41" s="3"/>
      <c r="I41" s="3"/>
      <c r="J41" s="3"/>
      <c r="K41" s="3"/>
      <c r="L41" s="3"/>
      <c r="M41" s="3"/>
      <c r="N41" s="3"/>
      <c r="P41" s="1" t="s">
        <v>1218</v>
      </c>
      <c r="Q41" s="3">
        <f ca="1">SUM(Q5:Q40)</f>
        <v>104545.805584685</v>
      </c>
      <c r="R41" s="3" t="s">
        <v>1219</v>
      </c>
      <c r="S41" s="3">
        <f ca="1">SUM(S5:S40)</f>
        <v>39239.5710188672</v>
      </c>
      <c r="T41" s="3"/>
    </row>
    <row r="42" spans="5:20">
      <c r="E42" s="3"/>
      <c r="F42" s="3"/>
      <c r="G42" s="3"/>
      <c r="H42" s="3"/>
      <c r="I42" s="3"/>
      <c r="J42" s="3"/>
      <c r="K42" s="3"/>
      <c r="L42" s="3"/>
      <c r="M42" s="3"/>
      <c r="N42" s="3"/>
      <c r="Q42" s="3"/>
      <c r="S42" s="3"/>
      <c r="T42" s="3"/>
    </row>
    <row r="43" spans="5:20">
      <c r="E43" s="3"/>
      <c r="F43" s="3"/>
      <c r="G43" s="3"/>
      <c r="H43" s="3"/>
      <c r="I43" s="3"/>
      <c r="J43" s="3"/>
      <c r="K43" s="3"/>
      <c r="L43" s="3"/>
      <c r="M43" s="3"/>
      <c r="N43" s="3"/>
      <c r="P43" s="50" t="s">
        <v>1576</v>
      </c>
      <c r="Q43" s="3">
        <f ca="1">Q41+S41</f>
        <v>143785.376603552</v>
      </c>
      <c r="R43" s="3"/>
      <c r="S43" s="3"/>
      <c r="T43" s="3"/>
    </row>
    <row r="44" spans="2:20">
      <c r="B44" s="49" t="s">
        <v>1221</v>
      </c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52" t="s">
        <v>1577</v>
      </c>
      <c r="Q44" s="3">
        <f ca="1">Q43/E2</f>
        <v>359.46344150888</v>
      </c>
      <c r="R44" s="3"/>
      <c r="S44" s="3"/>
      <c r="T44" s="3"/>
    </row>
    <row r="45" spans="2:20">
      <c r="B45" s="50"/>
      <c r="C45" s="51"/>
      <c r="D45" s="51"/>
      <c r="E45" s="51"/>
      <c r="F45" s="50"/>
      <c r="G45" s="3"/>
      <c r="H45" s="3"/>
      <c r="I45" s="3"/>
      <c r="J45" s="3"/>
      <c r="K45" s="3"/>
      <c r="L45" s="3"/>
      <c r="M45" s="3"/>
      <c r="N45" s="3"/>
      <c r="Q45" s="3"/>
      <c r="R45" s="3"/>
      <c r="S45" s="3"/>
      <c r="T45" s="3"/>
    </row>
    <row r="46" spans="2:20">
      <c r="B46" s="52"/>
      <c r="C46" s="52"/>
      <c r="D46" s="52"/>
      <c r="E46" s="52"/>
      <c r="F46" s="52"/>
      <c r="G46" s="3"/>
      <c r="H46" s="3"/>
      <c r="I46" s="3"/>
      <c r="J46" s="3"/>
      <c r="K46" s="3"/>
      <c r="L46" s="3"/>
      <c r="M46" s="3"/>
      <c r="N46" s="3"/>
      <c r="R46" s="3"/>
      <c r="S46" s="3"/>
      <c r="T46" s="3"/>
    </row>
    <row r="47" spans="2:20">
      <c r="B47" s="53"/>
      <c r="C47" s="53"/>
      <c r="D47" s="53"/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R47" s="3"/>
      <c r="S47" s="3"/>
      <c r="T47" s="3"/>
    </row>
    <row r="48" spans="2:20">
      <c r="B48" s="54"/>
      <c r="C48" s="54"/>
      <c r="D48" s="54"/>
      <c r="E48" s="54"/>
      <c r="F48" s="54"/>
      <c r="Q48" s="3"/>
      <c r="R48" s="3"/>
      <c r="S48" s="3"/>
      <c r="T48" s="3"/>
    </row>
    <row r="49" spans="2:20">
      <c r="B49" s="54"/>
      <c r="C49" s="54"/>
      <c r="D49" s="54"/>
      <c r="E49" s="54"/>
      <c r="F49" s="54"/>
      <c r="Q49" s="3"/>
      <c r="R49" s="3"/>
      <c r="S49" s="3"/>
      <c r="T49" s="3"/>
    </row>
    <row r="50" spans="2:20">
      <c r="B50" s="54"/>
      <c r="C50" s="54"/>
      <c r="D50" s="54"/>
      <c r="E50" s="54"/>
      <c r="F50" s="54"/>
      <c r="Q50" s="3"/>
      <c r="R50" s="3"/>
      <c r="S50" s="3"/>
      <c r="T50" s="3"/>
    </row>
    <row r="51" spans="2:20">
      <c r="B51" s="54"/>
      <c r="C51" s="54"/>
      <c r="D51" s="54"/>
      <c r="E51" s="54"/>
      <c r="F51" s="54"/>
      <c r="Q51" s="3"/>
      <c r="R51" s="3"/>
      <c r="S51" s="3"/>
      <c r="T51" s="3"/>
    </row>
    <row r="52" spans="2:20">
      <c r="B52" s="54"/>
      <c r="C52" s="54"/>
      <c r="D52" s="54"/>
      <c r="E52" s="54"/>
      <c r="F52" s="54"/>
      <c r="Q52" s="3"/>
      <c r="R52" s="3"/>
      <c r="S52" s="3"/>
      <c r="T52" s="3"/>
    </row>
  </sheetData>
  <mergeCells count="10">
    <mergeCell ref="A1:N1"/>
    <mergeCell ref="A2:C2"/>
    <mergeCell ref="G2:N2"/>
    <mergeCell ref="A3:B3"/>
    <mergeCell ref="H3:N3"/>
    <mergeCell ref="B44:O44"/>
    <mergeCell ref="B47:O47"/>
    <mergeCell ref="A5:A19"/>
    <mergeCell ref="A20:A37"/>
    <mergeCell ref="A38:A40"/>
  </mergeCells>
  <pageMargins left="0.75" right="0.75" top="1" bottom="1" header="0.509027777777778" footer="0.509027777777778"/>
  <headerFooter/>
</worksheet>
</file>

<file path=xl/worksheets/sheet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FF0000"/>
  </sheetPr>
  <dimension ref="A1:X52"/>
  <sheetViews>
    <sheetView showGridLines="0" workbookViewId="0">
      <selection activeCell="G14" sqref="G14"/>
    </sheetView>
  </sheetViews>
  <sheetFormatPr defaultColWidth="9" defaultRowHeight="14.25"/>
  <cols>
    <col min="1" max="1" width="3.75" style="1" customWidth="1"/>
    <col min="2" max="2" width="16.375" style="1" customWidth="1"/>
    <col min="3" max="4" width="9" style="1" customWidth="1"/>
    <col min="5" max="6" width="9" style="3" customWidth="1"/>
    <col min="7" max="8" width="10.375" style="1" customWidth="1"/>
    <col min="9" max="9" width="10.25" style="1" customWidth="1"/>
    <col min="10" max="10" width="13.125" style="1" customWidth="1"/>
    <col min="11" max="11" width="14.25" style="1" customWidth="1"/>
    <col min="12" max="12" width="11.125" style="1" customWidth="1"/>
    <col min="13" max="13" width="16.875" style="1" customWidth="1"/>
    <col min="14" max="14" width="13.625" style="1" customWidth="1"/>
    <col min="15" max="15" width="73.875" style="1" customWidth="1"/>
    <col min="16" max="16" width="14.375" style="1" customWidth="1"/>
    <col min="17" max="17" width="15.75" style="3" customWidth="1"/>
    <col min="18" max="18" width="13" style="3" customWidth="1"/>
    <col min="19" max="19" width="15.75" style="3" customWidth="1"/>
    <col min="20" max="24" width="9" style="3"/>
    <col min="25" max="16384" width="9" style="1"/>
  </cols>
  <sheetData>
    <row r="1" ht="21" customHeight="1" spans="1:24">
      <c r="A1" s="7" t="s">
        <v>1633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3"/>
      <c r="P1" s="3"/>
      <c r="S1" s="1"/>
      <c r="T1" s="1"/>
      <c r="U1" s="1"/>
      <c r="V1" s="1"/>
      <c r="W1" s="1"/>
      <c r="X1" s="1"/>
    </row>
    <row r="2" ht="15" customHeight="1" spans="1:24">
      <c r="A2" s="8" t="s">
        <v>1246</v>
      </c>
      <c r="B2" s="8"/>
      <c r="C2" s="8"/>
      <c r="D2" s="9" t="s">
        <v>1198</v>
      </c>
      <c r="E2" s="10">
        <f>A3*5*40</f>
        <v>400</v>
      </c>
      <c r="F2" s="11"/>
      <c r="G2" s="11"/>
      <c r="H2" s="11"/>
      <c r="I2" s="11"/>
      <c r="J2" s="11"/>
      <c r="K2" s="11"/>
      <c r="L2" s="11"/>
      <c r="M2" s="11"/>
      <c r="N2" s="11"/>
      <c r="O2" s="55"/>
      <c r="P2" s="3"/>
      <c r="Q2" s="1"/>
      <c r="R2" s="1"/>
      <c r="S2" s="1"/>
      <c r="T2" s="1"/>
      <c r="U2" s="1"/>
      <c r="V2" s="1"/>
      <c r="W2" s="1"/>
      <c r="X2" s="1"/>
    </row>
    <row r="3" ht="15" customHeight="1" spans="1:24">
      <c r="A3" s="12">
        <v>2</v>
      </c>
      <c r="B3" s="12"/>
      <c r="C3" s="9" t="s">
        <v>1247</v>
      </c>
      <c r="D3" s="13">
        <v>3</v>
      </c>
      <c r="E3" s="11" t="s">
        <v>1248</v>
      </c>
      <c r="F3" s="14">
        <v>2</v>
      </c>
      <c r="G3" s="11" t="s">
        <v>1249</v>
      </c>
      <c r="H3" s="11"/>
      <c r="I3" s="11"/>
      <c r="J3" s="11"/>
      <c r="K3" s="11"/>
      <c r="L3" s="11"/>
      <c r="M3" s="11"/>
      <c r="N3" s="11"/>
      <c r="O3" s="55"/>
      <c r="P3" s="3"/>
      <c r="Q3" s="1"/>
      <c r="R3" s="1"/>
      <c r="S3" s="1"/>
      <c r="T3" s="1"/>
      <c r="U3" s="1"/>
      <c r="V3" s="1"/>
      <c r="W3" s="1"/>
      <c r="X3" s="1"/>
    </row>
    <row r="4" ht="25.5" spans="1:19">
      <c r="A4" s="73" t="s">
        <v>1200</v>
      </c>
      <c r="B4" s="74" t="s">
        <v>1201</v>
      </c>
      <c r="C4" s="75" t="s">
        <v>1396</v>
      </c>
      <c r="D4" s="76" t="s">
        <v>22</v>
      </c>
      <c r="E4" s="76" t="s">
        <v>1203</v>
      </c>
      <c r="F4" s="18" t="s">
        <v>1202</v>
      </c>
      <c r="G4" s="17" t="s">
        <v>1204</v>
      </c>
      <c r="H4" s="19" t="s">
        <v>1205</v>
      </c>
      <c r="I4" s="17" t="s">
        <v>1253</v>
      </c>
      <c r="J4" s="17" t="s">
        <v>1254</v>
      </c>
      <c r="K4" s="17" t="s">
        <v>1255</v>
      </c>
      <c r="L4" s="17" t="s">
        <v>1209</v>
      </c>
      <c r="M4" s="17" t="s">
        <v>1420</v>
      </c>
      <c r="N4" s="17" t="s">
        <v>1211</v>
      </c>
      <c r="O4" s="56" t="s">
        <v>1257</v>
      </c>
      <c r="P4" s="57" t="s">
        <v>1430</v>
      </c>
      <c r="Q4" s="57" t="s">
        <v>1213</v>
      </c>
      <c r="R4" s="57" t="s">
        <v>1541</v>
      </c>
      <c r="S4" s="57" t="s">
        <v>1213</v>
      </c>
    </row>
    <row r="5" ht="15.95" customHeight="1" spans="1:19">
      <c r="A5" s="20" t="s">
        <v>1215</v>
      </c>
      <c r="B5" s="21" t="s">
        <v>1224</v>
      </c>
      <c r="C5" s="22"/>
      <c r="D5" s="23" t="s">
        <v>28</v>
      </c>
      <c r="E5" s="24">
        <f>D3*2</f>
        <v>6</v>
      </c>
      <c r="F5" s="23"/>
      <c r="G5" s="25">
        <f ca="1" t="shared" ref="G5:G13" si="0">J5+K5+L5+M5+N5</f>
        <v>2610.35876444</v>
      </c>
      <c r="H5" s="26">
        <f>11.7/2</f>
        <v>5.85</v>
      </c>
      <c r="I5" s="26">
        <v>13.649</v>
      </c>
      <c r="J5" s="25">
        <f ca="1">H5*I5*'40米（人字300料）参数 '!G9*1.1</f>
        <v>2316.63876444</v>
      </c>
      <c r="K5" s="29">
        <f ca="1">101.64*2</f>
        <v>203.28</v>
      </c>
      <c r="L5" s="29">
        <v>67.29</v>
      </c>
      <c r="M5" s="29">
        <f>2.55*5</f>
        <v>12.75</v>
      </c>
      <c r="N5" s="29">
        <f>0.65*16</f>
        <v>10.4</v>
      </c>
      <c r="O5" s="58" t="s">
        <v>1634</v>
      </c>
      <c r="P5" s="57">
        <v>4</v>
      </c>
      <c r="Q5" s="57">
        <f ca="1" t="shared" ref="Q5:Q40" si="1">G5*P5</f>
        <v>10441.43505776</v>
      </c>
      <c r="R5" s="57">
        <f t="shared" ref="R5:R40" si="2">E5-P5</f>
        <v>2</v>
      </c>
      <c r="S5" s="57">
        <f ca="1" t="shared" ref="S5:S40" si="3">G5*R5</f>
        <v>5220.71752888</v>
      </c>
    </row>
    <row r="6" ht="15.95" customHeight="1" spans="1:19">
      <c r="A6" s="20"/>
      <c r="B6" s="21" t="s">
        <v>1543</v>
      </c>
      <c r="C6" s="27"/>
      <c r="D6" s="23" t="s">
        <v>28</v>
      </c>
      <c r="E6" s="24">
        <f>D3*2</f>
        <v>6</v>
      </c>
      <c r="F6" s="23"/>
      <c r="G6" s="25">
        <f ca="1" t="shared" si="0"/>
        <v>4281.473192368</v>
      </c>
      <c r="H6" s="26">
        <v>10.62</v>
      </c>
      <c r="I6" s="26">
        <v>13.649</v>
      </c>
      <c r="J6" s="25">
        <f ca="1">H6*I6*'40米（人字300料）参数 '!G9*1.1</f>
        <v>4205.590372368</v>
      </c>
      <c r="K6" s="29">
        <f ca="1">8*2.5</f>
        <v>20</v>
      </c>
      <c r="L6" s="29">
        <v>20.06</v>
      </c>
      <c r="M6" s="29">
        <f>1.5*8</f>
        <v>12</v>
      </c>
      <c r="N6" s="29">
        <f ca="1">1.25*0.882*'40米（人字300料）参数 '!G5</f>
        <v>23.82282</v>
      </c>
      <c r="O6" s="58" t="s">
        <v>1619</v>
      </c>
      <c r="P6" s="57">
        <v>4</v>
      </c>
      <c r="Q6" s="57">
        <f ca="1" t="shared" si="1"/>
        <v>17125.892769472</v>
      </c>
      <c r="R6" s="57">
        <f t="shared" si="2"/>
        <v>2</v>
      </c>
      <c r="S6" s="57">
        <f ca="1" t="shared" si="3"/>
        <v>8562.946384736</v>
      </c>
    </row>
    <row r="7" ht="15.95" customHeight="1" spans="1:19">
      <c r="A7" s="20"/>
      <c r="B7" s="21" t="s">
        <v>1625</v>
      </c>
      <c r="C7" s="27"/>
      <c r="D7" s="23" t="s">
        <v>28</v>
      </c>
      <c r="E7" s="24">
        <f>D3*2</f>
        <v>6</v>
      </c>
      <c r="F7" s="23"/>
      <c r="G7" s="25">
        <f ca="1" t="shared" si="0"/>
        <v>4805.236608368</v>
      </c>
      <c r="H7" s="26">
        <v>10.62</v>
      </c>
      <c r="I7" s="26">
        <v>13.649</v>
      </c>
      <c r="J7" s="25">
        <f ca="1">H7*I7*'40米（人字300料）参数 '!G9*1.1</f>
        <v>4205.590372368</v>
      </c>
      <c r="K7" s="29">
        <f ca="1">8*2.5</f>
        <v>20</v>
      </c>
      <c r="L7" s="29">
        <f ca="1">1.5*14.003*'40米（人字300料）参数 '!G10</f>
        <v>538.723416</v>
      </c>
      <c r="M7" s="29">
        <f>2.55*2+1.5*8</f>
        <v>17.1</v>
      </c>
      <c r="N7" s="29">
        <f ca="1">1.25*0.882*'40米（人字300料）参数 '!G5</f>
        <v>23.82282</v>
      </c>
      <c r="O7" s="58" t="s">
        <v>1626</v>
      </c>
      <c r="P7" s="57">
        <v>4</v>
      </c>
      <c r="Q7" s="57">
        <f ca="1" t="shared" si="1"/>
        <v>19220.946433472</v>
      </c>
      <c r="R7" s="57">
        <f t="shared" si="2"/>
        <v>2</v>
      </c>
      <c r="S7" s="57">
        <f ca="1" t="shared" si="3"/>
        <v>9610.473216736</v>
      </c>
    </row>
    <row r="8" ht="15.95" customHeight="1" spans="1:19">
      <c r="A8" s="20"/>
      <c r="B8" s="21" t="s">
        <v>1588</v>
      </c>
      <c r="C8" s="27"/>
      <c r="D8" s="23" t="s">
        <v>28</v>
      </c>
      <c r="E8" s="24">
        <f>F3*2</f>
        <v>4</v>
      </c>
      <c r="F8" s="23"/>
      <c r="G8" s="25">
        <f ca="1" t="shared" si="0"/>
        <v>1071.2073672</v>
      </c>
      <c r="H8" s="26">
        <v>7.33</v>
      </c>
      <c r="I8" s="26">
        <v>5.3</v>
      </c>
      <c r="J8" s="25">
        <f ca="1">H8*I8*'40米（人字300料）参数 '!G3*1.1</f>
        <v>967.8373672</v>
      </c>
      <c r="K8" s="29">
        <f ca="1">2.5*2</f>
        <v>5</v>
      </c>
      <c r="L8" s="29">
        <f ca="1">49.51+41.21</f>
        <v>90.72</v>
      </c>
      <c r="M8" s="29">
        <f>2.55*3</f>
        <v>7.65</v>
      </c>
      <c r="N8" s="29"/>
      <c r="O8" s="58" t="s">
        <v>1613</v>
      </c>
      <c r="P8" s="57">
        <v>4</v>
      </c>
      <c r="Q8" s="57">
        <f ca="1" t="shared" si="1"/>
        <v>4284.8294688</v>
      </c>
      <c r="R8" s="57">
        <f t="shared" si="2"/>
        <v>0</v>
      </c>
      <c r="S8" s="57">
        <f ca="1" t="shared" si="3"/>
        <v>0</v>
      </c>
    </row>
    <row r="9" ht="15.95" customHeight="1" spans="1:19">
      <c r="A9" s="20"/>
      <c r="B9" s="21" t="s">
        <v>1590</v>
      </c>
      <c r="C9" s="27"/>
      <c r="D9" s="23" t="s">
        <v>28</v>
      </c>
      <c r="E9" s="24">
        <f>F3*2</f>
        <v>4</v>
      </c>
      <c r="F9" s="23"/>
      <c r="G9" s="25">
        <f ca="1" t="shared" si="0"/>
        <v>1275.8660192</v>
      </c>
      <c r="H9" s="26">
        <v>8.88</v>
      </c>
      <c r="I9" s="26">
        <v>5.3</v>
      </c>
      <c r="J9" s="25">
        <f ca="1">H9*I9*'40米（人字300料）参数 '!G3*1.1</f>
        <v>1172.4960192</v>
      </c>
      <c r="K9" s="29">
        <f ca="1">2.5*2</f>
        <v>5</v>
      </c>
      <c r="L9" s="29">
        <f ca="1">49.51+41.21</f>
        <v>90.72</v>
      </c>
      <c r="M9" s="29">
        <f>2.55*3</f>
        <v>7.65</v>
      </c>
      <c r="N9" s="29"/>
      <c r="O9" s="58" t="s">
        <v>1614</v>
      </c>
      <c r="P9" s="57">
        <v>4</v>
      </c>
      <c r="Q9" s="57">
        <f ca="1" t="shared" si="1"/>
        <v>5103.4640768</v>
      </c>
      <c r="R9" s="57">
        <f t="shared" si="2"/>
        <v>0</v>
      </c>
      <c r="S9" s="57">
        <f ca="1" t="shared" si="3"/>
        <v>0</v>
      </c>
    </row>
    <row r="10" ht="15.95" customHeight="1" spans="1:19">
      <c r="A10" s="20"/>
      <c r="B10" s="21" t="s">
        <v>1592</v>
      </c>
      <c r="C10" s="27"/>
      <c r="D10" s="23" t="s">
        <v>28</v>
      </c>
      <c r="E10" s="24">
        <f>F3*2</f>
        <v>4</v>
      </c>
      <c r="F10" s="23"/>
      <c r="G10" s="25">
        <f ca="1" t="shared" si="0"/>
        <v>1480.5246712</v>
      </c>
      <c r="H10" s="26">
        <v>10.43</v>
      </c>
      <c r="I10" s="26">
        <v>5.3</v>
      </c>
      <c r="J10" s="25">
        <f ca="1">H10*I10*'40米（人字300料）参数 '!G3*1.1</f>
        <v>1377.1546712</v>
      </c>
      <c r="K10" s="29">
        <f ca="1">2.5*2</f>
        <v>5</v>
      </c>
      <c r="L10" s="29">
        <f ca="1">49.51+41.21</f>
        <v>90.72</v>
      </c>
      <c r="M10" s="29">
        <f>2.55*3</f>
        <v>7.65</v>
      </c>
      <c r="N10" s="29"/>
      <c r="O10" s="58" t="s">
        <v>1615</v>
      </c>
      <c r="P10" s="57">
        <v>4</v>
      </c>
      <c r="Q10" s="57">
        <f ca="1" t="shared" si="1"/>
        <v>5922.0986848</v>
      </c>
      <c r="R10" s="57">
        <f t="shared" si="2"/>
        <v>0</v>
      </c>
      <c r="S10" s="57">
        <f ca="1" t="shared" si="3"/>
        <v>0</v>
      </c>
    </row>
    <row r="11" ht="15.95" customHeight="1" spans="1:19">
      <c r="A11" s="20"/>
      <c r="B11" s="21" t="s">
        <v>1627</v>
      </c>
      <c r="C11" s="27"/>
      <c r="D11" s="23" t="s">
        <v>28</v>
      </c>
      <c r="E11" s="24">
        <v>2</v>
      </c>
      <c r="F11" s="23"/>
      <c r="G11" s="25">
        <f ca="1" t="shared" si="0"/>
        <v>2556.450705504</v>
      </c>
      <c r="H11" s="26">
        <v>11.96</v>
      </c>
      <c r="I11" s="26">
        <v>8.233</v>
      </c>
      <c r="J11" s="25">
        <f ca="1">H11*I11*'40米（人字300料）参数 '!G3*1.1</f>
        <v>2453.080705504</v>
      </c>
      <c r="K11" s="29">
        <f ca="1">2.5*2</f>
        <v>5</v>
      </c>
      <c r="L11" s="29">
        <f ca="1">49.51+41.21</f>
        <v>90.72</v>
      </c>
      <c r="M11" s="29">
        <f>2.55*3</f>
        <v>7.65</v>
      </c>
      <c r="N11" s="29"/>
      <c r="O11" s="58" t="s">
        <v>1635</v>
      </c>
      <c r="P11" s="57">
        <v>2</v>
      </c>
      <c r="Q11" s="57">
        <f ca="1" t="shared" si="1"/>
        <v>5112.901411008</v>
      </c>
      <c r="R11" s="57">
        <f t="shared" si="2"/>
        <v>0</v>
      </c>
      <c r="S11" s="57">
        <f ca="1" t="shared" si="3"/>
        <v>0</v>
      </c>
    </row>
    <row r="12" ht="15.95" customHeight="1" spans="1:19">
      <c r="A12" s="20"/>
      <c r="B12" s="21" t="s">
        <v>1226</v>
      </c>
      <c r="C12" s="27"/>
      <c r="D12" s="23" t="s">
        <v>28</v>
      </c>
      <c r="E12" s="24">
        <f>A3*12+F3*6</f>
        <v>36</v>
      </c>
      <c r="F12" s="23"/>
      <c r="G12" s="25">
        <f ca="1" t="shared" si="0"/>
        <v>336.5448493136</v>
      </c>
      <c r="H12" s="26">
        <v>4.882</v>
      </c>
      <c r="I12" s="26">
        <v>2.771</v>
      </c>
      <c r="J12" s="25">
        <f ca="1">H12*I12*'40米（人字300料）参数 '!G5*1.1</f>
        <v>321.5448493136</v>
      </c>
      <c r="K12" s="29"/>
      <c r="L12" s="29"/>
      <c r="M12" s="29">
        <f>0.5*4</f>
        <v>2</v>
      </c>
      <c r="N12" s="29">
        <f>6.5*2</f>
        <v>13</v>
      </c>
      <c r="O12" s="59" t="s">
        <v>1595</v>
      </c>
      <c r="P12" s="57">
        <v>24</v>
      </c>
      <c r="Q12" s="57">
        <f ca="1" t="shared" si="1"/>
        <v>8077.0763835264</v>
      </c>
      <c r="R12" s="57">
        <f t="shared" si="2"/>
        <v>12</v>
      </c>
      <c r="S12" s="57">
        <f ca="1" t="shared" si="3"/>
        <v>4038.5381917632</v>
      </c>
    </row>
    <row r="13" ht="15.95" customHeight="1" spans="1:19">
      <c r="A13" s="20"/>
      <c r="B13" s="21" t="s">
        <v>1596</v>
      </c>
      <c r="C13" s="27"/>
      <c r="D13" s="23" t="s">
        <v>28</v>
      </c>
      <c r="E13" s="24">
        <f>A3*5</f>
        <v>10</v>
      </c>
      <c r="F13" s="23"/>
      <c r="G13" s="25">
        <f ca="1" t="shared" si="0"/>
        <v>737.9347773824</v>
      </c>
      <c r="H13" s="26">
        <v>4.882</v>
      </c>
      <c r="I13" s="26">
        <v>5.944</v>
      </c>
      <c r="J13" s="25">
        <f ca="1">H13*I13*'40米（人字300料）参数 '!G3*1.1</f>
        <v>722.9347773824</v>
      </c>
      <c r="K13" s="29"/>
      <c r="L13" s="29"/>
      <c r="M13" s="29">
        <f>0.5*4</f>
        <v>2</v>
      </c>
      <c r="N13" s="29">
        <f>6.5*2</f>
        <v>13</v>
      </c>
      <c r="O13" s="60" t="s">
        <v>1597</v>
      </c>
      <c r="P13" s="57">
        <v>5</v>
      </c>
      <c r="Q13" s="57">
        <f ca="1" t="shared" si="1"/>
        <v>3689.673886912</v>
      </c>
      <c r="R13" s="57">
        <f t="shared" si="2"/>
        <v>5</v>
      </c>
      <c r="S13" s="57">
        <f ca="1" t="shared" si="3"/>
        <v>3689.673886912</v>
      </c>
    </row>
    <row r="14" ht="15.95" customHeight="1" spans="1:19">
      <c r="A14" s="20"/>
      <c r="B14" s="21" t="s">
        <v>1266</v>
      </c>
      <c r="C14" s="27"/>
      <c r="D14" s="23" t="s">
        <v>28</v>
      </c>
      <c r="E14" s="24">
        <f>A3*2+F3*8</f>
        <v>20</v>
      </c>
      <c r="F14" s="23"/>
      <c r="G14" s="25">
        <f ca="1">'数据修改（批量）'!A28</f>
        <v>95</v>
      </c>
      <c r="H14" s="26">
        <v>4.86</v>
      </c>
      <c r="I14" s="26">
        <v>1.345</v>
      </c>
      <c r="J14" s="25">
        <f ca="1">H14*I14*'40米（人字300料）参数 '!G5*1.1</f>
        <v>155.36951496</v>
      </c>
      <c r="K14" s="29"/>
      <c r="L14" s="29"/>
      <c r="M14" s="29"/>
      <c r="N14" s="29"/>
      <c r="O14" s="59" t="s">
        <v>1554</v>
      </c>
      <c r="P14" s="57">
        <v>18</v>
      </c>
      <c r="Q14" s="57">
        <f ca="1" t="shared" si="1"/>
        <v>1710</v>
      </c>
      <c r="R14" s="57">
        <f t="shared" si="2"/>
        <v>2</v>
      </c>
      <c r="S14" s="57">
        <f ca="1" t="shared" si="3"/>
        <v>190</v>
      </c>
    </row>
    <row r="15" ht="15.95" customHeight="1" spans="1:19">
      <c r="A15" s="20"/>
      <c r="B15" s="21" t="s">
        <v>1276</v>
      </c>
      <c r="C15" s="27"/>
      <c r="D15" s="23" t="s">
        <v>28</v>
      </c>
      <c r="E15" s="28">
        <f>F3*2</f>
        <v>4</v>
      </c>
      <c r="F15" s="23"/>
      <c r="G15" s="25">
        <f ca="1">J15+K15+L15+M15+N15</f>
        <v>348.2448493136</v>
      </c>
      <c r="H15" s="26">
        <v>4.882</v>
      </c>
      <c r="I15" s="26">
        <v>2.771</v>
      </c>
      <c r="J15" s="25">
        <f ca="1">H15*I15*'40米（人字300料）参数 '!G5*1.1</f>
        <v>321.5448493136</v>
      </c>
      <c r="K15" s="29"/>
      <c r="L15" s="61">
        <v>15</v>
      </c>
      <c r="M15" s="61">
        <f>8*0.65</f>
        <v>5.2</v>
      </c>
      <c r="N15" s="61">
        <v>6.5</v>
      </c>
      <c r="O15" s="59" t="s">
        <v>1598</v>
      </c>
      <c r="P15" s="57">
        <v>4</v>
      </c>
      <c r="Q15" s="57">
        <f ca="1" t="shared" si="1"/>
        <v>1392.9793972544</v>
      </c>
      <c r="R15" s="57">
        <f t="shared" si="2"/>
        <v>0</v>
      </c>
      <c r="S15" s="57">
        <f ca="1" t="shared" si="3"/>
        <v>0</v>
      </c>
    </row>
    <row r="16" ht="15.95" customHeight="1" spans="1:19">
      <c r="A16" s="20"/>
      <c r="B16" s="21" t="s">
        <v>1356</v>
      </c>
      <c r="C16" s="27"/>
      <c r="D16" s="23" t="s">
        <v>28</v>
      </c>
      <c r="E16" s="28">
        <f>F3</f>
        <v>2</v>
      </c>
      <c r="F16" s="23"/>
      <c r="G16" s="25">
        <f ca="1">J16+K16+L16+M16+N16</f>
        <v>162.06</v>
      </c>
      <c r="H16" s="26">
        <v>7.5</v>
      </c>
      <c r="I16" s="26">
        <v>1</v>
      </c>
      <c r="J16" s="29">
        <f ca="1">H16*I16*'40米（人字300料）参数 '!G5</f>
        <v>162.06</v>
      </c>
      <c r="K16" s="29"/>
      <c r="L16" s="29"/>
      <c r="M16" s="29"/>
      <c r="N16" s="29"/>
      <c r="O16" s="60" t="s">
        <v>1599</v>
      </c>
      <c r="P16" s="57">
        <v>2</v>
      </c>
      <c r="Q16" s="57">
        <f ca="1" t="shared" si="1"/>
        <v>324.12</v>
      </c>
      <c r="R16" s="57">
        <f t="shared" si="2"/>
        <v>0</v>
      </c>
      <c r="S16" s="57">
        <f ca="1" t="shared" si="3"/>
        <v>0</v>
      </c>
    </row>
    <row r="17" ht="15.95" customHeight="1" spans="1:19">
      <c r="A17" s="20"/>
      <c r="B17" s="21" t="s">
        <v>1448</v>
      </c>
      <c r="C17" s="27"/>
      <c r="D17" s="23" t="s">
        <v>28</v>
      </c>
      <c r="E17" s="28">
        <f>D3*2-F3*2</f>
        <v>2</v>
      </c>
      <c r="F17" s="23"/>
      <c r="G17" s="29">
        <f>J17+K17+L17+M17+N17</f>
        <v>259</v>
      </c>
      <c r="H17" s="26"/>
      <c r="I17" s="26"/>
      <c r="J17" s="29">
        <f>128*1.5</f>
        <v>192</v>
      </c>
      <c r="K17" s="29"/>
      <c r="L17" s="29">
        <f>2.5*2</f>
        <v>5</v>
      </c>
      <c r="M17" s="29">
        <f>21*2</f>
        <v>42</v>
      </c>
      <c r="N17" s="29">
        <v>20</v>
      </c>
      <c r="O17" s="58" t="s">
        <v>1558</v>
      </c>
      <c r="P17" s="57">
        <v>0</v>
      </c>
      <c r="Q17" s="57">
        <f ca="1" t="shared" si="1"/>
        <v>0</v>
      </c>
      <c r="R17" s="57">
        <f t="shared" si="2"/>
        <v>2</v>
      </c>
      <c r="S17" s="57">
        <f ca="1" t="shared" si="3"/>
        <v>518</v>
      </c>
    </row>
    <row r="18" ht="15.95" customHeight="1" spans="1:19">
      <c r="A18" s="20"/>
      <c r="B18" s="21" t="s">
        <v>1559</v>
      </c>
      <c r="C18" s="27"/>
      <c r="D18" s="23" t="s">
        <v>28</v>
      </c>
      <c r="E18" s="28">
        <f>D3-F3</f>
        <v>1</v>
      </c>
      <c r="F18" s="23"/>
      <c r="G18" s="29">
        <f>J18+K18+L18+M18+N18</f>
        <v>259</v>
      </c>
      <c r="H18" s="26"/>
      <c r="I18" s="26"/>
      <c r="J18" s="29">
        <f>128*1.5</f>
        <v>192</v>
      </c>
      <c r="K18" s="29"/>
      <c r="L18" s="29">
        <f>2.5*2</f>
        <v>5</v>
      </c>
      <c r="M18" s="29">
        <f>21*2</f>
        <v>42</v>
      </c>
      <c r="N18" s="29">
        <v>20</v>
      </c>
      <c r="O18" s="58" t="s">
        <v>1558</v>
      </c>
      <c r="P18" s="57">
        <v>0</v>
      </c>
      <c r="Q18" s="57">
        <f ca="1" t="shared" si="1"/>
        <v>0</v>
      </c>
      <c r="R18" s="57">
        <f t="shared" si="2"/>
        <v>1</v>
      </c>
      <c r="S18" s="57">
        <f ca="1" t="shared" si="3"/>
        <v>259</v>
      </c>
    </row>
    <row r="19" ht="15.95" customHeight="1" spans="1:19">
      <c r="A19" s="20"/>
      <c r="B19" s="21" t="s">
        <v>1272</v>
      </c>
      <c r="C19" s="27"/>
      <c r="D19" s="23" t="s">
        <v>28</v>
      </c>
      <c r="E19" s="30">
        <v>6</v>
      </c>
      <c r="F19" s="23"/>
      <c r="G19" s="29">
        <f>J19+K19+L19+M19+N19</f>
        <v>237</v>
      </c>
      <c r="H19" s="26"/>
      <c r="I19" s="26"/>
      <c r="J19" s="29">
        <f>108*2</f>
        <v>216</v>
      </c>
      <c r="K19" s="29"/>
      <c r="L19" s="29">
        <v>6</v>
      </c>
      <c r="M19" s="29">
        <v>10</v>
      </c>
      <c r="N19" s="29">
        <v>5</v>
      </c>
      <c r="O19" s="60" t="s">
        <v>1561</v>
      </c>
      <c r="P19" s="57">
        <v>4</v>
      </c>
      <c r="Q19" s="57">
        <f ca="1" t="shared" si="1"/>
        <v>948</v>
      </c>
      <c r="R19" s="57">
        <f t="shared" si="2"/>
        <v>2</v>
      </c>
      <c r="S19" s="57">
        <f ca="1" t="shared" si="3"/>
        <v>474</v>
      </c>
    </row>
    <row r="20" ht="15.95" customHeight="1" spans="1:19">
      <c r="A20" s="20" t="s">
        <v>1562</v>
      </c>
      <c r="B20" s="21" t="s">
        <v>1304</v>
      </c>
      <c r="C20" s="27"/>
      <c r="D20" s="23" t="s">
        <v>434</v>
      </c>
      <c r="E20" s="24">
        <f>D3</f>
        <v>3</v>
      </c>
      <c r="F20" s="23"/>
      <c r="G20" s="25">
        <v>608</v>
      </c>
      <c r="H20" s="26"/>
      <c r="I20" s="26"/>
      <c r="J20" s="29">
        <f ca="1">H20*I20*'40米（人字300料）参数 '!G10*1.1</f>
        <v>0</v>
      </c>
      <c r="K20" s="29"/>
      <c r="L20" s="25"/>
      <c r="M20" s="29"/>
      <c r="N20" s="29"/>
      <c r="O20" s="59" t="s">
        <v>1361</v>
      </c>
      <c r="P20" s="57">
        <v>2</v>
      </c>
      <c r="Q20" s="57">
        <f ca="1" t="shared" si="1"/>
        <v>1216</v>
      </c>
      <c r="R20" s="57">
        <f t="shared" si="2"/>
        <v>1</v>
      </c>
      <c r="S20" s="57">
        <f ca="1" t="shared" si="3"/>
        <v>608</v>
      </c>
    </row>
    <row r="21" ht="15.95" customHeight="1" spans="1:19">
      <c r="A21" s="31"/>
      <c r="B21" s="21" t="s">
        <v>1310</v>
      </c>
      <c r="C21" s="27"/>
      <c r="D21" s="23" t="s">
        <v>434</v>
      </c>
      <c r="E21" s="24">
        <f>E8+E9+E10+E11</f>
        <v>14</v>
      </c>
      <c r="F21" s="23"/>
      <c r="G21" s="29">
        <v>76.4</v>
      </c>
      <c r="H21" s="26"/>
      <c r="I21" s="26"/>
      <c r="J21" s="29"/>
      <c r="K21" s="29"/>
      <c r="L21" s="29"/>
      <c r="M21" s="29"/>
      <c r="N21" s="29"/>
      <c r="O21" s="59" t="s">
        <v>1361</v>
      </c>
      <c r="P21" s="57">
        <v>14</v>
      </c>
      <c r="Q21" s="57">
        <f ca="1" t="shared" si="1"/>
        <v>1069.6</v>
      </c>
      <c r="R21" s="57">
        <f t="shared" si="2"/>
        <v>0</v>
      </c>
      <c r="S21" s="57">
        <f ca="1" t="shared" si="3"/>
        <v>0</v>
      </c>
    </row>
    <row r="22" ht="15.95" customHeight="1" spans="1:19">
      <c r="A22" s="31"/>
      <c r="B22" s="21" t="s">
        <v>1280</v>
      </c>
      <c r="C22" s="27"/>
      <c r="D22" s="23" t="s">
        <v>434</v>
      </c>
      <c r="E22" s="28">
        <f>E5</f>
        <v>6</v>
      </c>
      <c r="F22" s="23"/>
      <c r="G22" s="29">
        <v>137</v>
      </c>
      <c r="H22" s="26"/>
      <c r="I22" s="26"/>
      <c r="J22" s="29"/>
      <c r="K22" s="29"/>
      <c r="L22" s="29"/>
      <c r="M22" s="29"/>
      <c r="N22" s="29"/>
      <c r="O22" s="59" t="s">
        <v>1361</v>
      </c>
      <c r="P22" s="57">
        <v>4</v>
      </c>
      <c r="Q22" s="57">
        <f ca="1" t="shared" si="1"/>
        <v>548</v>
      </c>
      <c r="R22" s="57">
        <f t="shared" si="2"/>
        <v>2</v>
      </c>
      <c r="S22" s="57">
        <f ca="1" t="shared" si="3"/>
        <v>274</v>
      </c>
    </row>
    <row r="23" ht="15.95" customHeight="1" spans="1:19">
      <c r="A23" s="31"/>
      <c r="B23" s="21" t="s">
        <v>1629</v>
      </c>
      <c r="C23" s="27"/>
      <c r="D23" s="23" t="s">
        <v>28</v>
      </c>
      <c r="E23" s="32">
        <f>E19</f>
        <v>6</v>
      </c>
      <c r="F23" s="23"/>
      <c r="G23" s="29">
        <v>124</v>
      </c>
      <c r="H23" s="26"/>
      <c r="I23" s="26"/>
      <c r="J23" s="29"/>
      <c r="K23" s="29"/>
      <c r="L23" s="29"/>
      <c r="M23" s="29"/>
      <c r="N23" s="29"/>
      <c r="O23" s="60" t="s">
        <v>1630</v>
      </c>
      <c r="P23" s="57">
        <v>4</v>
      </c>
      <c r="Q23" s="57">
        <f ca="1" t="shared" si="1"/>
        <v>496</v>
      </c>
      <c r="R23" s="57">
        <f t="shared" si="2"/>
        <v>2</v>
      </c>
      <c r="S23" s="57">
        <f ca="1" t="shared" si="3"/>
        <v>248</v>
      </c>
    </row>
    <row r="24" ht="15.95" customHeight="1" spans="1:19">
      <c r="A24" s="31"/>
      <c r="B24" s="21" t="s">
        <v>1600</v>
      </c>
      <c r="C24" s="27"/>
      <c r="D24" s="23" t="s">
        <v>28</v>
      </c>
      <c r="E24" s="32">
        <f>E19</f>
        <v>6</v>
      </c>
      <c r="F24" s="23"/>
      <c r="G24" s="29">
        <v>119.3</v>
      </c>
      <c r="H24" s="26"/>
      <c r="I24" s="26"/>
      <c r="J24" s="29"/>
      <c r="K24" s="29"/>
      <c r="L24" s="29"/>
      <c r="M24" s="29"/>
      <c r="N24" s="29"/>
      <c r="O24" s="60" t="s">
        <v>1601</v>
      </c>
      <c r="P24" s="57">
        <v>4</v>
      </c>
      <c r="Q24" s="57">
        <f ca="1" t="shared" si="1"/>
        <v>477.2</v>
      </c>
      <c r="R24" s="57">
        <f t="shared" si="2"/>
        <v>2</v>
      </c>
      <c r="S24" s="57">
        <f ca="1" t="shared" si="3"/>
        <v>238.6</v>
      </c>
    </row>
    <row r="25" ht="15.95" customHeight="1" spans="1:19">
      <c r="A25" s="31"/>
      <c r="B25" s="21" t="s">
        <v>522</v>
      </c>
      <c r="C25" s="27"/>
      <c r="D25" s="23" t="s">
        <v>434</v>
      </c>
      <c r="E25" s="32">
        <f>E19</f>
        <v>6</v>
      </c>
      <c r="F25" s="23"/>
      <c r="G25" s="34">
        <v>9.65</v>
      </c>
      <c r="H25" s="82"/>
      <c r="I25" s="82"/>
      <c r="J25" s="83"/>
      <c r="K25" s="83"/>
      <c r="L25" s="83"/>
      <c r="M25" s="83"/>
      <c r="N25" s="83"/>
      <c r="O25" s="64" t="s">
        <v>1604</v>
      </c>
      <c r="P25" s="57">
        <v>4</v>
      </c>
      <c r="Q25" s="57">
        <f ca="1" t="shared" si="1"/>
        <v>38.6</v>
      </c>
      <c r="R25" s="57">
        <f t="shared" si="2"/>
        <v>2</v>
      </c>
      <c r="S25" s="57">
        <f ca="1" t="shared" si="3"/>
        <v>19.3</v>
      </c>
    </row>
    <row r="26" ht="15.95" customHeight="1" spans="1:19">
      <c r="A26" s="31"/>
      <c r="B26" s="21" t="s">
        <v>524</v>
      </c>
      <c r="C26" s="27"/>
      <c r="D26" s="23" t="s">
        <v>434</v>
      </c>
      <c r="E26" s="32">
        <f>E19*2</f>
        <v>12</v>
      </c>
      <c r="F26" s="23"/>
      <c r="G26" s="29">
        <v>18.36</v>
      </c>
      <c r="H26" s="26"/>
      <c r="I26" s="26"/>
      <c r="J26" s="29"/>
      <c r="K26" s="29"/>
      <c r="L26" s="29"/>
      <c r="M26" s="29"/>
      <c r="N26" s="29"/>
      <c r="O26" s="60" t="s">
        <v>1605</v>
      </c>
      <c r="P26" s="57">
        <v>8</v>
      </c>
      <c r="Q26" s="57">
        <f ca="1" t="shared" si="1"/>
        <v>146.88</v>
      </c>
      <c r="R26" s="57">
        <f t="shared" si="2"/>
        <v>4</v>
      </c>
      <c r="S26" s="57">
        <f ca="1" t="shared" si="3"/>
        <v>73.44</v>
      </c>
    </row>
    <row r="27" ht="15.95" customHeight="1" spans="1:19">
      <c r="A27" s="31"/>
      <c r="B27" s="21" t="s">
        <v>526</v>
      </c>
      <c r="C27" s="27"/>
      <c r="D27" s="23" t="s">
        <v>434</v>
      </c>
      <c r="E27" s="32">
        <f>E26/2</f>
        <v>6</v>
      </c>
      <c r="F27" s="23"/>
      <c r="G27" s="29">
        <v>24.84</v>
      </c>
      <c r="H27" s="26"/>
      <c r="I27" s="26"/>
      <c r="J27" s="29"/>
      <c r="K27" s="29"/>
      <c r="L27" s="29"/>
      <c r="M27" s="29"/>
      <c r="N27" s="29"/>
      <c r="O27" s="60" t="s">
        <v>1606</v>
      </c>
      <c r="P27" s="57">
        <v>4</v>
      </c>
      <c r="Q27" s="57">
        <f ca="1" t="shared" si="1"/>
        <v>99.36</v>
      </c>
      <c r="R27" s="57">
        <f t="shared" si="2"/>
        <v>2</v>
      </c>
      <c r="S27" s="57">
        <f ca="1" t="shared" si="3"/>
        <v>49.68</v>
      </c>
    </row>
    <row r="28" ht="15.95" customHeight="1" spans="1:19">
      <c r="A28" s="31"/>
      <c r="B28" s="21" t="s">
        <v>1282</v>
      </c>
      <c r="C28" s="27"/>
      <c r="D28" s="23" t="s">
        <v>434</v>
      </c>
      <c r="E28" s="24">
        <f>D3*2+F3*7</f>
        <v>20</v>
      </c>
      <c r="F28" s="23"/>
      <c r="G28" s="29">
        <v>4.45</v>
      </c>
      <c r="H28" s="26"/>
      <c r="I28" s="26"/>
      <c r="J28" s="29"/>
      <c r="K28" s="29"/>
      <c r="L28" s="29"/>
      <c r="M28" s="29"/>
      <c r="N28" s="29"/>
      <c r="O28" s="59" t="s">
        <v>1453</v>
      </c>
      <c r="P28" s="57">
        <v>18</v>
      </c>
      <c r="Q28" s="57">
        <f ca="1" t="shared" si="1"/>
        <v>80.1</v>
      </c>
      <c r="R28" s="57">
        <f t="shared" si="2"/>
        <v>2</v>
      </c>
      <c r="S28" s="57">
        <f ca="1" t="shared" si="3"/>
        <v>8.9</v>
      </c>
    </row>
    <row r="29" ht="15.95" customHeight="1" spans="1:19">
      <c r="A29" s="31"/>
      <c r="B29" s="21" t="s">
        <v>1284</v>
      </c>
      <c r="C29" s="27"/>
      <c r="D29" s="23" t="s">
        <v>434</v>
      </c>
      <c r="E29" s="24">
        <f>D3*2</f>
        <v>6</v>
      </c>
      <c r="F29" s="23"/>
      <c r="G29" s="29">
        <v>6.51</v>
      </c>
      <c r="H29" s="26"/>
      <c r="I29" s="26"/>
      <c r="J29" s="29"/>
      <c r="K29" s="29"/>
      <c r="L29" s="29"/>
      <c r="M29" s="29"/>
      <c r="N29" s="29"/>
      <c r="O29" s="59" t="s">
        <v>1607</v>
      </c>
      <c r="P29" s="57">
        <v>4</v>
      </c>
      <c r="Q29" s="57">
        <f ca="1" t="shared" si="1"/>
        <v>26.04</v>
      </c>
      <c r="R29" s="57">
        <f t="shared" si="2"/>
        <v>2</v>
      </c>
      <c r="S29" s="57">
        <f ca="1" t="shared" si="3"/>
        <v>13.02</v>
      </c>
    </row>
    <row r="30" ht="15.95" customHeight="1" spans="1:19">
      <c r="A30" s="31"/>
      <c r="B30" s="21" t="s">
        <v>519</v>
      </c>
      <c r="C30" s="27"/>
      <c r="D30" s="23" t="s">
        <v>434</v>
      </c>
      <c r="E30" s="24">
        <f>F3*2</f>
        <v>4</v>
      </c>
      <c r="F30" s="23"/>
      <c r="G30" s="29">
        <v>6.5</v>
      </c>
      <c r="H30" s="36"/>
      <c r="I30" s="36"/>
      <c r="J30" s="65"/>
      <c r="K30" s="65"/>
      <c r="L30" s="65"/>
      <c r="M30" s="65"/>
      <c r="N30" s="65"/>
      <c r="O30" s="66" t="s">
        <v>1455</v>
      </c>
      <c r="P30" s="57">
        <v>4</v>
      </c>
      <c r="Q30" s="57">
        <f ca="1" t="shared" si="1"/>
        <v>26</v>
      </c>
      <c r="R30" s="57">
        <f t="shared" si="2"/>
        <v>0</v>
      </c>
      <c r="S30" s="57">
        <f ca="1" t="shared" si="3"/>
        <v>0</v>
      </c>
    </row>
    <row r="31" ht="15.95" customHeight="1" spans="1:19">
      <c r="A31" s="31"/>
      <c r="B31" s="21" t="s">
        <v>1568</v>
      </c>
      <c r="C31" s="27"/>
      <c r="D31" s="23" t="s">
        <v>612</v>
      </c>
      <c r="E31" s="24">
        <f>A3</f>
        <v>2</v>
      </c>
      <c r="F31" s="23"/>
      <c r="G31" s="29">
        <f ca="1">J31+K31+L31+M31+N31</f>
        <v>4750.8</v>
      </c>
      <c r="H31" s="26">
        <v>44.4</v>
      </c>
      <c r="I31" s="26">
        <v>5</v>
      </c>
      <c r="J31" s="29">
        <f ca="1">H31*I31*'40米（人字300料）参数 '!D16*1.1</f>
        <v>4395.6</v>
      </c>
      <c r="K31" s="29">
        <f>44.4*2*4</f>
        <v>355.2</v>
      </c>
      <c r="L31" s="29"/>
      <c r="M31" s="29"/>
      <c r="N31" s="29"/>
      <c r="O31" s="67" t="s">
        <v>1631</v>
      </c>
      <c r="P31" s="68">
        <v>1</v>
      </c>
      <c r="Q31" s="57">
        <f ca="1" t="shared" si="1"/>
        <v>4750.8</v>
      </c>
      <c r="R31" s="57">
        <f t="shared" si="2"/>
        <v>1</v>
      </c>
      <c r="S31" s="57">
        <f ca="1" t="shared" si="3"/>
        <v>4750.8</v>
      </c>
    </row>
    <row r="32" ht="15.95" customHeight="1" spans="1:19">
      <c r="A32" s="31"/>
      <c r="B32" s="21" t="s">
        <v>1570</v>
      </c>
      <c r="C32" s="27"/>
      <c r="D32" s="23" t="s">
        <v>664</v>
      </c>
      <c r="E32" s="24">
        <f>F3</f>
        <v>2</v>
      </c>
      <c r="F32" s="23"/>
      <c r="G32" s="29">
        <f ca="1">J32+K32+L32+M32+N32</f>
        <v>3107.02592</v>
      </c>
      <c r="H32" s="37">
        <v>20.3</v>
      </c>
      <c r="I32" s="37">
        <v>7.68</v>
      </c>
      <c r="J32" s="69">
        <f ca="1">H32*I32*'40米（人字300料）参数 '!D15*1.1</f>
        <v>2881.10592</v>
      </c>
      <c r="K32" s="69">
        <f>56.48*4</f>
        <v>225.92</v>
      </c>
      <c r="L32" s="69"/>
      <c r="M32" s="69"/>
      <c r="N32" s="69"/>
      <c r="O32" s="70" t="s">
        <v>1632</v>
      </c>
      <c r="P32" s="57">
        <v>2</v>
      </c>
      <c r="Q32" s="57">
        <f ca="1" t="shared" si="1"/>
        <v>6214.05184</v>
      </c>
      <c r="R32" s="57">
        <f t="shared" si="2"/>
        <v>0</v>
      </c>
      <c r="S32" s="57">
        <f ca="1" t="shared" si="3"/>
        <v>0</v>
      </c>
    </row>
    <row r="33" ht="15.95" customHeight="1" spans="1:19">
      <c r="A33" s="31"/>
      <c r="B33" s="21" t="s">
        <v>1572</v>
      </c>
      <c r="C33" s="27"/>
      <c r="D33" s="23" t="s">
        <v>664</v>
      </c>
      <c r="E33" s="24">
        <f>F3*8+A3*2</f>
        <v>20</v>
      </c>
      <c r="F33" s="23"/>
      <c r="G33" s="29">
        <f ca="1">J33+K33+L33+M33+N33</f>
        <v>531.6432</v>
      </c>
      <c r="H33" s="26">
        <v>6.2</v>
      </c>
      <c r="I33" s="26">
        <v>5.2</v>
      </c>
      <c r="J33" s="29">
        <f ca="1">H33*I33*'40米（人字300料）参数 '!D14*1.1</f>
        <v>489.4032</v>
      </c>
      <c r="K33" s="71">
        <f>6.1*2</f>
        <v>12.2</v>
      </c>
      <c r="L33" s="71">
        <f>0.5*10</f>
        <v>5</v>
      </c>
      <c r="M33" s="71">
        <f>0.32*22</f>
        <v>7.04</v>
      </c>
      <c r="N33" s="71">
        <f>18*1</f>
        <v>18</v>
      </c>
      <c r="O33" s="60" t="s">
        <v>1580</v>
      </c>
      <c r="P33" s="57">
        <v>18</v>
      </c>
      <c r="Q33" s="57">
        <f ca="1" t="shared" si="1"/>
        <v>9569.5776</v>
      </c>
      <c r="R33" s="57">
        <f t="shared" si="2"/>
        <v>2</v>
      </c>
      <c r="S33" s="57">
        <f ca="1" t="shared" si="3"/>
        <v>1063.2864</v>
      </c>
    </row>
    <row r="34" ht="15.95" customHeight="1" spans="1:19">
      <c r="A34" s="31"/>
      <c r="B34" s="38" t="s">
        <v>1274</v>
      </c>
      <c r="C34" s="27"/>
      <c r="D34" s="23" t="s">
        <v>28</v>
      </c>
      <c r="E34" s="24">
        <f>E33</f>
        <v>20</v>
      </c>
      <c r="F34" s="23"/>
      <c r="G34" s="39">
        <v>21</v>
      </c>
      <c r="H34" s="40"/>
      <c r="I34" s="40"/>
      <c r="J34" s="41"/>
      <c r="K34" s="41"/>
      <c r="L34" s="41"/>
      <c r="M34" s="41"/>
      <c r="N34" s="41"/>
      <c r="O34" s="66" t="s">
        <v>1608</v>
      </c>
      <c r="P34" s="57">
        <v>18</v>
      </c>
      <c r="Q34" s="57">
        <f ca="1" t="shared" si="1"/>
        <v>378</v>
      </c>
      <c r="R34" s="57">
        <f t="shared" si="2"/>
        <v>2</v>
      </c>
      <c r="S34" s="57">
        <f ca="1" t="shared" si="3"/>
        <v>42</v>
      </c>
    </row>
    <row r="35" ht="15.95" customHeight="1" spans="1:19">
      <c r="A35" s="31"/>
      <c r="B35" s="38" t="s">
        <v>551</v>
      </c>
      <c r="C35" s="27"/>
      <c r="D35" s="23" t="s">
        <v>434</v>
      </c>
      <c r="E35" s="24">
        <f>F3*7</f>
        <v>14</v>
      </c>
      <c r="F35" s="23"/>
      <c r="G35" s="41">
        <v>15.5</v>
      </c>
      <c r="H35" s="40"/>
      <c r="I35" s="40"/>
      <c r="J35" s="41"/>
      <c r="K35" s="41"/>
      <c r="L35" s="41"/>
      <c r="M35" s="41"/>
      <c r="N35" s="41"/>
      <c r="O35" s="66" t="s">
        <v>1456</v>
      </c>
      <c r="P35" s="57">
        <v>14</v>
      </c>
      <c r="Q35" s="57">
        <f ca="1" t="shared" si="1"/>
        <v>217</v>
      </c>
      <c r="R35" s="57">
        <f t="shared" si="2"/>
        <v>0</v>
      </c>
      <c r="S35" s="57">
        <f ca="1" t="shared" si="3"/>
        <v>0</v>
      </c>
    </row>
    <row r="36" ht="15.95" customHeight="1" spans="1:19">
      <c r="A36" s="31"/>
      <c r="B36" s="42" t="s">
        <v>1609</v>
      </c>
      <c r="C36" s="27"/>
      <c r="D36" s="43" t="s">
        <v>555</v>
      </c>
      <c r="E36" s="44">
        <f>E5+E8+E9+E10+E23+E24+E19</f>
        <v>36</v>
      </c>
      <c r="F36" s="23"/>
      <c r="G36" s="45">
        <v>1.46</v>
      </c>
      <c r="H36" s="46"/>
      <c r="I36" s="46"/>
      <c r="J36" s="45"/>
      <c r="K36" s="45"/>
      <c r="L36" s="45"/>
      <c r="M36" s="45"/>
      <c r="N36" s="45"/>
      <c r="O36" s="59" t="s">
        <v>1610</v>
      </c>
      <c r="P36" s="57">
        <v>34</v>
      </c>
      <c r="Q36" s="57">
        <f ca="1" t="shared" si="1"/>
        <v>49.64</v>
      </c>
      <c r="R36" s="57">
        <f t="shared" si="2"/>
        <v>2</v>
      </c>
      <c r="S36" s="57">
        <f ca="1" t="shared" si="3"/>
        <v>2.92</v>
      </c>
    </row>
    <row r="37" ht="15.95" customHeight="1" spans="1:19">
      <c r="A37" s="31"/>
      <c r="B37" s="42" t="s">
        <v>1575</v>
      </c>
      <c r="C37" s="27"/>
      <c r="D37" s="43" t="s">
        <v>555</v>
      </c>
      <c r="E37" s="44">
        <f>E25+E26*2+E27*2</f>
        <v>42</v>
      </c>
      <c r="F37" s="23"/>
      <c r="G37" s="45">
        <v>1.2</v>
      </c>
      <c r="H37" s="46"/>
      <c r="I37" s="46"/>
      <c r="J37" s="45"/>
      <c r="K37" s="45"/>
      <c r="L37" s="45"/>
      <c r="M37" s="45"/>
      <c r="N37" s="45"/>
      <c r="O37" s="59"/>
      <c r="P37" s="57">
        <v>42</v>
      </c>
      <c r="Q37" s="57">
        <f ca="1" t="shared" si="1"/>
        <v>50.4</v>
      </c>
      <c r="R37" s="57">
        <f t="shared" si="2"/>
        <v>0</v>
      </c>
      <c r="S37" s="57">
        <f ca="1" t="shared" si="3"/>
        <v>0</v>
      </c>
    </row>
    <row r="38" ht="15.95" customHeight="1" spans="1:24">
      <c r="A38" s="20" t="s">
        <v>1217</v>
      </c>
      <c r="B38" s="21" t="s">
        <v>1574</v>
      </c>
      <c r="C38" s="24"/>
      <c r="D38" s="23" t="s">
        <v>434</v>
      </c>
      <c r="E38" s="24">
        <f>D3*6</f>
        <v>18</v>
      </c>
      <c r="F38" s="23"/>
      <c r="G38" s="47">
        <v>1.95</v>
      </c>
      <c r="H38" s="48"/>
      <c r="I38" s="48"/>
      <c r="J38" s="47"/>
      <c r="K38" s="47"/>
      <c r="L38" s="47"/>
      <c r="M38" s="47"/>
      <c r="N38" s="47"/>
      <c r="O38" s="59" t="s">
        <v>1375</v>
      </c>
      <c r="P38" s="57">
        <v>12</v>
      </c>
      <c r="Q38" s="57">
        <f ca="1" t="shared" si="1"/>
        <v>23.4</v>
      </c>
      <c r="R38" s="57">
        <f t="shared" si="2"/>
        <v>6</v>
      </c>
      <c r="S38" s="57">
        <f ca="1" t="shared" si="3"/>
        <v>11.7</v>
      </c>
      <c r="T38" s="1"/>
      <c r="U38" s="1"/>
      <c r="V38" s="1"/>
      <c r="W38" s="1"/>
      <c r="X38" s="1"/>
    </row>
    <row r="39" spans="1:24">
      <c r="A39" s="20"/>
      <c r="B39" s="21" t="s">
        <v>1581</v>
      </c>
      <c r="C39" s="24"/>
      <c r="D39" s="23" t="s">
        <v>434</v>
      </c>
      <c r="E39" s="24">
        <f>D3*22+E25+E26+E27+F3*7</f>
        <v>104</v>
      </c>
      <c r="F39" s="23"/>
      <c r="G39" s="47">
        <v>2.15</v>
      </c>
      <c r="H39" s="48"/>
      <c r="I39" s="48"/>
      <c r="J39" s="47"/>
      <c r="K39" s="47"/>
      <c r="L39" s="47"/>
      <c r="M39" s="47"/>
      <c r="N39" s="47"/>
      <c r="O39" s="59" t="s">
        <v>1372</v>
      </c>
      <c r="P39" s="57">
        <v>82</v>
      </c>
      <c r="Q39" s="57">
        <f ca="1" t="shared" si="1"/>
        <v>176.3</v>
      </c>
      <c r="R39" s="57">
        <f t="shared" si="2"/>
        <v>22</v>
      </c>
      <c r="S39" s="57">
        <f ca="1" t="shared" si="3"/>
        <v>47.3</v>
      </c>
      <c r="T39" s="1"/>
      <c r="U39" s="1"/>
      <c r="V39" s="1"/>
      <c r="W39" s="1"/>
      <c r="X39" s="1"/>
    </row>
    <row r="40" ht="15.95" customHeight="1" spans="1:24">
      <c r="A40" s="20"/>
      <c r="B40" s="21" t="s">
        <v>1582</v>
      </c>
      <c r="C40" s="24"/>
      <c r="D40" s="23" t="s">
        <v>434</v>
      </c>
      <c r="E40" s="28">
        <f>E19+E25+E26+E27</f>
        <v>30</v>
      </c>
      <c r="F40" s="23"/>
      <c r="G40" s="47">
        <v>2.55</v>
      </c>
      <c r="H40" s="48"/>
      <c r="I40" s="48"/>
      <c r="J40" s="47"/>
      <c r="K40" s="47"/>
      <c r="L40" s="47"/>
      <c r="M40" s="47"/>
      <c r="N40" s="47"/>
      <c r="O40" s="59" t="s">
        <v>1373</v>
      </c>
      <c r="P40" s="57">
        <v>30</v>
      </c>
      <c r="Q40" s="57">
        <f ca="1" t="shared" si="1"/>
        <v>76.5</v>
      </c>
      <c r="R40" s="57">
        <f t="shared" si="2"/>
        <v>0</v>
      </c>
      <c r="S40" s="57">
        <f ca="1" t="shared" si="3"/>
        <v>0</v>
      </c>
      <c r="T40" s="1"/>
      <c r="U40" s="1"/>
      <c r="V40" s="1"/>
      <c r="W40" s="1"/>
      <c r="X40" s="1"/>
    </row>
    <row r="41" spans="7:19">
      <c r="G41" s="3"/>
      <c r="H41" s="3"/>
      <c r="I41" s="3"/>
      <c r="J41" s="3"/>
      <c r="K41" s="3"/>
      <c r="L41" s="3"/>
      <c r="M41" s="3"/>
      <c r="N41" s="3"/>
      <c r="P41" s="84" t="s">
        <v>1218</v>
      </c>
      <c r="Q41" s="3">
        <f ca="1">SUM(Q5:Q40)</f>
        <v>109082.867009805</v>
      </c>
      <c r="R41" s="3" t="s">
        <v>1219</v>
      </c>
      <c r="S41" s="3">
        <f ca="1">SUM(S5:S40)</f>
        <v>40014.2956090272</v>
      </c>
    </row>
    <row r="42" spans="7:14">
      <c r="G42" s="3"/>
      <c r="H42" s="3"/>
      <c r="I42" s="3"/>
      <c r="J42" s="3"/>
      <c r="K42" s="3"/>
      <c r="L42" s="3"/>
      <c r="M42" s="3"/>
      <c r="N42" s="3"/>
    </row>
    <row r="43" spans="7:17">
      <c r="G43" s="3"/>
      <c r="H43" s="3"/>
      <c r="I43" s="3"/>
      <c r="J43" s="3"/>
      <c r="K43" s="3"/>
      <c r="L43" s="3"/>
      <c r="M43" s="3"/>
      <c r="N43" s="3"/>
      <c r="P43" s="50" t="s">
        <v>1576</v>
      </c>
      <c r="Q43" s="3">
        <f ca="1">Q41+S41</f>
        <v>149097.162618832</v>
      </c>
    </row>
    <row r="44" spans="2:17">
      <c r="B44" s="49" t="s">
        <v>1221</v>
      </c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52" t="s">
        <v>1577</v>
      </c>
      <c r="Q44" s="3">
        <f ca="1">Q43/E2</f>
        <v>372.74290654708</v>
      </c>
    </row>
    <row r="45" spans="2:14">
      <c r="B45" s="50"/>
      <c r="C45" s="51"/>
      <c r="D45" s="51"/>
      <c r="E45" s="51"/>
      <c r="F45" s="50"/>
      <c r="G45" s="3"/>
      <c r="H45" s="3"/>
      <c r="I45" s="3"/>
      <c r="J45" s="3"/>
      <c r="K45" s="3"/>
      <c r="L45" s="3"/>
      <c r="M45" s="3"/>
      <c r="N45" s="3"/>
    </row>
    <row r="46" spans="2:14">
      <c r="B46" s="52"/>
      <c r="C46" s="52"/>
      <c r="D46" s="52"/>
      <c r="E46" s="52"/>
      <c r="F46" s="52"/>
      <c r="G46" s="3"/>
      <c r="H46" s="3"/>
      <c r="I46" s="3"/>
      <c r="J46" s="3"/>
      <c r="K46" s="3"/>
      <c r="L46" s="3"/>
      <c r="M46" s="3"/>
      <c r="N46" s="3"/>
    </row>
    <row r="47" ht="18" customHeight="1" spans="2:15">
      <c r="B47" s="53"/>
      <c r="C47" s="53"/>
      <c r="D47" s="53"/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</row>
    <row r="48" spans="2:6">
      <c r="B48" s="54"/>
      <c r="C48" s="54"/>
      <c r="D48" s="54"/>
      <c r="E48" s="54"/>
      <c r="F48" s="54"/>
    </row>
    <row r="49" spans="2:6">
      <c r="B49" s="54"/>
      <c r="C49" s="54"/>
      <c r="D49" s="54"/>
      <c r="E49" s="54"/>
      <c r="F49" s="54"/>
    </row>
    <row r="50" spans="2:6">
      <c r="B50" s="54"/>
      <c r="C50" s="54"/>
      <c r="D50" s="54"/>
      <c r="E50" s="54"/>
      <c r="F50" s="54"/>
    </row>
    <row r="51" spans="2:6">
      <c r="B51" s="54"/>
      <c r="C51" s="54"/>
      <c r="D51" s="54"/>
      <c r="E51" s="54"/>
      <c r="F51" s="54"/>
    </row>
    <row r="52" ht="51" customHeight="1" spans="2:6">
      <c r="B52" s="54"/>
      <c r="C52" s="54"/>
      <c r="D52" s="54"/>
      <c r="E52" s="54"/>
      <c r="F52" s="54"/>
    </row>
  </sheetData>
  <mergeCells count="10">
    <mergeCell ref="A1:N1"/>
    <mergeCell ref="A2:C2"/>
    <mergeCell ref="F2:N2"/>
    <mergeCell ref="A3:B3"/>
    <mergeCell ref="H3:N3"/>
    <mergeCell ref="B44:O44"/>
    <mergeCell ref="B47:O47"/>
    <mergeCell ref="A5:A19"/>
    <mergeCell ref="A20:A37"/>
    <mergeCell ref="A38:A40"/>
  </mergeCells>
  <printOptions horizontalCentered="1"/>
  <pageMargins left="0.11875" right="0.11875" top="0.159027777777778" bottom="0.259027777777778" header="0.159027777777778" footer="0.2"/>
  <pageSetup paperSize="9" orientation="portrait"/>
  <headerFooter alignWithMargins="0" scaleWithDoc="0">
    <oddFooter>&amp;L&amp;"SimSun"&amp;9&amp;C&amp;"SimSun"&amp;9第 &amp;P 页，共 &amp;N 页&amp;R&amp;"SimSun"&amp;9</oddFooter>
  </headerFooter>
</worksheet>
</file>

<file path=xl/worksheets/sheet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7030A0"/>
  </sheetPr>
  <dimension ref="A1:G21"/>
  <sheetViews>
    <sheetView showGridLines="0" workbookViewId="0">
      <selection activeCell="E31" sqref="E31"/>
    </sheetView>
  </sheetViews>
  <sheetFormatPr defaultColWidth="9" defaultRowHeight="14.25" outlineLevelCol="6"/>
  <cols>
    <col min="1" max="1" width="19" style="1" customWidth="1"/>
    <col min="2" max="2" width="18.375" style="1" customWidth="1"/>
    <col min="3" max="6" width="9" style="1"/>
    <col min="7" max="7" width="15.75" style="1" customWidth="1"/>
    <col min="8" max="16384" width="9" style="1"/>
  </cols>
  <sheetData>
    <row r="1" spans="1:4">
      <c r="A1" s="2" t="str">
        <f ca="1">'数据修改（批量）'!A1</f>
        <v>上海有色铝锭价格</v>
      </c>
      <c r="B1" s="2"/>
      <c r="C1" s="2"/>
      <c r="D1" s="3"/>
    </row>
    <row r="2" spans="1:7">
      <c r="A2" s="4">
        <f ca="1">'数据修改（批量）'!A2</f>
        <v>16200</v>
      </c>
      <c r="B2" s="2" t="str">
        <f ca="1">'数据修改（批量）'!B2</f>
        <v>项目</v>
      </c>
      <c r="C2" s="2" t="str">
        <f ca="1">'数据修改（批量）'!C2</f>
        <v>加工费</v>
      </c>
      <c r="D2" s="2" t="str">
        <f ca="1">'数据修改（批量）'!D2</f>
        <v>包装物</v>
      </c>
      <c r="E2" s="2" t="str">
        <f ca="1">'数据修改（批量）'!E2</f>
        <v>运费</v>
      </c>
      <c r="F2" s="2" t="str">
        <f ca="1">'数据修改（批量）'!F2</f>
        <v>单价</v>
      </c>
      <c r="G2" s="2" t="str">
        <f ca="1">'数据修改（批量）'!G2</f>
        <v>每公斤价格</v>
      </c>
    </row>
    <row r="3" spans="1:7">
      <c r="A3" s="2"/>
      <c r="B3" s="2" t="str">
        <f ca="1">'数据修改（批量）'!B3</f>
        <v>203料</v>
      </c>
      <c r="C3" s="2">
        <f ca="1">'数据修改（批量）'!C3</f>
        <v>5500</v>
      </c>
      <c r="D3" s="2">
        <f ca="1">'数据修改（批量）'!D3</f>
        <v>868</v>
      </c>
      <c r="E3" s="2">
        <f ca="1">'数据修改（批量）'!E3</f>
        <v>80</v>
      </c>
      <c r="F3" s="2">
        <f ca="1">'数据修改（批量）'!F3</f>
        <v>22648</v>
      </c>
      <c r="G3" s="2">
        <f ca="1">'数据修改（批量）'!G3</f>
        <v>22.648</v>
      </c>
    </row>
    <row r="4" spans="1:7">
      <c r="A4" s="2"/>
      <c r="B4" s="2" t="str">
        <f ca="1">'数据修改（批量）'!B4</f>
        <v>203料氧化</v>
      </c>
      <c r="C4" s="2">
        <f ca="1">'数据修改（批量）'!C4</f>
        <v>6000</v>
      </c>
      <c r="D4" s="2">
        <f ca="1">'数据修改（批量）'!D4</f>
        <v>888</v>
      </c>
      <c r="E4" s="2">
        <f ca="1">'数据修改（批量）'!E4</f>
        <v>80</v>
      </c>
      <c r="F4" s="2">
        <f ca="1">'数据修改（批量）'!F4</f>
        <v>23168</v>
      </c>
      <c r="G4" s="2">
        <f ca="1">'数据修改（批量）'!G4</f>
        <v>23.168</v>
      </c>
    </row>
    <row r="5" spans="2:7">
      <c r="B5" s="2" t="str">
        <f ca="1">'数据修改（批量）'!B5</f>
        <v>小料加工费</v>
      </c>
      <c r="C5" s="2">
        <f ca="1">'数据修改（批量）'!C5</f>
        <v>4500</v>
      </c>
      <c r="D5" s="2">
        <f ca="1">'数据修改（批量）'!D5</f>
        <v>828</v>
      </c>
      <c r="E5" s="2">
        <f ca="1">'数据修改（批量）'!E5</f>
        <v>80</v>
      </c>
      <c r="F5" s="2">
        <f ca="1">'数据修改（批量）'!F5</f>
        <v>21608</v>
      </c>
      <c r="G5" s="2">
        <f ca="1">'数据修改（批量）'!G5</f>
        <v>21.608</v>
      </c>
    </row>
    <row r="6" spans="1:4">
      <c r="A6" s="2" t="str">
        <f ca="1">'数据修改（批量）'!A6</f>
        <v>南海有色铝锭价格</v>
      </c>
      <c r="D6" s="5"/>
    </row>
    <row r="7" spans="1:1">
      <c r="A7" s="4">
        <f ca="1">'数据修改（批量）'!A7</f>
        <v>16600</v>
      </c>
    </row>
    <row r="8" spans="2:7">
      <c r="B8" s="2" t="str">
        <f ca="1">'数据修改（批量）'!B8</f>
        <v>项目</v>
      </c>
      <c r="C8" s="2" t="str">
        <f ca="1">'数据修改（批量）'!C8</f>
        <v>加工费</v>
      </c>
      <c r="D8" s="2" t="str">
        <f ca="1">'数据修改（批量）'!D8</f>
        <v>包装物</v>
      </c>
      <c r="E8" s="2" t="str">
        <f ca="1">'数据修改（批量）'!E8</f>
        <v>运费</v>
      </c>
      <c r="F8" s="2" t="str">
        <f ca="1">'数据修改（批量）'!F8</f>
        <v>单价</v>
      </c>
      <c r="G8" s="2" t="str">
        <f ca="1">'数据修改（批量）'!G8</f>
        <v>每公斤价格</v>
      </c>
    </row>
    <row r="9" spans="2:7">
      <c r="B9" s="2" t="str">
        <f ca="1">'数据修改（批量）'!B9</f>
        <v>300/350料8米以上</v>
      </c>
      <c r="C9" s="2">
        <f ca="1">'数据修改（批量）'!C9</f>
        <v>7800</v>
      </c>
      <c r="D9" s="2">
        <f ca="1">'数据修改（批量）'!D9</f>
        <v>976</v>
      </c>
      <c r="E9" s="2">
        <f ca="1">'数据修改（批量）'!E9</f>
        <v>1000</v>
      </c>
      <c r="F9" s="2">
        <f ca="1">'数据修改（批量）'!F9</f>
        <v>26376</v>
      </c>
      <c r="G9" s="2">
        <f ca="1">'数据修改（批量）'!G9</f>
        <v>26.376</v>
      </c>
    </row>
    <row r="10" spans="2:7">
      <c r="B10" s="2" t="str">
        <f ca="1">'数据修改（批量）'!B10</f>
        <v>300/350料8米以下</v>
      </c>
      <c r="C10" s="2">
        <f ca="1">'数据修改（批量）'!C10</f>
        <v>7100</v>
      </c>
      <c r="D10" s="2">
        <f ca="1">'数据修改（批量）'!D10</f>
        <v>948</v>
      </c>
      <c r="E10" s="2">
        <f ca="1">'数据修改（批量）'!E10</f>
        <v>1000</v>
      </c>
      <c r="F10" s="2">
        <f ca="1">'数据修改（批量）'!F10</f>
        <v>25648</v>
      </c>
      <c r="G10" s="2">
        <f ca="1">'数据修改（批量）'!G10</f>
        <v>25.648</v>
      </c>
    </row>
    <row r="12" spans="1:4">
      <c r="A12" s="2" t="str">
        <f ca="1">'数据修改（批量）'!A12</f>
        <v>篷布</v>
      </c>
      <c r="B12" s="2"/>
      <c r="C12" s="2"/>
      <c r="D12" s="3"/>
    </row>
    <row r="13" spans="1:7">
      <c r="A13" s="2"/>
      <c r="B13" s="2" t="str">
        <f ca="1">'数据修改（批量）'!B13</f>
        <v>项目</v>
      </c>
      <c r="C13" s="2" t="str">
        <f ca="1">'数据修改（批量）'!C13</f>
        <v>运费</v>
      </c>
      <c r="D13" s="2" t="str">
        <f ca="1">'数据修改（批量）'!D13</f>
        <v>单价</v>
      </c>
      <c r="E13" s="2" t="str">
        <f ca="1">'数据修改（批量）'!E13</f>
        <v>每平价格</v>
      </c>
      <c r="F13" s="2"/>
      <c r="G13" s="2"/>
    </row>
    <row r="14" spans="1:7">
      <c r="A14" s="2"/>
      <c r="B14" s="2">
        <f ca="1">'数据修改（批量）'!B14</f>
        <v>650</v>
      </c>
      <c r="C14" s="2">
        <f ca="1">'数据修改（批量）'!C14</f>
        <v>0.5</v>
      </c>
      <c r="D14" s="4">
        <f ca="1">'数据修改（批量）'!D14</f>
        <v>13.8</v>
      </c>
      <c r="E14" s="2">
        <f ca="1">'数据修改（批量）'!E14</f>
        <v>14.3</v>
      </c>
      <c r="F14" s="2"/>
      <c r="G14" s="2"/>
    </row>
    <row r="15" spans="1:7">
      <c r="A15" s="2"/>
      <c r="B15" s="2">
        <f ca="1">'数据修改（批量）'!B15</f>
        <v>780</v>
      </c>
      <c r="C15" s="2">
        <f ca="1">'数据修改（批量）'!C15</f>
        <v>0.5</v>
      </c>
      <c r="D15" s="4">
        <f ca="1">'数据修改（批量）'!D15</f>
        <v>16.8</v>
      </c>
      <c r="E15" s="2">
        <f ca="1">'数据修改（批量）'!E15</f>
        <v>17.3</v>
      </c>
      <c r="F15" s="2"/>
      <c r="G15" s="2"/>
    </row>
    <row r="16" spans="2:7">
      <c r="B16" s="2">
        <f ca="1">'数据修改（批量）'!B16</f>
        <v>850</v>
      </c>
      <c r="C16" s="2">
        <f ca="1">'数据修改（批量）'!C16</f>
        <v>0.5</v>
      </c>
      <c r="D16" s="4">
        <f ca="1">'数据修改（批量）'!D16</f>
        <v>18</v>
      </c>
      <c r="E16" s="2">
        <f ca="1">'数据修改（批量）'!E16</f>
        <v>18.5</v>
      </c>
      <c r="F16" s="2"/>
      <c r="G16" s="2"/>
    </row>
    <row r="21" spans="1:7">
      <c r="A21" s="6" t="str">
        <f ca="1">'数据修改（批量）'!A21</f>
        <v>说明：黄色部分可以根据价格修改</v>
      </c>
      <c r="B21" s="6"/>
      <c r="C21" s="6"/>
      <c r="D21" s="6"/>
      <c r="E21" s="6"/>
      <c r="F21" s="6"/>
      <c r="G21" s="6"/>
    </row>
  </sheetData>
  <mergeCells count="1">
    <mergeCell ref="A21:G21"/>
  </mergeCells>
  <pageMargins left="0.75" right="0.75" top="1" bottom="1" header="0.509027777777778" footer="0.509027777777778"/>
  <headerFooter/>
</worksheet>
</file>

<file path=xl/worksheets/sheet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FFFF00"/>
  </sheetPr>
  <dimension ref="A1:T52"/>
  <sheetViews>
    <sheetView showGridLines="0" workbookViewId="0">
      <selection activeCell="G14" sqref="G14"/>
    </sheetView>
  </sheetViews>
  <sheetFormatPr defaultColWidth="9" defaultRowHeight="14.25"/>
  <cols>
    <col min="1" max="1" width="2.75" style="1" customWidth="1"/>
    <col min="2" max="2" width="16.75" style="1" customWidth="1"/>
    <col min="3" max="5" width="9" style="1"/>
    <col min="6" max="6" width="9" style="1" customWidth="1"/>
    <col min="7" max="7" width="11.125" style="1" customWidth="1"/>
    <col min="8" max="9" width="9" style="1" customWidth="1"/>
    <col min="10" max="10" width="11.125" style="1" customWidth="1"/>
    <col min="11" max="11" width="9" style="1" customWidth="1"/>
    <col min="12" max="12" width="11.125" style="1" customWidth="1"/>
    <col min="13" max="13" width="9" style="1" customWidth="1"/>
    <col min="14" max="14" width="10.125" style="1" customWidth="1"/>
    <col min="15" max="15" width="59.75" style="1" customWidth="1"/>
    <col min="16" max="16" width="9" style="1"/>
    <col min="17" max="17" width="14.125" style="1" customWidth="1"/>
    <col min="18" max="18" width="9" style="1"/>
    <col min="19" max="19" width="14.75" style="1" customWidth="1"/>
    <col min="20" max="16384" width="9" style="1"/>
  </cols>
  <sheetData>
    <row r="1" ht="18.75" spans="1:18">
      <c r="A1" s="72" t="s">
        <v>1636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3"/>
      <c r="P1" s="3"/>
      <c r="Q1" s="3"/>
      <c r="R1" s="3"/>
    </row>
    <row r="2" spans="1:16">
      <c r="A2" s="8" t="s">
        <v>1246</v>
      </c>
      <c r="B2" s="8"/>
      <c r="C2" s="8"/>
      <c r="D2" s="9" t="s">
        <v>1198</v>
      </c>
      <c r="E2" s="10">
        <f>A3*5*40</f>
        <v>400</v>
      </c>
      <c r="F2" s="11"/>
      <c r="G2" s="11"/>
      <c r="H2" s="11"/>
      <c r="I2" s="11"/>
      <c r="J2" s="11"/>
      <c r="K2" s="11"/>
      <c r="L2" s="11"/>
      <c r="M2" s="11"/>
      <c r="N2" s="11"/>
      <c r="O2" s="55"/>
      <c r="P2" s="3"/>
    </row>
    <row r="3" spans="1:16">
      <c r="A3" s="12">
        <v>2</v>
      </c>
      <c r="B3" s="12"/>
      <c r="C3" s="9" t="s">
        <v>1247</v>
      </c>
      <c r="D3" s="13">
        <v>3</v>
      </c>
      <c r="E3" s="11" t="s">
        <v>1248</v>
      </c>
      <c r="F3" s="14">
        <v>2</v>
      </c>
      <c r="G3" s="11" t="s">
        <v>1249</v>
      </c>
      <c r="H3" s="11"/>
      <c r="I3" s="11"/>
      <c r="J3" s="11"/>
      <c r="K3" s="11"/>
      <c r="L3" s="11"/>
      <c r="M3" s="11"/>
      <c r="N3" s="11"/>
      <c r="O3" s="55"/>
      <c r="P3" s="3"/>
    </row>
    <row r="4" ht="25.5" spans="1:20">
      <c r="A4" s="73" t="s">
        <v>1200</v>
      </c>
      <c r="B4" s="74" t="s">
        <v>1201</v>
      </c>
      <c r="C4" s="75" t="s">
        <v>1396</v>
      </c>
      <c r="D4" s="76" t="s">
        <v>22</v>
      </c>
      <c r="E4" s="76" t="s">
        <v>1203</v>
      </c>
      <c r="F4" s="75" t="s">
        <v>1202</v>
      </c>
      <c r="G4" s="75" t="s">
        <v>1204</v>
      </c>
      <c r="H4" s="75" t="s">
        <v>1205</v>
      </c>
      <c r="I4" s="75" t="s">
        <v>1253</v>
      </c>
      <c r="J4" s="75" t="s">
        <v>1254</v>
      </c>
      <c r="K4" s="75" t="s">
        <v>1255</v>
      </c>
      <c r="L4" s="75" t="s">
        <v>1209</v>
      </c>
      <c r="M4" s="75" t="s">
        <v>1420</v>
      </c>
      <c r="N4" s="75" t="s">
        <v>1211</v>
      </c>
      <c r="O4" s="77" t="s">
        <v>1257</v>
      </c>
      <c r="P4" s="57" t="s">
        <v>1430</v>
      </c>
      <c r="Q4" s="57" t="s">
        <v>1213</v>
      </c>
      <c r="R4" s="57" t="s">
        <v>1541</v>
      </c>
      <c r="S4" s="57" t="s">
        <v>1213</v>
      </c>
      <c r="T4" s="3"/>
    </row>
    <row r="5" ht="12" customHeight="1" spans="1:20">
      <c r="A5" s="20" t="s">
        <v>1215</v>
      </c>
      <c r="B5" s="21" t="s">
        <v>1224</v>
      </c>
      <c r="C5" s="22"/>
      <c r="D5" s="23" t="s">
        <v>28</v>
      </c>
      <c r="E5" s="24">
        <f>D3*2</f>
        <v>6</v>
      </c>
      <c r="F5" s="23"/>
      <c r="G5" s="25">
        <f ca="1" t="shared" ref="G5:G13" si="0">J5+K5+L5+M5+N5</f>
        <v>2508.37226528</v>
      </c>
      <c r="H5" s="26">
        <f>9.8/2</f>
        <v>4.9</v>
      </c>
      <c r="I5" s="26">
        <v>15.052</v>
      </c>
      <c r="J5" s="25">
        <f ca="1">H5*I5*'40米（人字350料）参数'!G9*1.1</f>
        <v>2139.89226528</v>
      </c>
      <c r="K5" s="29">
        <f ca="1">135.53*2</f>
        <v>271.06</v>
      </c>
      <c r="L5" s="29">
        <v>74.27</v>
      </c>
      <c r="M5" s="29">
        <f>2.55*5</f>
        <v>12.75</v>
      </c>
      <c r="N5" s="29">
        <f>0.65*16</f>
        <v>10.4</v>
      </c>
      <c r="O5" s="58" t="s">
        <v>1637</v>
      </c>
      <c r="P5" s="57">
        <v>4</v>
      </c>
      <c r="Q5" s="57">
        <f ca="1" t="shared" ref="Q5:Q40" si="1">G5*P5</f>
        <v>10033.48906112</v>
      </c>
      <c r="R5" s="57">
        <f t="shared" ref="R5:R40" si="2">E5-P5</f>
        <v>2</v>
      </c>
      <c r="S5" s="57">
        <f ca="1" t="shared" ref="S5:S40" si="3">G5*R5</f>
        <v>5016.74453056</v>
      </c>
      <c r="T5" s="3"/>
    </row>
    <row r="6" ht="12" customHeight="1" spans="1:20">
      <c r="A6" s="20"/>
      <c r="B6" s="21" t="s">
        <v>1543</v>
      </c>
      <c r="C6" s="27"/>
      <c r="D6" s="23" t="s">
        <v>28</v>
      </c>
      <c r="E6" s="24">
        <f>D3*2</f>
        <v>6</v>
      </c>
      <c r="F6" s="23"/>
      <c r="G6" s="25">
        <f ca="1" t="shared" si="0"/>
        <v>4715.321770464</v>
      </c>
      <c r="H6" s="26">
        <v>10.62</v>
      </c>
      <c r="I6" s="26">
        <v>15.052</v>
      </c>
      <c r="J6" s="25">
        <f ca="1">H6*I6*'40米（人字350料）参数'!G9*1.1</f>
        <v>4637.888950464</v>
      </c>
      <c r="K6" s="29">
        <f ca="1">8*2.5</f>
        <v>20</v>
      </c>
      <c r="L6" s="29">
        <v>21.61</v>
      </c>
      <c r="M6" s="29">
        <f>1.5*8</f>
        <v>12</v>
      </c>
      <c r="N6" s="29">
        <f ca="1">1.25*0.882*'40米（人字350料）参数'!G5</f>
        <v>23.82282</v>
      </c>
      <c r="O6" s="58" t="s">
        <v>1638</v>
      </c>
      <c r="P6" s="57">
        <v>4</v>
      </c>
      <c r="Q6" s="57">
        <f ca="1" t="shared" si="1"/>
        <v>18861.287081856</v>
      </c>
      <c r="R6" s="57">
        <f t="shared" si="2"/>
        <v>2</v>
      </c>
      <c r="S6" s="57">
        <f ca="1" t="shared" si="3"/>
        <v>9430.643540928</v>
      </c>
      <c r="T6" s="3"/>
    </row>
    <row r="7" ht="12" customHeight="1" spans="1:20">
      <c r="A7" s="20"/>
      <c r="B7" s="21" t="s">
        <v>1625</v>
      </c>
      <c r="C7" s="27"/>
      <c r="D7" s="23" t="s">
        <v>28</v>
      </c>
      <c r="E7" s="24">
        <f>D3*2</f>
        <v>6</v>
      </c>
      <c r="F7" s="23"/>
      <c r="G7" s="25">
        <f ca="1" t="shared" si="0"/>
        <v>5324.251074464</v>
      </c>
      <c r="H7" s="26">
        <v>10.62</v>
      </c>
      <c r="I7" s="26">
        <v>15.052</v>
      </c>
      <c r="J7" s="25">
        <f ca="1">H7*I7*'40米（人字350料）参数'!G9*1.1</f>
        <v>4637.888950464</v>
      </c>
      <c r="K7" s="29">
        <f ca="1">8*2.5</f>
        <v>20</v>
      </c>
      <c r="L7" s="25">
        <f ca="1">1.5*16.257*'40米（人字350料）参数'!G10</f>
        <v>625.439304</v>
      </c>
      <c r="M7" s="29">
        <f>2.55*2+1.5*8</f>
        <v>17.1</v>
      </c>
      <c r="N7" s="29">
        <f ca="1">1.25*0.882*'40米（人字350料）参数'!G5</f>
        <v>23.82282</v>
      </c>
      <c r="O7" s="58" t="s">
        <v>1639</v>
      </c>
      <c r="P7" s="57">
        <v>4</v>
      </c>
      <c r="Q7" s="57">
        <f ca="1" t="shared" si="1"/>
        <v>21297.004297856</v>
      </c>
      <c r="R7" s="57">
        <f t="shared" si="2"/>
        <v>2</v>
      </c>
      <c r="S7" s="57">
        <f ca="1" t="shared" si="3"/>
        <v>10648.502148928</v>
      </c>
      <c r="T7" s="3"/>
    </row>
    <row r="8" ht="12" customHeight="1" spans="1:20">
      <c r="A8" s="20"/>
      <c r="B8" s="21" t="s">
        <v>1588</v>
      </c>
      <c r="C8" s="27"/>
      <c r="D8" s="23" t="s">
        <v>28</v>
      </c>
      <c r="E8" s="24">
        <f>F3*2</f>
        <v>4</v>
      </c>
      <c r="F8" s="23"/>
      <c r="G8" s="25">
        <f ca="1" t="shared" si="0"/>
        <v>939.1695272</v>
      </c>
      <c r="H8" s="26">
        <v>6.33</v>
      </c>
      <c r="I8" s="26">
        <v>5.3</v>
      </c>
      <c r="J8" s="25">
        <f ca="1">H8*I8*'40米（人字350料）参数'!G3*1.1</f>
        <v>835.7995272</v>
      </c>
      <c r="K8" s="29">
        <f ca="1">2.5*2</f>
        <v>5</v>
      </c>
      <c r="L8" s="29">
        <f ca="1">49.51+41.21</f>
        <v>90.72</v>
      </c>
      <c r="M8" s="29">
        <f>2.55*3</f>
        <v>7.65</v>
      </c>
      <c r="N8" s="29"/>
      <c r="O8" s="58" t="s">
        <v>1589</v>
      </c>
      <c r="P8" s="57">
        <v>4</v>
      </c>
      <c r="Q8" s="57">
        <f ca="1" t="shared" si="1"/>
        <v>3756.6781088</v>
      </c>
      <c r="R8" s="57">
        <f t="shared" si="2"/>
        <v>0</v>
      </c>
      <c r="S8" s="57">
        <f ca="1" t="shared" si="3"/>
        <v>0</v>
      </c>
      <c r="T8" s="3"/>
    </row>
    <row r="9" ht="12" customHeight="1" spans="1:20">
      <c r="A9" s="20"/>
      <c r="B9" s="21" t="s">
        <v>1590</v>
      </c>
      <c r="C9" s="27"/>
      <c r="D9" s="23" t="s">
        <v>28</v>
      </c>
      <c r="E9" s="24">
        <f>F3*2</f>
        <v>4</v>
      </c>
      <c r="F9" s="23"/>
      <c r="G9" s="25">
        <f ca="1" t="shared" si="0"/>
        <v>1143.8281792</v>
      </c>
      <c r="H9" s="26">
        <v>7.88</v>
      </c>
      <c r="I9" s="26">
        <v>5.3</v>
      </c>
      <c r="J9" s="25">
        <f ca="1">H9*I9*'40米（人字350料）参数'!G3*1.1</f>
        <v>1040.4581792</v>
      </c>
      <c r="K9" s="29">
        <f ca="1">2.5*2</f>
        <v>5</v>
      </c>
      <c r="L9" s="29">
        <f ca="1">49.51+41.21</f>
        <v>90.72</v>
      </c>
      <c r="M9" s="29">
        <f>2.55*3</f>
        <v>7.65</v>
      </c>
      <c r="N9" s="29"/>
      <c r="O9" s="58" t="s">
        <v>1591</v>
      </c>
      <c r="P9" s="57">
        <v>4</v>
      </c>
      <c r="Q9" s="57">
        <f ca="1" t="shared" si="1"/>
        <v>4575.3127168</v>
      </c>
      <c r="R9" s="57">
        <f t="shared" si="2"/>
        <v>0</v>
      </c>
      <c r="S9" s="57">
        <f ca="1" t="shared" si="3"/>
        <v>0</v>
      </c>
      <c r="T9" s="3"/>
    </row>
    <row r="10" ht="12" customHeight="1" spans="1:20">
      <c r="A10" s="20"/>
      <c r="B10" s="21" t="s">
        <v>1592</v>
      </c>
      <c r="C10" s="27"/>
      <c r="D10" s="23" t="s">
        <v>28</v>
      </c>
      <c r="E10" s="24">
        <f>F3*2</f>
        <v>4</v>
      </c>
      <c r="F10" s="23"/>
      <c r="G10" s="25">
        <f ca="1" t="shared" si="0"/>
        <v>1348.4868312</v>
      </c>
      <c r="H10" s="26">
        <v>9.43</v>
      </c>
      <c r="I10" s="26">
        <v>5.3</v>
      </c>
      <c r="J10" s="25">
        <f ca="1">H10*I10*'40米（人字350料）参数'!G3*1.1</f>
        <v>1245.1168312</v>
      </c>
      <c r="K10" s="29">
        <f ca="1">2.5*2</f>
        <v>5</v>
      </c>
      <c r="L10" s="29">
        <f ca="1">49.51+41.21</f>
        <v>90.72</v>
      </c>
      <c r="M10" s="29">
        <f>2.55*3</f>
        <v>7.65</v>
      </c>
      <c r="N10" s="29"/>
      <c r="O10" s="58" t="s">
        <v>1593</v>
      </c>
      <c r="P10" s="57">
        <v>4</v>
      </c>
      <c r="Q10" s="57">
        <f ca="1" t="shared" si="1"/>
        <v>5393.9473248</v>
      </c>
      <c r="R10" s="57">
        <f t="shared" si="2"/>
        <v>0</v>
      </c>
      <c r="S10" s="57">
        <f ca="1" t="shared" si="3"/>
        <v>0</v>
      </c>
      <c r="T10" s="3"/>
    </row>
    <row r="11" ht="12" customHeight="1" spans="1:20">
      <c r="A11" s="20"/>
      <c r="B11" s="21" t="s">
        <v>1627</v>
      </c>
      <c r="C11" s="27"/>
      <c r="D11" s="23" t="s">
        <v>28</v>
      </c>
      <c r="E11" s="24">
        <v>2</v>
      </c>
      <c r="F11" s="23"/>
      <c r="G11" s="25">
        <f ca="1" t="shared" si="0"/>
        <v>2351.343623104</v>
      </c>
      <c r="H11" s="26">
        <v>10.96</v>
      </c>
      <c r="I11" s="26">
        <v>8.233</v>
      </c>
      <c r="J11" s="25">
        <f ca="1">H11*I11*'40米（人字350料）参数'!G3*1.1</f>
        <v>2247.973623104</v>
      </c>
      <c r="K11" s="29">
        <f ca="1">2.5*2</f>
        <v>5</v>
      </c>
      <c r="L11" s="29">
        <f ca="1">49.51+41.21</f>
        <v>90.72</v>
      </c>
      <c r="M11" s="29">
        <f>2.55*3</f>
        <v>7.65</v>
      </c>
      <c r="N11" s="29"/>
      <c r="O11" s="58" t="s">
        <v>1628</v>
      </c>
      <c r="P11" s="57">
        <v>2</v>
      </c>
      <c r="Q11" s="57">
        <f ca="1" t="shared" si="1"/>
        <v>4702.687246208</v>
      </c>
      <c r="R11" s="57">
        <f t="shared" si="2"/>
        <v>0</v>
      </c>
      <c r="S11" s="57">
        <f ca="1" t="shared" si="3"/>
        <v>0</v>
      </c>
      <c r="T11" s="3"/>
    </row>
    <row r="12" ht="12" customHeight="1" spans="1:20">
      <c r="A12" s="20"/>
      <c r="B12" s="21" t="s">
        <v>1226</v>
      </c>
      <c r="C12" s="27"/>
      <c r="D12" s="23" t="s">
        <v>28</v>
      </c>
      <c r="E12" s="24">
        <f>A3*12+F3*6</f>
        <v>36</v>
      </c>
      <c r="F12" s="23"/>
      <c r="G12" s="25">
        <f ca="1" t="shared" si="0"/>
        <v>336.5448493136</v>
      </c>
      <c r="H12" s="26">
        <v>4.882</v>
      </c>
      <c r="I12" s="26">
        <v>2.771</v>
      </c>
      <c r="J12" s="25">
        <f ca="1">H12*I12*'40米（人字350料）参数'!G5*1.1</f>
        <v>321.5448493136</v>
      </c>
      <c r="K12" s="29"/>
      <c r="L12" s="29"/>
      <c r="M12" s="29">
        <f>0.5*4</f>
        <v>2</v>
      </c>
      <c r="N12" s="29">
        <f>6.5*2</f>
        <v>13</v>
      </c>
      <c r="O12" s="59" t="s">
        <v>1595</v>
      </c>
      <c r="P12" s="57">
        <v>24</v>
      </c>
      <c r="Q12" s="57">
        <f ca="1" t="shared" si="1"/>
        <v>8077.0763835264</v>
      </c>
      <c r="R12" s="57">
        <f t="shared" si="2"/>
        <v>12</v>
      </c>
      <c r="S12" s="57">
        <f ca="1" t="shared" si="3"/>
        <v>4038.5381917632</v>
      </c>
      <c r="T12" s="3"/>
    </row>
    <row r="13" ht="12" customHeight="1" spans="1:20">
      <c r="A13" s="20"/>
      <c r="B13" s="21" t="s">
        <v>1596</v>
      </c>
      <c r="C13" s="27"/>
      <c r="D13" s="23" t="s">
        <v>28</v>
      </c>
      <c r="E13" s="24">
        <f>A3*5</f>
        <v>10</v>
      </c>
      <c r="F13" s="23"/>
      <c r="G13" s="25">
        <f ca="1" t="shared" si="0"/>
        <v>737.9347773824</v>
      </c>
      <c r="H13" s="26">
        <v>4.882</v>
      </c>
      <c r="I13" s="26">
        <v>5.944</v>
      </c>
      <c r="J13" s="25">
        <f ca="1">H13*I13*'40米（人字350料）参数'!G3*1.1</f>
        <v>722.9347773824</v>
      </c>
      <c r="K13" s="29"/>
      <c r="L13" s="29"/>
      <c r="M13" s="29">
        <f>0.5*4</f>
        <v>2</v>
      </c>
      <c r="N13" s="29">
        <f>6.5*2</f>
        <v>13</v>
      </c>
      <c r="O13" s="60" t="s">
        <v>1597</v>
      </c>
      <c r="P13" s="57">
        <v>5</v>
      </c>
      <c r="Q13" s="57">
        <f ca="1" t="shared" si="1"/>
        <v>3689.673886912</v>
      </c>
      <c r="R13" s="57">
        <f t="shared" si="2"/>
        <v>5</v>
      </c>
      <c r="S13" s="57">
        <f ca="1" t="shared" si="3"/>
        <v>3689.673886912</v>
      </c>
      <c r="T13" s="3"/>
    </row>
    <row r="14" ht="12" customHeight="1" spans="1:20">
      <c r="A14" s="20"/>
      <c r="B14" s="21" t="s">
        <v>1266</v>
      </c>
      <c r="C14" s="27"/>
      <c r="D14" s="23" t="s">
        <v>28</v>
      </c>
      <c r="E14" s="24">
        <f>A3*2+F3*8</f>
        <v>20</v>
      </c>
      <c r="F14" s="23"/>
      <c r="G14" s="25">
        <f ca="1">'数据修改（批量）'!A28</f>
        <v>95</v>
      </c>
      <c r="H14" s="26">
        <v>4.86</v>
      </c>
      <c r="I14" s="26">
        <v>1.345</v>
      </c>
      <c r="J14" s="25">
        <f ca="1">H14*I14*'40米（人字350料）参数'!G5*1.1</f>
        <v>155.36951496</v>
      </c>
      <c r="K14" s="29"/>
      <c r="L14" s="29"/>
      <c r="M14" s="29"/>
      <c r="N14" s="29"/>
      <c r="O14" s="59" t="s">
        <v>1554</v>
      </c>
      <c r="P14" s="57">
        <v>18</v>
      </c>
      <c r="Q14" s="57">
        <f ca="1" t="shared" si="1"/>
        <v>1710</v>
      </c>
      <c r="R14" s="57">
        <f t="shared" si="2"/>
        <v>2</v>
      </c>
      <c r="S14" s="57">
        <f ca="1" t="shared" si="3"/>
        <v>190</v>
      </c>
      <c r="T14" s="3"/>
    </row>
    <row r="15" ht="12" customHeight="1" spans="1:20">
      <c r="A15" s="20"/>
      <c r="B15" s="21" t="s">
        <v>1276</v>
      </c>
      <c r="C15" s="27"/>
      <c r="D15" s="23" t="s">
        <v>28</v>
      </c>
      <c r="E15" s="28">
        <f>F3*2</f>
        <v>4</v>
      </c>
      <c r="F15" s="23"/>
      <c r="G15" s="25">
        <f ca="1" t="shared" ref="G15:G20" si="4">J15+K15+L15+M15+N15</f>
        <v>348.2448493136</v>
      </c>
      <c r="H15" s="26">
        <v>4.882</v>
      </c>
      <c r="I15" s="26">
        <v>2.771</v>
      </c>
      <c r="J15" s="25">
        <f ca="1">H15*I15*'40米（人字350料）参数'!G5*1.1</f>
        <v>321.5448493136</v>
      </c>
      <c r="K15" s="29"/>
      <c r="L15" s="61">
        <v>15</v>
      </c>
      <c r="M15" s="61">
        <f>8*0.65</f>
        <v>5.2</v>
      </c>
      <c r="N15" s="61">
        <v>6.5</v>
      </c>
      <c r="O15" s="59" t="s">
        <v>1598</v>
      </c>
      <c r="P15" s="57">
        <v>4</v>
      </c>
      <c r="Q15" s="57">
        <f ca="1" t="shared" si="1"/>
        <v>1392.9793972544</v>
      </c>
      <c r="R15" s="57">
        <f t="shared" si="2"/>
        <v>0</v>
      </c>
      <c r="S15" s="57">
        <f ca="1" t="shared" si="3"/>
        <v>0</v>
      </c>
      <c r="T15" s="3"/>
    </row>
    <row r="16" ht="12" customHeight="1" spans="1:20">
      <c r="A16" s="20"/>
      <c r="B16" s="21" t="s">
        <v>1356</v>
      </c>
      <c r="C16" s="27"/>
      <c r="D16" s="23" t="s">
        <v>28</v>
      </c>
      <c r="E16" s="28">
        <f>F3</f>
        <v>2</v>
      </c>
      <c r="F16" s="23"/>
      <c r="G16" s="29">
        <f ca="1" t="shared" si="4"/>
        <v>162.06</v>
      </c>
      <c r="H16" s="26">
        <v>7.5</v>
      </c>
      <c r="I16" s="26">
        <v>1</v>
      </c>
      <c r="J16" s="29">
        <f ca="1">H16*I16*'40米（人字350料）参数'!G5</f>
        <v>162.06</v>
      </c>
      <c r="K16" s="29"/>
      <c r="L16" s="29"/>
      <c r="M16" s="29"/>
      <c r="N16" s="29"/>
      <c r="O16" s="60" t="s">
        <v>1599</v>
      </c>
      <c r="P16" s="57">
        <v>2</v>
      </c>
      <c r="Q16" s="57">
        <f ca="1" t="shared" si="1"/>
        <v>324.12</v>
      </c>
      <c r="R16" s="57">
        <f t="shared" si="2"/>
        <v>0</v>
      </c>
      <c r="S16" s="57">
        <f ca="1" t="shared" si="3"/>
        <v>0</v>
      </c>
      <c r="T16" s="3"/>
    </row>
    <row r="17" ht="12" customHeight="1" spans="1:20">
      <c r="A17" s="20"/>
      <c r="B17" s="21" t="s">
        <v>1448</v>
      </c>
      <c r="C17" s="27"/>
      <c r="D17" s="23" t="s">
        <v>28</v>
      </c>
      <c r="E17" s="28">
        <f>D3*2-F3*2</f>
        <v>2</v>
      </c>
      <c r="F17" s="23"/>
      <c r="G17" s="29">
        <f ca="1" t="shared" si="4"/>
        <v>259</v>
      </c>
      <c r="H17" s="26"/>
      <c r="I17" s="26"/>
      <c r="J17" s="29">
        <f>128*1.5</f>
        <v>192</v>
      </c>
      <c r="K17" s="29"/>
      <c r="L17" s="29">
        <f>2.5*2</f>
        <v>5</v>
      </c>
      <c r="M17" s="29">
        <f>21*2</f>
        <v>42</v>
      </c>
      <c r="N17" s="29">
        <v>20</v>
      </c>
      <c r="O17" s="58" t="s">
        <v>1558</v>
      </c>
      <c r="P17" s="57">
        <v>0</v>
      </c>
      <c r="Q17" s="57">
        <f ca="1" t="shared" si="1"/>
        <v>0</v>
      </c>
      <c r="R17" s="57">
        <f t="shared" si="2"/>
        <v>2</v>
      </c>
      <c r="S17" s="57">
        <f ca="1" t="shared" si="3"/>
        <v>518</v>
      </c>
      <c r="T17" s="3"/>
    </row>
    <row r="18" ht="12" customHeight="1" spans="1:20">
      <c r="A18" s="20"/>
      <c r="B18" s="21" t="s">
        <v>1559</v>
      </c>
      <c r="C18" s="27"/>
      <c r="D18" s="23" t="s">
        <v>28</v>
      </c>
      <c r="E18" s="28">
        <f>D3-F3</f>
        <v>1</v>
      </c>
      <c r="F18" s="23"/>
      <c r="G18" s="29">
        <f ca="1" t="shared" si="4"/>
        <v>259</v>
      </c>
      <c r="H18" s="26"/>
      <c r="I18" s="26"/>
      <c r="J18" s="29">
        <f>128*1.5</f>
        <v>192</v>
      </c>
      <c r="K18" s="29"/>
      <c r="L18" s="29">
        <f>2.5*2</f>
        <v>5</v>
      </c>
      <c r="M18" s="29">
        <f>21*2</f>
        <v>42</v>
      </c>
      <c r="N18" s="29">
        <v>20</v>
      </c>
      <c r="O18" s="58" t="s">
        <v>1558</v>
      </c>
      <c r="P18" s="57">
        <v>0</v>
      </c>
      <c r="Q18" s="57">
        <f ca="1" t="shared" si="1"/>
        <v>0</v>
      </c>
      <c r="R18" s="57">
        <f t="shared" si="2"/>
        <v>1</v>
      </c>
      <c r="S18" s="57">
        <f ca="1" t="shared" si="3"/>
        <v>259</v>
      </c>
      <c r="T18" s="3"/>
    </row>
    <row r="19" ht="12" customHeight="1" spans="1:20">
      <c r="A19" s="20"/>
      <c r="B19" s="21" t="s">
        <v>1272</v>
      </c>
      <c r="C19" s="27"/>
      <c r="D19" s="23" t="s">
        <v>28</v>
      </c>
      <c r="E19" s="30">
        <v>6</v>
      </c>
      <c r="F19" s="23"/>
      <c r="G19" s="29">
        <f ca="1" t="shared" si="4"/>
        <v>237</v>
      </c>
      <c r="H19" s="26"/>
      <c r="I19" s="26"/>
      <c r="J19" s="29">
        <f>108*2</f>
        <v>216</v>
      </c>
      <c r="K19" s="29"/>
      <c r="L19" s="29">
        <v>6</v>
      </c>
      <c r="M19" s="29">
        <v>10</v>
      </c>
      <c r="N19" s="29">
        <v>5</v>
      </c>
      <c r="O19" s="60" t="s">
        <v>1561</v>
      </c>
      <c r="P19" s="57">
        <v>4</v>
      </c>
      <c r="Q19" s="57">
        <f ca="1" t="shared" si="1"/>
        <v>948</v>
      </c>
      <c r="R19" s="57">
        <f t="shared" si="2"/>
        <v>2</v>
      </c>
      <c r="S19" s="57">
        <f ca="1" t="shared" si="3"/>
        <v>474</v>
      </c>
      <c r="T19" s="3"/>
    </row>
    <row r="20" ht="12" customHeight="1" spans="1:20">
      <c r="A20" s="20" t="s">
        <v>1640</v>
      </c>
      <c r="B20" s="21" t="s">
        <v>1304</v>
      </c>
      <c r="C20" s="27"/>
      <c r="D20" s="23" t="s">
        <v>434</v>
      </c>
      <c r="E20" s="24">
        <f>D3</f>
        <v>3</v>
      </c>
      <c r="F20" s="23"/>
      <c r="G20" s="25">
        <f ca="1" t="shared" si="4"/>
        <v>1239.42283808</v>
      </c>
      <c r="H20" s="26">
        <v>1.8</v>
      </c>
      <c r="I20" s="26">
        <v>16.257</v>
      </c>
      <c r="J20" s="25">
        <f ca="1">H20*I20*'40米（人字350料）参数'!G10*1.1</f>
        <v>825.57988128</v>
      </c>
      <c r="K20" s="29">
        <v>100</v>
      </c>
      <c r="L20" s="25">
        <f ca="1">0.8*15.052*'40米（人字350料）参数'!G10</f>
        <v>308.8429568</v>
      </c>
      <c r="M20" s="29">
        <f>2*2.5</f>
        <v>5</v>
      </c>
      <c r="N20" s="29"/>
      <c r="O20" s="60" t="s">
        <v>1616</v>
      </c>
      <c r="P20" s="57">
        <v>2</v>
      </c>
      <c r="Q20" s="57">
        <f ca="1" t="shared" si="1"/>
        <v>2478.84567616</v>
      </c>
      <c r="R20" s="57">
        <f t="shared" si="2"/>
        <v>1</v>
      </c>
      <c r="S20" s="57">
        <f ca="1" t="shared" si="3"/>
        <v>1239.42283808</v>
      </c>
      <c r="T20" s="3"/>
    </row>
    <row r="21" ht="12" customHeight="1" spans="1:20">
      <c r="A21" s="31"/>
      <c r="B21" s="21" t="s">
        <v>1310</v>
      </c>
      <c r="C21" s="27"/>
      <c r="D21" s="23" t="s">
        <v>434</v>
      </c>
      <c r="E21" s="24">
        <f>E8+E9+E10+E11</f>
        <v>14</v>
      </c>
      <c r="F21" s="23"/>
      <c r="G21" s="29">
        <v>76.4</v>
      </c>
      <c r="H21" s="26"/>
      <c r="I21" s="26"/>
      <c r="J21" s="29"/>
      <c r="K21" s="29"/>
      <c r="L21" s="29"/>
      <c r="M21" s="29"/>
      <c r="N21" s="29"/>
      <c r="O21" s="59" t="s">
        <v>1361</v>
      </c>
      <c r="P21" s="57">
        <v>14</v>
      </c>
      <c r="Q21" s="57">
        <f ca="1" t="shared" si="1"/>
        <v>1069.6</v>
      </c>
      <c r="R21" s="57">
        <f t="shared" si="2"/>
        <v>0</v>
      </c>
      <c r="S21" s="57">
        <f ca="1" t="shared" si="3"/>
        <v>0</v>
      </c>
      <c r="T21" s="3"/>
    </row>
    <row r="22" ht="12" customHeight="1" spans="1:20">
      <c r="A22" s="31"/>
      <c r="B22" s="21" t="s">
        <v>1280</v>
      </c>
      <c r="C22" s="27"/>
      <c r="D22" s="23" t="s">
        <v>434</v>
      </c>
      <c r="E22" s="28">
        <f>E5</f>
        <v>6</v>
      </c>
      <c r="F22" s="23"/>
      <c r="G22" s="29">
        <v>137</v>
      </c>
      <c r="H22" s="26"/>
      <c r="I22" s="26"/>
      <c r="J22" s="29"/>
      <c r="K22" s="29"/>
      <c r="L22" s="29"/>
      <c r="M22" s="29"/>
      <c r="N22" s="29"/>
      <c r="O22" s="59" t="s">
        <v>1361</v>
      </c>
      <c r="P22" s="57">
        <v>4</v>
      </c>
      <c r="Q22" s="57">
        <f ca="1" t="shared" si="1"/>
        <v>548</v>
      </c>
      <c r="R22" s="57">
        <f t="shared" si="2"/>
        <v>2</v>
      </c>
      <c r="S22" s="57">
        <f ca="1" t="shared" si="3"/>
        <v>274</v>
      </c>
      <c r="T22" s="3"/>
    </row>
    <row r="23" ht="12" customHeight="1" spans="1:20">
      <c r="A23" s="31"/>
      <c r="B23" s="21" t="s">
        <v>1629</v>
      </c>
      <c r="C23" s="27"/>
      <c r="D23" s="23" t="s">
        <v>28</v>
      </c>
      <c r="E23" s="32">
        <f>E19</f>
        <v>6</v>
      </c>
      <c r="F23" s="23"/>
      <c r="G23" s="29">
        <v>124</v>
      </c>
      <c r="H23" s="26"/>
      <c r="I23" s="26"/>
      <c r="J23" s="29"/>
      <c r="K23" s="29"/>
      <c r="L23" s="29"/>
      <c r="M23" s="29"/>
      <c r="N23" s="29"/>
      <c r="O23" s="60" t="s">
        <v>1630</v>
      </c>
      <c r="P23" s="57">
        <v>4</v>
      </c>
      <c r="Q23" s="57">
        <f ca="1" t="shared" si="1"/>
        <v>496</v>
      </c>
      <c r="R23" s="57">
        <f t="shared" si="2"/>
        <v>2</v>
      </c>
      <c r="S23" s="57">
        <f ca="1" t="shared" si="3"/>
        <v>248</v>
      </c>
      <c r="T23" s="3"/>
    </row>
    <row r="24" ht="12" customHeight="1" spans="1:20">
      <c r="A24" s="31"/>
      <c r="B24" s="21" t="s">
        <v>1600</v>
      </c>
      <c r="C24" s="27"/>
      <c r="D24" s="23" t="s">
        <v>28</v>
      </c>
      <c r="E24" s="32">
        <f>E19</f>
        <v>6</v>
      </c>
      <c r="F24" s="23"/>
      <c r="G24" s="29">
        <v>119.3</v>
      </c>
      <c r="H24" s="26"/>
      <c r="I24" s="26"/>
      <c r="J24" s="29"/>
      <c r="K24" s="29"/>
      <c r="L24" s="29"/>
      <c r="M24" s="29"/>
      <c r="N24" s="29"/>
      <c r="O24" s="60" t="s">
        <v>1601</v>
      </c>
      <c r="P24" s="57">
        <v>4</v>
      </c>
      <c r="Q24" s="57">
        <f ca="1" t="shared" si="1"/>
        <v>477.2</v>
      </c>
      <c r="R24" s="57">
        <f t="shared" si="2"/>
        <v>2</v>
      </c>
      <c r="S24" s="57">
        <f ca="1" t="shared" si="3"/>
        <v>238.6</v>
      </c>
      <c r="T24" s="3"/>
    </row>
    <row r="25" ht="12" customHeight="1" spans="1:20">
      <c r="A25" s="31"/>
      <c r="B25" s="21" t="s">
        <v>522</v>
      </c>
      <c r="C25" s="27"/>
      <c r="D25" s="23" t="s">
        <v>434</v>
      </c>
      <c r="E25" s="32">
        <f>E19</f>
        <v>6</v>
      </c>
      <c r="F25" s="23"/>
      <c r="G25" s="34">
        <v>9.65</v>
      </c>
      <c r="H25" s="82"/>
      <c r="I25" s="82"/>
      <c r="J25" s="83"/>
      <c r="K25" s="83"/>
      <c r="L25" s="83"/>
      <c r="M25" s="83"/>
      <c r="N25" s="83"/>
      <c r="O25" s="64" t="s">
        <v>1604</v>
      </c>
      <c r="P25" s="57">
        <v>4</v>
      </c>
      <c r="Q25" s="57">
        <f ca="1" t="shared" si="1"/>
        <v>38.6</v>
      </c>
      <c r="R25" s="57">
        <f t="shared" si="2"/>
        <v>2</v>
      </c>
      <c r="S25" s="57">
        <f ca="1" t="shared" si="3"/>
        <v>19.3</v>
      </c>
      <c r="T25" s="3"/>
    </row>
    <row r="26" ht="12" customHeight="1" spans="1:20">
      <c r="A26" s="31"/>
      <c r="B26" s="21" t="s">
        <v>524</v>
      </c>
      <c r="C26" s="27"/>
      <c r="D26" s="23" t="s">
        <v>434</v>
      </c>
      <c r="E26" s="32">
        <f>E19*2</f>
        <v>12</v>
      </c>
      <c r="F26" s="23"/>
      <c r="G26" s="29">
        <v>18.36</v>
      </c>
      <c r="H26" s="26"/>
      <c r="I26" s="26"/>
      <c r="J26" s="29"/>
      <c r="K26" s="29"/>
      <c r="L26" s="29"/>
      <c r="M26" s="29"/>
      <c r="N26" s="29"/>
      <c r="O26" s="60" t="s">
        <v>1605</v>
      </c>
      <c r="P26" s="57">
        <v>8</v>
      </c>
      <c r="Q26" s="57">
        <f ca="1" t="shared" si="1"/>
        <v>146.88</v>
      </c>
      <c r="R26" s="57">
        <f t="shared" si="2"/>
        <v>4</v>
      </c>
      <c r="S26" s="57">
        <f ca="1" t="shared" si="3"/>
        <v>73.44</v>
      </c>
      <c r="T26" s="3"/>
    </row>
    <row r="27" ht="12" customHeight="1" spans="1:20">
      <c r="A27" s="31"/>
      <c r="B27" s="21" t="s">
        <v>526</v>
      </c>
      <c r="C27" s="27"/>
      <c r="D27" s="23" t="s">
        <v>434</v>
      </c>
      <c r="E27" s="32">
        <f>E26/2</f>
        <v>6</v>
      </c>
      <c r="F27" s="23"/>
      <c r="G27" s="29">
        <v>24.84</v>
      </c>
      <c r="H27" s="26"/>
      <c r="I27" s="26"/>
      <c r="J27" s="29"/>
      <c r="K27" s="29"/>
      <c r="L27" s="29"/>
      <c r="M27" s="29"/>
      <c r="N27" s="29"/>
      <c r="O27" s="60" t="s">
        <v>1606</v>
      </c>
      <c r="P27" s="57">
        <v>4</v>
      </c>
      <c r="Q27" s="57">
        <f ca="1" t="shared" si="1"/>
        <v>99.36</v>
      </c>
      <c r="R27" s="57">
        <f t="shared" si="2"/>
        <v>2</v>
      </c>
      <c r="S27" s="57">
        <f ca="1" t="shared" si="3"/>
        <v>49.68</v>
      </c>
      <c r="T27" s="3"/>
    </row>
    <row r="28" ht="12" customHeight="1" spans="1:20">
      <c r="A28" s="31"/>
      <c r="B28" s="21" t="s">
        <v>1282</v>
      </c>
      <c r="C28" s="27"/>
      <c r="D28" s="23" t="s">
        <v>434</v>
      </c>
      <c r="E28" s="24">
        <f>D3*2+F3*7</f>
        <v>20</v>
      </c>
      <c r="F28" s="23"/>
      <c r="G28" s="29">
        <v>4.45</v>
      </c>
      <c r="H28" s="26"/>
      <c r="I28" s="26"/>
      <c r="J28" s="29"/>
      <c r="K28" s="29"/>
      <c r="L28" s="29"/>
      <c r="M28" s="29"/>
      <c r="N28" s="29"/>
      <c r="O28" s="59" t="s">
        <v>1453</v>
      </c>
      <c r="P28" s="57">
        <v>18</v>
      </c>
      <c r="Q28" s="57">
        <f ca="1" t="shared" si="1"/>
        <v>80.1</v>
      </c>
      <c r="R28" s="57">
        <f t="shared" si="2"/>
        <v>2</v>
      </c>
      <c r="S28" s="57">
        <f ca="1" t="shared" si="3"/>
        <v>8.9</v>
      </c>
      <c r="T28" s="3"/>
    </row>
    <row r="29" ht="12" customHeight="1" spans="1:20">
      <c r="A29" s="31"/>
      <c r="B29" s="21" t="s">
        <v>1284</v>
      </c>
      <c r="C29" s="27"/>
      <c r="D29" s="23" t="s">
        <v>434</v>
      </c>
      <c r="E29" s="24">
        <f>D3*2</f>
        <v>6</v>
      </c>
      <c r="F29" s="23"/>
      <c r="G29" s="29">
        <v>6.51</v>
      </c>
      <c r="H29" s="26"/>
      <c r="I29" s="26"/>
      <c r="J29" s="29"/>
      <c r="K29" s="29"/>
      <c r="L29" s="29"/>
      <c r="M29" s="29"/>
      <c r="N29" s="29"/>
      <c r="O29" s="59" t="s">
        <v>1607</v>
      </c>
      <c r="P29" s="57">
        <v>4</v>
      </c>
      <c r="Q29" s="57">
        <f ca="1" t="shared" si="1"/>
        <v>26.04</v>
      </c>
      <c r="R29" s="57">
        <f t="shared" si="2"/>
        <v>2</v>
      </c>
      <c r="S29" s="57">
        <f ca="1" t="shared" si="3"/>
        <v>13.02</v>
      </c>
      <c r="T29" s="3"/>
    </row>
    <row r="30" ht="12" customHeight="1" spans="1:20">
      <c r="A30" s="31"/>
      <c r="B30" s="21" t="s">
        <v>519</v>
      </c>
      <c r="C30" s="27"/>
      <c r="D30" s="23" t="s">
        <v>434</v>
      </c>
      <c r="E30" s="24">
        <f>F3*2</f>
        <v>4</v>
      </c>
      <c r="F30" s="23"/>
      <c r="G30" s="29">
        <v>6.5</v>
      </c>
      <c r="H30" s="36"/>
      <c r="I30" s="36"/>
      <c r="J30" s="65"/>
      <c r="K30" s="65"/>
      <c r="L30" s="65"/>
      <c r="M30" s="65"/>
      <c r="N30" s="65"/>
      <c r="O30" s="66" t="s">
        <v>1455</v>
      </c>
      <c r="P30" s="57">
        <v>4</v>
      </c>
      <c r="Q30" s="57">
        <f ca="1" t="shared" si="1"/>
        <v>26</v>
      </c>
      <c r="R30" s="57">
        <f t="shared" si="2"/>
        <v>0</v>
      </c>
      <c r="S30" s="57">
        <f ca="1" t="shared" si="3"/>
        <v>0</v>
      </c>
      <c r="T30" s="3"/>
    </row>
    <row r="31" ht="12" customHeight="1" spans="1:20">
      <c r="A31" s="31"/>
      <c r="B31" s="21" t="s">
        <v>1568</v>
      </c>
      <c r="C31" s="27"/>
      <c r="D31" s="23" t="s">
        <v>612</v>
      </c>
      <c r="E31" s="24">
        <f>A3</f>
        <v>2</v>
      </c>
      <c r="F31" s="23"/>
      <c r="G31" s="29">
        <f ca="1">J31+K31+L31+M31+N31</f>
        <v>4750.8</v>
      </c>
      <c r="H31" s="26">
        <v>44.4</v>
      </c>
      <c r="I31" s="26">
        <v>5</v>
      </c>
      <c r="J31" s="29">
        <f ca="1">H31*I31*'40米（人字350料）参数'!D16*1.1</f>
        <v>4395.6</v>
      </c>
      <c r="K31" s="29">
        <f>44.4*2*4</f>
        <v>355.2</v>
      </c>
      <c r="L31" s="29"/>
      <c r="M31" s="29"/>
      <c r="N31" s="29"/>
      <c r="O31" s="67" t="s">
        <v>1631</v>
      </c>
      <c r="P31" s="68">
        <v>1</v>
      </c>
      <c r="Q31" s="57">
        <f ca="1" t="shared" si="1"/>
        <v>4750.8</v>
      </c>
      <c r="R31" s="57">
        <f t="shared" si="2"/>
        <v>1</v>
      </c>
      <c r="S31" s="57">
        <f ca="1" t="shared" si="3"/>
        <v>4750.8</v>
      </c>
      <c r="T31" s="3"/>
    </row>
    <row r="32" ht="12" customHeight="1" spans="1:20">
      <c r="A32" s="31"/>
      <c r="B32" s="21" t="s">
        <v>1570</v>
      </c>
      <c r="C32" s="27"/>
      <c r="D32" s="23" t="s">
        <v>664</v>
      </c>
      <c r="E32" s="24">
        <f>F3</f>
        <v>2</v>
      </c>
      <c r="F32" s="23"/>
      <c r="G32" s="29">
        <f ca="1">J32+K32+L32+M32+N32</f>
        <v>3163.10592</v>
      </c>
      <c r="H32" s="37">
        <v>20.3</v>
      </c>
      <c r="I32" s="37">
        <v>7.68</v>
      </c>
      <c r="J32" s="69">
        <f ca="1">H32*I32*'40米（人字350料）参数'!D15*1.1</f>
        <v>2881.10592</v>
      </c>
      <c r="K32" s="69">
        <f>70.5*4</f>
        <v>282</v>
      </c>
      <c r="L32" s="69"/>
      <c r="M32" s="69"/>
      <c r="N32" s="69"/>
      <c r="O32" s="70" t="s">
        <v>1632</v>
      </c>
      <c r="P32" s="57">
        <v>2</v>
      </c>
      <c r="Q32" s="57">
        <f ca="1" t="shared" si="1"/>
        <v>6326.21184</v>
      </c>
      <c r="R32" s="57">
        <f t="shared" si="2"/>
        <v>0</v>
      </c>
      <c r="S32" s="57">
        <f ca="1" t="shared" si="3"/>
        <v>0</v>
      </c>
      <c r="T32" s="3"/>
    </row>
    <row r="33" ht="12" customHeight="1" spans="1:20">
      <c r="A33" s="31"/>
      <c r="B33" s="21" t="s">
        <v>1572</v>
      </c>
      <c r="C33" s="27"/>
      <c r="D33" s="23" t="s">
        <v>664</v>
      </c>
      <c r="E33" s="24">
        <f>F3*8+A3*2</f>
        <v>20</v>
      </c>
      <c r="F33" s="23"/>
      <c r="G33" s="29">
        <f ca="1">J33+K33+L33+M33+N33</f>
        <v>452.7072</v>
      </c>
      <c r="H33" s="26">
        <v>5.2</v>
      </c>
      <c r="I33" s="26">
        <v>5.2</v>
      </c>
      <c r="J33" s="29">
        <f ca="1">H33*I33*'40米（人字350料）参数'!D14*1.1</f>
        <v>410.4672</v>
      </c>
      <c r="K33" s="71">
        <f>6.1*2</f>
        <v>12.2</v>
      </c>
      <c r="L33" s="71">
        <f>0.5*10</f>
        <v>5</v>
      </c>
      <c r="M33" s="71">
        <f>0.32*22</f>
        <v>7.04</v>
      </c>
      <c r="N33" s="71">
        <f>18*1</f>
        <v>18</v>
      </c>
      <c r="O33" s="60" t="s">
        <v>1573</v>
      </c>
      <c r="P33" s="57">
        <v>18</v>
      </c>
      <c r="Q33" s="57">
        <f ca="1" t="shared" si="1"/>
        <v>8148.7296</v>
      </c>
      <c r="R33" s="57">
        <f t="shared" si="2"/>
        <v>2</v>
      </c>
      <c r="S33" s="57">
        <f ca="1" t="shared" si="3"/>
        <v>905.4144</v>
      </c>
      <c r="T33" s="3"/>
    </row>
    <row r="34" ht="12" customHeight="1" spans="1:20">
      <c r="A34" s="31"/>
      <c r="B34" s="38" t="s">
        <v>1274</v>
      </c>
      <c r="C34" s="27"/>
      <c r="D34" s="23" t="s">
        <v>28</v>
      </c>
      <c r="E34" s="24">
        <f>E33</f>
        <v>20</v>
      </c>
      <c r="F34" s="23"/>
      <c r="G34" s="39">
        <v>21</v>
      </c>
      <c r="H34" s="40"/>
      <c r="I34" s="40"/>
      <c r="J34" s="41"/>
      <c r="K34" s="41"/>
      <c r="L34" s="41"/>
      <c r="M34" s="41"/>
      <c r="N34" s="41"/>
      <c r="O34" s="66" t="s">
        <v>1608</v>
      </c>
      <c r="P34" s="57">
        <v>18</v>
      </c>
      <c r="Q34" s="57">
        <f ca="1" t="shared" si="1"/>
        <v>378</v>
      </c>
      <c r="R34" s="57">
        <f t="shared" si="2"/>
        <v>2</v>
      </c>
      <c r="S34" s="57">
        <f ca="1" t="shared" si="3"/>
        <v>42</v>
      </c>
      <c r="T34" s="3"/>
    </row>
    <row r="35" ht="12" customHeight="1" spans="1:20">
      <c r="A35" s="31"/>
      <c r="B35" s="38" t="s">
        <v>551</v>
      </c>
      <c r="C35" s="27"/>
      <c r="D35" s="23" t="s">
        <v>434</v>
      </c>
      <c r="E35" s="24">
        <f>F3*7</f>
        <v>14</v>
      </c>
      <c r="F35" s="23"/>
      <c r="G35" s="41">
        <v>15.5</v>
      </c>
      <c r="H35" s="40"/>
      <c r="I35" s="40"/>
      <c r="J35" s="41"/>
      <c r="K35" s="41"/>
      <c r="L35" s="41"/>
      <c r="M35" s="41"/>
      <c r="N35" s="41"/>
      <c r="O35" s="66" t="s">
        <v>1456</v>
      </c>
      <c r="P35" s="57">
        <v>14</v>
      </c>
      <c r="Q35" s="57">
        <f ca="1" t="shared" si="1"/>
        <v>217</v>
      </c>
      <c r="R35" s="57">
        <f t="shared" si="2"/>
        <v>0</v>
      </c>
      <c r="S35" s="57">
        <f ca="1" t="shared" si="3"/>
        <v>0</v>
      </c>
      <c r="T35" s="3"/>
    </row>
    <row r="36" ht="12" customHeight="1" spans="1:20">
      <c r="A36" s="31"/>
      <c r="B36" s="42" t="s">
        <v>1609</v>
      </c>
      <c r="C36" s="27"/>
      <c r="D36" s="43" t="s">
        <v>555</v>
      </c>
      <c r="E36" s="44">
        <f>E5+E8+E9+E10+E23+E24+E19</f>
        <v>36</v>
      </c>
      <c r="F36" s="23"/>
      <c r="G36" s="45">
        <v>1.46</v>
      </c>
      <c r="H36" s="46"/>
      <c r="I36" s="46"/>
      <c r="J36" s="45"/>
      <c r="K36" s="45"/>
      <c r="L36" s="45"/>
      <c r="M36" s="45"/>
      <c r="N36" s="45"/>
      <c r="O36" s="59" t="s">
        <v>1610</v>
      </c>
      <c r="P36" s="57">
        <v>34</v>
      </c>
      <c r="Q36" s="57">
        <f ca="1" t="shared" si="1"/>
        <v>49.64</v>
      </c>
      <c r="R36" s="57">
        <f t="shared" si="2"/>
        <v>2</v>
      </c>
      <c r="S36" s="57">
        <f ca="1" t="shared" si="3"/>
        <v>2.92</v>
      </c>
      <c r="T36" s="3"/>
    </row>
    <row r="37" ht="12" customHeight="1" spans="1:20">
      <c r="A37" s="31"/>
      <c r="B37" s="42" t="s">
        <v>1575</v>
      </c>
      <c r="C37" s="27"/>
      <c r="D37" s="43" t="s">
        <v>555</v>
      </c>
      <c r="E37" s="44">
        <f>E25+E26*2+E27*2</f>
        <v>42</v>
      </c>
      <c r="F37" s="23"/>
      <c r="G37" s="45">
        <v>1.2</v>
      </c>
      <c r="H37" s="46"/>
      <c r="I37" s="46"/>
      <c r="J37" s="45"/>
      <c r="K37" s="45"/>
      <c r="L37" s="45"/>
      <c r="M37" s="45"/>
      <c r="N37" s="45"/>
      <c r="O37" s="59"/>
      <c r="P37" s="57">
        <v>42</v>
      </c>
      <c r="Q37" s="57">
        <f ca="1" t="shared" si="1"/>
        <v>50.4</v>
      </c>
      <c r="R37" s="57">
        <f t="shared" si="2"/>
        <v>0</v>
      </c>
      <c r="S37" s="57">
        <f ca="1" t="shared" si="3"/>
        <v>0</v>
      </c>
      <c r="T37" s="3"/>
    </row>
    <row r="38" ht="12" customHeight="1" spans="1:19">
      <c r="A38" s="20" t="s">
        <v>1217</v>
      </c>
      <c r="B38" s="21" t="s">
        <v>1574</v>
      </c>
      <c r="C38" s="24"/>
      <c r="D38" s="23" t="s">
        <v>434</v>
      </c>
      <c r="E38" s="24">
        <f>D3*6</f>
        <v>18</v>
      </c>
      <c r="F38" s="23"/>
      <c r="G38" s="47">
        <v>1.95</v>
      </c>
      <c r="H38" s="48"/>
      <c r="I38" s="48"/>
      <c r="J38" s="47"/>
      <c r="K38" s="47"/>
      <c r="L38" s="47"/>
      <c r="M38" s="47"/>
      <c r="N38" s="47"/>
      <c r="O38" s="59" t="s">
        <v>1375</v>
      </c>
      <c r="P38" s="57">
        <v>12</v>
      </c>
      <c r="Q38" s="57">
        <f ca="1" t="shared" si="1"/>
        <v>23.4</v>
      </c>
      <c r="R38" s="57">
        <f t="shared" si="2"/>
        <v>6</v>
      </c>
      <c r="S38" s="57">
        <f ca="1" t="shared" si="3"/>
        <v>11.7</v>
      </c>
    </row>
    <row r="39" ht="12" customHeight="1" spans="1:19">
      <c r="A39" s="20"/>
      <c r="B39" s="21" t="s">
        <v>1581</v>
      </c>
      <c r="C39" s="24"/>
      <c r="D39" s="23" t="s">
        <v>434</v>
      </c>
      <c r="E39" s="24">
        <f>D3*22+E25+E26+E27+F3*7</f>
        <v>104</v>
      </c>
      <c r="F39" s="23"/>
      <c r="G39" s="47">
        <v>2.15</v>
      </c>
      <c r="H39" s="48"/>
      <c r="I39" s="48"/>
      <c r="J39" s="47"/>
      <c r="K39" s="47"/>
      <c r="L39" s="47"/>
      <c r="M39" s="47"/>
      <c r="N39" s="47"/>
      <c r="O39" s="59" t="s">
        <v>1372</v>
      </c>
      <c r="P39" s="57">
        <v>82</v>
      </c>
      <c r="Q39" s="57">
        <f ca="1" t="shared" si="1"/>
        <v>176.3</v>
      </c>
      <c r="R39" s="57">
        <f t="shared" si="2"/>
        <v>22</v>
      </c>
      <c r="S39" s="57">
        <f ca="1" t="shared" si="3"/>
        <v>47.3</v>
      </c>
    </row>
    <row r="40" ht="12" customHeight="1" spans="1:19">
      <c r="A40" s="20"/>
      <c r="B40" s="21" t="s">
        <v>1582</v>
      </c>
      <c r="C40" s="24"/>
      <c r="D40" s="23" t="s">
        <v>434</v>
      </c>
      <c r="E40" s="28">
        <f>E19+E25+E26+E27</f>
        <v>30</v>
      </c>
      <c r="F40" s="23"/>
      <c r="G40" s="47">
        <v>2.55</v>
      </c>
      <c r="H40" s="48"/>
      <c r="I40" s="48"/>
      <c r="J40" s="47"/>
      <c r="K40" s="47"/>
      <c r="L40" s="47"/>
      <c r="M40" s="47"/>
      <c r="N40" s="47"/>
      <c r="O40" s="59" t="s">
        <v>1373</v>
      </c>
      <c r="P40" s="57">
        <v>30</v>
      </c>
      <c r="Q40" s="57">
        <f ca="1" t="shared" si="1"/>
        <v>76.5</v>
      </c>
      <c r="R40" s="57">
        <f t="shared" si="2"/>
        <v>0</v>
      </c>
      <c r="S40" s="57">
        <f ca="1" t="shared" si="3"/>
        <v>0</v>
      </c>
    </row>
    <row r="41" spans="5:20">
      <c r="E41" s="3"/>
      <c r="F41" s="3"/>
      <c r="G41" s="3"/>
      <c r="H41" s="3"/>
      <c r="I41" s="3"/>
      <c r="J41" s="3"/>
      <c r="K41" s="3"/>
      <c r="L41" s="3"/>
      <c r="M41" s="3"/>
      <c r="N41" s="3"/>
      <c r="P41" s="1" t="s">
        <v>1218</v>
      </c>
      <c r="Q41" s="3">
        <f ca="1">SUM(Q5:Q40)</f>
        <v>110445.862621293</v>
      </c>
      <c r="R41" s="3" t="s">
        <v>1219</v>
      </c>
      <c r="S41" s="3">
        <f ca="1">SUM(S5:S40)</f>
        <v>42189.5995371712</v>
      </c>
      <c r="T41" s="3"/>
    </row>
    <row r="42" spans="5:20">
      <c r="E42" s="3"/>
      <c r="F42" s="3"/>
      <c r="G42" s="3"/>
      <c r="H42" s="3"/>
      <c r="I42" s="3"/>
      <c r="J42" s="3"/>
      <c r="K42" s="3"/>
      <c r="L42" s="3"/>
      <c r="M42" s="3"/>
      <c r="N42" s="3"/>
      <c r="Q42" s="3"/>
      <c r="R42" s="3"/>
      <c r="S42" s="3"/>
      <c r="T42" s="3"/>
    </row>
    <row r="43" spans="5:20">
      <c r="E43" s="3"/>
      <c r="F43" s="3"/>
      <c r="G43" s="3"/>
      <c r="H43" s="3"/>
      <c r="I43" s="3"/>
      <c r="J43" s="3"/>
      <c r="K43" s="3"/>
      <c r="L43" s="3"/>
      <c r="M43" s="3"/>
      <c r="N43" s="3"/>
      <c r="P43" s="50" t="s">
        <v>1576</v>
      </c>
      <c r="Q43" s="3">
        <f ca="1">Q41+S41</f>
        <v>152635.462158464</v>
      </c>
      <c r="R43" s="3"/>
      <c r="S43" s="3"/>
      <c r="T43" s="3"/>
    </row>
    <row r="44" spans="2:20">
      <c r="B44" s="49" t="s">
        <v>1221</v>
      </c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52" t="s">
        <v>1577</v>
      </c>
      <c r="Q44" s="3">
        <f ca="1">Q43/E2</f>
        <v>381.58865539616</v>
      </c>
      <c r="R44" s="3"/>
      <c r="S44" s="3"/>
      <c r="T44" s="3"/>
    </row>
    <row r="45" spans="2:20">
      <c r="B45" s="50"/>
      <c r="C45" s="51"/>
      <c r="D45" s="51"/>
      <c r="E45" s="51"/>
      <c r="F45" s="50"/>
      <c r="G45" s="3"/>
      <c r="H45" s="3"/>
      <c r="I45" s="3"/>
      <c r="J45" s="3"/>
      <c r="K45" s="3"/>
      <c r="L45" s="3"/>
      <c r="M45" s="3"/>
      <c r="N45" s="3"/>
      <c r="R45" s="3"/>
      <c r="S45" s="3"/>
      <c r="T45" s="3"/>
    </row>
    <row r="46" spans="2:20">
      <c r="B46" s="52"/>
      <c r="C46" s="52"/>
      <c r="D46" s="52"/>
      <c r="E46" s="52"/>
      <c r="F46" s="52"/>
      <c r="G46" s="3"/>
      <c r="H46" s="3"/>
      <c r="I46" s="3"/>
      <c r="J46" s="3"/>
      <c r="K46" s="3"/>
      <c r="L46" s="3"/>
      <c r="M46" s="3"/>
      <c r="N46" s="3"/>
      <c r="R46" s="3"/>
      <c r="S46" s="3"/>
      <c r="T46" s="3"/>
    </row>
    <row r="47" spans="2:20">
      <c r="B47" s="53"/>
      <c r="C47" s="53"/>
      <c r="D47" s="53"/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Q47" s="3"/>
      <c r="R47" s="3"/>
      <c r="S47" s="3"/>
      <c r="T47" s="3"/>
    </row>
    <row r="48" spans="2:20">
      <c r="B48" s="54"/>
      <c r="C48" s="54"/>
      <c r="D48" s="54"/>
      <c r="E48" s="54"/>
      <c r="F48" s="54"/>
      <c r="Q48" s="3"/>
      <c r="R48" s="3"/>
      <c r="S48" s="3"/>
      <c r="T48" s="3"/>
    </row>
    <row r="49" spans="2:20">
      <c r="B49" s="54"/>
      <c r="C49" s="54"/>
      <c r="D49" s="54"/>
      <c r="E49" s="54"/>
      <c r="F49" s="54"/>
      <c r="Q49" s="3"/>
      <c r="R49" s="3"/>
      <c r="S49" s="3"/>
      <c r="T49" s="3"/>
    </row>
    <row r="50" spans="2:20">
      <c r="B50" s="54"/>
      <c r="C50" s="54"/>
      <c r="D50" s="54"/>
      <c r="E50" s="54"/>
      <c r="F50" s="54"/>
      <c r="Q50" s="3"/>
      <c r="R50" s="3"/>
      <c r="S50" s="3"/>
      <c r="T50" s="3"/>
    </row>
    <row r="51" spans="2:20">
      <c r="B51" s="54"/>
      <c r="C51" s="54"/>
      <c r="D51" s="54"/>
      <c r="E51" s="54"/>
      <c r="F51" s="54"/>
      <c r="Q51" s="3"/>
      <c r="R51" s="3"/>
      <c r="S51" s="3"/>
      <c r="T51" s="3"/>
    </row>
    <row r="52" spans="2:20">
      <c r="B52" s="54"/>
      <c r="C52" s="54"/>
      <c r="D52" s="54"/>
      <c r="E52" s="54"/>
      <c r="F52" s="54"/>
      <c r="Q52" s="3"/>
      <c r="R52" s="3"/>
      <c r="S52" s="3"/>
      <c r="T52" s="3"/>
    </row>
  </sheetData>
  <mergeCells count="10">
    <mergeCell ref="A1:N1"/>
    <mergeCell ref="A2:C2"/>
    <mergeCell ref="G2:N2"/>
    <mergeCell ref="A3:B3"/>
    <mergeCell ref="H3:N3"/>
    <mergeCell ref="B44:O44"/>
    <mergeCell ref="B47:O47"/>
    <mergeCell ref="A5:A19"/>
    <mergeCell ref="A20:A37"/>
    <mergeCell ref="A38:A40"/>
  </mergeCells>
  <pageMargins left="0.75" right="0.75" top="1" bottom="1" header="0.509027777777778" footer="0.509027777777778"/>
  <headerFooter/>
</worksheet>
</file>

<file path=xl/worksheets/sheet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FFFF00"/>
  </sheetPr>
  <dimension ref="A1:X52"/>
  <sheetViews>
    <sheetView showGridLines="0" workbookViewId="0">
      <selection activeCell="G14" sqref="G14"/>
    </sheetView>
  </sheetViews>
  <sheetFormatPr defaultColWidth="9" defaultRowHeight="14.25"/>
  <cols>
    <col min="1" max="1" width="3.75" style="1" customWidth="1"/>
    <col min="2" max="2" width="16.875" style="1" customWidth="1"/>
    <col min="3" max="4" width="9.25" style="1" customWidth="1"/>
    <col min="5" max="6" width="9.25" style="3" customWidth="1"/>
    <col min="7" max="8" width="10.375" style="1" customWidth="1"/>
    <col min="9" max="9" width="10.25" style="1" customWidth="1"/>
    <col min="10" max="10" width="13.125" style="1" customWidth="1"/>
    <col min="11" max="11" width="14.25" style="1" customWidth="1"/>
    <col min="12" max="12" width="11.125" style="1" customWidth="1"/>
    <col min="13" max="13" width="16.875" style="1" customWidth="1"/>
    <col min="14" max="14" width="13.625" style="1" customWidth="1"/>
    <col min="15" max="15" width="73.875" style="1" customWidth="1"/>
    <col min="16" max="16" width="12.875" style="1" customWidth="1"/>
    <col min="17" max="17" width="15.75" style="3" customWidth="1"/>
    <col min="18" max="18" width="11.875" style="3" customWidth="1"/>
    <col min="19" max="19" width="14" style="3" customWidth="1"/>
    <col min="20" max="24" width="9" style="3"/>
    <col min="25" max="16384" width="9" style="1"/>
  </cols>
  <sheetData>
    <row r="1" ht="17.1" customHeight="1" spans="1:24">
      <c r="A1" s="7" t="s">
        <v>1641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3"/>
      <c r="P1" s="3"/>
      <c r="S1" s="1"/>
      <c r="T1" s="1"/>
      <c r="U1" s="1"/>
      <c r="V1" s="1"/>
      <c r="W1" s="1"/>
      <c r="X1" s="1"/>
    </row>
    <row r="2" ht="17.1" customHeight="1" spans="1:24">
      <c r="A2" s="8" t="s">
        <v>1246</v>
      </c>
      <c r="B2" s="8"/>
      <c r="C2" s="8"/>
      <c r="D2" s="9" t="s">
        <v>1198</v>
      </c>
      <c r="E2" s="10">
        <f>A3*5*40</f>
        <v>400</v>
      </c>
      <c r="F2" s="11"/>
      <c r="G2" s="11"/>
      <c r="H2" s="11"/>
      <c r="I2" s="11"/>
      <c r="J2" s="11"/>
      <c r="K2" s="11"/>
      <c r="L2" s="11"/>
      <c r="M2" s="11"/>
      <c r="N2" s="11"/>
      <c r="O2" s="55"/>
      <c r="P2" s="3"/>
      <c r="Q2" s="1"/>
      <c r="R2" s="1"/>
      <c r="S2" s="1"/>
      <c r="T2" s="1"/>
      <c r="U2" s="1"/>
      <c r="V2" s="1"/>
      <c r="W2" s="1"/>
      <c r="X2" s="1"/>
    </row>
    <row r="3" ht="17.1" customHeight="1" spans="1:24">
      <c r="A3" s="12">
        <v>2</v>
      </c>
      <c r="B3" s="12"/>
      <c r="C3" s="9" t="s">
        <v>1247</v>
      </c>
      <c r="D3" s="13">
        <v>3</v>
      </c>
      <c r="E3" s="11" t="s">
        <v>1248</v>
      </c>
      <c r="F3" s="14">
        <v>2</v>
      </c>
      <c r="G3" s="11" t="s">
        <v>1249</v>
      </c>
      <c r="H3" s="11"/>
      <c r="I3" s="11"/>
      <c r="J3" s="11"/>
      <c r="K3" s="11"/>
      <c r="L3" s="11"/>
      <c r="M3" s="11"/>
      <c r="N3" s="11"/>
      <c r="O3" s="55"/>
      <c r="P3" s="3"/>
      <c r="Q3" s="1"/>
      <c r="R3" s="1"/>
      <c r="S3" s="1"/>
      <c r="T3" s="1"/>
      <c r="U3" s="1"/>
      <c r="V3" s="1"/>
      <c r="W3" s="1"/>
      <c r="X3" s="1"/>
    </row>
    <row r="4" ht="25.5" spans="1:19">
      <c r="A4" s="15" t="s">
        <v>1200</v>
      </c>
      <c r="B4" s="16" t="s">
        <v>1201</v>
      </c>
      <c r="C4" s="17" t="s">
        <v>1396</v>
      </c>
      <c r="D4" s="18" t="s">
        <v>22</v>
      </c>
      <c r="E4" s="18" t="s">
        <v>1203</v>
      </c>
      <c r="F4" s="18" t="s">
        <v>1202</v>
      </c>
      <c r="G4" s="17" t="s">
        <v>1204</v>
      </c>
      <c r="H4" s="19" t="s">
        <v>1205</v>
      </c>
      <c r="I4" s="17" t="s">
        <v>1253</v>
      </c>
      <c r="J4" s="17" t="s">
        <v>1254</v>
      </c>
      <c r="K4" s="17" t="s">
        <v>1255</v>
      </c>
      <c r="L4" s="17" t="s">
        <v>1209</v>
      </c>
      <c r="M4" s="17" t="s">
        <v>1420</v>
      </c>
      <c r="N4" s="17" t="s">
        <v>1211</v>
      </c>
      <c r="O4" s="56" t="s">
        <v>1257</v>
      </c>
      <c r="P4" s="57" t="s">
        <v>1430</v>
      </c>
      <c r="Q4" s="57" t="s">
        <v>1213</v>
      </c>
      <c r="R4" s="57" t="s">
        <v>1541</v>
      </c>
      <c r="S4" s="57" t="s">
        <v>1213</v>
      </c>
    </row>
    <row r="5" ht="12" customHeight="1" spans="1:19">
      <c r="A5" s="20" t="s">
        <v>1215</v>
      </c>
      <c r="B5" s="21" t="s">
        <v>1224</v>
      </c>
      <c r="C5" s="22"/>
      <c r="D5" s="23" t="s">
        <v>28</v>
      </c>
      <c r="E5" s="24">
        <f>D3*2</f>
        <v>6</v>
      </c>
      <c r="F5" s="23"/>
      <c r="G5" s="25">
        <f ca="1" t="shared" ref="G5:G13" si="0">J5+K5+L5+M5+N5</f>
        <v>2923.24933712</v>
      </c>
      <c r="H5" s="26">
        <f>11.7/2</f>
        <v>5.85</v>
      </c>
      <c r="I5" s="26">
        <v>15.052</v>
      </c>
      <c r="J5" s="25">
        <f ca="1">H5*I5*'40米（人字350料）参数'!G9*1.1</f>
        <v>2554.76933712</v>
      </c>
      <c r="K5" s="29">
        <f ca="1">135.53*2</f>
        <v>271.06</v>
      </c>
      <c r="L5" s="29">
        <v>74.27</v>
      </c>
      <c r="M5" s="29">
        <f>2.55*5</f>
        <v>12.75</v>
      </c>
      <c r="N5" s="29">
        <f>0.65*16</f>
        <v>10.4</v>
      </c>
      <c r="O5" s="58" t="s">
        <v>1642</v>
      </c>
      <c r="P5" s="57">
        <v>4</v>
      </c>
      <c r="Q5" s="57">
        <f ca="1" t="shared" ref="Q5:Q40" si="1">G5*P5</f>
        <v>11692.99734848</v>
      </c>
      <c r="R5" s="57">
        <f t="shared" ref="R5:R40" si="2">E5-P5</f>
        <v>2</v>
      </c>
      <c r="S5" s="57">
        <f ca="1" t="shared" ref="S5:S40" si="3">G5*R5</f>
        <v>5846.49867424</v>
      </c>
    </row>
    <row r="6" ht="12" customHeight="1" spans="1:19">
      <c r="A6" s="20"/>
      <c r="B6" s="21" t="s">
        <v>1543</v>
      </c>
      <c r="C6" s="27"/>
      <c r="D6" s="23" t="s">
        <v>28</v>
      </c>
      <c r="E6" s="24">
        <f>D3*2</f>
        <v>6</v>
      </c>
      <c r="F6" s="23"/>
      <c r="G6" s="25">
        <f ca="1" t="shared" si="0"/>
        <v>4715.321770464</v>
      </c>
      <c r="H6" s="26">
        <v>10.62</v>
      </c>
      <c r="I6" s="26">
        <v>15.052</v>
      </c>
      <c r="J6" s="25">
        <f ca="1">H6*I6*'40米（人字350料）参数'!G9*1.1</f>
        <v>4637.888950464</v>
      </c>
      <c r="K6" s="29">
        <f ca="1">8*2.5</f>
        <v>20</v>
      </c>
      <c r="L6" s="29">
        <v>21.61</v>
      </c>
      <c r="M6" s="29">
        <f>1.5*8</f>
        <v>12</v>
      </c>
      <c r="N6" s="29">
        <f ca="1">1.25*0.882*'40米（人字350料）参数'!G5</f>
        <v>23.82282</v>
      </c>
      <c r="O6" s="58" t="s">
        <v>1638</v>
      </c>
      <c r="P6" s="57">
        <v>4</v>
      </c>
      <c r="Q6" s="57">
        <f ca="1" t="shared" si="1"/>
        <v>18861.287081856</v>
      </c>
      <c r="R6" s="57">
        <f t="shared" si="2"/>
        <v>2</v>
      </c>
      <c r="S6" s="57">
        <f ca="1" t="shared" si="3"/>
        <v>9430.643540928</v>
      </c>
    </row>
    <row r="7" ht="12" customHeight="1" spans="1:19">
      <c r="A7" s="20"/>
      <c r="B7" s="21" t="s">
        <v>1625</v>
      </c>
      <c r="C7" s="27"/>
      <c r="D7" s="23" t="s">
        <v>28</v>
      </c>
      <c r="E7" s="24">
        <f>D3*2</f>
        <v>6</v>
      </c>
      <c r="F7" s="23"/>
      <c r="G7" s="25">
        <f ca="1" t="shared" si="0"/>
        <v>5324.251074464</v>
      </c>
      <c r="H7" s="26">
        <v>10.62</v>
      </c>
      <c r="I7" s="26">
        <v>15.052</v>
      </c>
      <c r="J7" s="25">
        <f ca="1">H7*I7*'40米（人字350料）参数'!G9*1.1</f>
        <v>4637.888950464</v>
      </c>
      <c r="K7" s="29">
        <f ca="1">8*2.5</f>
        <v>20</v>
      </c>
      <c r="L7" s="29">
        <f ca="1">1.5*16.257*'40米（人字350料）参数'!G10</f>
        <v>625.439304</v>
      </c>
      <c r="M7" s="29">
        <f>2.55*2+1.5*8</f>
        <v>17.1</v>
      </c>
      <c r="N7" s="29">
        <f ca="1">1.25*0.882*'40米（人字350料）参数'!G5</f>
        <v>23.82282</v>
      </c>
      <c r="O7" s="58" t="s">
        <v>1639</v>
      </c>
      <c r="P7" s="57">
        <v>4</v>
      </c>
      <c r="Q7" s="57">
        <f ca="1" t="shared" si="1"/>
        <v>21297.004297856</v>
      </c>
      <c r="R7" s="57">
        <f t="shared" si="2"/>
        <v>2</v>
      </c>
      <c r="S7" s="57">
        <f ca="1" t="shared" si="3"/>
        <v>10648.502148928</v>
      </c>
    </row>
    <row r="8" ht="12" customHeight="1" spans="1:19">
      <c r="A8" s="20"/>
      <c r="B8" s="21" t="s">
        <v>1588</v>
      </c>
      <c r="C8" s="27"/>
      <c r="D8" s="23" t="s">
        <v>28</v>
      </c>
      <c r="E8" s="24">
        <f>F3*2</f>
        <v>4</v>
      </c>
      <c r="F8" s="23"/>
      <c r="G8" s="25">
        <f ca="1" t="shared" si="0"/>
        <v>1071.2073672</v>
      </c>
      <c r="H8" s="26">
        <v>7.33</v>
      </c>
      <c r="I8" s="26">
        <v>5.3</v>
      </c>
      <c r="J8" s="25">
        <f ca="1">H8*I8*'40米（人字350料）参数'!G3*1.1</f>
        <v>967.8373672</v>
      </c>
      <c r="K8" s="29">
        <f ca="1">2.5*2</f>
        <v>5</v>
      </c>
      <c r="L8" s="29">
        <f ca="1">49.51+41.21</f>
        <v>90.72</v>
      </c>
      <c r="M8" s="29">
        <f>2.55*3</f>
        <v>7.65</v>
      </c>
      <c r="N8" s="29"/>
      <c r="O8" s="58" t="s">
        <v>1613</v>
      </c>
      <c r="P8" s="57">
        <v>4</v>
      </c>
      <c r="Q8" s="57">
        <f ca="1" t="shared" si="1"/>
        <v>4284.8294688</v>
      </c>
      <c r="R8" s="57">
        <f t="shared" si="2"/>
        <v>0</v>
      </c>
      <c r="S8" s="57">
        <f ca="1" t="shared" si="3"/>
        <v>0</v>
      </c>
    </row>
    <row r="9" ht="12" customHeight="1" spans="1:19">
      <c r="A9" s="20"/>
      <c r="B9" s="21" t="s">
        <v>1590</v>
      </c>
      <c r="C9" s="27"/>
      <c r="D9" s="23" t="s">
        <v>28</v>
      </c>
      <c r="E9" s="24">
        <f>F3*2</f>
        <v>4</v>
      </c>
      <c r="F9" s="23"/>
      <c r="G9" s="25">
        <f ca="1" t="shared" si="0"/>
        <v>1275.8660192</v>
      </c>
      <c r="H9" s="26">
        <v>8.88</v>
      </c>
      <c r="I9" s="26">
        <v>5.3</v>
      </c>
      <c r="J9" s="25">
        <f ca="1">H9*I9*'40米（人字350料）参数'!G3*1.1</f>
        <v>1172.4960192</v>
      </c>
      <c r="K9" s="29">
        <f ca="1">2.5*2</f>
        <v>5</v>
      </c>
      <c r="L9" s="29">
        <f ca="1">49.51+41.21</f>
        <v>90.72</v>
      </c>
      <c r="M9" s="29">
        <f>2.55*3</f>
        <v>7.65</v>
      </c>
      <c r="N9" s="29"/>
      <c r="O9" s="58" t="s">
        <v>1614</v>
      </c>
      <c r="P9" s="57">
        <v>4</v>
      </c>
      <c r="Q9" s="57">
        <f ca="1" t="shared" si="1"/>
        <v>5103.4640768</v>
      </c>
      <c r="R9" s="57">
        <f t="shared" si="2"/>
        <v>0</v>
      </c>
      <c r="S9" s="57">
        <f ca="1" t="shared" si="3"/>
        <v>0</v>
      </c>
    </row>
    <row r="10" ht="12" customHeight="1" spans="1:19">
      <c r="A10" s="20"/>
      <c r="B10" s="21" t="s">
        <v>1592</v>
      </c>
      <c r="C10" s="27"/>
      <c r="D10" s="23" t="s">
        <v>28</v>
      </c>
      <c r="E10" s="24">
        <f>F3*2</f>
        <v>4</v>
      </c>
      <c r="F10" s="23"/>
      <c r="G10" s="25">
        <f ca="1" t="shared" si="0"/>
        <v>1480.5246712</v>
      </c>
      <c r="H10" s="26">
        <v>10.43</v>
      </c>
      <c r="I10" s="26">
        <v>5.3</v>
      </c>
      <c r="J10" s="25">
        <f ca="1">H10*I10*'40米（人字350料）参数'!G3*1.1</f>
        <v>1377.1546712</v>
      </c>
      <c r="K10" s="29">
        <f ca="1">2.5*2</f>
        <v>5</v>
      </c>
      <c r="L10" s="29">
        <f ca="1">49.51+41.21</f>
        <v>90.72</v>
      </c>
      <c r="M10" s="29">
        <f>2.55*3</f>
        <v>7.65</v>
      </c>
      <c r="N10" s="29"/>
      <c r="O10" s="58" t="s">
        <v>1615</v>
      </c>
      <c r="P10" s="57">
        <v>4</v>
      </c>
      <c r="Q10" s="57">
        <f ca="1" t="shared" si="1"/>
        <v>5922.0986848</v>
      </c>
      <c r="R10" s="57">
        <f t="shared" si="2"/>
        <v>0</v>
      </c>
      <c r="S10" s="57">
        <f ca="1" t="shared" si="3"/>
        <v>0</v>
      </c>
    </row>
    <row r="11" ht="12" customHeight="1" spans="1:19">
      <c r="A11" s="20"/>
      <c r="B11" s="21" t="s">
        <v>1627</v>
      </c>
      <c r="C11" s="27"/>
      <c r="D11" s="23" t="s">
        <v>28</v>
      </c>
      <c r="E11" s="24">
        <v>2</v>
      </c>
      <c r="F11" s="23"/>
      <c r="G11" s="25">
        <f ca="1" t="shared" si="0"/>
        <v>2556.450705504</v>
      </c>
      <c r="H11" s="26">
        <v>11.96</v>
      </c>
      <c r="I11" s="26">
        <v>8.233</v>
      </c>
      <c r="J11" s="25">
        <f ca="1">H11*I11*'40米（人字350料）参数'!G3*1.1</f>
        <v>2453.080705504</v>
      </c>
      <c r="K11" s="29">
        <f ca="1">2.5*2</f>
        <v>5</v>
      </c>
      <c r="L11" s="29">
        <f ca="1">49.51+41.21</f>
        <v>90.72</v>
      </c>
      <c r="M11" s="29">
        <f>2.55*3</f>
        <v>7.65</v>
      </c>
      <c r="N11" s="29"/>
      <c r="O11" s="58" t="s">
        <v>1635</v>
      </c>
      <c r="P11" s="57">
        <v>2</v>
      </c>
      <c r="Q11" s="57">
        <f ca="1" t="shared" si="1"/>
        <v>5112.901411008</v>
      </c>
      <c r="R11" s="57">
        <f t="shared" si="2"/>
        <v>0</v>
      </c>
      <c r="S11" s="57">
        <f ca="1" t="shared" si="3"/>
        <v>0</v>
      </c>
    </row>
    <row r="12" ht="12" customHeight="1" spans="1:19">
      <c r="A12" s="20"/>
      <c r="B12" s="21" t="s">
        <v>1226</v>
      </c>
      <c r="C12" s="27"/>
      <c r="D12" s="23" t="s">
        <v>28</v>
      </c>
      <c r="E12" s="24">
        <f>A3*12+F3*6</f>
        <v>36</v>
      </c>
      <c r="F12" s="23"/>
      <c r="G12" s="25">
        <f ca="1" t="shared" si="0"/>
        <v>336.5448493136</v>
      </c>
      <c r="H12" s="26">
        <v>4.882</v>
      </c>
      <c r="I12" s="26">
        <v>2.771</v>
      </c>
      <c r="J12" s="25">
        <f ca="1">H12*I12*'40米（人字350料）参数'!G5*1.1</f>
        <v>321.5448493136</v>
      </c>
      <c r="K12" s="29"/>
      <c r="L12" s="29"/>
      <c r="M12" s="29">
        <f>0.5*4</f>
        <v>2</v>
      </c>
      <c r="N12" s="29">
        <f>6.5*2</f>
        <v>13</v>
      </c>
      <c r="O12" s="59" t="s">
        <v>1595</v>
      </c>
      <c r="P12" s="57">
        <v>24</v>
      </c>
      <c r="Q12" s="57">
        <f ca="1" t="shared" si="1"/>
        <v>8077.0763835264</v>
      </c>
      <c r="R12" s="57">
        <f t="shared" si="2"/>
        <v>12</v>
      </c>
      <c r="S12" s="57">
        <f ca="1" t="shared" si="3"/>
        <v>4038.5381917632</v>
      </c>
    </row>
    <row r="13" ht="12" customHeight="1" spans="1:19">
      <c r="A13" s="20"/>
      <c r="B13" s="21" t="s">
        <v>1596</v>
      </c>
      <c r="C13" s="27"/>
      <c r="D13" s="23" t="s">
        <v>28</v>
      </c>
      <c r="E13" s="24">
        <f>A3*5</f>
        <v>10</v>
      </c>
      <c r="F13" s="23"/>
      <c r="G13" s="25">
        <f ca="1" t="shared" si="0"/>
        <v>737.9347773824</v>
      </c>
      <c r="H13" s="26">
        <v>4.882</v>
      </c>
      <c r="I13" s="26">
        <v>5.944</v>
      </c>
      <c r="J13" s="25">
        <f ca="1">H13*I13*'40米（人字350料）参数'!G3*1.1</f>
        <v>722.9347773824</v>
      </c>
      <c r="K13" s="29"/>
      <c r="L13" s="29"/>
      <c r="M13" s="29">
        <f>0.5*4</f>
        <v>2</v>
      </c>
      <c r="N13" s="29">
        <f>6.5*2</f>
        <v>13</v>
      </c>
      <c r="O13" s="60" t="s">
        <v>1597</v>
      </c>
      <c r="P13" s="57">
        <v>5</v>
      </c>
      <c r="Q13" s="57">
        <f ca="1" t="shared" si="1"/>
        <v>3689.673886912</v>
      </c>
      <c r="R13" s="57">
        <f t="shared" si="2"/>
        <v>5</v>
      </c>
      <c r="S13" s="57">
        <f ca="1" t="shared" si="3"/>
        <v>3689.673886912</v>
      </c>
    </row>
    <row r="14" ht="12" customHeight="1" spans="1:19">
      <c r="A14" s="20"/>
      <c r="B14" s="21" t="s">
        <v>1266</v>
      </c>
      <c r="C14" s="27"/>
      <c r="D14" s="23" t="s">
        <v>28</v>
      </c>
      <c r="E14" s="24">
        <f>A3*2+F3*8</f>
        <v>20</v>
      </c>
      <c r="F14" s="23"/>
      <c r="G14" s="25">
        <f ca="1">'数据修改（批量）'!A28</f>
        <v>95</v>
      </c>
      <c r="H14" s="26">
        <v>4.86</v>
      </c>
      <c r="I14" s="26">
        <v>1.345</v>
      </c>
      <c r="J14" s="25">
        <f ca="1">H14*I14*'40米（人字350料）参数'!G5*1.1</f>
        <v>155.36951496</v>
      </c>
      <c r="K14" s="29"/>
      <c r="L14" s="29"/>
      <c r="M14" s="29"/>
      <c r="N14" s="29"/>
      <c r="O14" s="59" t="s">
        <v>1554</v>
      </c>
      <c r="P14" s="57">
        <v>18</v>
      </c>
      <c r="Q14" s="57">
        <f ca="1" t="shared" si="1"/>
        <v>1710</v>
      </c>
      <c r="R14" s="57">
        <f t="shared" si="2"/>
        <v>2</v>
      </c>
      <c r="S14" s="57">
        <f ca="1" t="shared" si="3"/>
        <v>190</v>
      </c>
    </row>
    <row r="15" ht="12" customHeight="1" spans="1:19">
      <c r="A15" s="20"/>
      <c r="B15" s="21" t="s">
        <v>1276</v>
      </c>
      <c r="C15" s="27"/>
      <c r="D15" s="23" t="s">
        <v>28</v>
      </c>
      <c r="E15" s="28">
        <f>F3*2</f>
        <v>4</v>
      </c>
      <c r="F15" s="23"/>
      <c r="G15" s="25">
        <f ca="1" t="shared" ref="G15:G20" si="4">J15+K15+L15+M15+N15</f>
        <v>348.2448493136</v>
      </c>
      <c r="H15" s="26">
        <v>4.882</v>
      </c>
      <c r="I15" s="26">
        <v>2.771</v>
      </c>
      <c r="J15" s="25">
        <f ca="1">H15*I15*'40米（人字350料）参数'!G5*1.1</f>
        <v>321.5448493136</v>
      </c>
      <c r="K15" s="29"/>
      <c r="L15" s="61">
        <v>15</v>
      </c>
      <c r="M15" s="61">
        <f>8*0.65</f>
        <v>5.2</v>
      </c>
      <c r="N15" s="61">
        <v>6.5</v>
      </c>
      <c r="O15" s="59" t="s">
        <v>1598</v>
      </c>
      <c r="P15" s="57">
        <v>4</v>
      </c>
      <c r="Q15" s="57">
        <f ca="1" t="shared" si="1"/>
        <v>1392.9793972544</v>
      </c>
      <c r="R15" s="57">
        <f t="shared" si="2"/>
        <v>0</v>
      </c>
      <c r="S15" s="57">
        <f ca="1" t="shared" si="3"/>
        <v>0</v>
      </c>
    </row>
    <row r="16" ht="12" customHeight="1" spans="1:19">
      <c r="A16" s="20"/>
      <c r="B16" s="21" t="s">
        <v>1356</v>
      </c>
      <c r="C16" s="27"/>
      <c r="D16" s="23" t="s">
        <v>28</v>
      </c>
      <c r="E16" s="28">
        <f>F3</f>
        <v>2</v>
      </c>
      <c r="F16" s="23"/>
      <c r="G16" s="25">
        <f ca="1" t="shared" si="4"/>
        <v>162.06</v>
      </c>
      <c r="H16" s="26">
        <v>7.5</v>
      </c>
      <c r="I16" s="26">
        <v>1</v>
      </c>
      <c r="J16" s="29">
        <f ca="1">H16*I16*'40米（人字350料）参数'!G5</f>
        <v>162.06</v>
      </c>
      <c r="K16" s="29"/>
      <c r="L16" s="29"/>
      <c r="M16" s="29"/>
      <c r="N16" s="29"/>
      <c r="O16" s="60" t="s">
        <v>1599</v>
      </c>
      <c r="P16" s="57">
        <v>2</v>
      </c>
      <c r="Q16" s="57">
        <f ca="1" t="shared" si="1"/>
        <v>324.12</v>
      </c>
      <c r="R16" s="57">
        <f t="shared" si="2"/>
        <v>0</v>
      </c>
      <c r="S16" s="57">
        <f ca="1" t="shared" si="3"/>
        <v>0</v>
      </c>
    </row>
    <row r="17" ht="12" customHeight="1" spans="1:19">
      <c r="A17" s="20"/>
      <c r="B17" s="21" t="s">
        <v>1448</v>
      </c>
      <c r="C17" s="27"/>
      <c r="D17" s="23" t="s">
        <v>28</v>
      </c>
      <c r="E17" s="28">
        <f>D3*2-F3*2</f>
        <v>2</v>
      </c>
      <c r="F17" s="23"/>
      <c r="G17" s="29">
        <f ca="1" t="shared" si="4"/>
        <v>259</v>
      </c>
      <c r="H17" s="26"/>
      <c r="I17" s="26"/>
      <c r="J17" s="29">
        <f>128*1.5</f>
        <v>192</v>
      </c>
      <c r="K17" s="29"/>
      <c r="L17" s="29">
        <f>2.5*2</f>
        <v>5</v>
      </c>
      <c r="M17" s="29">
        <f>21*2</f>
        <v>42</v>
      </c>
      <c r="N17" s="29">
        <v>20</v>
      </c>
      <c r="O17" s="58" t="s">
        <v>1558</v>
      </c>
      <c r="P17" s="57">
        <v>0</v>
      </c>
      <c r="Q17" s="57">
        <f ca="1" t="shared" si="1"/>
        <v>0</v>
      </c>
      <c r="R17" s="57">
        <f t="shared" si="2"/>
        <v>2</v>
      </c>
      <c r="S17" s="57">
        <f ca="1" t="shared" si="3"/>
        <v>518</v>
      </c>
    </row>
    <row r="18" ht="12" customHeight="1" spans="1:19">
      <c r="A18" s="20"/>
      <c r="B18" s="21" t="s">
        <v>1559</v>
      </c>
      <c r="C18" s="27"/>
      <c r="D18" s="23" t="s">
        <v>28</v>
      </c>
      <c r="E18" s="28">
        <f>D3-F3</f>
        <v>1</v>
      </c>
      <c r="F18" s="23"/>
      <c r="G18" s="29">
        <f ca="1" t="shared" si="4"/>
        <v>259</v>
      </c>
      <c r="H18" s="26"/>
      <c r="I18" s="26"/>
      <c r="J18" s="29">
        <f>128*1.5</f>
        <v>192</v>
      </c>
      <c r="K18" s="29"/>
      <c r="L18" s="29">
        <f>2.5*2</f>
        <v>5</v>
      </c>
      <c r="M18" s="29">
        <f>21*2</f>
        <v>42</v>
      </c>
      <c r="N18" s="29">
        <v>20</v>
      </c>
      <c r="O18" s="58" t="s">
        <v>1558</v>
      </c>
      <c r="P18" s="57">
        <v>0</v>
      </c>
      <c r="Q18" s="57">
        <f ca="1" t="shared" si="1"/>
        <v>0</v>
      </c>
      <c r="R18" s="57">
        <f t="shared" si="2"/>
        <v>1</v>
      </c>
      <c r="S18" s="57">
        <f ca="1" t="shared" si="3"/>
        <v>259</v>
      </c>
    </row>
    <row r="19" ht="12" customHeight="1" spans="1:19">
      <c r="A19" s="20"/>
      <c r="B19" s="21" t="s">
        <v>1272</v>
      </c>
      <c r="C19" s="27"/>
      <c r="D19" s="23" t="s">
        <v>28</v>
      </c>
      <c r="E19" s="30">
        <v>6</v>
      </c>
      <c r="F19" s="23"/>
      <c r="G19" s="29">
        <f ca="1" t="shared" si="4"/>
        <v>237</v>
      </c>
      <c r="H19" s="26"/>
      <c r="I19" s="26"/>
      <c r="J19" s="29">
        <f>108*2</f>
        <v>216</v>
      </c>
      <c r="K19" s="29"/>
      <c r="L19" s="29">
        <v>6</v>
      </c>
      <c r="M19" s="29">
        <v>10</v>
      </c>
      <c r="N19" s="29">
        <v>5</v>
      </c>
      <c r="O19" s="60" t="s">
        <v>1561</v>
      </c>
      <c r="P19" s="57">
        <v>4</v>
      </c>
      <c r="Q19" s="57">
        <f ca="1" t="shared" si="1"/>
        <v>948</v>
      </c>
      <c r="R19" s="57">
        <f t="shared" si="2"/>
        <v>2</v>
      </c>
      <c r="S19" s="57">
        <f ca="1" t="shared" si="3"/>
        <v>474</v>
      </c>
    </row>
    <row r="20" ht="12" customHeight="1" spans="1:19">
      <c r="A20" s="20" t="s">
        <v>1562</v>
      </c>
      <c r="B20" s="21" t="s">
        <v>1304</v>
      </c>
      <c r="C20" s="27"/>
      <c r="D20" s="23" t="s">
        <v>434</v>
      </c>
      <c r="E20" s="24">
        <f>D3</f>
        <v>3</v>
      </c>
      <c r="F20" s="23"/>
      <c r="G20" s="25">
        <f ca="1" t="shared" si="4"/>
        <v>1239.42283808</v>
      </c>
      <c r="H20" s="26">
        <v>1.8</v>
      </c>
      <c r="I20" s="26">
        <v>16.257</v>
      </c>
      <c r="J20" s="29">
        <f ca="1">H20*I20*'40米（人字350料）参数'!G10*1.1</f>
        <v>825.57988128</v>
      </c>
      <c r="K20" s="29">
        <v>100</v>
      </c>
      <c r="L20" s="25">
        <f ca="1">0.8*15.052*'40米（人字350料）参数'!G10</f>
        <v>308.8429568</v>
      </c>
      <c r="M20" s="29">
        <f>2*2.5</f>
        <v>5</v>
      </c>
      <c r="N20" s="29"/>
      <c r="O20" s="60" t="s">
        <v>1616</v>
      </c>
      <c r="P20" s="57">
        <v>2</v>
      </c>
      <c r="Q20" s="57">
        <f ca="1" t="shared" si="1"/>
        <v>2478.84567616</v>
      </c>
      <c r="R20" s="57">
        <f t="shared" si="2"/>
        <v>1</v>
      </c>
      <c r="S20" s="57">
        <f ca="1" t="shared" si="3"/>
        <v>1239.42283808</v>
      </c>
    </row>
    <row r="21" ht="12" customHeight="1" spans="1:19">
      <c r="A21" s="31"/>
      <c r="B21" s="21" t="s">
        <v>1310</v>
      </c>
      <c r="C21" s="27"/>
      <c r="D21" s="23" t="s">
        <v>434</v>
      </c>
      <c r="E21" s="24">
        <f>E8+E9+E10+E11</f>
        <v>14</v>
      </c>
      <c r="F21" s="23"/>
      <c r="G21" s="29">
        <v>76.4</v>
      </c>
      <c r="H21" s="26"/>
      <c r="I21" s="26"/>
      <c r="J21" s="29"/>
      <c r="K21" s="29"/>
      <c r="L21" s="29"/>
      <c r="M21" s="29"/>
      <c r="N21" s="29"/>
      <c r="O21" s="59" t="s">
        <v>1361</v>
      </c>
      <c r="P21" s="57">
        <v>14</v>
      </c>
      <c r="Q21" s="57">
        <f ca="1" t="shared" si="1"/>
        <v>1069.6</v>
      </c>
      <c r="R21" s="57">
        <f t="shared" si="2"/>
        <v>0</v>
      </c>
      <c r="S21" s="57">
        <f ca="1" t="shared" si="3"/>
        <v>0</v>
      </c>
    </row>
    <row r="22" ht="12" customHeight="1" spans="1:19">
      <c r="A22" s="31"/>
      <c r="B22" s="21" t="s">
        <v>1280</v>
      </c>
      <c r="C22" s="27"/>
      <c r="D22" s="23" t="s">
        <v>434</v>
      </c>
      <c r="E22" s="28">
        <f>E5</f>
        <v>6</v>
      </c>
      <c r="F22" s="23"/>
      <c r="G22" s="29">
        <v>137</v>
      </c>
      <c r="H22" s="26"/>
      <c r="I22" s="26"/>
      <c r="J22" s="29"/>
      <c r="K22" s="29"/>
      <c r="L22" s="29"/>
      <c r="M22" s="29"/>
      <c r="N22" s="29"/>
      <c r="O22" s="59" t="s">
        <v>1361</v>
      </c>
      <c r="P22" s="57">
        <v>4</v>
      </c>
      <c r="Q22" s="57">
        <f ca="1" t="shared" si="1"/>
        <v>548</v>
      </c>
      <c r="R22" s="57">
        <f t="shared" si="2"/>
        <v>2</v>
      </c>
      <c r="S22" s="57">
        <f ca="1" t="shared" si="3"/>
        <v>274</v>
      </c>
    </row>
    <row r="23" ht="12" customHeight="1" spans="1:19">
      <c r="A23" s="31"/>
      <c r="B23" s="21" t="s">
        <v>1629</v>
      </c>
      <c r="C23" s="27"/>
      <c r="D23" s="23" t="s">
        <v>28</v>
      </c>
      <c r="E23" s="32">
        <f>E19</f>
        <v>6</v>
      </c>
      <c r="F23" s="23"/>
      <c r="G23" s="29">
        <v>124</v>
      </c>
      <c r="H23" s="26"/>
      <c r="I23" s="26"/>
      <c r="J23" s="29"/>
      <c r="K23" s="29"/>
      <c r="L23" s="29"/>
      <c r="M23" s="29"/>
      <c r="N23" s="29"/>
      <c r="O23" s="60" t="s">
        <v>1630</v>
      </c>
      <c r="P23" s="57">
        <v>4</v>
      </c>
      <c r="Q23" s="57">
        <f ca="1" t="shared" si="1"/>
        <v>496</v>
      </c>
      <c r="R23" s="57">
        <f t="shared" si="2"/>
        <v>2</v>
      </c>
      <c r="S23" s="57">
        <f ca="1" t="shared" si="3"/>
        <v>248</v>
      </c>
    </row>
    <row r="24" ht="12" customHeight="1" spans="1:19">
      <c r="A24" s="31"/>
      <c r="B24" s="21" t="s">
        <v>1600</v>
      </c>
      <c r="C24" s="27"/>
      <c r="D24" s="23" t="s">
        <v>28</v>
      </c>
      <c r="E24" s="32">
        <f>E19</f>
        <v>6</v>
      </c>
      <c r="F24" s="23"/>
      <c r="G24" s="29">
        <v>119.3</v>
      </c>
      <c r="H24" s="26"/>
      <c r="I24" s="26"/>
      <c r="J24" s="29"/>
      <c r="K24" s="29"/>
      <c r="L24" s="29"/>
      <c r="M24" s="29"/>
      <c r="N24" s="29"/>
      <c r="O24" s="60" t="s">
        <v>1601</v>
      </c>
      <c r="P24" s="57">
        <v>4</v>
      </c>
      <c r="Q24" s="57">
        <f ca="1" t="shared" si="1"/>
        <v>477.2</v>
      </c>
      <c r="R24" s="57">
        <f t="shared" si="2"/>
        <v>2</v>
      </c>
      <c r="S24" s="57">
        <f ca="1" t="shared" si="3"/>
        <v>238.6</v>
      </c>
    </row>
    <row r="25" ht="12" customHeight="1" spans="1:19">
      <c r="A25" s="31"/>
      <c r="B25" s="21" t="s">
        <v>522</v>
      </c>
      <c r="C25" s="27"/>
      <c r="D25" s="23" t="s">
        <v>434</v>
      </c>
      <c r="E25" s="32">
        <f>E19</f>
        <v>6</v>
      </c>
      <c r="F25" s="23"/>
      <c r="G25" s="34">
        <v>9.65</v>
      </c>
      <c r="H25" s="82"/>
      <c r="I25" s="82"/>
      <c r="J25" s="83"/>
      <c r="K25" s="83"/>
      <c r="L25" s="83"/>
      <c r="M25" s="83"/>
      <c r="N25" s="83"/>
      <c r="O25" s="64" t="s">
        <v>1604</v>
      </c>
      <c r="P25" s="57">
        <v>4</v>
      </c>
      <c r="Q25" s="57">
        <f ca="1" t="shared" si="1"/>
        <v>38.6</v>
      </c>
      <c r="R25" s="57">
        <f t="shared" si="2"/>
        <v>2</v>
      </c>
      <c r="S25" s="57">
        <f ca="1" t="shared" si="3"/>
        <v>19.3</v>
      </c>
    </row>
    <row r="26" ht="12" customHeight="1" spans="1:19">
      <c r="A26" s="31"/>
      <c r="B26" s="21" t="s">
        <v>524</v>
      </c>
      <c r="C26" s="27"/>
      <c r="D26" s="23" t="s">
        <v>434</v>
      </c>
      <c r="E26" s="32">
        <f>E19*2</f>
        <v>12</v>
      </c>
      <c r="F26" s="23"/>
      <c r="G26" s="29">
        <v>18.36</v>
      </c>
      <c r="H26" s="26"/>
      <c r="I26" s="26"/>
      <c r="J26" s="29"/>
      <c r="K26" s="29"/>
      <c r="L26" s="29"/>
      <c r="M26" s="29"/>
      <c r="N26" s="29"/>
      <c r="O26" s="60" t="s">
        <v>1605</v>
      </c>
      <c r="P26" s="57">
        <v>8</v>
      </c>
      <c r="Q26" s="57">
        <f ca="1" t="shared" si="1"/>
        <v>146.88</v>
      </c>
      <c r="R26" s="57">
        <f t="shared" si="2"/>
        <v>4</v>
      </c>
      <c r="S26" s="57">
        <f ca="1" t="shared" si="3"/>
        <v>73.44</v>
      </c>
    </row>
    <row r="27" ht="12" customHeight="1" spans="1:19">
      <c r="A27" s="31"/>
      <c r="B27" s="21" t="s">
        <v>526</v>
      </c>
      <c r="C27" s="27"/>
      <c r="D27" s="23" t="s">
        <v>434</v>
      </c>
      <c r="E27" s="32">
        <f>E26/2</f>
        <v>6</v>
      </c>
      <c r="F27" s="23"/>
      <c r="G27" s="29">
        <v>24.84</v>
      </c>
      <c r="H27" s="26"/>
      <c r="I27" s="26"/>
      <c r="J27" s="29"/>
      <c r="K27" s="29"/>
      <c r="L27" s="29"/>
      <c r="M27" s="29"/>
      <c r="N27" s="29"/>
      <c r="O27" s="60" t="s">
        <v>1606</v>
      </c>
      <c r="P27" s="57">
        <v>4</v>
      </c>
      <c r="Q27" s="57">
        <f ca="1" t="shared" si="1"/>
        <v>99.36</v>
      </c>
      <c r="R27" s="57">
        <f t="shared" si="2"/>
        <v>2</v>
      </c>
      <c r="S27" s="57">
        <f ca="1" t="shared" si="3"/>
        <v>49.68</v>
      </c>
    </row>
    <row r="28" ht="12" customHeight="1" spans="1:19">
      <c r="A28" s="31"/>
      <c r="B28" s="21" t="s">
        <v>1282</v>
      </c>
      <c r="C28" s="27"/>
      <c r="D28" s="23" t="s">
        <v>434</v>
      </c>
      <c r="E28" s="24">
        <f>D3*2+F3*7</f>
        <v>20</v>
      </c>
      <c r="F28" s="23"/>
      <c r="G28" s="29">
        <v>4.45</v>
      </c>
      <c r="H28" s="26"/>
      <c r="I28" s="26"/>
      <c r="J28" s="29"/>
      <c r="K28" s="29"/>
      <c r="L28" s="29"/>
      <c r="M28" s="29"/>
      <c r="N28" s="29"/>
      <c r="O28" s="59" t="s">
        <v>1453</v>
      </c>
      <c r="P28" s="57">
        <v>18</v>
      </c>
      <c r="Q28" s="57">
        <f ca="1" t="shared" si="1"/>
        <v>80.1</v>
      </c>
      <c r="R28" s="57">
        <f t="shared" si="2"/>
        <v>2</v>
      </c>
      <c r="S28" s="57">
        <f ca="1" t="shared" si="3"/>
        <v>8.9</v>
      </c>
    </row>
    <row r="29" ht="12" customHeight="1" spans="1:19">
      <c r="A29" s="31"/>
      <c r="B29" s="21" t="s">
        <v>1284</v>
      </c>
      <c r="C29" s="27"/>
      <c r="D29" s="23" t="s">
        <v>434</v>
      </c>
      <c r="E29" s="24">
        <f>D3*2</f>
        <v>6</v>
      </c>
      <c r="F29" s="23"/>
      <c r="G29" s="29">
        <v>6.51</v>
      </c>
      <c r="H29" s="26"/>
      <c r="I29" s="26"/>
      <c r="J29" s="29"/>
      <c r="K29" s="29"/>
      <c r="L29" s="29"/>
      <c r="M29" s="29"/>
      <c r="N29" s="29"/>
      <c r="O29" s="59" t="s">
        <v>1607</v>
      </c>
      <c r="P29" s="57">
        <v>4</v>
      </c>
      <c r="Q29" s="57">
        <f ca="1" t="shared" si="1"/>
        <v>26.04</v>
      </c>
      <c r="R29" s="57">
        <f t="shared" si="2"/>
        <v>2</v>
      </c>
      <c r="S29" s="57">
        <f ca="1" t="shared" si="3"/>
        <v>13.02</v>
      </c>
    </row>
    <row r="30" ht="12" customHeight="1" spans="1:19">
      <c r="A30" s="31"/>
      <c r="B30" s="21" t="s">
        <v>519</v>
      </c>
      <c r="C30" s="27"/>
      <c r="D30" s="23" t="s">
        <v>434</v>
      </c>
      <c r="E30" s="24">
        <f>F3*2</f>
        <v>4</v>
      </c>
      <c r="F30" s="23"/>
      <c r="G30" s="29">
        <v>6.5</v>
      </c>
      <c r="H30" s="36"/>
      <c r="I30" s="36"/>
      <c r="J30" s="65"/>
      <c r="K30" s="65"/>
      <c r="L30" s="65"/>
      <c r="M30" s="65"/>
      <c r="N30" s="65"/>
      <c r="O30" s="66" t="s">
        <v>1455</v>
      </c>
      <c r="P30" s="57">
        <v>4</v>
      </c>
      <c r="Q30" s="57">
        <f ca="1" t="shared" si="1"/>
        <v>26</v>
      </c>
      <c r="R30" s="57">
        <f t="shared" si="2"/>
        <v>0</v>
      </c>
      <c r="S30" s="57">
        <f ca="1" t="shared" si="3"/>
        <v>0</v>
      </c>
    </row>
    <row r="31" ht="12" customHeight="1" spans="1:19">
      <c r="A31" s="31"/>
      <c r="B31" s="21" t="s">
        <v>1568</v>
      </c>
      <c r="C31" s="27"/>
      <c r="D31" s="23" t="s">
        <v>612</v>
      </c>
      <c r="E31" s="24">
        <f>A3</f>
        <v>2</v>
      </c>
      <c r="F31" s="23"/>
      <c r="G31" s="29">
        <f ca="1">J31+K31+L31+M31+N31</f>
        <v>4750.8</v>
      </c>
      <c r="H31" s="26">
        <v>44.4</v>
      </c>
      <c r="I31" s="26">
        <v>5</v>
      </c>
      <c r="J31" s="29">
        <f ca="1">H31*I31*'40米（人字350料）参数'!D16*1.1</f>
        <v>4395.6</v>
      </c>
      <c r="K31" s="29">
        <f>44.4*2*4</f>
        <v>355.2</v>
      </c>
      <c r="L31" s="29"/>
      <c r="M31" s="29"/>
      <c r="N31" s="29"/>
      <c r="O31" s="67" t="s">
        <v>1631</v>
      </c>
      <c r="P31" s="68">
        <v>1</v>
      </c>
      <c r="Q31" s="57">
        <f ca="1" t="shared" si="1"/>
        <v>4750.8</v>
      </c>
      <c r="R31" s="57">
        <f t="shared" si="2"/>
        <v>1</v>
      </c>
      <c r="S31" s="57">
        <f ca="1" t="shared" si="3"/>
        <v>4750.8</v>
      </c>
    </row>
    <row r="32" ht="12" customHeight="1" spans="1:19">
      <c r="A32" s="31"/>
      <c r="B32" s="21" t="s">
        <v>1570</v>
      </c>
      <c r="C32" s="27"/>
      <c r="D32" s="23" t="s">
        <v>664</v>
      </c>
      <c r="E32" s="24">
        <f>F3</f>
        <v>2</v>
      </c>
      <c r="F32" s="23"/>
      <c r="G32" s="29">
        <f ca="1">J32+K32+L32+M32+N32</f>
        <v>3107.02592</v>
      </c>
      <c r="H32" s="37">
        <v>20.3</v>
      </c>
      <c r="I32" s="37">
        <v>7.68</v>
      </c>
      <c r="J32" s="69">
        <f ca="1">H32*I32*'40米（人字350料）参数'!D15*1.1</f>
        <v>2881.10592</v>
      </c>
      <c r="K32" s="69">
        <f>56.48*4</f>
        <v>225.92</v>
      </c>
      <c r="L32" s="69"/>
      <c r="M32" s="69"/>
      <c r="N32" s="69"/>
      <c r="O32" s="70" t="s">
        <v>1632</v>
      </c>
      <c r="P32" s="57">
        <v>2</v>
      </c>
      <c r="Q32" s="57">
        <f ca="1" t="shared" si="1"/>
        <v>6214.05184</v>
      </c>
      <c r="R32" s="57">
        <f t="shared" si="2"/>
        <v>0</v>
      </c>
      <c r="S32" s="57">
        <f ca="1" t="shared" si="3"/>
        <v>0</v>
      </c>
    </row>
    <row r="33" ht="12" customHeight="1" spans="1:19">
      <c r="A33" s="31"/>
      <c r="B33" s="21" t="s">
        <v>1572</v>
      </c>
      <c r="C33" s="27"/>
      <c r="D33" s="23" t="s">
        <v>664</v>
      </c>
      <c r="E33" s="24">
        <f>F3*8+A3*2</f>
        <v>20</v>
      </c>
      <c r="F33" s="23"/>
      <c r="G33" s="29">
        <f ca="1">J33+K33+L33+M33+N33</f>
        <v>531.6432</v>
      </c>
      <c r="H33" s="26">
        <v>6.2</v>
      </c>
      <c r="I33" s="26">
        <v>5.2</v>
      </c>
      <c r="J33" s="29">
        <f ca="1">H33*I33*'40米（人字350料）参数'!D14*1.1</f>
        <v>489.4032</v>
      </c>
      <c r="K33" s="71">
        <f>6.1*2</f>
        <v>12.2</v>
      </c>
      <c r="L33" s="71">
        <f>0.5*10</f>
        <v>5</v>
      </c>
      <c r="M33" s="71">
        <f>0.32*22</f>
        <v>7.04</v>
      </c>
      <c r="N33" s="71">
        <f>18*1</f>
        <v>18</v>
      </c>
      <c r="O33" s="60" t="s">
        <v>1580</v>
      </c>
      <c r="P33" s="57">
        <v>18</v>
      </c>
      <c r="Q33" s="57">
        <f ca="1" t="shared" si="1"/>
        <v>9569.5776</v>
      </c>
      <c r="R33" s="57">
        <f t="shared" si="2"/>
        <v>2</v>
      </c>
      <c r="S33" s="57">
        <f ca="1" t="shared" si="3"/>
        <v>1063.2864</v>
      </c>
    </row>
    <row r="34" ht="12" customHeight="1" spans="1:19">
      <c r="A34" s="31"/>
      <c r="B34" s="38" t="s">
        <v>1274</v>
      </c>
      <c r="C34" s="27"/>
      <c r="D34" s="23" t="s">
        <v>28</v>
      </c>
      <c r="E34" s="24">
        <f>E33</f>
        <v>20</v>
      </c>
      <c r="F34" s="23"/>
      <c r="G34" s="39">
        <v>21</v>
      </c>
      <c r="H34" s="40"/>
      <c r="I34" s="40"/>
      <c r="J34" s="41"/>
      <c r="K34" s="41"/>
      <c r="L34" s="41"/>
      <c r="M34" s="41"/>
      <c r="N34" s="41"/>
      <c r="O34" s="66" t="s">
        <v>1608</v>
      </c>
      <c r="P34" s="57">
        <v>18</v>
      </c>
      <c r="Q34" s="57">
        <f ca="1" t="shared" si="1"/>
        <v>378</v>
      </c>
      <c r="R34" s="57">
        <f t="shared" si="2"/>
        <v>2</v>
      </c>
      <c r="S34" s="57">
        <f ca="1" t="shared" si="3"/>
        <v>42</v>
      </c>
    </row>
    <row r="35" ht="12" customHeight="1" spans="1:19">
      <c r="A35" s="31"/>
      <c r="B35" s="38" t="s">
        <v>551</v>
      </c>
      <c r="C35" s="27"/>
      <c r="D35" s="23" t="s">
        <v>434</v>
      </c>
      <c r="E35" s="24">
        <f>F3*7</f>
        <v>14</v>
      </c>
      <c r="F35" s="23"/>
      <c r="G35" s="41">
        <v>15.5</v>
      </c>
      <c r="H35" s="40"/>
      <c r="I35" s="40"/>
      <c r="J35" s="41"/>
      <c r="K35" s="41"/>
      <c r="L35" s="41"/>
      <c r="M35" s="41"/>
      <c r="N35" s="41"/>
      <c r="O35" s="66" t="s">
        <v>1456</v>
      </c>
      <c r="P35" s="57">
        <v>14</v>
      </c>
      <c r="Q35" s="57">
        <f ca="1" t="shared" si="1"/>
        <v>217</v>
      </c>
      <c r="R35" s="57">
        <f t="shared" si="2"/>
        <v>0</v>
      </c>
      <c r="S35" s="57">
        <f ca="1" t="shared" si="3"/>
        <v>0</v>
      </c>
    </row>
    <row r="36" ht="12" customHeight="1" spans="1:19">
      <c r="A36" s="31"/>
      <c r="B36" s="42" t="s">
        <v>1609</v>
      </c>
      <c r="C36" s="27"/>
      <c r="D36" s="43" t="s">
        <v>555</v>
      </c>
      <c r="E36" s="44">
        <f>E5+E8+E9+E10+E23+E24+E19</f>
        <v>36</v>
      </c>
      <c r="F36" s="23"/>
      <c r="G36" s="45">
        <v>1.46</v>
      </c>
      <c r="H36" s="46"/>
      <c r="I36" s="46"/>
      <c r="J36" s="45"/>
      <c r="K36" s="45"/>
      <c r="L36" s="45"/>
      <c r="M36" s="45"/>
      <c r="N36" s="45"/>
      <c r="O36" s="59" t="s">
        <v>1610</v>
      </c>
      <c r="P36" s="57">
        <v>34</v>
      </c>
      <c r="Q36" s="57">
        <f ca="1" t="shared" si="1"/>
        <v>49.64</v>
      </c>
      <c r="R36" s="57">
        <f t="shared" si="2"/>
        <v>2</v>
      </c>
      <c r="S36" s="57">
        <f ca="1" t="shared" si="3"/>
        <v>2.92</v>
      </c>
    </row>
    <row r="37" ht="12" customHeight="1" spans="1:19">
      <c r="A37" s="31"/>
      <c r="B37" s="42" t="s">
        <v>1575</v>
      </c>
      <c r="C37" s="27"/>
      <c r="D37" s="43" t="s">
        <v>555</v>
      </c>
      <c r="E37" s="44">
        <f>E25+E26*2+E27*2</f>
        <v>42</v>
      </c>
      <c r="F37" s="23"/>
      <c r="G37" s="45">
        <v>1.2</v>
      </c>
      <c r="H37" s="46"/>
      <c r="I37" s="46"/>
      <c r="J37" s="45"/>
      <c r="K37" s="45"/>
      <c r="L37" s="45"/>
      <c r="M37" s="45"/>
      <c r="N37" s="45"/>
      <c r="O37" s="59"/>
      <c r="P37" s="57">
        <v>42</v>
      </c>
      <c r="Q37" s="57">
        <f ca="1" t="shared" si="1"/>
        <v>50.4</v>
      </c>
      <c r="R37" s="57">
        <f t="shared" si="2"/>
        <v>0</v>
      </c>
      <c r="S37" s="57">
        <f ca="1" t="shared" si="3"/>
        <v>0</v>
      </c>
    </row>
    <row r="38" ht="12" customHeight="1" spans="1:24">
      <c r="A38" s="20" t="s">
        <v>1217</v>
      </c>
      <c r="B38" s="21" t="s">
        <v>1574</v>
      </c>
      <c r="C38" s="24"/>
      <c r="D38" s="23" t="s">
        <v>434</v>
      </c>
      <c r="E38" s="24">
        <f>D3*6</f>
        <v>18</v>
      </c>
      <c r="F38" s="23"/>
      <c r="G38" s="47">
        <v>1.95</v>
      </c>
      <c r="H38" s="48"/>
      <c r="I38" s="48"/>
      <c r="J38" s="47"/>
      <c r="K38" s="47"/>
      <c r="L38" s="47"/>
      <c r="M38" s="47"/>
      <c r="N38" s="47"/>
      <c r="O38" s="59" t="s">
        <v>1375</v>
      </c>
      <c r="P38" s="57">
        <v>12</v>
      </c>
      <c r="Q38" s="57">
        <f ca="1" t="shared" si="1"/>
        <v>23.4</v>
      </c>
      <c r="R38" s="57">
        <f t="shared" si="2"/>
        <v>6</v>
      </c>
      <c r="S38" s="57">
        <f ca="1" t="shared" si="3"/>
        <v>11.7</v>
      </c>
      <c r="T38" s="1"/>
      <c r="U38" s="1"/>
      <c r="V38" s="1"/>
      <c r="W38" s="1"/>
      <c r="X38" s="1"/>
    </row>
    <row r="39" ht="12" customHeight="1" spans="1:24">
      <c r="A39" s="20"/>
      <c r="B39" s="21" t="s">
        <v>1581</v>
      </c>
      <c r="C39" s="24"/>
      <c r="D39" s="23" t="s">
        <v>434</v>
      </c>
      <c r="E39" s="24">
        <f>D3*22+E25+E26+E27+F3*7</f>
        <v>104</v>
      </c>
      <c r="F39" s="23"/>
      <c r="G39" s="47">
        <v>2.15</v>
      </c>
      <c r="H39" s="48"/>
      <c r="I39" s="48"/>
      <c r="J39" s="47"/>
      <c r="K39" s="47"/>
      <c r="L39" s="47"/>
      <c r="M39" s="47"/>
      <c r="N39" s="47"/>
      <c r="O39" s="59" t="s">
        <v>1372</v>
      </c>
      <c r="P39" s="57">
        <v>82</v>
      </c>
      <c r="Q39" s="57">
        <f ca="1" t="shared" si="1"/>
        <v>176.3</v>
      </c>
      <c r="R39" s="57">
        <f t="shared" si="2"/>
        <v>22</v>
      </c>
      <c r="S39" s="57">
        <f ca="1" t="shared" si="3"/>
        <v>47.3</v>
      </c>
      <c r="T39" s="1"/>
      <c r="U39" s="1"/>
      <c r="V39" s="1"/>
      <c r="W39" s="1"/>
      <c r="X39" s="1"/>
    </row>
    <row r="40" ht="12" customHeight="1" spans="1:24">
      <c r="A40" s="20"/>
      <c r="B40" s="21" t="s">
        <v>1582</v>
      </c>
      <c r="C40" s="24"/>
      <c r="D40" s="23" t="s">
        <v>434</v>
      </c>
      <c r="E40" s="28">
        <f>E19+E25+E26+E27</f>
        <v>30</v>
      </c>
      <c r="F40" s="23"/>
      <c r="G40" s="47">
        <v>2.55</v>
      </c>
      <c r="H40" s="48"/>
      <c r="I40" s="48"/>
      <c r="J40" s="47"/>
      <c r="K40" s="47"/>
      <c r="L40" s="47"/>
      <c r="M40" s="47"/>
      <c r="N40" s="47"/>
      <c r="O40" s="59" t="s">
        <v>1373</v>
      </c>
      <c r="P40" s="57">
        <v>30</v>
      </c>
      <c r="Q40" s="57">
        <f ca="1" t="shared" si="1"/>
        <v>76.5</v>
      </c>
      <c r="R40" s="57">
        <f t="shared" si="2"/>
        <v>0</v>
      </c>
      <c r="S40" s="57">
        <f ca="1" t="shared" si="3"/>
        <v>0</v>
      </c>
      <c r="T40" s="1"/>
      <c r="U40" s="1"/>
      <c r="V40" s="1"/>
      <c r="W40" s="1"/>
      <c r="X40" s="1"/>
    </row>
    <row r="41" spans="7:19">
      <c r="G41" s="3"/>
      <c r="H41" s="3"/>
      <c r="I41" s="3"/>
      <c r="J41" s="3"/>
      <c r="K41" s="3"/>
      <c r="L41" s="3"/>
      <c r="M41" s="3"/>
      <c r="N41" s="3"/>
      <c r="P41" s="1" t="s">
        <v>1218</v>
      </c>
      <c r="Q41" s="3">
        <f ca="1">SUM(Q5:Q40)</f>
        <v>115408.727153453</v>
      </c>
      <c r="R41" s="3" t="s">
        <v>1219</v>
      </c>
      <c r="S41" s="3">
        <f ca="1">SUM(S5:S40)</f>
        <v>43177.2256808512</v>
      </c>
    </row>
    <row r="42" spans="7:14">
      <c r="G42" s="3"/>
      <c r="H42" s="3"/>
      <c r="I42" s="3"/>
      <c r="J42" s="3"/>
      <c r="K42" s="3"/>
      <c r="L42" s="3"/>
      <c r="M42" s="3"/>
      <c r="N42" s="3"/>
    </row>
    <row r="43" spans="7:14">
      <c r="G43" s="3"/>
      <c r="H43" s="3"/>
      <c r="I43" s="3"/>
      <c r="J43" s="3"/>
      <c r="K43" s="3"/>
      <c r="L43" s="3"/>
      <c r="M43" s="3"/>
      <c r="N43" s="3"/>
    </row>
    <row r="44" spans="2:17">
      <c r="B44" s="49" t="s">
        <v>1221</v>
      </c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50" t="s">
        <v>1576</v>
      </c>
      <c r="Q44" s="3">
        <f ca="1">Q41+S41</f>
        <v>158585.952834304</v>
      </c>
    </row>
    <row r="45" spans="2:17">
      <c r="B45" s="50"/>
      <c r="C45" s="51"/>
      <c r="D45" s="51"/>
      <c r="E45" s="51"/>
      <c r="F45" s="50"/>
      <c r="G45" s="3"/>
      <c r="H45" s="3"/>
      <c r="I45" s="3"/>
      <c r="J45" s="3"/>
      <c r="K45" s="3"/>
      <c r="L45" s="3"/>
      <c r="M45" s="3"/>
      <c r="N45" s="3"/>
      <c r="P45" s="52" t="s">
        <v>1577</v>
      </c>
      <c r="Q45" s="3">
        <f ca="1">Q44/E2</f>
        <v>396.46488208576</v>
      </c>
    </row>
    <row r="46" spans="2:14">
      <c r="B46" s="52"/>
      <c r="C46" s="52"/>
      <c r="D46" s="52"/>
      <c r="E46" s="52"/>
      <c r="F46" s="52"/>
      <c r="G46" s="3"/>
      <c r="H46" s="3"/>
      <c r="I46" s="3"/>
      <c r="J46" s="3"/>
      <c r="K46" s="3"/>
      <c r="L46" s="3"/>
      <c r="M46" s="3"/>
      <c r="N46" s="3"/>
    </row>
    <row r="47" ht="18" customHeight="1" spans="2:15">
      <c r="B47" s="53"/>
      <c r="C47" s="53"/>
      <c r="D47" s="53"/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</row>
    <row r="48" spans="2:6">
      <c r="B48" s="54"/>
      <c r="C48" s="54"/>
      <c r="D48" s="54"/>
      <c r="E48" s="54"/>
      <c r="F48" s="54"/>
    </row>
    <row r="49" spans="2:6">
      <c r="B49" s="54"/>
      <c r="C49" s="54"/>
      <c r="D49" s="54"/>
      <c r="E49" s="54"/>
      <c r="F49" s="54"/>
    </row>
    <row r="50" spans="2:6">
      <c r="B50" s="54"/>
      <c r="C50" s="54"/>
      <c r="D50" s="54"/>
      <c r="E50" s="54"/>
      <c r="F50" s="54"/>
    </row>
    <row r="51" spans="2:6">
      <c r="B51" s="54"/>
      <c r="C51" s="54"/>
      <c r="D51" s="54"/>
      <c r="E51" s="54"/>
      <c r="F51" s="54"/>
    </row>
    <row r="52" ht="51" customHeight="1" spans="2:6">
      <c r="B52" s="54"/>
      <c r="C52" s="54"/>
      <c r="D52" s="54"/>
      <c r="E52" s="54"/>
      <c r="F52" s="54"/>
    </row>
  </sheetData>
  <mergeCells count="10">
    <mergeCell ref="A1:N1"/>
    <mergeCell ref="A2:C2"/>
    <mergeCell ref="F2:N2"/>
    <mergeCell ref="A3:B3"/>
    <mergeCell ref="H3:N3"/>
    <mergeCell ref="B44:O44"/>
    <mergeCell ref="B47:O47"/>
    <mergeCell ref="A5:A19"/>
    <mergeCell ref="A20:A37"/>
    <mergeCell ref="A38:A40"/>
  </mergeCells>
  <printOptions horizontalCentered="1"/>
  <pageMargins left="0.11875" right="0.11875" top="0.159027777777778" bottom="0.259027777777778" header="0.159027777777778" footer="0.2"/>
  <pageSetup paperSize="9" orientation="portrait"/>
  <headerFooter alignWithMargins="0" scaleWithDoc="0">
    <oddFooter>&amp;L&amp;"SimSun"&amp;9&amp;C&amp;"SimSun"&amp;9第 &amp;P 页，共 &amp;N 页&amp;R&amp;"SimSun"&amp;9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FF0000"/>
  </sheetPr>
  <dimension ref="A1:Q20"/>
  <sheetViews>
    <sheetView showGridLines="0" workbookViewId="0">
      <selection activeCell="B16" sqref="B16:M16"/>
    </sheetView>
  </sheetViews>
  <sheetFormatPr defaultColWidth="9" defaultRowHeight="14.25"/>
  <cols>
    <col min="1" max="1" width="2.875" style="1" customWidth="1"/>
    <col min="2" max="2" width="17.5" style="1" customWidth="1"/>
    <col min="3" max="3" width="9.375" style="1" customWidth="1"/>
    <col min="4" max="4" width="9.375" style="51" customWidth="1"/>
    <col min="5" max="5" width="9.375" style="3" customWidth="1"/>
    <col min="6" max="6" width="9.375" style="1" customWidth="1"/>
    <col min="7" max="17" width="10.875" style="1" customWidth="1"/>
    <col min="18" max="16384" width="9" style="1"/>
  </cols>
  <sheetData>
    <row r="1" ht="20.1" customHeight="1" spans="1:6">
      <c r="A1" s="291" t="s">
        <v>1196</v>
      </c>
      <c r="B1" s="291"/>
      <c r="C1" s="291"/>
      <c r="D1" s="292"/>
      <c r="E1" s="291"/>
      <c r="F1" s="291"/>
    </row>
    <row r="2" ht="24" customHeight="1" spans="1:6">
      <c r="A2" s="300" t="s">
        <v>1197</v>
      </c>
      <c r="B2" s="301"/>
      <c r="C2" s="301"/>
      <c r="D2" s="302"/>
      <c r="E2" s="11" t="s">
        <v>1198</v>
      </c>
      <c r="F2" s="11">
        <f>3*3*A3</f>
        <v>9</v>
      </c>
    </row>
    <row r="3" ht="17.1" customHeight="1" spans="1:6">
      <c r="A3" s="165">
        <v>1</v>
      </c>
      <c r="B3" s="165"/>
      <c r="C3" s="293" t="s">
        <v>1199</v>
      </c>
      <c r="D3" s="294"/>
      <c r="E3" s="294"/>
      <c r="F3" s="295"/>
    </row>
    <row r="4" ht="24" spans="1:17">
      <c r="A4" s="165" t="s">
        <v>1200</v>
      </c>
      <c r="B4" s="75" t="s">
        <v>1201</v>
      </c>
      <c r="C4" s="75" t="s">
        <v>1202</v>
      </c>
      <c r="D4" s="75" t="s">
        <v>22</v>
      </c>
      <c r="E4" s="75" t="s">
        <v>1203</v>
      </c>
      <c r="F4" s="75" t="s">
        <v>1204</v>
      </c>
      <c r="G4" s="75" t="s">
        <v>1205</v>
      </c>
      <c r="H4" s="165" t="s">
        <v>1206</v>
      </c>
      <c r="I4" s="165" t="s">
        <v>1207</v>
      </c>
      <c r="J4" s="165" t="s">
        <v>1208</v>
      </c>
      <c r="K4" s="75" t="s">
        <v>1209</v>
      </c>
      <c r="L4" s="165" t="s">
        <v>1210</v>
      </c>
      <c r="M4" s="75" t="s">
        <v>1211</v>
      </c>
      <c r="N4" s="164" t="s">
        <v>1212</v>
      </c>
      <c r="O4" s="165" t="s">
        <v>1213</v>
      </c>
      <c r="P4" s="165" t="s">
        <v>1214</v>
      </c>
      <c r="Q4" s="75" t="s">
        <v>1213</v>
      </c>
    </row>
    <row r="5" ht="15" customHeight="1" spans="1:17">
      <c r="A5" s="31" t="s">
        <v>1215</v>
      </c>
      <c r="B5"/>
      <c r="C5"/>
      <c r="D5"/>
      <c r="E5"/>
      <c r="F5"/>
      <c r="G5"/>
      <c r="H5"/>
      <c r="I5"/>
      <c r="J5"/>
      <c r="K5"/>
      <c r="L5"/>
      <c r="M5"/>
      <c r="N5" s="167">
        <v>4</v>
      </c>
      <c r="O5" s="67" t="e">
        <f ca="1">N5*骨架类A!#REF!</f>
        <v>#REF!</v>
      </c>
      <c r="P5" s="67" t="e">
        <f ca="1">骨架类A!#REF!-N5</f>
        <v>#REF!</v>
      </c>
      <c r="Q5" s="67" t="e">
        <f ca="1">P5*骨架类A!#REF!</f>
        <v>#REF!</v>
      </c>
    </row>
    <row r="6" ht="15" customHeight="1" spans="1:17">
      <c r="A6" s="304"/>
      <c r="B6"/>
      <c r="C6"/>
      <c r="D6"/>
      <c r="E6"/>
      <c r="F6"/>
      <c r="G6"/>
      <c r="H6"/>
      <c r="I6"/>
      <c r="J6"/>
      <c r="K6"/>
      <c r="L6"/>
      <c r="M6"/>
      <c r="N6" s="167">
        <v>4</v>
      </c>
      <c r="O6" s="67" t="e">
        <f ca="1">N6*骨架类A!#REF!</f>
        <v>#REF!</v>
      </c>
      <c r="P6" s="67" t="e">
        <f ca="1">骨架类A!#REF!-N6</f>
        <v>#REF!</v>
      </c>
      <c r="Q6" s="67" t="e">
        <f ca="1">P6*骨架类A!#REF!</f>
        <v>#REF!</v>
      </c>
    </row>
    <row r="7" ht="15" customHeight="1" spans="1:17">
      <c r="A7" s="304"/>
      <c r="B7"/>
      <c r="C7"/>
      <c r="D7"/>
      <c r="E7"/>
      <c r="F7"/>
      <c r="G7"/>
      <c r="H7"/>
      <c r="I7"/>
      <c r="J7"/>
      <c r="K7"/>
      <c r="L7"/>
      <c r="M7"/>
      <c r="N7" s="167">
        <v>4</v>
      </c>
      <c r="O7" s="67" t="e">
        <f ca="1">N7*骨架类A!#REF!</f>
        <v>#REF!</v>
      </c>
      <c r="P7" s="67" t="e">
        <f ca="1">骨架类A!#REF!-N7</f>
        <v>#REF!</v>
      </c>
      <c r="Q7" s="67" t="e">
        <f ca="1">P7*骨架类A!#REF!</f>
        <v>#REF!</v>
      </c>
    </row>
    <row r="8" ht="15" customHeight="1" spans="1:17">
      <c r="A8" s="304"/>
      <c r="B8"/>
      <c r="C8"/>
      <c r="D8"/>
      <c r="E8"/>
      <c r="F8"/>
      <c r="G8"/>
      <c r="H8"/>
      <c r="I8"/>
      <c r="J8"/>
      <c r="K8"/>
      <c r="L8"/>
      <c r="M8"/>
      <c r="N8" s="167">
        <v>1</v>
      </c>
      <c r="O8" s="67" t="e">
        <f ca="1">N8*骨架类A!#REF!</f>
        <v>#REF!</v>
      </c>
      <c r="P8" s="67" t="e">
        <f ca="1">骨架类A!#REF!-N8</f>
        <v>#REF!</v>
      </c>
      <c r="Q8" s="67" t="e">
        <f ca="1">P8*骨架类A!#REF!</f>
        <v>#REF!</v>
      </c>
    </row>
    <row r="9" ht="15" customHeight="1" spans="1:17">
      <c r="A9" s="304"/>
      <c r="B9"/>
      <c r="C9"/>
      <c r="D9"/>
      <c r="E9"/>
      <c r="F9"/>
      <c r="G9"/>
      <c r="H9"/>
      <c r="I9"/>
      <c r="J9"/>
      <c r="K9"/>
      <c r="L9"/>
      <c r="M9"/>
      <c r="N9" s="167">
        <v>1</v>
      </c>
      <c r="O9" s="67" t="e">
        <f ca="1">N9*骨架类A!#REF!</f>
        <v>#REF!</v>
      </c>
      <c r="P9" s="67" t="e">
        <f ca="1">骨架类A!#REF!-N9</f>
        <v>#REF!</v>
      </c>
      <c r="Q9" s="67" t="e">
        <f ca="1">P9*骨架类A!#REF!</f>
        <v>#REF!</v>
      </c>
    </row>
    <row r="10" ht="15" customHeight="1" spans="1:17">
      <c r="A10" s="304"/>
      <c r="B10"/>
      <c r="C10"/>
      <c r="D10"/>
      <c r="E10"/>
      <c r="F10"/>
      <c r="G10"/>
      <c r="H10"/>
      <c r="I10"/>
      <c r="J10"/>
      <c r="K10"/>
      <c r="L10"/>
      <c r="M10"/>
      <c r="N10" s="169">
        <v>4</v>
      </c>
      <c r="O10" s="67" t="e">
        <f ca="1">N10*骨架类A!#REF!</f>
        <v>#REF!</v>
      </c>
      <c r="P10" s="67" t="e">
        <f ca="1">骨架类A!#REF!-N10</f>
        <v>#REF!</v>
      </c>
      <c r="Q10" s="67" t="e">
        <f ca="1">P10*骨架类A!#REF!</f>
        <v>#REF!</v>
      </c>
    </row>
    <row r="11" ht="15" customHeight="1" spans="1:17">
      <c r="A11" s="304"/>
      <c r="B11"/>
      <c r="C11"/>
      <c r="D11"/>
      <c r="E11"/>
      <c r="F11"/>
      <c r="G11"/>
      <c r="H11"/>
      <c r="I11"/>
      <c r="J11"/>
      <c r="K11"/>
      <c r="L11"/>
      <c r="M11"/>
      <c r="N11" s="169">
        <v>4</v>
      </c>
      <c r="O11" s="67" t="e">
        <f ca="1">N11*骨架类A!#REF!</f>
        <v>#REF!</v>
      </c>
      <c r="P11" s="67" t="e">
        <f ca="1">骨架类A!#REF!-N11</f>
        <v>#REF!</v>
      </c>
      <c r="Q11" s="67" t="e">
        <f ca="1">P11*骨架类A!#REF!</f>
        <v>#REF!</v>
      </c>
    </row>
    <row r="12" ht="15" customHeight="1" spans="1:17">
      <c r="A12" s="304"/>
      <c r="B12"/>
      <c r="C12"/>
      <c r="D12"/>
      <c r="E12"/>
      <c r="F12"/>
      <c r="G12"/>
      <c r="H12"/>
      <c r="I12"/>
      <c r="J12"/>
      <c r="K12"/>
      <c r="L12"/>
      <c r="M12"/>
      <c r="N12" s="167">
        <v>4</v>
      </c>
      <c r="O12" s="67" t="e">
        <f ca="1">N12*骨架类A!#REF!</f>
        <v>#REF!</v>
      </c>
      <c r="P12" s="67" t="e">
        <f ca="1">骨架类A!#REF!-N12</f>
        <v>#REF!</v>
      </c>
      <c r="Q12" s="67" t="e">
        <f ca="1">P12*骨架类A!#REF!</f>
        <v>#REF!</v>
      </c>
    </row>
    <row r="13" ht="15" customHeight="1" spans="1:17">
      <c r="A13" s="305"/>
      <c r="B13"/>
      <c r="C13"/>
      <c r="D13"/>
      <c r="E13"/>
      <c r="F13"/>
      <c r="G13"/>
      <c r="H13"/>
      <c r="I13"/>
      <c r="J13"/>
      <c r="K13"/>
      <c r="L13"/>
      <c r="M13"/>
      <c r="N13" s="167">
        <v>4</v>
      </c>
      <c r="O13" s="67" t="e">
        <f ca="1">N13*骨架类A!#REF!</f>
        <v>#REF!</v>
      </c>
      <c r="P13" s="67" t="e">
        <f ca="1">骨架类A!#REF!-N13</f>
        <v>#REF!</v>
      </c>
      <c r="Q13" s="67" t="e">
        <f ca="1">P13*骨架类A!#REF!</f>
        <v>#REF!</v>
      </c>
    </row>
    <row r="14" ht="12.95" customHeight="1" spans="1:17">
      <c r="A14" s="306" t="s">
        <v>1216</v>
      </c>
      <c r="B14"/>
      <c r="C14"/>
      <c r="D14"/>
      <c r="E14"/>
      <c r="F14"/>
      <c r="G14"/>
      <c r="H14"/>
      <c r="I14"/>
      <c r="J14"/>
      <c r="K14"/>
      <c r="L14"/>
      <c r="M14"/>
      <c r="N14" s="167">
        <v>1</v>
      </c>
      <c r="O14" s="67" t="e">
        <f ca="1">N14*骨架类A!#REF!</f>
        <v>#REF!</v>
      </c>
      <c r="P14" s="67" t="e">
        <f ca="1">骨架类A!#REF!-N14</f>
        <v>#REF!</v>
      </c>
      <c r="Q14" s="67" t="e">
        <f ca="1">P14*骨架类A!#REF!</f>
        <v>#REF!</v>
      </c>
    </row>
    <row r="15" spans="1:17">
      <c r="A15" s="306"/>
      <c r="B15"/>
      <c r="C15"/>
      <c r="D15"/>
      <c r="E15"/>
      <c r="F15"/>
      <c r="G15"/>
      <c r="H15"/>
      <c r="I15"/>
      <c r="J15"/>
      <c r="K15"/>
      <c r="L15"/>
      <c r="M15"/>
      <c r="N15" s="167">
        <v>4</v>
      </c>
      <c r="O15" s="67" t="e">
        <f ca="1">N15*骨架类A!#REF!</f>
        <v>#REF!</v>
      </c>
      <c r="P15" s="67" t="e">
        <f ca="1">骨架类A!#REF!-N15</f>
        <v>#REF!</v>
      </c>
      <c r="Q15" s="67" t="e">
        <f ca="1">P15*骨架类A!#REF!</f>
        <v>#REF!</v>
      </c>
    </row>
    <row r="16" customHeight="1" spans="1:17">
      <c r="A16" s="307" t="s">
        <v>1217</v>
      </c>
      <c r="B16"/>
      <c r="C16"/>
      <c r="D16"/>
      <c r="E16"/>
      <c r="F16"/>
      <c r="G16"/>
      <c r="H16"/>
      <c r="I16"/>
      <c r="J16"/>
      <c r="K16"/>
      <c r="L16"/>
      <c r="M16"/>
      <c r="N16" s="167">
        <v>16</v>
      </c>
      <c r="O16" s="67" t="e">
        <f ca="1">N16*骨架类A!#REF!</f>
        <v>#REF!</v>
      </c>
      <c r="P16" s="67" t="e">
        <f ca="1">骨架类A!#REF!-N16</f>
        <v>#REF!</v>
      </c>
      <c r="Q16" s="67" t="e">
        <f ca="1">P16*骨架类A!#REF!</f>
        <v>#REF!</v>
      </c>
    </row>
    <row r="17" s="299" customFormat="1" customHeight="1" spans="1:17">
      <c r="A17" s="308"/>
      <c r="B17" s="309"/>
      <c r="C17" s="310"/>
      <c r="D17" s="51"/>
      <c r="E17" s="311"/>
      <c r="F17" s="312"/>
      <c r="G17" s="313"/>
      <c r="H17" s="313"/>
      <c r="I17" s="314"/>
      <c r="J17" s="314"/>
      <c r="K17" s="314"/>
      <c r="L17" s="314"/>
      <c r="M17" s="314"/>
      <c r="N17" s="1" t="s">
        <v>1218</v>
      </c>
      <c r="O17" s="3" t="e">
        <f ca="1">SUM(O5:O16)</f>
        <v>#REF!</v>
      </c>
      <c r="P17" s="1" t="s">
        <v>1219</v>
      </c>
      <c r="Q17" s="3" t="e">
        <f ca="1">SUM(Q5:Q16)</f>
        <v>#REF!</v>
      </c>
    </row>
    <row r="18" ht="12.95" customHeight="1" spans="1:2">
      <c r="A18" s="50" t="s">
        <v>1220</v>
      </c>
      <c r="B18" s="51"/>
    </row>
    <row r="19" ht="17.1" customHeight="1" spans="1:2">
      <c r="A19" s="50" t="s">
        <v>1221</v>
      </c>
      <c r="B19" s="51"/>
    </row>
    <row r="20" spans="14:15">
      <c r="N20" s="1" t="s">
        <v>1222</v>
      </c>
      <c r="O20" s="1" t="e">
        <f ca="1">O17+Q17</f>
        <v>#REF!</v>
      </c>
    </row>
  </sheetData>
  <mergeCells count="6">
    <mergeCell ref="A1:F1"/>
    <mergeCell ref="A2:D2"/>
    <mergeCell ref="A3:B3"/>
    <mergeCell ref="C3:F3"/>
    <mergeCell ref="A5:A13"/>
    <mergeCell ref="A14:A15"/>
  </mergeCells>
  <printOptions horizontalCentered="1"/>
  <pageMargins left="0" right="0" top="0.786805555555556" bottom="0.55" header="0.0388888888888889" footer="0.0388888888888889"/>
  <pageSetup paperSize="9" scale="120" orientation="portrait"/>
  <headerFooter>
    <oddHeader>&amp;C&amp;"幼圆"&amp;12&amp;B高山篷房制造（沈阳）有限公司&amp;R&amp;"幼圆"&amp;12&amp;E&amp;B400-024-1088&amp;"叶根友毛笔行书"&amp;E&amp;X
意之高远   志随山行</oddHeader>
    <oddFooter>&amp;C第 &amp;P 页，共 &amp;N 页&amp;R&amp;D / &amp;T</oddFooter>
  </headerFooter>
</worksheet>
</file>

<file path=xl/worksheets/sheet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7030A0"/>
  </sheetPr>
  <dimension ref="A1:G21"/>
  <sheetViews>
    <sheetView showGridLines="0" workbookViewId="0">
      <selection activeCell="E31" sqref="E31"/>
    </sheetView>
  </sheetViews>
  <sheetFormatPr defaultColWidth="9" defaultRowHeight="14.25" outlineLevelCol="6"/>
  <cols>
    <col min="1" max="1" width="19" style="1" customWidth="1"/>
    <col min="2" max="2" width="18.375" style="1" customWidth="1"/>
    <col min="3" max="6" width="9" style="1"/>
    <col min="7" max="7" width="15.75" style="1" customWidth="1"/>
    <col min="8" max="16384" width="9" style="1"/>
  </cols>
  <sheetData>
    <row r="1" spans="1:4">
      <c r="A1" s="2" t="str">
        <f ca="1">'数据修改（批量）'!A1</f>
        <v>上海有色铝锭价格</v>
      </c>
      <c r="B1" s="2"/>
      <c r="C1" s="2"/>
      <c r="D1" s="3"/>
    </row>
    <row r="2" spans="1:7">
      <c r="A2" s="4">
        <f ca="1">'数据修改（批量）'!A2</f>
        <v>16200</v>
      </c>
      <c r="B2" s="2" t="str">
        <f ca="1">'数据修改（批量）'!B2</f>
        <v>项目</v>
      </c>
      <c r="C2" s="2" t="str">
        <f ca="1">'数据修改（批量）'!C2</f>
        <v>加工费</v>
      </c>
      <c r="D2" s="2" t="str">
        <f ca="1">'数据修改（批量）'!D2</f>
        <v>包装物</v>
      </c>
      <c r="E2" s="2" t="str">
        <f ca="1">'数据修改（批量）'!E2</f>
        <v>运费</v>
      </c>
      <c r="F2" s="2" t="str">
        <f ca="1">'数据修改（批量）'!F2</f>
        <v>单价</v>
      </c>
      <c r="G2" s="2" t="str">
        <f ca="1">'数据修改（批量）'!G2</f>
        <v>每公斤价格</v>
      </c>
    </row>
    <row r="3" spans="1:7">
      <c r="A3" s="2"/>
      <c r="B3" s="2" t="str">
        <f ca="1">'数据修改（批量）'!B3</f>
        <v>203料</v>
      </c>
      <c r="C3" s="2">
        <f ca="1">'数据修改（批量）'!C3</f>
        <v>5500</v>
      </c>
      <c r="D3" s="2">
        <f ca="1">'数据修改（批量）'!D3</f>
        <v>868</v>
      </c>
      <c r="E3" s="2">
        <f ca="1">'数据修改（批量）'!E3</f>
        <v>80</v>
      </c>
      <c r="F3" s="2">
        <f ca="1">'数据修改（批量）'!F3</f>
        <v>22648</v>
      </c>
      <c r="G3" s="2">
        <f ca="1">'数据修改（批量）'!G3</f>
        <v>22.648</v>
      </c>
    </row>
    <row r="4" spans="1:7">
      <c r="A4" s="2"/>
      <c r="B4" s="2" t="str">
        <f ca="1">'数据修改（批量）'!B4</f>
        <v>203料氧化</v>
      </c>
      <c r="C4" s="2">
        <f ca="1">'数据修改（批量）'!C4</f>
        <v>6000</v>
      </c>
      <c r="D4" s="2">
        <f ca="1">'数据修改（批量）'!D4</f>
        <v>888</v>
      </c>
      <c r="E4" s="2">
        <f ca="1">'数据修改（批量）'!E4</f>
        <v>80</v>
      </c>
      <c r="F4" s="2">
        <f ca="1">'数据修改（批量）'!F4</f>
        <v>23168</v>
      </c>
      <c r="G4" s="2">
        <f ca="1">'数据修改（批量）'!G4</f>
        <v>23.168</v>
      </c>
    </row>
    <row r="5" spans="2:7">
      <c r="B5" s="2" t="str">
        <f ca="1">'数据修改（批量）'!B5</f>
        <v>小料加工费</v>
      </c>
      <c r="C5" s="2">
        <f ca="1">'数据修改（批量）'!C5</f>
        <v>4500</v>
      </c>
      <c r="D5" s="2">
        <f ca="1">'数据修改（批量）'!D5</f>
        <v>828</v>
      </c>
      <c r="E5" s="2">
        <f ca="1">'数据修改（批量）'!E5</f>
        <v>80</v>
      </c>
      <c r="F5" s="2">
        <f ca="1">'数据修改（批量）'!F5</f>
        <v>21608</v>
      </c>
      <c r="G5" s="2">
        <f ca="1">'数据修改（批量）'!G5</f>
        <v>21.608</v>
      </c>
    </row>
    <row r="6" spans="1:4">
      <c r="A6" s="2" t="str">
        <f ca="1">'数据修改（批量）'!A6</f>
        <v>南海有色铝锭价格</v>
      </c>
      <c r="D6" s="5"/>
    </row>
    <row r="7" spans="1:1">
      <c r="A7" s="4">
        <f ca="1">'数据修改（批量）'!A7</f>
        <v>16600</v>
      </c>
    </row>
    <row r="8" spans="2:7">
      <c r="B8" s="2" t="str">
        <f ca="1">'数据修改（批量）'!B8</f>
        <v>项目</v>
      </c>
      <c r="C8" s="2" t="str">
        <f ca="1">'数据修改（批量）'!C8</f>
        <v>加工费</v>
      </c>
      <c r="D8" s="2" t="str">
        <f ca="1">'数据修改（批量）'!D8</f>
        <v>包装物</v>
      </c>
      <c r="E8" s="2" t="str">
        <f ca="1">'数据修改（批量）'!E8</f>
        <v>运费</v>
      </c>
      <c r="F8" s="2" t="str">
        <f ca="1">'数据修改（批量）'!F8</f>
        <v>单价</v>
      </c>
      <c r="G8" s="2" t="str">
        <f ca="1">'数据修改（批量）'!G8</f>
        <v>每公斤价格</v>
      </c>
    </row>
    <row r="9" spans="2:7">
      <c r="B9" s="2" t="str">
        <f ca="1">'数据修改（批量）'!B9</f>
        <v>300/350料8米以上</v>
      </c>
      <c r="C9" s="2">
        <f ca="1">'数据修改（批量）'!C9</f>
        <v>7800</v>
      </c>
      <c r="D9" s="2">
        <f ca="1">'数据修改（批量）'!D9</f>
        <v>976</v>
      </c>
      <c r="E9" s="2">
        <f ca="1">'数据修改（批量）'!E9</f>
        <v>1000</v>
      </c>
      <c r="F9" s="2">
        <f ca="1">'数据修改（批量）'!F9</f>
        <v>26376</v>
      </c>
      <c r="G9" s="2">
        <f ca="1">'数据修改（批量）'!G9</f>
        <v>26.376</v>
      </c>
    </row>
    <row r="10" spans="2:7">
      <c r="B10" s="2" t="str">
        <f ca="1">'数据修改（批量）'!B10</f>
        <v>300/350料8米以下</v>
      </c>
      <c r="C10" s="2">
        <f ca="1">'数据修改（批量）'!C10</f>
        <v>7100</v>
      </c>
      <c r="D10" s="2">
        <f ca="1">'数据修改（批量）'!D10</f>
        <v>948</v>
      </c>
      <c r="E10" s="2">
        <f ca="1">'数据修改（批量）'!E10</f>
        <v>1000</v>
      </c>
      <c r="F10" s="2">
        <f ca="1">'数据修改（批量）'!F10</f>
        <v>25648</v>
      </c>
      <c r="G10" s="2">
        <f ca="1">'数据修改（批量）'!G10</f>
        <v>25.648</v>
      </c>
    </row>
    <row r="12" spans="1:4">
      <c r="A12" s="2" t="str">
        <f ca="1">'数据修改（批量）'!A12</f>
        <v>篷布</v>
      </c>
      <c r="B12" s="2"/>
      <c r="C12" s="2"/>
      <c r="D12" s="3"/>
    </row>
    <row r="13" spans="1:7">
      <c r="A13" s="2"/>
      <c r="B13" s="2" t="str">
        <f ca="1">'数据修改（批量）'!B13</f>
        <v>项目</v>
      </c>
      <c r="C13" s="2" t="str">
        <f ca="1">'数据修改（批量）'!C13</f>
        <v>运费</v>
      </c>
      <c r="D13" s="2" t="str">
        <f ca="1">'数据修改（批量）'!D13</f>
        <v>单价</v>
      </c>
      <c r="E13" s="2" t="str">
        <f ca="1">'数据修改（批量）'!E13</f>
        <v>每平价格</v>
      </c>
      <c r="F13" s="2"/>
      <c r="G13" s="2"/>
    </row>
    <row r="14" spans="1:7">
      <c r="A14" s="2"/>
      <c r="B14" s="2">
        <f ca="1">'数据修改（批量）'!B14</f>
        <v>650</v>
      </c>
      <c r="C14" s="2">
        <f ca="1">'数据修改（批量）'!C14</f>
        <v>0.5</v>
      </c>
      <c r="D14" s="4">
        <f ca="1">'数据修改（批量）'!D14</f>
        <v>13.8</v>
      </c>
      <c r="E14" s="2">
        <f ca="1">'数据修改（批量）'!E14</f>
        <v>14.3</v>
      </c>
      <c r="F14" s="2"/>
      <c r="G14" s="2"/>
    </row>
    <row r="15" spans="1:7">
      <c r="A15" s="2"/>
      <c r="B15" s="2">
        <f ca="1">'数据修改（批量）'!B15</f>
        <v>780</v>
      </c>
      <c r="C15" s="2">
        <f ca="1">'数据修改（批量）'!C15</f>
        <v>0.5</v>
      </c>
      <c r="D15" s="4">
        <f ca="1">'数据修改（批量）'!D15</f>
        <v>16.8</v>
      </c>
      <c r="E15" s="2">
        <f ca="1">'数据修改（批量）'!E15</f>
        <v>17.3</v>
      </c>
      <c r="F15" s="2"/>
      <c r="G15" s="2"/>
    </row>
    <row r="16" spans="2:7">
      <c r="B16" s="2">
        <f ca="1">'数据修改（批量）'!B16</f>
        <v>850</v>
      </c>
      <c r="C16" s="2">
        <f ca="1">'数据修改（批量）'!C16</f>
        <v>0.5</v>
      </c>
      <c r="D16" s="4">
        <f ca="1">'数据修改（批量）'!D16</f>
        <v>18</v>
      </c>
      <c r="E16" s="2">
        <f ca="1">'数据修改（批量）'!E16</f>
        <v>18.5</v>
      </c>
      <c r="F16" s="2"/>
      <c r="G16" s="2"/>
    </row>
    <row r="21" spans="1:7">
      <c r="A21" s="6" t="str">
        <f ca="1">'数据修改（批量）'!A21</f>
        <v>说明：黄色部分可以根据价格修改</v>
      </c>
      <c r="B21" s="6"/>
      <c r="C21" s="6"/>
      <c r="D21" s="6"/>
      <c r="E21" s="6"/>
      <c r="F21" s="6"/>
      <c r="G21" s="6"/>
    </row>
  </sheetData>
  <mergeCells count="1">
    <mergeCell ref="A21:G21"/>
  </mergeCells>
  <pageMargins left="0.75" right="0.75" top="1" bottom="1" header="0.509027777777778" footer="0.509027777777778"/>
  <headerFooter/>
</worksheet>
</file>

<file path=xl/worksheets/sheet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FF0000"/>
  </sheetPr>
  <dimension ref="A1:T56"/>
  <sheetViews>
    <sheetView showGridLines="0" workbookViewId="0">
      <selection activeCell="G16" sqref="G16"/>
    </sheetView>
  </sheetViews>
  <sheetFormatPr defaultColWidth="9" defaultRowHeight="14.25"/>
  <cols>
    <col min="1" max="1" width="2.375" style="1" customWidth="1"/>
    <col min="2" max="2" width="16.75" style="1" customWidth="1"/>
    <col min="3" max="5" width="9" style="1"/>
    <col min="6" max="6" width="9" style="1" customWidth="1"/>
    <col min="7" max="7" width="11.125" style="1" customWidth="1"/>
    <col min="8" max="9" width="9" style="1" customWidth="1"/>
    <col min="10" max="10" width="11.125" style="1" customWidth="1"/>
    <col min="11" max="11" width="9" style="1" customWidth="1"/>
    <col min="12" max="12" width="11.125" style="1" customWidth="1"/>
    <col min="13" max="13" width="9" style="1" customWidth="1"/>
    <col min="14" max="14" width="10.125" style="1" customWidth="1"/>
    <col min="15" max="15" width="59.75" style="1" customWidth="1"/>
    <col min="16" max="16" width="9" style="1"/>
    <col min="17" max="17" width="13.875" style="1" customWidth="1"/>
    <col min="18" max="18" width="9" style="1"/>
    <col min="19" max="19" width="14.5" style="1" customWidth="1"/>
    <col min="20" max="16384" width="9" style="1"/>
  </cols>
  <sheetData>
    <row r="1" ht="18.75" spans="1:18">
      <c r="A1" s="78" t="s">
        <v>1643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3"/>
      <c r="P1" s="3"/>
      <c r="Q1" s="3"/>
      <c r="R1" s="3"/>
    </row>
    <row r="2" spans="1:16">
      <c r="A2" s="8" t="s">
        <v>1246</v>
      </c>
      <c r="B2" s="8"/>
      <c r="C2" s="8"/>
      <c r="D2" s="9" t="s">
        <v>1198</v>
      </c>
      <c r="E2" s="10">
        <f>A3*5*50</f>
        <v>500</v>
      </c>
      <c r="F2" s="11"/>
      <c r="G2" s="11"/>
      <c r="H2" s="11"/>
      <c r="I2" s="11"/>
      <c r="J2" s="11"/>
      <c r="K2" s="11"/>
      <c r="L2" s="11"/>
      <c r="M2" s="11"/>
      <c r="N2" s="11"/>
      <c r="O2" s="55"/>
      <c r="P2" s="3"/>
    </row>
    <row r="3" spans="1:16">
      <c r="A3" s="12">
        <v>2</v>
      </c>
      <c r="B3" s="12"/>
      <c r="C3" s="9" t="s">
        <v>1247</v>
      </c>
      <c r="D3" s="13">
        <v>3</v>
      </c>
      <c r="E3" s="11" t="s">
        <v>1248</v>
      </c>
      <c r="F3" s="14">
        <v>2</v>
      </c>
      <c r="G3" s="11" t="s">
        <v>1249</v>
      </c>
      <c r="H3" s="11"/>
      <c r="I3" s="11"/>
      <c r="J3" s="11"/>
      <c r="K3" s="11"/>
      <c r="L3" s="11"/>
      <c r="M3" s="11"/>
      <c r="N3" s="11"/>
      <c r="O3" s="55"/>
      <c r="P3" s="3"/>
    </row>
    <row r="4" ht="25.5" spans="1:20">
      <c r="A4" s="15" t="s">
        <v>1200</v>
      </c>
      <c r="B4" s="16" t="s">
        <v>1201</v>
      </c>
      <c r="C4" s="17" t="s">
        <v>1396</v>
      </c>
      <c r="D4" s="18" t="s">
        <v>22</v>
      </c>
      <c r="E4" s="18" t="s">
        <v>1203</v>
      </c>
      <c r="F4" s="18" t="s">
        <v>1202</v>
      </c>
      <c r="G4" s="17" t="s">
        <v>1204</v>
      </c>
      <c r="H4" s="19" t="s">
        <v>1205</v>
      </c>
      <c r="I4" s="17" t="s">
        <v>1253</v>
      </c>
      <c r="J4" s="17" t="s">
        <v>1254</v>
      </c>
      <c r="K4" s="17" t="s">
        <v>1255</v>
      </c>
      <c r="L4" s="17" t="s">
        <v>1209</v>
      </c>
      <c r="M4" s="17" t="s">
        <v>1420</v>
      </c>
      <c r="N4" s="17" t="s">
        <v>1211</v>
      </c>
      <c r="O4" s="56" t="s">
        <v>1257</v>
      </c>
      <c r="P4" s="57" t="s">
        <v>1430</v>
      </c>
      <c r="Q4" s="57" t="s">
        <v>1213</v>
      </c>
      <c r="R4" s="57" t="s">
        <v>1541</v>
      </c>
      <c r="S4" s="57" t="s">
        <v>1213</v>
      </c>
      <c r="T4" s="3"/>
    </row>
    <row r="5" ht="15" customHeight="1" spans="1:20">
      <c r="A5" s="20" t="s">
        <v>1215</v>
      </c>
      <c r="B5" s="21" t="s">
        <v>1224</v>
      </c>
      <c r="C5" s="22"/>
      <c r="D5" s="23" t="s">
        <v>28</v>
      </c>
      <c r="E5" s="24">
        <f>D3*2</f>
        <v>6</v>
      </c>
      <c r="F5" s="23"/>
      <c r="G5" s="25">
        <f ca="1" t="shared" ref="G5:G15" si="0">J5+K5+L5+M5+N5</f>
        <v>2234.15246936</v>
      </c>
      <c r="H5" s="26">
        <f>9.8/2</f>
        <v>4.9</v>
      </c>
      <c r="I5" s="26">
        <v>13.649</v>
      </c>
      <c r="J5" s="25">
        <f ca="1">H5*I5*'50米（人字300料）参数'!G9*1.1</f>
        <v>1940.43246936</v>
      </c>
      <c r="K5" s="29">
        <f ca="1">101.64*2</f>
        <v>203.28</v>
      </c>
      <c r="L5" s="29">
        <v>67.29</v>
      </c>
      <c r="M5" s="29">
        <f ca="1">2.55*5</f>
        <v>12.75</v>
      </c>
      <c r="N5" s="29">
        <f ca="1">0.65*16</f>
        <v>10.4</v>
      </c>
      <c r="O5" s="58" t="s">
        <v>1618</v>
      </c>
      <c r="P5" s="57">
        <v>4</v>
      </c>
      <c r="Q5" s="57">
        <f ca="1" t="shared" ref="Q5:Q30" si="1">G5*P5</f>
        <v>8936.60987744</v>
      </c>
      <c r="R5" s="57">
        <f t="shared" ref="R5:R27" si="2">E5-P5</f>
        <v>2</v>
      </c>
      <c r="S5" s="57">
        <f ca="1" t="shared" ref="S5:S12" si="3">G5*R5</f>
        <v>4468.30493872</v>
      </c>
      <c r="T5" s="3"/>
    </row>
    <row r="6" ht="15" customHeight="1" spans="1:20">
      <c r="A6" s="20"/>
      <c r="B6" s="21" t="s">
        <v>1543</v>
      </c>
      <c r="C6" s="27"/>
      <c r="D6" s="23" t="s">
        <v>28</v>
      </c>
      <c r="E6" s="24">
        <f>D3*2</f>
        <v>6</v>
      </c>
      <c r="F6" s="23"/>
      <c r="G6" s="25">
        <f ca="1" t="shared" si="0"/>
        <v>4281.473192368</v>
      </c>
      <c r="H6" s="26">
        <v>10.62</v>
      </c>
      <c r="I6" s="26">
        <v>13.649</v>
      </c>
      <c r="J6" s="25">
        <f ca="1">H6*I6*'50米（人字300料）参数'!G9*1.1</f>
        <v>4205.590372368</v>
      </c>
      <c r="K6" s="29">
        <f ca="1">8*2.5</f>
        <v>20</v>
      </c>
      <c r="L6" s="29">
        <v>20.06</v>
      </c>
      <c r="M6" s="29">
        <f ca="1">1.5*8</f>
        <v>12</v>
      </c>
      <c r="N6" s="29">
        <f ca="1">1.25*0.882*'50米（人字300料）参数'!G5</f>
        <v>23.82282</v>
      </c>
      <c r="O6" s="58" t="s">
        <v>1644</v>
      </c>
      <c r="P6" s="57">
        <v>4</v>
      </c>
      <c r="Q6" s="57">
        <f ca="1" t="shared" si="1"/>
        <v>17125.892769472</v>
      </c>
      <c r="R6" s="57">
        <f t="shared" si="2"/>
        <v>2</v>
      </c>
      <c r="S6" s="57">
        <f ca="1" t="shared" si="3"/>
        <v>8562.946384736</v>
      </c>
      <c r="T6" s="3"/>
    </row>
    <row r="7" ht="15" customHeight="1" spans="1:20">
      <c r="A7" s="20"/>
      <c r="B7" s="21" t="s">
        <v>1625</v>
      </c>
      <c r="C7" s="27"/>
      <c r="D7" s="23" t="s">
        <v>28</v>
      </c>
      <c r="E7" s="24">
        <f>D3*2</f>
        <v>6</v>
      </c>
      <c r="F7" s="23"/>
      <c r="G7" s="25">
        <f ca="1" t="shared" si="0"/>
        <v>4805.236608368</v>
      </c>
      <c r="H7" s="26">
        <v>10.62</v>
      </c>
      <c r="I7" s="26">
        <v>13.649</v>
      </c>
      <c r="J7" s="25">
        <f ca="1">H7*I7*'50米（人字300料）参数'!G9*1.1</f>
        <v>4205.590372368</v>
      </c>
      <c r="K7" s="29">
        <f ca="1">8*2.5</f>
        <v>20</v>
      </c>
      <c r="L7" s="25">
        <f ca="1">1.5*14.003*'50米（人字300料）参数'!G10</f>
        <v>538.723416</v>
      </c>
      <c r="M7" s="29">
        <f ca="1">2.55*2+1.5*8</f>
        <v>17.1</v>
      </c>
      <c r="N7" s="29">
        <f ca="1">1.25*0.882*'50米（人字300料）参数'!G5</f>
        <v>23.82282</v>
      </c>
      <c r="O7" s="58" t="s">
        <v>1626</v>
      </c>
      <c r="P7" s="57">
        <v>4</v>
      </c>
      <c r="Q7" s="57">
        <f ca="1" t="shared" si="1"/>
        <v>19220.946433472</v>
      </c>
      <c r="R7" s="57">
        <f t="shared" si="2"/>
        <v>2</v>
      </c>
      <c r="S7" s="57">
        <f ca="1" t="shared" si="3"/>
        <v>9610.473216736</v>
      </c>
      <c r="T7" s="3"/>
    </row>
    <row r="8" ht="15" customHeight="1" spans="1:20">
      <c r="A8" s="20"/>
      <c r="B8" s="21" t="s">
        <v>1586</v>
      </c>
      <c r="C8" s="27"/>
      <c r="D8" s="23" t="s">
        <v>28</v>
      </c>
      <c r="E8" s="24">
        <f>D3*2</f>
        <v>6</v>
      </c>
      <c r="F8" s="23"/>
      <c r="G8" s="25">
        <f ca="1" t="shared" si="0"/>
        <v>2645.53024688</v>
      </c>
      <c r="H8" s="26">
        <v>5.4</v>
      </c>
      <c r="I8" s="26">
        <v>13.649</v>
      </c>
      <c r="J8" s="25">
        <f ca="1">H8*I8*'50米（人字300料）参数'!G10*1.1</f>
        <v>2079.41313888</v>
      </c>
      <c r="K8" s="29">
        <f t="shared" ref="K8:K13" si="4">2.5*2</f>
        <v>5</v>
      </c>
      <c r="L8" s="25">
        <f ca="1">1.5*14.003*'50米（人字300料）参数'!G10</f>
        <v>538.723416</v>
      </c>
      <c r="M8" s="29">
        <f ca="1">2.55*2+1.5*2</f>
        <v>8.1</v>
      </c>
      <c r="N8" s="29">
        <f ca="1">0.75*0.882*'50米（人字300料）参数'!G5</f>
        <v>14.293692</v>
      </c>
      <c r="O8" s="58" t="s">
        <v>1620</v>
      </c>
      <c r="P8" s="57">
        <v>4</v>
      </c>
      <c r="Q8" s="57">
        <f ca="1" t="shared" si="1"/>
        <v>10582.12098752</v>
      </c>
      <c r="R8" s="57">
        <f t="shared" si="2"/>
        <v>2</v>
      </c>
      <c r="S8" s="57">
        <f ca="1" t="shared" si="3"/>
        <v>5291.06049376</v>
      </c>
      <c r="T8" s="3"/>
    </row>
    <row r="9" ht="15" customHeight="1" spans="1:20">
      <c r="A9" s="20"/>
      <c r="B9" s="21" t="s">
        <v>1588</v>
      </c>
      <c r="C9" s="27"/>
      <c r="D9" s="23" t="s">
        <v>28</v>
      </c>
      <c r="E9" s="24">
        <f>F3*2</f>
        <v>4</v>
      </c>
      <c r="F9" s="23"/>
      <c r="G9" s="25">
        <f ca="1" t="shared" si="0"/>
        <v>939.1695272</v>
      </c>
      <c r="H9" s="26">
        <v>6.33</v>
      </c>
      <c r="I9" s="26">
        <v>5.3</v>
      </c>
      <c r="J9" s="25">
        <f ca="1">H9*I9*'50米（人字300料）参数'!G3*1.1</f>
        <v>835.7995272</v>
      </c>
      <c r="K9" s="29">
        <f t="shared" si="4"/>
        <v>5</v>
      </c>
      <c r="L9" s="29">
        <f ca="1">49.51+41.21</f>
        <v>90.72</v>
      </c>
      <c r="M9" s="29">
        <f ca="1">2.55*3</f>
        <v>7.65</v>
      </c>
      <c r="N9" s="29"/>
      <c r="O9" s="58" t="s">
        <v>1589</v>
      </c>
      <c r="P9" s="57">
        <v>4</v>
      </c>
      <c r="Q9" s="57">
        <f ca="1" t="shared" si="1"/>
        <v>3756.6781088</v>
      </c>
      <c r="R9" s="57">
        <f t="shared" si="2"/>
        <v>0</v>
      </c>
      <c r="S9" s="57">
        <f ca="1" t="shared" si="3"/>
        <v>0</v>
      </c>
      <c r="T9" s="3"/>
    </row>
    <row r="10" ht="15" customHeight="1" spans="1:20">
      <c r="A10" s="20"/>
      <c r="B10" s="21" t="s">
        <v>1590</v>
      </c>
      <c r="C10" s="27"/>
      <c r="D10" s="23" t="s">
        <v>28</v>
      </c>
      <c r="E10" s="24">
        <f>F3*2</f>
        <v>4</v>
      </c>
      <c r="F10" s="23"/>
      <c r="G10" s="25">
        <f ca="1" t="shared" si="0"/>
        <v>1143.8281792</v>
      </c>
      <c r="H10" s="26">
        <v>7.88</v>
      </c>
      <c r="I10" s="26">
        <v>5.3</v>
      </c>
      <c r="J10" s="25">
        <f ca="1">H10*I10*'50米（人字300料）参数'!G3*1.1</f>
        <v>1040.4581792</v>
      </c>
      <c r="K10" s="29">
        <f t="shared" si="4"/>
        <v>5</v>
      </c>
      <c r="L10" s="29">
        <f ca="1">49.51+41.21</f>
        <v>90.72</v>
      </c>
      <c r="M10" s="29">
        <f ca="1">2.55*3</f>
        <v>7.65</v>
      </c>
      <c r="N10" s="29"/>
      <c r="O10" s="58" t="s">
        <v>1591</v>
      </c>
      <c r="P10" s="57">
        <v>4</v>
      </c>
      <c r="Q10" s="57">
        <f ca="1" t="shared" si="1"/>
        <v>4575.3127168</v>
      </c>
      <c r="R10" s="57">
        <f t="shared" si="2"/>
        <v>0</v>
      </c>
      <c r="S10" s="57">
        <f ca="1" t="shared" si="3"/>
        <v>0</v>
      </c>
      <c r="T10" s="3"/>
    </row>
    <row r="11" ht="15" customHeight="1" spans="1:20">
      <c r="A11" s="20"/>
      <c r="B11" s="21" t="s">
        <v>1592</v>
      </c>
      <c r="C11" s="27"/>
      <c r="D11" s="23" t="s">
        <v>28</v>
      </c>
      <c r="E11" s="24">
        <f>F3*2</f>
        <v>4</v>
      </c>
      <c r="F11" s="23"/>
      <c r="G11" s="25">
        <f ca="1" t="shared" si="0"/>
        <v>1348.4868312</v>
      </c>
      <c r="H11" s="26">
        <v>9.43</v>
      </c>
      <c r="I11" s="26">
        <v>5.3</v>
      </c>
      <c r="J11" s="25">
        <f ca="1">H11*I11*'50米（人字300料）参数'!G3*1.1</f>
        <v>1245.1168312</v>
      </c>
      <c r="K11" s="29">
        <f t="shared" si="4"/>
        <v>5</v>
      </c>
      <c r="L11" s="29">
        <f ca="1">49.51+41.21</f>
        <v>90.72</v>
      </c>
      <c r="M11" s="29">
        <f ca="1">2.55*3</f>
        <v>7.65</v>
      </c>
      <c r="N11" s="29"/>
      <c r="O11" s="58" t="s">
        <v>1593</v>
      </c>
      <c r="P11" s="57">
        <v>4</v>
      </c>
      <c r="Q11" s="57">
        <f ca="1" t="shared" si="1"/>
        <v>5393.9473248</v>
      </c>
      <c r="R11" s="57">
        <f t="shared" si="2"/>
        <v>0</v>
      </c>
      <c r="S11" s="57">
        <f ca="1" t="shared" si="3"/>
        <v>0</v>
      </c>
      <c r="T11" s="3"/>
    </row>
    <row r="12" ht="15" customHeight="1" spans="1:20">
      <c r="A12" s="20"/>
      <c r="B12" s="21" t="s">
        <v>1627</v>
      </c>
      <c r="C12" s="27"/>
      <c r="D12" s="23" t="s">
        <v>28</v>
      </c>
      <c r="E12" s="24">
        <f>F3*2</f>
        <v>4</v>
      </c>
      <c r="F12" s="23"/>
      <c r="G12" s="25">
        <f ca="1" t="shared" si="0"/>
        <v>2351.343623104</v>
      </c>
      <c r="H12" s="26">
        <v>10.96</v>
      </c>
      <c r="I12" s="26">
        <v>8.233</v>
      </c>
      <c r="J12" s="25">
        <f ca="1">H12*I12*'50米（人字300料）参数'!G3*1.1</f>
        <v>2247.973623104</v>
      </c>
      <c r="K12" s="29">
        <f t="shared" si="4"/>
        <v>5</v>
      </c>
      <c r="L12" s="29">
        <f ca="1">49.51+41.21</f>
        <v>90.72</v>
      </c>
      <c r="M12" s="29">
        <f ca="1">2.55*3</f>
        <v>7.65</v>
      </c>
      <c r="N12" s="29"/>
      <c r="O12" s="58" t="s">
        <v>1628</v>
      </c>
      <c r="P12" s="57">
        <v>4</v>
      </c>
      <c r="Q12" s="57">
        <f ca="1" t="shared" si="1"/>
        <v>9405.374492416</v>
      </c>
      <c r="R12" s="57">
        <f t="shared" si="2"/>
        <v>0</v>
      </c>
      <c r="S12" s="57">
        <f ca="1" t="shared" si="3"/>
        <v>0</v>
      </c>
      <c r="T12" s="3"/>
    </row>
    <row r="13" ht="15" customHeight="1" spans="1:20">
      <c r="A13" s="20"/>
      <c r="B13" s="21" t="s">
        <v>1645</v>
      </c>
      <c r="C13" s="27"/>
      <c r="D13" s="23" t="s">
        <v>28</v>
      </c>
      <c r="E13" s="24">
        <f>F3</f>
        <v>2</v>
      </c>
      <c r="F13" s="23"/>
      <c r="G13" s="25">
        <f ca="1" t="shared" si="0"/>
        <v>2970.009979904</v>
      </c>
      <c r="H13" s="26">
        <v>12.96</v>
      </c>
      <c r="I13" s="26">
        <v>8.233</v>
      </c>
      <c r="J13" s="25">
        <f ca="1">H13*I13*'50米（人字300料）参数'!G3*1.1</f>
        <v>2658.187787904</v>
      </c>
      <c r="K13" s="29">
        <f t="shared" si="4"/>
        <v>5</v>
      </c>
      <c r="L13" s="29">
        <f ca="1">49.51+41.21</f>
        <v>90.72</v>
      </c>
      <c r="M13" s="29">
        <f ca="1">2.55*3</f>
        <v>7.65</v>
      </c>
      <c r="N13" s="29">
        <f ca="1">1.2*7.67*'50米（人字300料）参数'!G3</f>
        <v>208.452192</v>
      </c>
      <c r="O13" s="58" t="s">
        <v>1646</v>
      </c>
      <c r="P13" s="57">
        <v>2</v>
      </c>
      <c r="Q13" s="57">
        <f ca="1" t="shared" si="1"/>
        <v>5940.019959808</v>
      </c>
      <c r="R13" s="57">
        <f t="shared" si="2"/>
        <v>0</v>
      </c>
      <c r="S13" s="57">
        <v>0</v>
      </c>
      <c r="T13" s="3"/>
    </row>
    <row r="14" ht="15" customHeight="1" spans="1:20">
      <c r="A14" s="20"/>
      <c r="B14" s="21" t="s">
        <v>1226</v>
      </c>
      <c r="C14" s="27"/>
      <c r="D14" s="23" t="s">
        <v>28</v>
      </c>
      <c r="E14" s="24">
        <f>A3*16+F3*8</f>
        <v>48</v>
      </c>
      <c r="F14" s="23"/>
      <c r="G14" s="25">
        <f ca="1" t="shared" si="0"/>
        <v>336.5448493136</v>
      </c>
      <c r="H14" s="26">
        <v>4.882</v>
      </c>
      <c r="I14" s="26">
        <v>2.771</v>
      </c>
      <c r="J14" s="25">
        <f ca="1">H14*I14*'50米（人字300料）参数'!G5*1.1</f>
        <v>321.5448493136</v>
      </c>
      <c r="K14" s="29"/>
      <c r="L14" s="29"/>
      <c r="M14" s="29">
        <f ca="1">0.5*4</f>
        <v>2</v>
      </c>
      <c r="N14" s="29">
        <f ca="1">6.5*2</f>
        <v>13</v>
      </c>
      <c r="O14" s="59" t="s">
        <v>1595</v>
      </c>
      <c r="P14" s="57">
        <v>32</v>
      </c>
      <c r="Q14" s="57">
        <f ca="1" t="shared" si="1"/>
        <v>10769.4351780352</v>
      </c>
      <c r="R14" s="57">
        <f t="shared" si="2"/>
        <v>16</v>
      </c>
      <c r="S14" s="57">
        <f ca="1" t="shared" ref="S14:S30" si="5">G14*R14</f>
        <v>5384.7175890176</v>
      </c>
      <c r="T14" s="3"/>
    </row>
    <row r="15" ht="15" customHeight="1" spans="1:20">
      <c r="A15" s="20"/>
      <c r="B15" s="21" t="s">
        <v>1596</v>
      </c>
      <c r="C15" s="27"/>
      <c r="D15" s="23" t="s">
        <v>28</v>
      </c>
      <c r="E15" s="24">
        <f>A3*5</f>
        <v>10</v>
      </c>
      <c r="F15" s="23"/>
      <c r="G15" s="25">
        <f ca="1" t="shared" si="0"/>
        <v>737.9347773824</v>
      </c>
      <c r="H15" s="26">
        <v>4.882</v>
      </c>
      <c r="I15" s="26">
        <v>5.944</v>
      </c>
      <c r="J15" s="25">
        <f ca="1">H15*I15*'50米（人字300料）参数'!G3*1.1</f>
        <v>722.9347773824</v>
      </c>
      <c r="K15" s="29"/>
      <c r="L15" s="29"/>
      <c r="M15" s="29">
        <f ca="1">0.5*4</f>
        <v>2</v>
      </c>
      <c r="N15" s="29">
        <f ca="1">6.5*2</f>
        <v>13</v>
      </c>
      <c r="O15" s="60" t="s">
        <v>1597</v>
      </c>
      <c r="P15" s="57">
        <v>5</v>
      </c>
      <c r="Q15" s="57">
        <f ca="1" t="shared" si="1"/>
        <v>3689.673886912</v>
      </c>
      <c r="R15" s="57">
        <f t="shared" si="2"/>
        <v>5</v>
      </c>
      <c r="S15" s="57">
        <f ca="1" t="shared" si="5"/>
        <v>3689.673886912</v>
      </c>
      <c r="T15" s="3"/>
    </row>
    <row r="16" ht="15" customHeight="1" spans="1:20">
      <c r="A16" s="20"/>
      <c r="B16" s="21" t="s">
        <v>1266</v>
      </c>
      <c r="C16" s="27"/>
      <c r="D16" s="23" t="s">
        <v>28</v>
      </c>
      <c r="E16" s="24">
        <f>A3*2+F3*10</f>
        <v>24</v>
      </c>
      <c r="F16" s="23"/>
      <c r="G16" s="25">
        <f ca="1">'数据修改（批量）'!A28</f>
        <v>95</v>
      </c>
      <c r="H16" s="26">
        <v>4.86</v>
      </c>
      <c r="I16" s="26">
        <v>1.345</v>
      </c>
      <c r="J16" s="25">
        <f ca="1">H16*I16*'50米（人字300料）参数'!G5*1.1</f>
        <v>155.36951496</v>
      </c>
      <c r="K16" s="29"/>
      <c r="L16" s="29"/>
      <c r="M16" s="29"/>
      <c r="N16" s="29"/>
      <c r="O16" s="59" t="s">
        <v>1554</v>
      </c>
      <c r="P16" s="57">
        <v>22</v>
      </c>
      <c r="Q16" s="57">
        <f ca="1" t="shared" si="1"/>
        <v>2090</v>
      </c>
      <c r="R16" s="57">
        <f t="shared" si="2"/>
        <v>2</v>
      </c>
      <c r="S16" s="57">
        <f ca="1" t="shared" si="5"/>
        <v>190</v>
      </c>
      <c r="T16" s="3"/>
    </row>
    <row r="17" ht="15" customHeight="1" spans="1:20">
      <c r="A17" s="20"/>
      <c r="B17" s="21" t="s">
        <v>1276</v>
      </c>
      <c r="C17" s="27"/>
      <c r="D17" s="23" t="s">
        <v>28</v>
      </c>
      <c r="E17" s="28">
        <f>F3*2</f>
        <v>4</v>
      </c>
      <c r="F17" s="23"/>
      <c r="G17" s="25">
        <f ca="1">J17+K17+L17+M17+N17</f>
        <v>348.2448493136</v>
      </c>
      <c r="H17" s="26">
        <v>4.882</v>
      </c>
      <c r="I17" s="26">
        <v>2.771</v>
      </c>
      <c r="J17" s="25">
        <f ca="1">H17*I17*'50米（人字300料）参数'!G5*1.1</f>
        <v>321.5448493136</v>
      </c>
      <c r="K17" s="29"/>
      <c r="L17" s="61">
        <v>15</v>
      </c>
      <c r="M17" s="61">
        <f ca="1">8*0.65</f>
        <v>5.2</v>
      </c>
      <c r="N17" s="61">
        <v>6.5</v>
      </c>
      <c r="O17" s="59" t="s">
        <v>1598</v>
      </c>
      <c r="P17" s="57">
        <v>4</v>
      </c>
      <c r="Q17" s="57">
        <f ca="1" t="shared" si="1"/>
        <v>1392.9793972544</v>
      </c>
      <c r="R17" s="57">
        <f t="shared" si="2"/>
        <v>0</v>
      </c>
      <c r="S17" s="57">
        <f ca="1" t="shared" si="5"/>
        <v>0</v>
      </c>
      <c r="T17" s="3"/>
    </row>
    <row r="18" ht="15" customHeight="1" spans="1:20">
      <c r="A18" s="20"/>
      <c r="B18" s="21" t="s">
        <v>1356</v>
      </c>
      <c r="C18" s="27"/>
      <c r="D18" s="23" t="s">
        <v>28</v>
      </c>
      <c r="E18" s="28">
        <f>F3</f>
        <v>2</v>
      </c>
      <c r="F18" s="23"/>
      <c r="G18" s="29">
        <f ca="1">J18+K18+L18+M18+N18</f>
        <v>162.06</v>
      </c>
      <c r="H18" s="26">
        <v>7.5</v>
      </c>
      <c r="I18" s="26">
        <v>1</v>
      </c>
      <c r="J18" s="29">
        <f ca="1">H18*I18*'50米（人字300料）参数'!G5</f>
        <v>162.06</v>
      </c>
      <c r="K18" s="29"/>
      <c r="L18" s="29"/>
      <c r="M18" s="29"/>
      <c r="N18" s="29"/>
      <c r="O18" s="60" t="s">
        <v>1599</v>
      </c>
      <c r="P18" s="57">
        <v>2</v>
      </c>
      <c r="Q18" s="57">
        <f ca="1" t="shared" si="1"/>
        <v>324.12</v>
      </c>
      <c r="R18" s="57">
        <f t="shared" si="2"/>
        <v>0</v>
      </c>
      <c r="S18" s="57">
        <f ca="1" t="shared" si="5"/>
        <v>0</v>
      </c>
      <c r="T18" s="3"/>
    </row>
    <row r="19" ht="15" customHeight="1" spans="1:20">
      <c r="A19" s="20"/>
      <c r="B19" s="21" t="s">
        <v>1448</v>
      </c>
      <c r="C19" s="27"/>
      <c r="D19" s="23" t="s">
        <v>28</v>
      </c>
      <c r="E19" s="28">
        <f>D3*2-F3*2</f>
        <v>2</v>
      </c>
      <c r="F19" s="23"/>
      <c r="G19" s="29">
        <f>J19+K19+L19+M19+N19</f>
        <v>259</v>
      </c>
      <c r="H19" s="26"/>
      <c r="I19" s="26"/>
      <c r="J19" s="29">
        <f>128*1.5</f>
        <v>192</v>
      </c>
      <c r="K19" s="29"/>
      <c r="L19" s="29">
        <f>2.5*2</f>
        <v>5</v>
      </c>
      <c r="M19" s="29">
        <f>21*2</f>
        <v>42</v>
      </c>
      <c r="N19" s="29">
        <v>20</v>
      </c>
      <c r="O19" s="58" t="s">
        <v>1558</v>
      </c>
      <c r="P19" s="57">
        <v>0</v>
      </c>
      <c r="Q19" s="57">
        <f ca="1" t="shared" si="1"/>
        <v>0</v>
      </c>
      <c r="R19" s="57">
        <f t="shared" si="2"/>
        <v>2</v>
      </c>
      <c r="S19" s="57">
        <f ca="1" t="shared" si="5"/>
        <v>518</v>
      </c>
      <c r="T19" s="3"/>
    </row>
    <row r="20" ht="15" customHeight="1" spans="1:20">
      <c r="A20" s="20"/>
      <c r="B20" s="21" t="s">
        <v>1559</v>
      </c>
      <c r="C20" s="27"/>
      <c r="D20" s="23" t="s">
        <v>28</v>
      </c>
      <c r="E20" s="28">
        <f>D3-F3</f>
        <v>1</v>
      </c>
      <c r="F20" s="23"/>
      <c r="G20" s="29">
        <f>J20+K20+L20+M20+N20</f>
        <v>259</v>
      </c>
      <c r="H20" s="26"/>
      <c r="I20" s="26"/>
      <c r="J20" s="29">
        <f>128*1.5</f>
        <v>192</v>
      </c>
      <c r="K20" s="29"/>
      <c r="L20" s="29">
        <f>2.5*2</f>
        <v>5</v>
      </c>
      <c r="M20" s="29">
        <f>21*2</f>
        <v>42</v>
      </c>
      <c r="N20" s="29">
        <v>20</v>
      </c>
      <c r="O20" s="58" t="s">
        <v>1558</v>
      </c>
      <c r="P20" s="57">
        <v>0</v>
      </c>
      <c r="Q20" s="57">
        <f ca="1" t="shared" si="1"/>
        <v>0</v>
      </c>
      <c r="R20" s="57">
        <f t="shared" si="2"/>
        <v>1</v>
      </c>
      <c r="S20" s="57">
        <f ca="1" t="shared" si="5"/>
        <v>259</v>
      </c>
      <c r="T20" s="3"/>
    </row>
    <row r="21" ht="15" customHeight="1" spans="1:20">
      <c r="A21" s="20"/>
      <c r="B21" s="21" t="s">
        <v>1272</v>
      </c>
      <c r="C21" s="27"/>
      <c r="D21" s="23" t="s">
        <v>28</v>
      </c>
      <c r="E21" s="30">
        <v>6</v>
      </c>
      <c r="F21" s="23"/>
      <c r="G21" s="29">
        <f>J21+K21+L21+M21+N21</f>
        <v>237</v>
      </c>
      <c r="H21" s="26"/>
      <c r="I21" s="26"/>
      <c r="J21" s="29">
        <f>108*2</f>
        <v>216</v>
      </c>
      <c r="K21" s="29"/>
      <c r="L21" s="29">
        <v>6</v>
      </c>
      <c r="M21" s="29">
        <v>10</v>
      </c>
      <c r="N21" s="29">
        <v>5</v>
      </c>
      <c r="O21" s="60" t="s">
        <v>1561</v>
      </c>
      <c r="P21" s="57">
        <v>4</v>
      </c>
      <c r="Q21" s="57">
        <f ca="1" t="shared" si="1"/>
        <v>948</v>
      </c>
      <c r="R21" s="57">
        <f t="shared" si="2"/>
        <v>2</v>
      </c>
      <c r="S21" s="57">
        <f ca="1" t="shared" si="5"/>
        <v>474</v>
      </c>
      <c r="T21" s="3"/>
    </row>
    <row r="22" ht="15" customHeight="1" spans="1:20">
      <c r="A22" s="20" t="s">
        <v>1562</v>
      </c>
      <c r="B22" s="21" t="s">
        <v>1304</v>
      </c>
      <c r="C22" s="27"/>
      <c r="D22" s="23" t="s">
        <v>434</v>
      </c>
      <c r="E22" s="24">
        <f>D3</f>
        <v>3</v>
      </c>
      <c r="F22" s="23"/>
      <c r="G22" s="25">
        <v>608</v>
      </c>
      <c r="H22" s="26"/>
      <c r="I22" s="26"/>
      <c r="J22" s="25">
        <f ca="1">H22*I22*'50米（人字300料）参数'!G10*1.1</f>
        <v>0</v>
      </c>
      <c r="K22" s="29"/>
      <c r="L22" s="25"/>
      <c r="M22" s="29"/>
      <c r="N22" s="29"/>
      <c r="O22" s="60" t="s">
        <v>1361</v>
      </c>
      <c r="P22" s="57">
        <v>2</v>
      </c>
      <c r="Q22" s="57">
        <f ca="1" t="shared" si="1"/>
        <v>1216</v>
      </c>
      <c r="R22" s="57">
        <f t="shared" si="2"/>
        <v>1</v>
      </c>
      <c r="S22" s="57">
        <f ca="1" t="shared" si="5"/>
        <v>608</v>
      </c>
      <c r="T22" s="3"/>
    </row>
    <row r="23" ht="15" customHeight="1" spans="1:20">
      <c r="A23" s="31"/>
      <c r="B23" s="21" t="s">
        <v>1310</v>
      </c>
      <c r="C23" s="27"/>
      <c r="D23" s="23" t="s">
        <v>434</v>
      </c>
      <c r="E23" s="24">
        <f>E9+E10+E11+E12+E13</f>
        <v>18</v>
      </c>
      <c r="F23" s="23"/>
      <c r="G23" s="29">
        <v>76.4</v>
      </c>
      <c r="H23" s="26"/>
      <c r="I23" s="26"/>
      <c r="J23" s="29"/>
      <c r="K23" s="29"/>
      <c r="L23" s="29"/>
      <c r="M23" s="29"/>
      <c r="N23" s="29"/>
      <c r="O23" s="59" t="s">
        <v>1361</v>
      </c>
      <c r="P23" s="57">
        <v>18</v>
      </c>
      <c r="Q23" s="57">
        <f ca="1" t="shared" si="1"/>
        <v>1375.2</v>
      </c>
      <c r="R23" s="57">
        <f t="shared" si="2"/>
        <v>0</v>
      </c>
      <c r="S23" s="57">
        <f ca="1" t="shared" si="5"/>
        <v>0</v>
      </c>
      <c r="T23" s="3"/>
    </row>
    <row r="24" ht="15" customHeight="1" spans="1:20">
      <c r="A24" s="31"/>
      <c r="B24" s="21" t="s">
        <v>1280</v>
      </c>
      <c r="C24" s="27"/>
      <c r="D24" s="23" t="s">
        <v>434</v>
      </c>
      <c r="E24" s="28">
        <f>E5</f>
        <v>6</v>
      </c>
      <c r="F24" s="23"/>
      <c r="G24" s="29">
        <v>137</v>
      </c>
      <c r="H24" s="26"/>
      <c r="I24" s="26"/>
      <c r="J24" s="29"/>
      <c r="K24" s="29"/>
      <c r="L24" s="29"/>
      <c r="M24" s="29"/>
      <c r="N24" s="29"/>
      <c r="O24" s="59" t="s">
        <v>1361</v>
      </c>
      <c r="P24" s="57">
        <v>4</v>
      </c>
      <c r="Q24" s="57">
        <f ca="1" t="shared" si="1"/>
        <v>548</v>
      </c>
      <c r="R24" s="57">
        <f t="shared" si="2"/>
        <v>2</v>
      </c>
      <c r="S24" s="57">
        <f ca="1" t="shared" si="5"/>
        <v>274</v>
      </c>
      <c r="T24" s="3"/>
    </row>
    <row r="25" ht="15" customHeight="1" spans="1:20">
      <c r="A25" s="31"/>
      <c r="B25" s="21" t="s">
        <v>1629</v>
      </c>
      <c r="C25" s="27"/>
      <c r="D25" s="23" t="s">
        <v>28</v>
      </c>
      <c r="E25" s="32">
        <f>E21</f>
        <v>6</v>
      </c>
      <c r="F25" s="23"/>
      <c r="G25" s="29">
        <v>124</v>
      </c>
      <c r="H25" s="26"/>
      <c r="I25" s="26"/>
      <c r="J25" s="29"/>
      <c r="K25" s="29"/>
      <c r="L25" s="29"/>
      <c r="M25" s="29"/>
      <c r="N25" s="29"/>
      <c r="O25" s="60" t="s">
        <v>1630</v>
      </c>
      <c r="P25" s="57">
        <v>4</v>
      </c>
      <c r="Q25" s="57">
        <f ca="1" t="shared" si="1"/>
        <v>496</v>
      </c>
      <c r="R25" s="57">
        <f t="shared" si="2"/>
        <v>2</v>
      </c>
      <c r="S25" s="57">
        <f ca="1" t="shared" si="5"/>
        <v>248</v>
      </c>
      <c r="T25" s="3"/>
    </row>
    <row r="26" ht="15" customHeight="1" spans="1:20">
      <c r="A26" s="31"/>
      <c r="B26" s="21" t="s">
        <v>1600</v>
      </c>
      <c r="C26" s="27"/>
      <c r="D26" s="23" t="s">
        <v>28</v>
      </c>
      <c r="E26" s="32">
        <f>E21</f>
        <v>6</v>
      </c>
      <c r="F26" s="23"/>
      <c r="G26" s="29">
        <v>119.3</v>
      </c>
      <c r="H26" s="36"/>
      <c r="I26" s="36"/>
      <c r="J26" s="65"/>
      <c r="K26" s="65"/>
      <c r="L26" s="65"/>
      <c r="M26" s="65"/>
      <c r="N26" s="65"/>
      <c r="O26" s="60" t="s">
        <v>1601</v>
      </c>
      <c r="P26" s="57">
        <v>4</v>
      </c>
      <c r="Q26" s="57">
        <f ca="1" t="shared" si="1"/>
        <v>477.2</v>
      </c>
      <c r="R26" s="57">
        <f t="shared" si="2"/>
        <v>2</v>
      </c>
      <c r="S26" s="57">
        <f ca="1" t="shared" si="5"/>
        <v>238.6</v>
      </c>
      <c r="T26" s="3"/>
    </row>
    <row r="27" ht="15" customHeight="1" spans="1:20">
      <c r="A27" s="31"/>
      <c r="B27" s="21" t="s">
        <v>1602</v>
      </c>
      <c r="C27" s="27"/>
      <c r="D27" s="23" t="s">
        <v>28</v>
      </c>
      <c r="E27" s="32">
        <f>E21</f>
        <v>6</v>
      </c>
      <c r="F27" s="23"/>
      <c r="G27" s="29">
        <v>97.5</v>
      </c>
      <c r="H27" s="33"/>
      <c r="I27" s="33"/>
      <c r="J27" s="62"/>
      <c r="K27" s="62"/>
      <c r="L27" s="62"/>
      <c r="M27" s="62"/>
      <c r="N27" s="62"/>
      <c r="O27" s="80" t="s">
        <v>1603</v>
      </c>
      <c r="P27" s="57">
        <v>4</v>
      </c>
      <c r="Q27" s="57">
        <f ca="1" t="shared" si="1"/>
        <v>390</v>
      </c>
      <c r="R27" s="57">
        <f t="shared" si="2"/>
        <v>2</v>
      </c>
      <c r="S27" s="57">
        <f ca="1" t="shared" si="5"/>
        <v>195</v>
      </c>
      <c r="T27" s="3"/>
    </row>
    <row r="28" ht="15" customHeight="1" spans="1:20">
      <c r="A28" s="31"/>
      <c r="B28" s="21" t="s">
        <v>522</v>
      </c>
      <c r="C28" s="27"/>
      <c r="D28" s="23" t="s">
        <v>434</v>
      </c>
      <c r="E28" s="32">
        <f>E21</f>
        <v>6</v>
      </c>
      <c r="F28" s="23"/>
      <c r="G28" s="79">
        <v>9.65</v>
      </c>
      <c r="H28" s="35"/>
      <c r="I28" s="35"/>
      <c r="J28" s="34"/>
      <c r="K28" s="34"/>
      <c r="L28" s="34"/>
      <c r="M28" s="34"/>
      <c r="N28" s="34"/>
      <c r="O28" s="81" t="s">
        <v>1604</v>
      </c>
      <c r="P28" s="57">
        <v>4</v>
      </c>
      <c r="Q28" s="57">
        <f ca="1" t="shared" si="1"/>
        <v>38.6</v>
      </c>
      <c r="R28" s="57">
        <f t="shared" ref="R28:R44" si="6">E28-P28</f>
        <v>2</v>
      </c>
      <c r="S28" s="57">
        <f ca="1" t="shared" si="5"/>
        <v>19.3</v>
      </c>
      <c r="T28" s="3"/>
    </row>
    <row r="29" ht="15" customHeight="1" spans="1:20">
      <c r="A29" s="31"/>
      <c r="B29" s="21" t="s">
        <v>524</v>
      </c>
      <c r="C29" s="27"/>
      <c r="D29" s="23" t="s">
        <v>434</v>
      </c>
      <c r="E29" s="32">
        <f>E21*2</f>
        <v>12</v>
      </c>
      <c r="F29" s="23"/>
      <c r="G29" s="29">
        <v>18.36</v>
      </c>
      <c r="H29" s="37"/>
      <c r="I29" s="37"/>
      <c r="J29" s="69"/>
      <c r="K29" s="69"/>
      <c r="L29" s="69"/>
      <c r="M29" s="69"/>
      <c r="N29" s="69"/>
      <c r="O29" s="60" t="s">
        <v>1605</v>
      </c>
      <c r="P29" s="57">
        <v>8</v>
      </c>
      <c r="Q29" s="57">
        <f ca="1" t="shared" si="1"/>
        <v>146.88</v>
      </c>
      <c r="R29" s="57">
        <f t="shared" si="6"/>
        <v>4</v>
      </c>
      <c r="S29" s="57">
        <f ca="1" t="shared" si="5"/>
        <v>73.44</v>
      </c>
      <c r="T29" s="3"/>
    </row>
    <row r="30" ht="15" customHeight="1" spans="1:20">
      <c r="A30" s="31"/>
      <c r="B30" s="21" t="s">
        <v>526</v>
      </c>
      <c r="C30" s="27"/>
      <c r="D30" s="23" t="s">
        <v>434</v>
      </c>
      <c r="E30" s="32">
        <f>E29/2</f>
        <v>6</v>
      </c>
      <c r="F30" s="23"/>
      <c r="G30" s="29">
        <v>24.84</v>
      </c>
      <c r="H30" s="26"/>
      <c r="I30" s="26"/>
      <c r="J30" s="29"/>
      <c r="K30" s="29"/>
      <c r="L30" s="29"/>
      <c r="M30" s="29"/>
      <c r="N30" s="29"/>
      <c r="O30" s="60" t="s">
        <v>1606</v>
      </c>
      <c r="P30" s="57">
        <v>4</v>
      </c>
      <c r="Q30" s="57">
        <f ca="1" t="shared" si="1"/>
        <v>99.36</v>
      </c>
      <c r="R30" s="57">
        <f t="shared" si="6"/>
        <v>2</v>
      </c>
      <c r="S30" s="57">
        <f ca="1" t="shared" si="5"/>
        <v>49.68</v>
      </c>
      <c r="T30" s="3"/>
    </row>
    <row r="31" ht="15" customHeight="1" spans="1:20">
      <c r="A31" s="31"/>
      <c r="B31" s="21" t="s">
        <v>1647</v>
      </c>
      <c r="C31" s="27"/>
      <c r="D31" s="23"/>
      <c r="E31" s="32">
        <f>D3-F3</f>
        <v>1</v>
      </c>
      <c r="F31" s="23"/>
      <c r="G31" s="29">
        <v>64.65</v>
      </c>
      <c r="H31" s="26"/>
      <c r="I31" s="26"/>
      <c r="J31" s="29"/>
      <c r="K31" s="29"/>
      <c r="L31" s="29"/>
      <c r="M31" s="29"/>
      <c r="N31" s="29"/>
      <c r="O31" s="60" t="s">
        <v>1648</v>
      </c>
      <c r="P31" s="57">
        <v>0</v>
      </c>
      <c r="Q31" s="57"/>
      <c r="R31" s="57">
        <f t="shared" si="6"/>
        <v>1</v>
      </c>
      <c r="S31" s="57"/>
      <c r="T31" s="3"/>
    </row>
    <row r="32" ht="15" customHeight="1" spans="1:20">
      <c r="A32" s="31"/>
      <c r="B32" s="21" t="s">
        <v>1282</v>
      </c>
      <c r="C32" s="27"/>
      <c r="D32" s="23" t="s">
        <v>434</v>
      </c>
      <c r="E32" s="24">
        <f>D3*2+F3*7</f>
        <v>20</v>
      </c>
      <c r="F32" s="23"/>
      <c r="G32" s="29">
        <v>4.45</v>
      </c>
      <c r="H32" s="26"/>
      <c r="I32" s="26"/>
      <c r="J32" s="29"/>
      <c r="K32" s="29"/>
      <c r="L32" s="29"/>
      <c r="M32" s="29"/>
      <c r="N32" s="29"/>
      <c r="O32" s="59" t="s">
        <v>1453</v>
      </c>
      <c r="P32" s="57">
        <v>18</v>
      </c>
      <c r="Q32" s="57">
        <f t="shared" ref="Q32:Q44" si="7">G32*P32</f>
        <v>80.1</v>
      </c>
      <c r="R32" s="57">
        <f t="shared" si="6"/>
        <v>2</v>
      </c>
      <c r="S32" s="57">
        <f t="shared" ref="S32:S44" si="8">G32*R32</f>
        <v>8.9</v>
      </c>
      <c r="T32" s="3"/>
    </row>
    <row r="33" ht="15" customHeight="1" spans="1:20">
      <c r="A33" s="31"/>
      <c r="B33" s="21" t="s">
        <v>1284</v>
      </c>
      <c r="C33" s="27"/>
      <c r="D33" s="23" t="s">
        <v>434</v>
      </c>
      <c r="E33" s="24">
        <f>D3*2</f>
        <v>6</v>
      </c>
      <c r="F33" s="23"/>
      <c r="G33" s="29">
        <v>6.51</v>
      </c>
      <c r="H33" s="26"/>
      <c r="I33" s="26"/>
      <c r="J33" s="29"/>
      <c r="K33" s="29"/>
      <c r="L33" s="29"/>
      <c r="M33" s="29"/>
      <c r="N33" s="29"/>
      <c r="O33" s="59" t="s">
        <v>1607</v>
      </c>
      <c r="P33" s="57">
        <v>4</v>
      </c>
      <c r="Q33" s="57">
        <f t="shared" si="7"/>
        <v>26.04</v>
      </c>
      <c r="R33" s="57">
        <f t="shared" si="6"/>
        <v>2</v>
      </c>
      <c r="S33" s="57">
        <f t="shared" si="8"/>
        <v>13.02</v>
      </c>
      <c r="T33" s="3"/>
    </row>
    <row r="34" ht="15" customHeight="1" spans="1:20">
      <c r="A34" s="31"/>
      <c r="B34" s="21" t="s">
        <v>519</v>
      </c>
      <c r="C34" s="27"/>
      <c r="D34" s="23" t="s">
        <v>434</v>
      </c>
      <c r="E34" s="24">
        <f>F3*2</f>
        <v>4</v>
      </c>
      <c r="F34" s="23"/>
      <c r="G34" s="29">
        <v>6.5</v>
      </c>
      <c r="H34" s="36"/>
      <c r="I34" s="36"/>
      <c r="J34" s="65"/>
      <c r="K34" s="65"/>
      <c r="L34" s="65"/>
      <c r="M34" s="65"/>
      <c r="N34" s="65"/>
      <c r="O34" s="66" t="s">
        <v>1455</v>
      </c>
      <c r="P34" s="57">
        <v>4</v>
      </c>
      <c r="Q34" s="57">
        <f t="shared" si="7"/>
        <v>26</v>
      </c>
      <c r="R34" s="57">
        <f t="shared" si="6"/>
        <v>0</v>
      </c>
      <c r="S34" s="57">
        <f t="shared" si="8"/>
        <v>0</v>
      </c>
      <c r="T34" s="3"/>
    </row>
    <row r="35" ht="15" customHeight="1" spans="1:20">
      <c r="A35" s="31"/>
      <c r="B35" s="21" t="s">
        <v>1568</v>
      </c>
      <c r="C35" s="27"/>
      <c r="D35" s="23" t="s">
        <v>612</v>
      </c>
      <c r="E35" s="24">
        <f>A3</f>
        <v>2</v>
      </c>
      <c r="F35" s="23"/>
      <c r="G35" s="29">
        <f ca="1">J35+K35+L35+M35+N35</f>
        <v>5829.48</v>
      </c>
      <c r="H35" s="26">
        <v>54.52</v>
      </c>
      <c r="I35" s="26">
        <v>5</v>
      </c>
      <c r="J35" s="29">
        <f ca="1">H35*I35*'50米（人字300料）参数'!D16*1.1</f>
        <v>5397.48</v>
      </c>
      <c r="K35" s="29">
        <f>54*2*4</f>
        <v>432</v>
      </c>
      <c r="L35" s="29"/>
      <c r="M35" s="29"/>
      <c r="N35" s="29"/>
      <c r="O35" s="67" t="s">
        <v>1649</v>
      </c>
      <c r="P35" s="68">
        <v>1</v>
      </c>
      <c r="Q35" s="57">
        <f ca="1" t="shared" si="7"/>
        <v>5829.48</v>
      </c>
      <c r="R35" s="57">
        <f t="shared" si="6"/>
        <v>1</v>
      </c>
      <c r="S35" s="57">
        <f ca="1" t="shared" si="8"/>
        <v>5829.48</v>
      </c>
      <c r="T35" s="3"/>
    </row>
    <row r="36" ht="15" customHeight="1" spans="1:20">
      <c r="A36" s="31"/>
      <c r="B36" s="21" t="s">
        <v>1570</v>
      </c>
      <c r="C36" s="27"/>
      <c r="D36" s="23" t="s">
        <v>664</v>
      </c>
      <c r="E36" s="24">
        <f>F3</f>
        <v>2</v>
      </c>
      <c r="F36" s="23"/>
      <c r="G36" s="29">
        <f ca="1">J36+K36+L36+M36+N36</f>
        <v>4882.0416</v>
      </c>
      <c r="H36" s="37">
        <v>25.4</v>
      </c>
      <c r="I36" s="37">
        <v>9.8</v>
      </c>
      <c r="J36" s="69">
        <f ca="1">H36*I36*'50米（人字300料）参数'!D15*1.1</f>
        <v>4600.0416</v>
      </c>
      <c r="K36" s="69">
        <f>70.5*4</f>
        <v>282</v>
      </c>
      <c r="L36" s="69"/>
      <c r="M36" s="69"/>
      <c r="N36" s="69"/>
      <c r="O36" s="70" t="s">
        <v>1650</v>
      </c>
      <c r="P36" s="57">
        <v>2</v>
      </c>
      <c r="Q36" s="57">
        <f ca="1" t="shared" si="7"/>
        <v>9764.0832</v>
      </c>
      <c r="R36" s="57">
        <f t="shared" si="6"/>
        <v>0</v>
      </c>
      <c r="S36" s="57">
        <f ca="1" t="shared" si="8"/>
        <v>0</v>
      </c>
      <c r="T36" s="3"/>
    </row>
    <row r="37" ht="15" customHeight="1" spans="1:20">
      <c r="A37" s="31"/>
      <c r="B37" s="21" t="s">
        <v>1572</v>
      </c>
      <c r="C37" s="27"/>
      <c r="D37" s="23" t="s">
        <v>664</v>
      </c>
      <c r="E37" s="24">
        <f>F3*10+A3*2</f>
        <v>24</v>
      </c>
      <c r="F37" s="23"/>
      <c r="G37" s="29">
        <f ca="1">J37+K37+L37+M37+N37</f>
        <v>452.7072</v>
      </c>
      <c r="H37" s="26">
        <v>5.2</v>
      </c>
      <c r="I37" s="26">
        <v>5.2</v>
      </c>
      <c r="J37" s="29">
        <f ca="1">H37*I37*'50米（人字300料）参数'!D14*1.1</f>
        <v>410.4672</v>
      </c>
      <c r="K37" s="71">
        <f>6.1*2</f>
        <v>12.2</v>
      </c>
      <c r="L37" s="71">
        <f>0.5*10</f>
        <v>5</v>
      </c>
      <c r="M37" s="71">
        <f>0.32*22</f>
        <v>7.04</v>
      </c>
      <c r="N37" s="71">
        <f>18*1</f>
        <v>18</v>
      </c>
      <c r="O37" s="60" t="s">
        <v>1580</v>
      </c>
      <c r="P37" s="57">
        <v>22</v>
      </c>
      <c r="Q37" s="57">
        <f ca="1" t="shared" si="7"/>
        <v>9959.5584</v>
      </c>
      <c r="R37" s="57">
        <f t="shared" si="6"/>
        <v>2</v>
      </c>
      <c r="S37" s="57">
        <f ca="1" t="shared" si="8"/>
        <v>905.4144</v>
      </c>
      <c r="T37" s="3"/>
    </row>
    <row r="38" ht="15" customHeight="1" spans="1:20">
      <c r="A38" s="31"/>
      <c r="B38" s="38" t="s">
        <v>1274</v>
      </c>
      <c r="C38" s="27"/>
      <c r="D38" s="23" t="s">
        <v>28</v>
      </c>
      <c r="E38" s="24">
        <f>E37</f>
        <v>24</v>
      </c>
      <c r="F38" s="23"/>
      <c r="G38" s="39">
        <v>21</v>
      </c>
      <c r="H38" s="40"/>
      <c r="I38" s="40"/>
      <c r="J38" s="41"/>
      <c r="K38" s="41"/>
      <c r="L38" s="41"/>
      <c r="M38" s="41"/>
      <c r="N38" s="41"/>
      <c r="O38" s="66" t="s">
        <v>1608</v>
      </c>
      <c r="P38" s="57">
        <v>22</v>
      </c>
      <c r="Q38" s="57">
        <f t="shared" si="7"/>
        <v>462</v>
      </c>
      <c r="R38" s="57">
        <f t="shared" si="6"/>
        <v>2</v>
      </c>
      <c r="S38" s="57">
        <f t="shared" si="8"/>
        <v>42</v>
      </c>
      <c r="T38" s="3"/>
    </row>
    <row r="39" ht="15" customHeight="1" spans="1:20">
      <c r="A39" s="31"/>
      <c r="B39" s="38" t="s">
        <v>551</v>
      </c>
      <c r="C39" s="27"/>
      <c r="D39" s="23" t="s">
        <v>434</v>
      </c>
      <c r="E39" s="24">
        <f>F3*9</f>
        <v>18</v>
      </c>
      <c r="F39" s="23"/>
      <c r="G39" s="41">
        <v>15.5</v>
      </c>
      <c r="H39" s="40"/>
      <c r="I39" s="40"/>
      <c r="J39" s="41"/>
      <c r="K39" s="41"/>
      <c r="L39" s="41"/>
      <c r="M39" s="41"/>
      <c r="N39" s="41"/>
      <c r="O39" s="66" t="s">
        <v>1456</v>
      </c>
      <c r="P39" s="57">
        <v>18</v>
      </c>
      <c r="Q39" s="57">
        <f t="shared" si="7"/>
        <v>279</v>
      </c>
      <c r="R39" s="57">
        <f t="shared" si="6"/>
        <v>0</v>
      </c>
      <c r="S39" s="57">
        <f t="shared" si="8"/>
        <v>0</v>
      </c>
      <c r="T39" s="3"/>
    </row>
    <row r="40" ht="15" customHeight="1" spans="1:20">
      <c r="A40" s="31"/>
      <c r="B40" s="42" t="s">
        <v>1609</v>
      </c>
      <c r="C40" s="27"/>
      <c r="D40" s="43" t="s">
        <v>555</v>
      </c>
      <c r="E40" s="44">
        <f>E5+E9+E10+E11+E25+E26+E21</f>
        <v>36</v>
      </c>
      <c r="F40" s="23"/>
      <c r="G40" s="45">
        <v>1.46</v>
      </c>
      <c r="H40" s="46"/>
      <c r="I40" s="46"/>
      <c r="J40" s="45"/>
      <c r="K40" s="45"/>
      <c r="L40" s="45"/>
      <c r="M40" s="45"/>
      <c r="N40" s="45"/>
      <c r="O40" s="59" t="s">
        <v>1610</v>
      </c>
      <c r="P40" s="57">
        <v>34</v>
      </c>
      <c r="Q40" s="57">
        <f t="shared" si="7"/>
        <v>49.64</v>
      </c>
      <c r="R40" s="57">
        <f t="shared" si="6"/>
        <v>2</v>
      </c>
      <c r="S40" s="57">
        <f t="shared" si="8"/>
        <v>2.92</v>
      </c>
      <c r="T40" s="3"/>
    </row>
    <row r="41" ht="15" customHeight="1" spans="1:20">
      <c r="A41" s="31"/>
      <c r="B41" s="42" t="s">
        <v>1575</v>
      </c>
      <c r="C41" s="27"/>
      <c r="D41" s="43" t="s">
        <v>555</v>
      </c>
      <c r="E41" s="44">
        <f>E28+E29*2+E30*2</f>
        <v>42</v>
      </c>
      <c r="F41" s="23"/>
      <c r="G41" s="45">
        <v>1.2</v>
      </c>
      <c r="H41" s="46"/>
      <c r="I41" s="46"/>
      <c r="J41" s="45"/>
      <c r="K41" s="45"/>
      <c r="L41" s="45"/>
      <c r="M41" s="45"/>
      <c r="N41" s="45"/>
      <c r="O41" s="59"/>
      <c r="P41" s="57">
        <v>42</v>
      </c>
      <c r="Q41" s="57">
        <f t="shared" si="7"/>
        <v>50.4</v>
      </c>
      <c r="R41" s="57">
        <f t="shared" si="6"/>
        <v>0</v>
      </c>
      <c r="S41" s="57">
        <f t="shared" si="8"/>
        <v>0</v>
      </c>
      <c r="T41" s="3"/>
    </row>
    <row r="42" ht="15" customHeight="1" spans="1:19">
      <c r="A42" s="20" t="s">
        <v>1217</v>
      </c>
      <c r="B42" s="21" t="s">
        <v>1574</v>
      </c>
      <c r="C42" s="24"/>
      <c r="D42" s="23" t="s">
        <v>434</v>
      </c>
      <c r="E42" s="24">
        <f>D3*6</f>
        <v>18</v>
      </c>
      <c r="F42" s="23"/>
      <c r="G42" s="47">
        <v>1.95</v>
      </c>
      <c r="H42" s="48"/>
      <c r="I42" s="48"/>
      <c r="J42" s="47"/>
      <c r="K42" s="47"/>
      <c r="L42" s="47"/>
      <c r="M42" s="47"/>
      <c r="N42" s="47"/>
      <c r="O42" s="59" t="s">
        <v>1375</v>
      </c>
      <c r="P42" s="57">
        <v>12</v>
      </c>
      <c r="Q42" s="57">
        <f t="shared" si="7"/>
        <v>23.4</v>
      </c>
      <c r="R42" s="57">
        <f t="shared" si="6"/>
        <v>6</v>
      </c>
      <c r="S42" s="57">
        <f t="shared" si="8"/>
        <v>11.7</v>
      </c>
    </row>
    <row r="43" ht="15" customHeight="1" spans="1:19">
      <c r="A43" s="20"/>
      <c r="B43" s="21" t="s">
        <v>1581</v>
      </c>
      <c r="C43" s="24"/>
      <c r="D43" s="23" t="s">
        <v>434</v>
      </c>
      <c r="E43" s="24">
        <f>D3*22+E28+E29+E30+F3*7</f>
        <v>104</v>
      </c>
      <c r="F43" s="23"/>
      <c r="G43" s="47">
        <v>2.15</v>
      </c>
      <c r="H43" s="48"/>
      <c r="I43" s="48"/>
      <c r="J43" s="47"/>
      <c r="K43" s="47"/>
      <c r="L43" s="47"/>
      <c r="M43" s="47"/>
      <c r="N43" s="47"/>
      <c r="O43" s="59" t="s">
        <v>1372</v>
      </c>
      <c r="P43" s="57">
        <v>82</v>
      </c>
      <c r="Q43" s="57">
        <f t="shared" si="7"/>
        <v>176.3</v>
      </c>
      <c r="R43" s="57">
        <f t="shared" si="6"/>
        <v>22</v>
      </c>
      <c r="S43" s="57">
        <f t="shared" si="8"/>
        <v>47.3</v>
      </c>
    </row>
    <row r="44" ht="15" customHeight="1" spans="1:19">
      <c r="A44" s="20"/>
      <c r="B44" s="21" t="s">
        <v>1582</v>
      </c>
      <c r="C44" s="24"/>
      <c r="D44" s="23" t="s">
        <v>434</v>
      </c>
      <c r="E44" s="28">
        <f>E21+E28+E29+E30</f>
        <v>30</v>
      </c>
      <c r="F44" s="23"/>
      <c r="G44" s="47">
        <v>2.55</v>
      </c>
      <c r="H44" s="48"/>
      <c r="I44" s="48"/>
      <c r="J44" s="47"/>
      <c r="K44" s="47"/>
      <c r="L44" s="47"/>
      <c r="M44" s="47"/>
      <c r="N44" s="47"/>
      <c r="O44" s="59" t="s">
        <v>1373</v>
      </c>
      <c r="P44" s="57">
        <v>30</v>
      </c>
      <c r="Q44" s="57">
        <f t="shared" si="7"/>
        <v>76.5</v>
      </c>
      <c r="R44" s="57">
        <f t="shared" si="6"/>
        <v>0</v>
      </c>
      <c r="S44" s="57">
        <f t="shared" si="8"/>
        <v>0</v>
      </c>
    </row>
    <row r="45" spans="5:20">
      <c r="E45" s="3"/>
      <c r="F45" s="3"/>
      <c r="G45" s="3"/>
      <c r="H45" s="3"/>
      <c r="I45" s="3"/>
      <c r="J45" s="3"/>
      <c r="K45" s="3"/>
      <c r="L45" s="3"/>
      <c r="M45" s="3"/>
      <c r="N45" s="3"/>
      <c r="P45" s="1" t="s">
        <v>1218</v>
      </c>
      <c r="Q45" s="3">
        <f ca="1">SUM(Q5:Q44)</f>
        <v>135740.85273273</v>
      </c>
      <c r="R45" s="3" t="s">
        <v>1219</v>
      </c>
      <c r="S45" s="3">
        <f ca="1">SUM(S5:S44)</f>
        <v>47014.9309098816</v>
      </c>
      <c r="T45" s="3"/>
    </row>
    <row r="46" spans="5:20">
      <c r="E46" s="3"/>
      <c r="F46" s="3"/>
      <c r="G46" s="3"/>
      <c r="H46" s="3"/>
      <c r="I46" s="3"/>
      <c r="J46" s="3"/>
      <c r="K46" s="3"/>
      <c r="L46" s="3"/>
      <c r="M46" s="3"/>
      <c r="N46" s="3"/>
      <c r="Q46" s="3"/>
      <c r="R46" s="3"/>
      <c r="S46" s="3"/>
      <c r="T46" s="3"/>
    </row>
    <row r="47" spans="5:20">
      <c r="E47" s="3"/>
      <c r="F47" s="3"/>
      <c r="G47" s="3"/>
      <c r="H47" s="3"/>
      <c r="I47" s="3"/>
      <c r="J47" s="3"/>
      <c r="K47" s="3"/>
      <c r="L47" s="3"/>
      <c r="M47" s="3"/>
      <c r="N47" s="3"/>
      <c r="P47" s="50" t="s">
        <v>1576</v>
      </c>
      <c r="Q47" s="3">
        <f ca="1">Q45+S45</f>
        <v>182755.783642611</v>
      </c>
      <c r="R47" s="3"/>
      <c r="S47" s="3"/>
      <c r="T47" s="3"/>
    </row>
    <row r="48" spans="2:20">
      <c r="B48" s="49" t="s">
        <v>1221</v>
      </c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52" t="s">
        <v>1577</v>
      </c>
      <c r="Q48" s="3">
        <f ca="1">Q47/E2</f>
        <v>365.511567285222</v>
      </c>
      <c r="R48" s="3"/>
      <c r="S48" s="3"/>
      <c r="T48" s="3"/>
    </row>
    <row r="49" spans="2:20">
      <c r="B49" s="50"/>
      <c r="C49" s="51"/>
      <c r="D49" s="51"/>
      <c r="E49" s="51"/>
      <c r="F49" s="50"/>
      <c r="G49" s="3"/>
      <c r="H49" s="3"/>
      <c r="I49" s="3"/>
      <c r="J49" s="3"/>
      <c r="K49" s="3"/>
      <c r="L49" s="3"/>
      <c r="M49" s="3"/>
      <c r="N49" s="3"/>
      <c r="R49" s="3"/>
      <c r="S49" s="3"/>
      <c r="T49" s="3"/>
    </row>
    <row r="50" spans="2:20">
      <c r="B50" s="52"/>
      <c r="C50" s="52"/>
      <c r="D50" s="52"/>
      <c r="E50" s="52"/>
      <c r="F50" s="52"/>
      <c r="G50" s="3"/>
      <c r="H50" s="3"/>
      <c r="I50" s="3"/>
      <c r="J50" s="3"/>
      <c r="K50" s="3"/>
      <c r="L50" s="3"/>
      <c r="M50" s="3"/>
      <c r="N50" s="3"/>
      <c r="R50" s="3"/>
      <c r="S50" s="3"/>
      <c r="T50" s="3"/>
    </row>
    <row r="51" spans="2:20">
      <c r="B51" s="53"/>
      <c r="C51" s="53"/>
      <c r="D51" s="53"/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Q51" s="3"/>
      <c r="R51" s="3"/>
      <c r="S51" s="3"/>
      <c r="T51" s="3"/>
    </row>
    <row r="52" spans="2:20">
      <c r="B52" s="54"/>
      <c r="C52" s="54"/>
      <c r="D52" s="54"/>
      <c r="E52" s="54"/>
      <c r="F52" s="54"/>
      <c r="Q52" s="3"/>
      <c r="R52" s="3"/>
      <c r="S52" s="3"/>
      <c r="T52" s="3"/>
    </row>
    <row r="53" spans="2:20">
      <c r="B53" s="54"/>
      <c r="C53" s="54"/>
      <c r="D53" s="54"/>
      <c r="E53" s="54"/>
      <c r="F53" s="54"/>
      <c r="Q53" s="3"/>
      <c r="R53" s="3"/>
      <c r="S53" s="3"/>
      <c r="T53" s="3"/>
    </row>
    <row r="54" spans="2:20">
      <c r="B54" s="54"/>
      <c r="C54" s="54"/>
      <c r="D54" s="54"/>
      <c r="E54" s="54"/>
      <c r="F54" s="54"/>
      <c r="Q54" s="3"/>
      <c r="R54" s="3"/>
      <c r="S54" s="3"/>
      <c r="T54" s="3"/>
    </row>
    <row r="55" spans="2:20">
      <c r="B55" s="54"/>
      <c r="C55" s="54"/>
      <c r="D55" s="54"/>
      <c r="E55" s="54"/>
      <c r="F55" s="54"/>
      <c r="Q55" s="3"/>
      <c r="R55" s="3"/>
      <c r="S55" s="3"/>
      <c r="T55" s="3"/>
    </row>
    <row r="56" spans="2:20">
      <c r="B56" s="54"/>
      <c r="C56" s="54"/>
      <c r="D56" s="54"/>
      <c r="E56" s="54"/>
      <c r="F56" s="54"/>
      <c r="Q56" s="3"/>
      <c r="R56" s="3"/>
      <c r="S56" s="3"/>
      <c r="T56" s="3"/>
    </row>
  </sheetData>
  <mergeCells count="10">
    <mergeCell ref="A1:N1"/>
    <mergeCell ref="A2:C2"/>
    <mergeCell ref="F2:N2"/>
    <mergeCell ref="A3:B3"/>
    <mergeCell ref="H3:N3"/>
    <mergeCell ref="B48:O48"/>
    <mergeCell ref="B51:O51"/>
    <mergeCell ref="A5:A21"/>
    <mergeCell ref="A22:A41"/>
    <mergeCell ref="A42:A44"/>
  </mergeCells>
  <pageMargins left="0.75" right="0.75" top="1" bottom="1" header="0.509027777777778" footer="0.509027777777778"/>
  <headerFooter/>
</worksheet>
</file>

<file path=xl/worksheets/sheet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FF0000"/>
  </sheetPr>
  <dimension ref="A1:X56"/>
  <sheetViews>
    <sheetView showGridLines="0" workbookViewId="0">
      <selection activeCell="E14" sqref="E14"/>
    </sheetView>
  </sheetViews>
  <sheetFormatPr defaultColWidth="9" defaultRowHeight="14.25"/>
  <cols>
    <col min="1" max="1" width="3.75" style="1" customWidth="1"/>
    <col min="2" max="2" width="18.125" style="1" customWidth="1"/>
    <col min="3" max="4" width="10.25" style="1" customWidth="1"/>
    <col min="5" max="6" width="10.25" style="3" customWidth="1"/>
    <col min="7" max="8" width="10.375" style="1" customWidth="1"/>
    <col min="9" max="9" width="10.25" style="1" customWidth="1"/>
    <col min="10" max="10" width="13.125" style="1" customWidth="1"/>
    <col min="11" max="11" width="14.25" style="1" customWidth="1"/>
    <col min="12" max="12" width="11.125" style="1" customWidth="1"/>
    <col min="13" max="13" width="16.875" style="1" customWidth="1"/>
    <col min="14" max="14" width="13.625" style="1" customWidth="1"/>
    <col min="15" max="15" width="73.875" style="1" customWidth="1"/>
    <col min="16" max="16" width="14.375" style="1" customWidth="1"/>
    <col min="17" max="17" width="18.125" style="3" customWidth="1"/>
    <col min="18" max="18" width="13" style="3" customWidth="1"/>
    <col min="19" max="19" width="18.875" style="3" customWidth="1"/>
    <col min="20" max="24" width="9" style="3"/>
    <col min="25" max="16384" width="9" style="1"/>
  </cols>
  <sheetData>
    <row r="1" ht="18" customHeight="1" spans="1:24">
      <c r="A1" s="7" t="s">
        <v>1651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3"/>
      <c r="P1" s="3"/>
      <c r="S1" s="1"/>
      <c r="T1" s="1"/>
      <c r="U1" s="1"/>
      <c r="V1" s="1"/>
      <c r="W1" s="1"/>
      <c r="X1" s="1"/>
    </row>
    <row r="2" ht="14.1" customHeight="1" spans="1:24">
      <c r="A2" s="8" t="s">
        <v>1246</v>
      </c>
      <c r="B2" s="8"/>
      <c r="C2" s="8"/>
      <c r="D2" s="9" t="s">
        <v>1198</v>
      </c>
      <c r="E2" s="10">
        <f>A3*5*50</f>
        <v>500</v>
      </c>
      <c r="F2" s="11"/>
      <c r="G2" s="11"/>
      <c r="H2" s="11"/>
      <c r="I2" s="11"/>
      <c r="J2" s="11"/>
      <c r="K2" s="11"/>
      <c r="L2" s="11"/>
      <c r="M2" s="11"/>
      <c r="N2" s="11"/>
      <c r="O2" s="55"/>
      <c r="P2" s="3"/>
      <c r="Q2" s="1"/>
      <c r="R2" s="1"/>
      <c r="S2" s="1"/>
      <c r="T2" s="1"/>
      <c r="U2" s="1"/>
      <c r="V2" s="1"/>
      <c r="W2" s="1"/>
      <c r="X2" s="1"/>
    </row>
    <row r="3" ht="17.1" customHeight="1" spans="1:24">
      <c r="A3" s="12">
        <v>2</v>
      </c>
      <c r="B3" s="12"/>
      <c r="C3" s="9" t="s">
        <v>1247</v>
      </c>
      <c r="D3" s="13">
        <v>3</v>
      </c>
      <c r="E3" s="11" t="s">
        <v>1248</v>
      </c>
      <c r="F3" s="14">
        <v>2</v>
      </c>
      <c r="G3" s="11" t="s">
        <v>1249</v>
      </c>
      <c r="H3" s="11"/>
      <c r="I3" s="11"/>
      <c r="J3" s="11"/>
      <c r="K3" s="11"/>
      <c r="L3" s="11"/>
      <c r="M3" s="11"/>
      <c r="N3" s="11"/>
      <c r="O3" s="55"/>
      <c r="P3" s="3"/>
      <c r="Q3" s="1"/>
      <c r="R3" s="1"/>
      <c r="S3" s="1"/>
      <c r="T3" s="1"/>
      <c r="U3" s="1"/>
      <c r="V3" s="1"/>
      <c r="W3" s="1"/>
      <c r="X3" s="1"/>
    </row>
    <row r="4" ht="25.5" spans="1:19">
      <c r="A4" s="73" t="s">
        <v>1200</v>
      </c>
      <c r="B4" s="74" t="s">
        <v>1201</v>
      </c>
      <c r="C4" s="75" t="s">
        <v>1396</v>
      </c>
      <c r="D4" s="76" t="s">
        <v>22</v>
      </c>
      <c r="E4" s="76" t="s">
        <v>1203</v>
      </c>
      <c r="F4" s="75" t="s">
        <v>1202</v>
      </c>
      <c r="G4" s="75" t="s">
        <v>1204</v>
      </c>
      <c r="H4" s="75" t="s">
        <v>1205</v>
      </c>
      <c r="I4" s="75" t="s">
        <v>1253</v>
      </c>
      <c r="J4" s="75" t="s">
        <v>1254</v>
      </c>
      <c r="K4" s="75" t="s">
        <v>1255</v>
      </c>
      <c r="L4" s="75" t="s">
        <v>1209</v>
      </c>
      <c r="M4" s="75" t="s">
        <v>1420</v>
      </c>
      <c r="N4" s="75" t="s">
        <v>1211</v>
      </c>
      <c r="O4" s="77" t="s">
        <v>1257</v>
      </c>
      <c r="P4" s="57" t="s">
        <v>1430</v>
      </c>
      <c r="Q4" s="57" t="s">
        <v>1213</v>
      </c>
      <c r="R4" s="57" t="s">
        <v>1541</v>
      </c>
      <c r="S4" s="57" t="s">
        <v>1213</v>
      </c>
    </row>
    <row r="5" ht="14.1" customHeight="1" spans="1:19">
      <c r="A5" s="20" t="s">
        <v>1215</v>
      </c>
      <c r="B5" s="21" t="s">
        <v>1224</v>
      </c>
      <c r="C5" s="22"/>
      <c r="D5" s="23" t="s">
        <v>28</v>
      </c>
      <c r="E5" s="24">
        <f>D3*2</f>
        <v>6</v>
      </c>
      <c r="F5" s="23"/>
      <c r="G5" s="25">
        <f ca="1" t="shared" ref="G5:G15" si="0">J5+K5+L5+M5+N5</f>
        <v>2610.35876444</v>
      </c>
      <c r="H5" s="26">
        <f>11.7/2</f>
        <v>5.85</v>
      </c>
      <c r="I5" s="26">
        <v>13.649</v>
      </c>
      <c r="J5" s="25">
        <f ca="1">H5*I5*'50米（人字300料）参数'!G9*1.1</f>
        <v>2316.63876444</v>
      </c>
      <c r="K5" s="29">
        <f ca="1">101.64*2</f>
        <v>203.28</v>
      </c>
      <c r="L5" s="29">
        <v>67.29</v>
      </c>
      <c r="M5" s="29">
        <f ca="1">2.55*5</f>
        <v>12.75</v>
      </c>
      <c r="N5" s="29">
        <f ca="1">0.65*16</f>
        <v>10.4</v>
      </c>
      <c r="O5" s="58" t="s">
        <v>1622</v>
      </c>
      <c r="P5" s="57">
        <v>4</v>
      </c>
      <c r="Q5" s="57">
        <f ca="1" t="shared" ref="Q5:Q30" si="1">G5*P5</f>
        <v>10441.43505776</v>
      </c>
      <c r="R5" s="57">
        <f t="shared" ref="R5:R28" si="2">E5-P5</f>
        <v>2</v>
      </c>
      <c r="S5" s="57">
        <f ca="1" t="shared" ref="S5:S12" si="3">G5*R5</f>
        <v>5220.71752888</v>
      </c>
    </row>
    <row r="6" ht="14.1" customHeight="1" spans="1:19">
      <c r="A6" s="20"/>
      <c r="B6" s="21" t="s">
        <v>1543</v>
      </c>
      <c r="C6" s="27"/>
      <c r="D6" s="23" t="s">
        <v>28</v>
      </c>
      <c r="E6" s="24">
        <f>D3*2</f>
        <v>6</v>
      </c>
      <c r="F6" s="23"/>
      <c r="G6" s="25">
        <f ca="1" t="shared" si="0"/>
        <v>4281.473192368</v>
      </c>
      <c r="H6" s="26">
        <v>10.62</v>
      </c>
      <c r="I6" s="26">
        <v>13.649</v>
      </c>
      <c r="J6" s="25">
        <f ca="1">H6*I6*'50米（人字300料）参数'!G9*1.1</f>
        <v>4205.590372368</v>
      </c>
      <c r="K6" s="29">
        <f ca="1">8*2.5</f>
        <v>20</v>
      </c>
      <c r="L6" s="29">
        <v>20.06</v>
      </c>
      <c r="M6" s="29">
        <f ca="1">1.5*8</f>
        <v>12</v>
      </c>
      <c r="N6" s="29">
        <f ca="1">1.25*0.882*'50米（人字300料）参数'!G5</f>
        <v>23.82282</v>
      </c>
      <c r="O6" s="58" t="s">
        <v>1644</v>
      </c>
      <c r="P6" s="57">
        <v>4</v>
      </c>
      <c r="Q6" s="57">
        <f ca="1" t="shared" si="1"/>
        <v>17125.892769472</v>
      </c>
      <c r="R6" s="57">
        <f t="shared" si="2"/>
        <v>2</v>
      </c>
      <c r="S6" s="57">
        <f ca="1" t="shared" si="3"/>
        <v>8562.946384736</v>
      </c>
    </row>
    <row r="7" ht="14.1" customHeight="1" spans="1:19">
      <c r="A7" s="20"/>
      <c r="B7" s="21" t="s">
        <v>1625</v>
      </c>
      <c r="C7" s="27"/>
      <c r="D7" s="23" t="s">
        <v>28</v>
      </c>
      <c r="E7" s="24">
        <f>D3*2</f>
        <v>6</v>
      </c>
      <c r="F7" s="23"/>
      <c r="G7" s="25">
        <f ca="1" t="shared" si="0"/>
        <v>4805.236608368</v>
      </c>
      <c r="H7" s="26">
        <v>10.62</v>
      </c>
      <c r="I7" s="26">
        <v>13.649</v>
      </c>
      <c r="J7" s="25">
        <f ca="1">H7*I7*'50米（人字300料）参数'!G9*1.1</f>
        <v>4205.590372368</v>
      </c>
      <c r="K7" s="29">
        <f ca="1">8*2.5</f>
        <v>20</v>
      </c>
      <c r="L7" s="29">
        <f ca="1">1.5*14.003*'50米（人字300料）参数'!G10</f>
        <v>538.723416</v>
      </c>
      <c r="M7" s="29">
        <f ca="1">2.55*2+1.5*8</f>
        <v>17.1</v>
      </c>
      <c r="N7" s="29">
        <f ca="1">1.25*0.882*'50米（人字300料）参数'!G5</f>
        <v>23.82282</v>
      </c>
      <c r="O7" s="58" t="s">
        <v>1626</v>
      </c>
      <c r="P7" s="57">
        <v>4</v>
      </c>
      <c r="Q7" s="57">
        <f ca="1" t="shared" si="1"/>
        <v>19220.946433472</v>
      </c>
      <c r="R7" s="57">
        <f t="shared" si="2"/>
        <v>2</v>
      </c>
      <c r="S7" s="57">
        <f ca="1" t="shared" si="3"/>
        <v>9610.473216736</v>
      </c>
    </row>
    <row r="8" ht="14.1" customHeight="1" spans="1:19">
      <c r="A8" s="20"/>
      <c r="B8" s="21" t="s">
        <v>1586</v>
      </c>
      <c r="C8" s="27"/>
      <c r="D8" s="23" t="s">
        <v>28</v>
      </c>
      <c r="E8" s="24">
        <f>D3*2</f>
        <v>6</v>
      </c>
      <c r="F8" s="23"/>
      <c r="G8" s="25">
        <f ca="1" t="shared" si="0"/>
        <v>2645.53024688</v>
      </c>
      <c r="H8" s="26">
        <v>5.4</v>
      </c>
      <c r="I8" s="26">
        <v>13.649</v>
      </c>
      <c r="J8" s="25">
        <f ca="1">H8*I8*'50米（人字300料）参数'!G10*1.1</f>
        <v>2079.41313888</v>
      </c>
      <c r="K8" s="29">
        <f t="shared" ref="K8:K13" si="4">2.5*2</f>
        <v>5</v>
      </c>
      <c r="L8" s="29">
        <f ca="1">1.5*14.003*'50米（人字300料）参数'!G10</f>
        <v>538.723416</v>
      </c>
      <c r="M8" s="29">
        <f ca="1">2.55*2+1.5*2</f>
        <v>8.1</v>
      </c>
      <c r="N8" s="29">
        <f ca="1">0.75*0.882*'50米（人字300料）参数'!G5</f>
        <v>14.293692</v>
      </c>
      <c r="O8" s="58" t="s">
        <v>1620</v>
      </c>
      <c r="P8" s="57">
        <v>4</v>
      </c>
      <c r="Q8" s="57">
        <f ca="1" t="shared" si="1"/>
        <v>10582.12098752</v>
      </c>
      <c r="R8" s="57">
        <f t="shared" si="2"/>
        <v>2</v>
      </c>
      <c r="S8" s="57">
        <f ca="1" t="shared" si="3"/>
        <v>5291.06049376</v>
      </c>
    </row>
    <row r="9" ht="14.1" customHeight="1" spans="1:19">
      <c r="A9" s="20"/>
      <c r="B9" s="21" t="s">
        <v>1588</v>
      </c>
      <c r="C9" s="27"/>
      <c r="D9" s="23" t="s">
        <v>28</v>
      </c>
      <c r="E9" s="24">
        <f>F3*2</f>
        <v>4</v>
      </c>
      <c r="F9" s="23"/>
      <c r="G9" s="25">
        <f ca="1" t="shared" si="0"/>
        <v>1071.2073672</v>
      </c>
      <c r="H9" s="26">
        <v>7.33</v>
      </c>
      <c r="I9" s="26">
        <v>5.3</v>
      </c>
      <c r="J9" s="25">
        <f ca="1">H9*I9*'50米（人字300料）参数'!G3*1.1</f>
        <v>967.8373672</v>
      </c>
      <c r="K9" s="29">
        <f t="shared" si="4"/>
        <v>5</v>
      </c>
      <c r="L9" s="29">
        <f ca="1">49.51+41.21</f>
        <v>90.72</v>
      </c>
      <c r="M9" s="29">
        <f ca="1">2.55*3</f>
        <v>7.65</v>
      </c>
      <c r="N9" s="29"/>
      <c r="O9" s="58" t="s">
        <v>1613</v>
      </c>
      <c r="P9" s="57">
        <v>4</v>
      </c>
      <c r="Q9" s="57">
        <f ca="1" t="shared" si="1"/>
        <v>4284.8294688</v>
      </c>
      <c r="R9" s="57">
        <f t="shared" si="2"/>
        <v>0</v>
      </c>
      <c r="S9" s="57">
        <f ca="1" t="shared" si="3"/>
        <v>0</v>
      </c>
    </row>
    <row r="10" ht="14.1" customHeight="1" spans="1:19">
      <c r="A10" s="20"/>
      <c r="B10" s="21" t="s">
        <v>1590</v>
      </c>
      <c r="C10" s="27"/>
      <c r="D10" s="23" t="s">
        <v>28</v>
      </c>
      <c r="E10" s="24">
        <f>F3*2</f>
        <v>4</v>
      </c>
      <c r="F10" s="23"/>
      <c r="G10" s="25">
        <f ca="1" t="shared" si="0"/>
        <v>1275.8660192</v>
      </c>
      <c r="H10" s="26">
        <v>8.88</v>
      </c>
      <c r="I10" s="26">
        <v>5.3</v>
      </c>
      <c r="J10" s="25">
        <f ca="1">H10*I10*'50米（人字300料）参数'!G3*1.1</f>
        <v>1172.4960192</v>
      </c>
      <c r="K10" s="29">
        <f t="shared" si="4"/>
        <v>5</v>
      </c>
      <c r="L10" s="29">
        <f ca="1">49.51+41.21</f>
        <v>90.72</v>
      </c>
      <c r="M10" s="29">
        <f ca="1">2.55*3</f>
        <v>7.65</v>
      </c>
      <c r="N10" s="29"/>
      <c r="O10" s="58" t="s">
        <v>1614</v>
      </c>
      <c r="P10" s="57">
        <v>4</v>
      </c>
      <c r="Q10" s="57">
        <f ca="1" t="shared" si="1"/>
        <v>5103.4640768</v>
      </c>
      <c r="R10" s="57">
        <f t="shared" si="2"/>
        <v>0</v>
      </c>
      <c r="S10" s="57">
        <f ca="1" t="shared" si="3"/>
        <v>0</v>
      </c>
    </row>
    <row r="11" ht="14.1" customHeight="1" spans="1:19">
      <c r="A11" s="20"/>
      <c r="B11" s="21" t="s">
        <v>1592</v>
      </c>
      <c r="C11" s="27"/>
      <c r="D11" s="23" t="s">
        <v>28</v>
      </c>
      <c r="E11" s="24">
        <f>F3*2</f>
        <v>4</v>
      </c>
      <c r="F11" s="23"/>
      <c r="G11" s="25">
        <f ca="1" t="shared" si="0"/>
        <v>1480.5246712</v>
      </c>
      <c r="H11" s="26">
        <v>10.43</v>
      </c>
      <c r="I11" s="26">
        <v>5.3</v>
      </c>
      <c r="J11" s="25">
        <f ca="1">H11*I11*'50米（人字300料）参数'!G3*1.1</f>
        <v>1377.1546712</v>
      </c>
      <c r="K11" s="29">
        <f t="shared" si="4"/>
        <v>5</v>
      </c>
      <c r="L11" s="29">
        <f ca="1">49.51+41.21</f>
        <v>90.72</v>
      </c>
      <c r="M11" s="29">
        <f ca="1">2.55*3</f>
        <v>7.65</v>
      </c>
      <c r="N11" s="29"/>
      <c r="O11" s="58" t="s">
        <v>1615</v>
      </c>
      <c r="P11" s="57">
        <v>4</v>
      </c>
      <c r="Q11" s="57">
        <f ca="1" t="shared" si="1"/>
        <v>5922.0986848</v>
      </c>
      <c r="R11" s="57">
        <f t="shared" si="2"/>
        <v>0</v>
      </c>
      <c r="S11" s="57">
        <f ca="1" t="shared" si="3"/>
        <v>0</v>
      </c>
    </row>
    <row r="12" ht="14.1" customHeight="1" spans="1:19">
      <c r="A12" s="20"/>
      <c r="B12" s="21" t="s">
        <v>1627</v>
      </c>
      <c r="C12" s="27"/>
      <c r="D12" s="23" t="s">
        <v>28</v>
      </c>
      <c r="E12" s="24">
        <f>F3*2</f>
        <v>4</v>
      </c>
      <c r="F12" s="23"/>
      <c r="G12" s="25">
        <f ca="1" t="shared" si="0"/>
        <v>2556.450705504</v>
      </c>
      <c r="H12" s="26">
        <v>11.96</v>
      </c>
      <c r="I12" s="26">
        <v>8.233</v>
      </c>
      <c r="J12" s="25">
        <f ca="1">H12*I12*'50米（人字300料）参数'!G3*1.1</f>
        <v>2453.080705504</v>
      </c>
      <c r="K12" s="29">
        <f t="shared" si="4"/>
        <v>5</v>
      </c>
      <c r="L12" s="29">
        <f ca="1">49.51+41.21</f>
        <v>90.72</v>
      </c>
      <c r="M12" s="29">
        <f ca="1">2.55*3</f>
        <v>7.65</v>
      </c>
      <c r="N12" s="29"/>
      <c r="O12" s="58" t="s">
        <v>1635</v>
      </c>
      <c r="P12" s="57">
        <v>4</v>
      </c>
      <c r="Q12" s="57">
        <f ca="1" t="shared" si="1"/>
        <v>10225.802822016</v>
      </c>
      <c r="R12" s="57">
        <f t="shared" si="2"/>
        <v>0</v>
      </c>
      <c r="S12" s="57">
        <f ca="1" t="shared" si="3"/>
        <v>0</v>
      </c>
    </row>
    <row r="13" ht="14.1" customHeight="1" spans="1:19">
      <c r="A13" s="20"/>
      <c r="B13" s="21" t="s">
        <v>1645</v>
      </c>
      <c r="C13" s="27"/>
      <c r="D13" s="23" t="s">
        <v>28</v>
      </c>
      <c r="E13" s="24">
        <f>F3</f>
        <v>2</v>
      </c>
      <c r="F13" s="23"/>
      <c r="G13" s="25">
        <f ca="1" t="shared" si="0"/>
        <v>3175.117062304</v>
      </c>
      <c r="H13" s="26">
        <v>13.96</v>
      </c>
      <c r="I13" s="26">
        <v>8.233</v>
      </c>
      <c r="J13" s="25">
        <f ca="1">H13*I13*'50米（人字300料）参数'!G3*1.1</f>
        <v>2863.294870304</v>
      </c>
      <c r="K13" s="29">
        <f t="shared" si="4"/>
        <v>5</v>
      </c>
      <c r="L13" s="29">
        <f ca="1">49.51+41.21</f>
        <v>90.72</v>
      </c>
      <c r="M13" s="29">
        <f ca="1">2.55*3</f>
        <v>7.65</v>
      </c>
      <c r="N13" s="29">
        <f ca="1">1.2*7.67*'50米（人字300料）参数'!G3</f>
        <v>208.452192</v>
      </c>
      <c r="O13" s="58" t="s">
        <v>1652</v>
      </c>
      <c r="P13" s="57">
        <v>2</v>
      </c>
      <c r="Q13" s="57">
        <f ca="1" t="shared" si="1"/>
        <v>6350.234124608</v>
      </c>
      <c r="R13" s="57">
        <f t="shared" si="2"/>
        <v>0</v>
      </c>
      <c r="S13" s="57">
        <v>0</v>
      </c>
    </row>
    <row r="14" ht="14.1" customHeight="1" spans="1:19">
      <c r="A14" s="20"/>
      <c r="B14" s="21" t="s">
        <v>1226</v>
      </c>
      <c r="C14" s="27"/>
      <c r="D14" s="23" t="s">
        <v>28</v>
      </c>
      <c r="E14" s="24">
        <f>A3*16+F3*8</f>
        <v>48</v>
      </c>
      <c r="F14" s="23"/>
      <c r="G14" s="25">
        <f ca="1" t="shared" si="0"/>
        <v>336.5448493136</v>
      </c>
      <c r="H14" s="26">
        <v>4.882</v>
      </c>
      <c r="I14" s="26">
        <v>2.771</v>
      </c>
      <c r="J14" s="25">
        <f ca="1">H14*I14*'50米（人字300料）参数'!G5*1.1</f>
        <v>321.5448493136</v>
      </c>
      <c r="K14" s="29"/>
      <c r="L14" s="29"/>
      <c r="M14" s="29">
        <f ca="1">0.5*4</f>
        <v>2</v>
      </c>
      <c r="N14" s="29">
        <f ca="1">6.5*2</f>
        <v>13</v>
      </c>
      <c r="O14" s="59" t="s">
        <v>1595</v>
      </c>
      <c r="P14" s="57">
        <v>32</v>
      </c>
      <c r="Q14" s="57">
        <f ca="1" t="shared" si="1"/>
        <v>10769.4351780352</v>
      </c>
      <c r="R14" s="57">
        <f t="shared" si="2"/>
        <v>16</v>
      </c>
      <c r="S14" s="57">
        <f ca="1" t="shared" ref="S14:S30" si="5">G14*R14</f>
        <v>5384.7175890176</v>
      </c>
    </row>
    <row r="15" ht="14.1" customHeight="1" spans="1:19">
      <c r="A15" s="20"/>
      <c r="B15" s="21" t="s">
        <v>1596</v>
      </c>
      <c r="C15" s="27"/>
      <c r="D15" s="23" t="s">
        <v>28</v>
      </c>
      <c r="E15" s="24">
        <f>A3*5</f>
        <v>10</v>
      </c>
      <c r="F15" s="23"/>
      <c r="G15" s="25">
        <f ca="1" t="shared" si="0"/>
        <v>737.9347773824</v>
      </c>
      <c r="H15" s="26">
        <v>4.882</v>
      </c>
      <c r="I15" s="26">
        <v>5.944</v>
      </c>
      <c r="J15" s="25">
        <f ca="1">H15*I15*'50米（人字300料）参数'!G3*1.1</f>
        <v>722.9347773824</v>
      </c>
      <c r="K15" s="29"/>
      <c r="L15" s="29"/>
      <c r="M15" s="29">
        <f ca="1">0.5*4</f>
        <v>2</v>
      </c>
      <c r="N15" s="29">
        <f ca="1">6.5*2</f>
        <v>13</v>
      </c>
      <c r="O15" s="60" t="s">
        <v>1597</v>
      </c>
      <c r="P15" s="57">
        <v>5</v>
      </c>
      <c r="Q15" s="57">
        <f ca="1" t="shared" si="1"/>
        <v>3689.673886912</v>
      </c>
      <c r="R15" s="57">
        <f t="shared" si="2"/>
        <v>5</v>
      </c>
      <c r="S15" s="57">
        <f ca="1" t="shared" si="5"/>
        <v>3689.673886912</v>
      </c>
    </row>
    <row r="16" ht="14.1" customHeight="1" spans="1:19">
      <c r="A16" s="20"/>
      <c r="B16" s="21" t="s">
        <v>1266</v>
      </c>
      <c r="C16" s="27"/>
      <c r="D16" s="23" t="s">
        <v>28</v>
      </c>
      <c r="E16" s="24">
        <f>A3*2+F3*10</f>
        <v>24</v>
      </c>
      <c r="F16" s="23"/>
      <c r="G16" s="25">
        <f ca="1">'数据修改（批量）'!A28</f>
        <v>95</v>
      </c>
      <c r="H16" s="26">
        <v>4.86</v>
      </c>
      <c r="I16" s="26">
        <v>1.345</v>
      </c>
      <c r="J16" s="25">
        <f ca="1">H16*I16*'50米（人字300料）参数'!G5*1.1</f>
        <v>155.36951496</v>
      </c>
      <c r="K16" s="29"/>
      <c r="L16" s="29"/>
      <c r="M16" s="29"/>
      <c r="N16" s="29"/>
      <c r="O16" s="59" t="s">
        <v>1554</v>
      </c>
      <c r="P16" s="57">
        <v>22</v>
      </c>
      <c r="Q16" s="57">
        <f ca="1" t="shared" si="1"/>
        <v>2090</v>
      </c>
      <c r="R16" s="57">
        <f t="shared" si="2"/>
        <v>2</v>
      </c>
      <c r="S16" s="57">
        <f ca="1" t="shared" si="5"/>
        <v>190</v>
      </c>
    </row>
    <row r="17" ht="14.1" customHeight="1" spans="1:19">
      <c r="A17" s="20"/>
      <c r="B17" s="21" t="s">
        <v>1276</v>
      </c>
      <c r="C17" s="27"/>
      <c r="D17" s="23" t="s">
        <v>28</v>
      </c>
      <c r="E17" s="28">
        <f>F3*2</f>
        <v>4</v>
      </c>
      <c r="F17" s="23"/>
      <c r="G17" s="25">
        <f ca="1">J17+K17+L17+M17+N17</f>
        <v>348.2448493136</v>
      </c>
      <c r="H17" s="26">
        <v>4.882</v>
      </c>
      <c r="I17" s="26">
        <v>2.771</v>
      </c>
      <c r="J17" s="25">
        <f ca="1">H17*I17*'50米（人字300料）参数'!G5*1.1</f>
        <v>321.5448493136</v>
      </c>
      <c r="K17" s="29"/>
      <c r="L17" s="61">
        <v>15</v>
      </c>
      <c r="M17" s="61">
        <f ca="1">8*0.65</f>
        <v>5.2</v>
      </c>
      <c r="N17" s="61">
        <v>6.5</v>
      </c>
      <c r="O17" s="59" t="s">
        <v>1598</v>
      </c>
      <c r="P17" s="57">
        <v>4</v>
      </c>
      <c r="Q17" s="57">
        <f ca="1" t="shared" si="1"/>
        <v>1392.9793972544</v>
      </c>
      <c r="R17" s="57">
        <f t="shared" si="2"/>
        <v>0</v>
      </c>
      <c r="S17" s="57">
        <f ca="1" t="shared" si="5"/>
        <v>0</v>
      </c>
    </row>
    <row r="18" ht="14.1" customHeight="1" spans="1:19">
      <c r="A18" s="20"/>
      <c r="B18" s="21" t="s">
        <v>1356</v>
      </c>
      <c r="C18" s="27"/>
      <c r="D18" s="23" t="s">
        <v>28</v>
      </c>
      <c r="E18" s="28">
        <f>F3</f>
        <v>2</v>
      </c>
      <c r="F18" s="23"/>
      <c r="G18" s="25">
        <f ca="1">J18+K18+L18+M18+N18</f>
        <v>162.06</v>
      </c>
      <c r="H18" s="26">
        <v>7.5</v>
      </c>
      <c r="I18" s="26">
        <v>1</v>
      </c>
      <c r="J18" s="29">
        <f ca="1">H18*I18*'50米（人字300料）参数'!G5</f>
        <v>162.06</v>
      </c>
      <c r="K18" s="29"/>
      <c r="L18" s="29"/>
      <c r="M18" s="29"/>
      <c r="N18" s="29"/>
      <c r="O18" s="60" t="s">
        <v>1599</v>
      </c>
      <c r="P18" s="57">
        <v>2</v>
      </c>
      <c r="Q18" s="57">
        <f ca="1" t="shared" si="1"/>
        <v>324.12</v>
      </c>
      <c r="R18" s="57">
        <f t="shared" si="2"/>
        <v>0</v>
      </c>
      <c r="S18" s="57">
        <f ca="1" t="shared" si="5"/>
        <v>0</v>
      </c>
    </row>
    <row r="19" ht="14.1" customHeight="1" spans="1:19">
      <c r="A19" s="20"/>
      <c r="B19" s="21" t="s">
        <v>1448</v>
      </c>
      <c r="C19" s="27"/>
      <c r="D19" s="23" t="s">
        <v>28</v>
      </c>
      <c r="E19" s="28">
        <f>D3*2-F3*2</f>
        <v>2</v>
      </c>
      <c r="F19" s="23"/>
      <c r="G19" s="29">
        <f>J19+K19+L19+M19+N19</f>
        <v>259</v>
      </c>
      <c r="H19" s="26"/>
      <c r="I19" s="26"/>
      <c r="J19" s="29">
        <f>128*1.5</f>
        <v>192</v>
      </c>
      <c r="K19" s="29"/>
      <c r="L19" s="29">
        <f>2.5*2</f>
        <v>5</v>
      </c>
      <c r="M19" s="29">
        <f>21*2</f>
        <v>42</v>
      </c>
      <c r="N19" s="29">
        <v>20</v>
      </c>
      <c r="O19" s="58" t="s">
        <v>1558</v>
      </c>
      <c r="P19" s="57">
        <v>0</v>
      </c>
      <c r="Q19" s="57">
        <f ca="1" t="shared" si="1"/>
        <v>0</v>
      </c>
      <c r="R19" s="57">
        <f t="shared" si="2"/>
        <v>2</v>
      </c>
      <c r="S19" s="57">
        <f ca="1" t="shared" si="5"/>
        <v>518</v>
      </c>
    </row>
    <row r="20" ht="14.1" customHeight="1" spans="1:19">
      <c r="A20" s="20"/>
      <c r="B20" s="21" t="s">
        <v>1559</v>
      </c>
      <c r="C20" s="27"/>
      <c r="D20" s="23" t="s">
        <v>28</v>
      </c>
      <c r="E20" s="28">
        <f>D3-F3</f>
        <v>1</v>
      </c>
      <c r="F20" s="23"/>
      <c r="G20" s="29">
        <f>J20+K20+L20+M20+N20</f>
        <v>259</v>
      </c>
      <c r="H20" s="26"/>
      <c r="I20" s="26"/>
      <c r="J20" s="29">
        <f>128*1.5</f>
        <v>192</v>
      </c>
      <c r="K20" s="29"/>
      <c r="L20" s="29">
        <f>2.5*2</f>
        <v>5</v>
      </c>
      <c r="M20" s="29">
        <f>21*2</f>
        <v>42</v>
      </c>
      <c r="N20" s="29">
        <v>20</v>
      </c>
      <c r="O20" s="58" t="s">
        <v>1558</v>
      </c>
      <c r="P20" s="57">
        <v>0</v>
      </c>
      <c r="Q20" s="57">
        <f ca="1" t="shared" si="1"/>
        <v>0</v>
      </c>
      <c r="R20" s="57">
        <f t="shared" si="2"/>
        <v>1</v>
      </c>
      <c r="S20" s="57">
        <f ca="1" t="shared" si="5"/>
        <v>259</v>
      </c>
    </row>
    <row r="21" ht="14.1" customHeight="1" spans="1:19">
      <c r="A21" s="20"/>
      <c r="B21" s="21" t="s">
        <v>1272</v>
      </c>
      <c r="C21" s="27"/>
      <c r="D21" s="23" t="s">
        <v>28</v>
      </c>
      <c r="E21" s="30">
        <v>6</v>
      </c>
      <c r="F21" s="23"/>
      <c r="G21" s="29">
        <f>J21+K21+L21+M21+N21</f>
        <v>237</v>
      </c>
      <c r="H21" s="26"/>
      <c r="I21" s="26"/>
      <c r="J21" s="29">
        <f>108*2</f>
        <v>216</v>
      </c>
      <c r="K21" s="29"/>
      <c r="L21" s="29">
        <v>6</v>
      </c>
      <c r="M21" s="29">
        <v>10</v>
      </c>
      <c r="N21" s="29">
        <v>5</v>
      </c>
      <c r="O21" s="60" t="s">
        <v>1561</v>
      </c>
      <c r="P21" s="57">
        <v>4</v>
      </c>
      <c r="Q21" s="57">
        <f ca="1" t="shared" si="1"/>
        <v>948</v>
      </c>
      <c r="R21" s="57">
        <f t="shared" si="2"/>
        <v>2</v>
      </c>
      <c r="S21" s="57">
        <f ca="1" t="shared" si="5"/>
        <v>474</v>
      </c>
    </row>
    <row r="22" ht="14.1" customHeight="1" spans="1:19">
      <c r="A22" s="20" t="s">
        <v>1562</v>
      </c>
      <c r="B22" s="21" t="s">
        <v>1304</v>
      </c>
      <c r="C22" s="27"/>
      <c r="D22" s="23" t="s">
        <v>434</v>
      </c>
      <c r="E22" s="24">
        <f>D3</f>
        <v>3</v>
      </c>
      <c r="F22" s="23"/>
      <c r="G22" s="25">
        <v>608</v>
      </c>
      <c r="H22" s="26"/>
      <c r="I22" s="26"/>
      <c r="J22" s="29">
        <f ca="1">H22*I22*'50米（人字300料）参数'!G10*1.1</f>
        <v>0</v>
      </c>
      <c r="K22" s="29"/>
      <c r="L22" s="25"/>
      <c r="M22" s="29"/>
      <c r="N22" s="29"/>
      <c r="O22" s="59" t="s">
        <v>1361</v>
      </c>
      <c r="P22" s="57">
        <v>2</v>
      </c>
      <c r="Q22" s="57">
        <f ca="1" t="shared" si="1"/>
        <v>1216</v>
      </c>
      <c r="R22" s="57">
        <f t="shared" si="2"/>
        <v>1</v>
      </c>
      <c r="S22" s="57">
        <f ca="1" t="shared" si="5"/>
        <v>608</v>
      </c>
    </row>
    <row r="23" ht="14.1" customHeight="1" spans="1:19">
      <c r="A23" s="31"/>
      <c r="B23" s="21" t="s">
        <v>1310</v>
      </c>
      <c r="C23" s="27"/>
      <c r="D23" s="23" t="s">
        <v>434</v>
      </c>
      <c r="E23" s="24">
        <f>E9+E10+E11+E12+E13</f>
        <v>18</v>
      </c>
      <c r="F23" s="23"/>
      <c r="G23" s="29">
        <v>76.4</v>
      </c>
      <c r="H23" s="26"/>
      <c r="I23" s="26"/>
      <c r="J23" s="29"/>
      <c r="K23" s="29"/>
      <c r="L23" s="29"/>
      <c r="M23" s="29"/>
      <c r="N23" s="29"/>
      <c r="O23" s="59" t="s">
        <v>1361</v>
      </c>
      <c r="P23" s="57">
        <v>18</v>
      </c>
      <c r="Q23" s="57">
        <f ca="1" t="shared" si="1"/>
        <v>1375.2</v>
      </c>
      <c r="R23" s="57">
        <f t="shared" si="2"/>
        <v>0</v>
      </c>
      <c r="S23" s="57">
        <f ca="1" t="shared" si="5"/>
        <v>0</v>
      </c>
    </row>
    <row r="24" ht="14.1" customHeight="1" spans="1:19">
      <c r="A24" s="31"/>
      <c r="B24" s="21" t="s">
        <v>1280</v>
      </c>
      <c r="C24" s="27"/>
      <c r="D24" s="23" t="s">
        <v>434</v>
      </c>
      <c r="E24" s="28">
        <f>E5</f>
        <v>6</v>
      </c>
      <c r="F24" s="23"/>
      <c r="G24" s="29">
        <v>137</v>
      </c>
      <c r="H24" s="26"/>
      <c r="I24" s="26"/>
      <c r="J24" s="29"/>
      <c r="K24" s="29"/>
      <c r="L24" s="29"/>
      <c r="M24" s="29"/>
      <c r="N24" s="29"/>
      <c r="O24" s="59" t="s">
        <v>1361</v>
      </c>
      <c r="P24" s="57">
        <v>4</v>
      </c>
      <c r="Q24" s="57">
        <f ca="1" t="shared" si="1"/>
        <v>548</v>
      </c>
      <c r="R24" s="57">
        <f t="shared" si="2"/>
        <v>2</v>
      </c>
      <c r="S24" s="57">
        <f ca="1" t="shared" si="5"/>
        <v>274</v>
      </c>
    </row>
    <row r="25" ht="14.1" customHeight="1" spans="1:19">
      <c r="A25" s="31"/>
      <c r="B25" s="21" t="s">
        <v>1629</v>
      </c>
      <c r="C25" s="27"/>
      <c r="D25" s="23" t="s">
        <v>28</v>
      </c>
      <c r="E25" s="32">
        <f>E21</f>
        <v>6</v>
      </c>
      <c r="F25" s="23"/>
      <c r="G25" s="29">
        <v>124</v>
      </c>
      <c r="H25" s="26"/>
      <c r="I25" s="26"/>
      <c r="J25" s="29"/>
      <c r="K25" s="29"/>
      <c r="L25" s="29"/>
      <c r="M25" s="29"/>
      <c r="N25" s="29"/>
      <c r="O25" s="60" t="s">
        <v>1630</v>
      </c>
      <c r="P25" s="57">
        <v>4</v>
      </c>
      <c r="Q25" s="57">
        <f ca="1" t="shared" si="1"/>
        <v>496</v>
      </c>
      <c r="R25" s="57">
        <f t="shared" si="2"/>
        <v>2</v>
      </c>
      <c r="S25" s="57">
        <f ca="1" t="shared" si="5"/>
        <v>248</v>
      </c>
    </row>
    <row r="26" ht="14.1" customHeight="1" spans="1:19">
      <c r="A26" s="31"/>
      <c r="B26" s="21" t="s">
        <v>1600</v>
      </c>
      <c r="C26" s="27"/>
      <c r="D26" s="23" t="s">
        <v>28</v>
      </c>
      <c r="E26" s="32">
        <f>E21</f>
        <v>6</v>
      </c>
      <c r="F26" s="23"/>
      <c r="G26" s="29">
        <v>119.3</v>
      </c>
      <c r="H26" s="26"/>
      <c r="I26" s="26"/>
      <c r="J26" s="29"/>
      <c r="K26" s="29"/>
      <c r="L26" s="29"/>
      <c r="M26" s="29"/>
      <c r="N26" s="29"/>
      <c r="O26" s="60" t="s">
        <v>1601</v>
      </c>
      <c r="P26" s="57">
        <v>4</v>
      </c>
      <c r="Q26" s="57">
        <f ca="1" t="shared" si="1"/>
        <v>477.2</v>
      </c>
      <c r="R26" s="57">
        <f t="shared" si="2"/>
        <v>2</v>
      </c>
      <c r="S26" s="57">
        <f ca="1" t="shared" si="5"/>
        <v>238.6</v>
      </c>
    </row>
    <row r="27" ht="14.1" customHeight="1" spans="1:19">
      <c r="A27" s="31"/>
      <c r="B27" s="21" t="s">
        <v>1602</v>
      </c>
      <c r="C27" s="27"/>
      <c r="D27" s="23" t="s">
        <v>28</v>
      </c>
      <c r="E27" s="32">
        <f>E21</f>
        <v>6</v>
      </c>
      <c r="F27" s="23"/>
      <c r="G27" s="29">
        <v>97.5</v>
      </c>
      <c r="H27" s="33"/>
      <c r="I27" s="33"/>
      <c r="J27" s="62"/>
      <c r="K27" s="62"/>
      <c r="L27" s="62"/>
      <c r="M27" s="62"/>
      <c r="N27" s="62"/>
      <c r="O27" s="63" t="s">
        <v>1603</v>
      </c>
      <c r="P27" s="57">
        <v>4</v>
      </c>
      <c r="Q27" s="57">
        <f ca="1" t="shared" si="1"/>
        <v>390</v>
      </c>
      <c r="R27" s="57">
        <f t="shared" si="2"/>
        <v>2</v>
      </c>
      <c r="S27" s="57">
        <f ca="1" t="shared" si="5"/>
        <v>195</v>
      </c>
    </row>
    <row r="28" ht="14.1" customHeight="1" spans="1:19">
      <c r="A28" s="31"/>
      <c r="B28" s="21" t="s">
        <v>522</v>
      </c>
      <c r="C28" s="27"/>
      <c r="D28" s="23" t="s">
        <v>434</v>
      </c>
      <c r="E28" s="32">
        <f>E21</f>
        <v>6</v>
      </c>
      <c r="F28" s="23"/>
      <c r="G28" s="34">
        <v>9.65</v>
      </c>
      <c r="H28" s="35"/>
      <c r="I28" s="35"/>
      <c r="J28" s="34"/>
      <c r="K28" s="34"/>
      <c r="L28" s="34"/>
      <c r="M28" s="34"/>
      <c r="N28" s="34"/>
      <c r="O28" s="64" t="s">
        <v>1604</v>
      </c>
      <c r="P28" s="57">
        <v>4</v>
      </c>
      <c r="Q28" s="57">
        <f ca="1" t="shared" si="1"/>
        <v>38.6</v>
      </c>
      <c r="R28" s="57">
        <f t="shared" si="2"/>
        <v>2</v>
      </c>
      <c r="S28" s="57">
        <f ca="1" t="shared" si="5"/>
        <v>19.3</v>
      </c>
    </row>
    <row r="29" ht="14.1" customHeight="1" spans="1:19">
      <c r="A29" s="31"/>
      <c r="B29" s="21" t="s">
        <v>524</v>
      </c>
      <c r="C29" s="27"/>
      <c r="D29" s="23" t="s">
        <v>434</v>
      </c>
      <c r="E29" s="32">
        <f>E21*2</f>
        <v>12</v>
      </c>
      <c r="F29" s="23"/>
      <c r="G29" s="29">
        <v>18.36</v>
      </c>
      <c r="H29" s="26"/>
      <c r="I29" s="26"/>
      <c r="J29" s="29"/>
      <c r="K29" s="29"/>
      <c r="L29" s="29"/>
      <c r="M29" s="29"/>
      <c r="N29" s="29"/>
      <c r="O29" s="60" t="s">
        <v>1605</v>
      </c>
      <c r="P29" s="57">
        <v>8</v>
      </c>
      <c r="Q29" s="57">
        <f ca="1" t="shared" si="1"/>
        <v>146.88</v>
      </c>
      <c r="R29" s="57">
        <f t="shared" ref="R29:R44" si="6">E29-P29</f>
        <v>4</v>
      </c>
      <c r="S29" s="57">
        <f ca="1" t="shared" si="5"/>
        <v>73.44</v>
      </c>
    </row>
    <row r="30" ht="14.1" customHeight="1" spans="1:19">
      <c r="A30" s="31"/>
      <c r="B30" s="21" t="s">
        <v>526</v>
      </c>
      <c r="C30" s="27"/>
      <c r="D30" s="23" t="s">
        <v>434</v>
      </c>
      <c r="E30" s="32">
        <f>E29/2</f>
        <v>6</v>
      </c>
      <c r="F30" s="23"/>
      <c r="G30" s="29">
        <v>24.84</v>
      </c>
      <c r="H30" s="26"/>
      <c r="I30" s="26"/>
      <c r="J30" s="29"/>
      <c r="K30" s="29"/>
      <c r="L30" s="29"/>
      <c r="M30" s="29"/>
      <c r="N30" s="29"/>
      <c r="O30" s="60" t="s">
        <v>1606</v>
      </c>
      <c r="P30" s="57">
        <v>4</v>
      </c>
      <c r="Q30" s="57">
        <f ca="1" t="shared" si="1"/>
        <v>99.36</v>
      </c>
      <c r="R30" s="57">
        <f t="shared" si="6"/>
        <v>2</v>
      </c>
      <c r="S30" s="57">
        <f ca="1" t="shared" si="5"/>
        <v>49.68</v>
      </c>
    </row>
    <row r="31" ht="14.1" customHeight="1" spans="1:19">
      <c r="A31" s="31"/>
      <c r="B31" s="21" t="s">
        <v>1647</v>
      </c>
      <c r="C31" s="27"/>
      <c r="D31" s="23"/>
      <c r="E31" s="32">
        <f>D3-F3</f>
        <v>1</v>
      </c>
      <c r="F31" s="23"/>
      <c r="G31" s="29">
        <v>64.65</v>
      </c>
      <c r="H31" s="26"/>
      <c r="I31" s="26"/>
      <c r="J31" s="29"/>
      <c r="K31" s="29"/>
      <c r="L31" s="29"/>
      <c r="M31" s="29"/>
      <c r="N31" s="29"/>
      <c r="O31" s="60" t="s">
        <v>1648</v>
      </c>
      <c r="P31" s="57">
        <v>0</v>
      </c>
      <c r="Q31" s="57"/>
      <c r="R31" s="57">
        <f t="shared" si="6"/>
        <v>1</v>
      </c>
      <c r="S31" s="57"/>
    </row>
    <row r="32" ht="14.1" customHeight="1" spans="1:19">
      <c r="A32" s="31"/>
      <c r="B32" s="21" t="s">
        <v>1282</v>
      </c>
      <c r="C32" s="27"/>
      <c r="D32" s="23" t="s">
        <v>434</v>
      </c>
      <c r="E32" s="24">
        <f>D3*2+F3*7</f>
        <v>20</v>
      </c>
      <c r="F32" s="23"/>
      <c r="G32" s="29">
        <v>4.45</v>
      </c>
      <c r="H32" s="26"/>
      <c r="I32" s="26"/>
      <c r="J32" s="29"/>
      <c r="K32" s="29"/>
      <c r="L32" s="29"/>
      <c r="M32" s="29"/>
      <c r="N32" s="29"/>
      <c r="O32" s="59" t="s">
        <v>1453</v>
      </c>
      <c r="P32" s="57">
        <v>18</v>
      </c>
      <c r="Q32" s="57">
        <f t="shared" ref="Q32:Q44" si="7">G32*P32</f>
        <v>80.1</v>
      </c>
      <c r="R32" s="57">
        <f t="shared" si="6"/>
        <v>2</v>
      </c>
      <c r="S32" s="57">
        <f t="shared" ref="S32:S44" si="8">G32*R32</f>
        <v>8.9</v>
      </c>
    </row>
    <row r="33" ht="14.1" customHeight="1" spans="1:19">
      <c r="A33" s="31"/>
      <c r="B33" s="21" t="s">
        <v>1284</v>
      </c>
      <c r="C33" s="27"/>
      <c r="D33" s="23" t="s">
        <v>434</v>
      </c>
      <c r="E33" s="24">
        <f>D3*2</f>
        <v>6</v>
      </c>
      <c r="F33" s="23"/>
      <c r="G33" s="29">
        <v>6.51</v>
      </c>
      <c r="H33" s="26"/>
      <c r="I33" s="26"/>
      <c r="J33" s="29"/>
      <c r="K33" s="29"/>
      <c r="L33" s="29"/>
      <c r="M33" s="29"/>
      <c r="N33" s="29"/>
      <c r="O33" s="59" t="s">
        <v>1607</v>
      </c>
      <c r="P33" s="57">
        <v>4</v>
      </c>
      <c r="Q33" s="57">
        <f t="shared" si="7"/>
        <v>26.04</v>
      </c>
      <c r="R33" s="57">
        <f t="shared" si="6"/>
        <v>2</v>
      </c>
      <c r="S33" s="57">
        <f t="shared" si="8"/>
        <v>13.02</v>
      </c>
    </row>
    <row r="34" ht="14.1" customHeight="1" spans="1:19">
      <c r="A34" s="31"/>
      <c r="B34" s="21" t="s">
        <v>519</v>
      </c>
      <c r="C34" s="27"/>
      <c r="D34" s="23" t="s">
        <v>434</v>
      </c>
      <c r="E34" s="24">
        <f>F3*2</f>
        <v>4</v>
      </c>
      <c r="F34" s="23"/>
      <c r="G34" s="29">
        <v>6.5</v>
      </c>
      <c r="H34" s="36"/>
      <c r="I34" s="36"/>
      <c r="J34" s="65"/>
      <c r="K34" s="65"/>
      <c r="L34" s="65"/>
      <c r="M34" s="65"/>
      <c r="N34" s="65"/>
      <c r="O34" s="66" t="s">
        <v>1455</v>
      </c>
      <c r="P34" s="57">
        <v>4</v>
      </c>
      <c r="Q34" s="57">
        <f t="shared" si="7"/>
        <v>26</v>
      </c>
      <c r="R34" s="57">
        <f t="shared" si="6"/>
        <v>0</v>
      </c>
      <c r="S34" s="57">
        <f t="shared" si="8"/>
        <v>0</v>
      </c>
    </row>
    <row r="35" ht="14.1" customHeight="1" spans="1:19">
      <c r="A35" s="31"/>
      <c r="B35" s="21" t="s">
        <v>1568</v>
      </c>
      <c r="C35" s="27"/>
      <c r="D35" s="23" t="s">
        <v>612</v>
      </c>
      <c r="E35" s="24">
        <f>A3</f>
        <v>2</v>
      </c>
      <c r="F35" s="23"/>
      <c r="G35" s="29">
        <f ca="1">J35+K35+L35+M35+N35</f>
        <v>5829.48</v>
      </c>
      <c r="H35" s="26">
        <v>54.52</v>
      </c>
      <c r="I35" s="26">
        <v>5</v>
      </c>
      <c r="J35" s="29">
        <f ca="1">H35*I35*'50米（人字300料）参数'!D16*1.1</f>
        <v>5397.48</v>
      </c>
      <c r="K35" s="29">
        <f>54*2*4</f>
        <v>432</v>
      </c>
      <c r="L35" s="29"/>
      <c r="M35" s="29"/>
      <c r="N35" s="29"/>
      <c r="O35" s="67" t="s">
        <v>1649</v>
      </c>
      <c r="P35" s="68">
        <v>1</v>
      </c>
      <c r="Q35" s="57">
        <f ca="1" t="shared" si="7"/>
        <v>5829.48</v>
      </c>
      <c r="R35" s="57">
        <f t="shared" si="6"/>
        <v>1</v>
      </c>
      <c r="S35" s="57">
        <f ca="1" t="shared" si="8"/>
        <v>5829.48</v>
      </c>
    </row>
    <row r="36" ht="14.1" customHeight="1" spans="1:19">
      <c r="A36" s="31"/>
      <c r="B36" s="21" t="s">
        <v>1570</v>
      </c>
      <c r="C36" s="27"/>
      <c r="D36" s="23" t="s">
        <v>664</v>
      </c>
      <c r="E36" s="24">
        <f>F3</f>
        <v>2</v>
      </c>
      <c r="F36" s="23"/>
      <c r="G36" s="29">
        <f ca="1">J36+K36+L36+M36+N36</f>
        <v>4882.0416</v>
      </c>
      <c r="H36" s="37">
        <v>25.4</v>
      </c>
      <c r="I36" s="37">
        <v>9.8</v>
      </c>
      <c r="J36" s="69">
        <f ca="1">H36*I36*'50米（人字300料）参数'!D15*1.1</f>
        <v>4600.0416</v>
      </c>
      <c r="K36" s="69">
        <f>70.5*4</f>
        <v>282</v>
      </c>
      <c r="L36" s="69"/>
      <c r="M36" s="69"/>
      <c r="N36" s="69"/>
      <c r="O36" s="70" t="s">
        <v>1650</v>
      </c>
      <c r="P36" s="57">
        <v>2</v>
      </c>
      <c r="Q36" s="57">
        <f ca="1" t="shared" si="7"/>
        <v>9764.0832</v>
      </c>
      <c r="R36" s="57">
        <f t="shared" si="6"/>
        <v>0</v>
      </c>
      <c r="S36" s="57">
        <f ca="1" t="shared" si="8"/>
        <v>0</v>
      </c>
    </row>
    <row r="37" ht="14.1" customHeight="1" spans="1:19">
      <c r="A37" s="31"/>
      <c r="B37" s="21" t="s">
        <v>1572</v>
      </c>
      <c r="C37" s="27"/>
      <c r="D37" s="23" t="s">
        <v>664</v>
      </c>
      <c r="E37" s="24">
        <f>F3*10+A3*2</f>
        <v>24</v>
      </c>
      <c r="F37" s="23"/>
      <c r="G37" s="29">
        <f ca="1">J37+K37+L37+M37+N37</f>
        <v>531.6432</v>
      </c>
      <c r="H37" s="26">
        <v>6.2</v>
      </c>
      <c r="I37" s="26">
        <v>5.2</v>
      </c>
      <c r="J37" s="29">
        <f ca="1">H37*I37*'50米（人字300料）参数'!D14*1.1</f>
        <v>489.4032</v>
      </c>
      <c r="K37" s="71">
        <f>6.1*2</f>
        <v>12.2</v>
      </c>
      <c r="L37" s="71">
        <f>0.5*10</f>
        <v>5</v>
      </c>
      <c r="M37" s="71">
        <f>0.32*22</f>
        <v>7.04</v>
      </c>
      <c r="N37" s="71">
        <f>18*1</f>
        <v>18</v>
      </c>
      <c r="O37" s="60" t="s">
        <v>1580</v>
      </c>
      <c r="P37" s="57">
        <v>22</v>
      </c>
      <c r="Q37" s="57">
        <f ca="1" t="shared" si="7"/>
        <v>11696.1504</v>
      </c>
      <c r="R37" s="57">
        <f t="shared" si="6"/>
        <v>2</v>
      </c>
      <c r="S37" s="57">
        <f ca="1" t="shared" si="8"/>
        <v>1063.2864</v>
      </c>
    </row>
    <row r="38" ht="14.1" customHeight="1" spans="1:19">
      <c r="A38" s="31"/>
      <c r="B38" s="38" t="s">
        <v>1274</v>
      </c>
      <c r="C38" s="27"/>
      <c r="D38" s="23" t="s">
        <v>28</v>
      </c>
      <c r="E38" s="24">
        <f>E37</f>
        <v>24</v>
      </c>
      <c r="F38" s="23"/>
      <c r="G38" s="39">
        <v>21</v>
      </c>
      <c r="H38" s="40"/>
      <c r="I38" s="40"/>
      <c r="J38" s="41"/>
      <c r="K38" s="41"/>
      <c r="L38" s="41"/>
      <c r="M38" s="41"/>
      <c r="N38" s="41"/>
      <c r="O38" s="66" t="s">
        <v>1608</v>
      </c>
      <c r="P38" s="57">
        <v>22</v>
      </c>
      <c r="Q38" s="57">
        <f t="shared" si="7"/>
        <v>462</v>
      </c>
      <c r="R38" s="57">
        <f t="shared" si="6"/>
        <v>2</v>
      </c>
      <c r="S38" s="57">
        <f t="shared" si="8"/>
        <v>42</v>
      </c>
    </row>
    <row r="39" ht="14.1" customHeight="1" spans="1:19">
      <c r="A39" s="31"/>
      <c r="B39" s="38" t="s">
        <v>551</v>
      </c>
      <c r="C39" s="27"/>
      <c r="D39" s="23" t="s">
        <v>434</v>
      </c>
      <c r="E39" s="24">
        <f>F3*9</f>
        <v>18</v>
      </c>
      <c r="F39" s="23"/>
      <c r="G39" s="41">
        <v>15.5</v>
      </c>
      <c r="H39" s="40"/>
      <c r="I39" s="40"/>
      <c r="J39" s="41"/>
      <c r="K39" s="41"/>
      <c r="L39" s="41"/>
      <c r="M39" s="41"/>
      <c r="N39" s="41"/>
      <c r="O39" s="66" t="s">
        <v>1456</v>
      </c>
      <c r="P39" s="57">
        <v>18</v>
      </c>
      <c r="Q39" s="57">
        <f t="shared" si="7"/>
        <v>279</v>
      </c>
      <c r="R39" s="57">
        <f t="shared" si="6"/>
        <v>0</v>
      </c>
      <c r="S39" s="57">
        <f t="shared" si="8"/>
        <v>0</v>
      </c>
    </row>
    <row r="40" ht="14.1" customHeight="1" spans="1:19">
      <c r="A40" s="31"/>
      <c r="B40" s="42" t="s">
        <v>1609</v>
      </c>
      <c r="C40" s="27"/>
      <c r="D40" s="43" t="s">
        <v>555</v>
      </c>
      <c r="E40" s="44">
        <f>E5+E9+E10+E11+E25+E26+E21</f>
        <v>36</v>
      </c>
      <c r="F40" s="23"/>
      <c r="G40" s="45">
        <v>1.46</v>
      </c>
      <c r="H40" s="46"/>
      <c r="I40" s="46"/>
      <c r="J40" s="45"/>
      <c r="K40" s="45"/>
      <c r="L40" s="45"/>
      <c r="M40" s="45"/>
      <c r="N40" s="45"/>
      <c r="O40" s="59" t="s">
        <v>1610</v>
      </c>
      <c r="P40" s="57">
        <v>34</v>
      </c>
      <c r="Q40" s="57">
        <f t="shared" si="7"/>
        <v>49.64</v>
      </c>
      <c r="R40" s="57">
        <f t="shared" si="6"/>
        <v>2</v>
      </c>
      <c r="S40" s="57">
        <f t="shared" si="8"/>
        <v>2.92</v>
      </c>
    </row>
    <row r="41" ht="14.1" customHeight="1" spans="1:19">
      <c r="A41" s="31"/>
      <c r="B41" s="42" t="s">
        <v>1575</v>
      </c>
      <c r="C41" s="27"/>
      <c r="D41" s="43" t="s">
        <v>555</v>
      </c>
      <c r="E41" s="44">
        <f>E28+E29*2+E30*2</f>
        <v>42</v>
      </c>
      <c r="F41" s="23"/>
      <c r="G41" s="45">
        <v>1.2</v>
      </c>
      <c r="H41" s="46"/>
      <c r="I41" s="46"/>
      <c r="J41" s="45"/>
      <c r="K41" s="45"/>
      <c r="L41" s="45"/>
      <c r="M41" s="45"/>
      <c r="N41" s="45"/>
      <c r="O41" s="59"/>
      <c r="P41" s="57">
        <v>42</v>
      </c>
      <c r="Q41" s="57">
        <f t="shared" si="7"/>
        <v>50.4</v>
      </c>
      <c r="R41" s="57">
        <f t="shared" si="6"/>
        <v>0</v>
      </c>
      <c r="S41" s="57">
        <f t="shared" si="8"/>
        <v>0</v>
      </c>
    </row>
    <row r="42" ht="14.1" customHeight="1" spans="1:24">
      <c r="A42" s="20" t="s">
        <v>1217</v>
      </c>
      <c r="B42" s="21" t="s">
        <v>1574</v>
      </c>
      <c r="C42" s="24"/>
      <c r="D42" s="23" t="s">
        <v>434</v>
      </c>
      <c r="E42" s="24">
        <f>D3*6</f>
        <v>18</v>
      </c>
      <c r="F42" s="23"/>
      <c r="G42" s="47">
        <v>1.95</v>
      </c>
      <c r="H42" s="48"/>
      <c r="I42" s="48"/>
      <c r="J42" s="47"/>
      <c r="K42" s="47"/>
      <c r="L42" s="47"/>
      <c r="M42" s="47"/>
      <c r="N42" s="47"/>
      <c r="O42" s="59" t="s">
        <v>1375</v>
      </c>
      <c r="P42" s="57">
        <v>12</v>
      </c>
      <c r="Q42" s="57">
        <f t="shared" si="7"/>
        <v>23.4</v>
      </c>
      <c r="R42" s="57">
        <f t="shared" si="6"/>
        <v>6</v>
      </c>
      <c r="S42" s="57">
        <f t="shared" si="8"/>
        <v>11.7</v>
      </c>
      <c r="T42" s="1"/>
      <c r="U42" s="1"/>
      <c r="V42" s="1"/>
      <c r="W42" s="1"/>
      <c r="X42" s="1"/>
    </row>
    <row r="43" ht="14.1" customHeight="1" spans="1:24">
      <c r="A43" s="20"/>
      <c r="B43" s="21" t="s">
        <v>1581</v>
      </c>
      <c r="C43" s="24"/>
      <c r="D43" s="23" t="s">
        <v>434</v>
      </c>
      <c r="E43" s="24">
        <f>D3*22+E28+E29+E30+F3*7</f>
        <v>104</v>
      </c>
      <c r="F43" s="23"/>
      <c r="G43" s="47">
        <v>2.15</v>
      </c>
      <c r="H43" s="48"/>
      <c r="I43" s="48"/>
      <c r="J43" s="47"/>
      <c r="K43" s="47"/>
      <c r="L43" s="47"/>
      <c r="M43" s="47"/>
      <c r="N43" s="47"/>
      <c r="O43" s="59" t="s">
        <v>1372</v>
      </c>
      <c r="P43" s="57">
        <v>82</v>
      </c>
      <c r="Q43" s="57">
        <f t="shared" si="7"/>
        <v>176.3</v>
      </c>
      <c r="R43" s="57">
        <f t="shared" si="6"/>
        <v>22</v>
      </c>
      <c r="S43" s="57">
        <f t="shared" si="8"/>
        <v>47.3</v>
      </c>
      <c r="T43" s="1"/>
      <c r="U43" s="1"/>
      <c r="V43" s="1"/>
      <c r="W43" s="1"/>
      <c r="X43" s="1"/>
    </row>
    <row r="44" ht="14.1" customHeight="1" spans="1:24">
      <c r="A44" s="20"/>
      <c r="B44" s="21" t="s">
        <v>1582</v>
      </c>
      <c r="C44" s="24"/>
      <c r="D44" s="23" t="s">
        <v>434</v>
      </c>
      <c r="E44" s="28">
        <f>E21+E28+E29+E30</f>
        <v>30</v>
      </c>
      <c r="F44" s="23"/>
      <c r="G44" s="47">
        <v>2.55</v>
      </c>
      <c r="H44" s="48"/>
      <c r="I44" s="48"/>
      <c r="J44" s="47"/>
      <c r="K44" s="47"/>
      <c r="L44" s="47"/>
      <c r="M44" s="47"/>
      <c r="N44" s="47"/>
      <c r="O44" s="59" t="s">
        <v>1373</v>
      </c>
      <c r="P44" s="57">
        <v>30</v>
      </c>
      <c r="Q44" s="57">
        <f t="shared" si="7"/>
        <v>76.5</v>
      </c>
      <c r="R44" s="57">
        <f t="shared" si="6"/>
        <v>0</v>
      </c>
      <c r="S44" s="57">
        <f t="shared" si="8"/>
        <v>0</v>
      </c>
      <c r="T44" s="1"/>
      <c r="U44" s="1"/>
      <c r="V44" s="1"/>
      <c r="W44" s="1"/>
      <c r="X44" s="1"/>
    </row>
    <row r="45" spans="7:19">
      <c r="G45" s="3"/>
      <c r="H45" s="3"/>
      <c r="I45" s="3"/>
      <c r="J45" s="3"/>
      <c r="K45" s="3"/>
      <c r="L45" s="3"/>
      <c r="M45" s="3"/>
      <c r="N45" s="3"/>
      <c r="P45" s="1" t="s">
        <v>1218</v>
      </c>
      <c r="Q45" s="3">
        <f ca="1">SUM(Q5:Q44)</f>
        <v>141797.36648745</v>
      </c>
      <c r="R45" s="3" t="s">
        <v>1219</v>
      </c>
      <c r="S45" s="3">
        <f ca="1">SUM(S5:S44)</f>
        <v>47925.2155000416</v>
      </c>
    </row>
    <row r="46" spans="7:14">
      <c r="G46" s="3"/>
      <c r="H46" s="3"/>
      <c r="I46" s="3"/>
      <c r="J46" s="3"/>
      <c r="K46" s="3"/>
      <c r="L46" s="3"/>
      <c r="M46" s="3"/>
      <c r="N46" s="3"/>
    </row>
    <row r="47" spans="7:17">
      <c r="G47" s="3"/>
      <c r="H47" s="3"/>
      <c r="I47" s="3"/>
      <c r="J47" s="3"/>
      <c r="K47" s="3"/>
      <c r="L47" s="3"/>
      <c r="M47" s="3"/>
      <c r="N47" s="3"/>
      <c r="P47" s="50" t="s">
        <v>1576</v>
      </c>
      <c r="Q47" s="3">
        <f ca="1">Q45+S45</f>
        <v>189722.581987491</v>
      </c>
    </row>
    <row r="48" spans="2:17">
      <c r="B48" s="49" t="s">
        <v>1221</v>
      </c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52" t="s">
        <v>1577</v>
      </c>
      <c r="Q48" s="3">
        <f ca="1">Q47/E2</f>
        <v>379.445163974982</v>
      </c>
    </row>
    <row r="49" spans="2:14">
      <c r="B49" s="50"/>
      <c r="C49" s="51"/>
      <c r="D49" s="51"/>
      <c r="E49" s="51"/>
      <c r="F49" s="50"/>
      <c r="G49" s="3"/>
      <c r="H49" s="3"/>
      <c r="I49" s="3"/>
      <c r="J49" s="3"/>
      <c r="K49" s="3"/>
      <c r="L49" s="3"/>
      <c r="M49" s="3"/>
      <c r="N49" s="3"/>
    </row>
    <row r="50" spans="2:14">
      <c r="B50" s="52"/>
      <c r="C50" s="52"/>
      <c r="D50" s="52"/>
      <c r="E50" s="52"/>
      <c r="F50" s="52"/>
      <c r="G50" s="3"/>
      <c r="H50" s="3"/>
      <c r="I50" s="3"/>
      <c r="J50" s="3"/>
      <c r="K50" s="3"/>
      <c r="L50" s="3"/>
      <c r="M50" s="3"/>
      <c r="N50" s="3"/>
    </row>
    <row r="51" ht="18" customHeight="1" spans="2:15">
      <c r="B51" s="53"/>
      <c r="C51" s="53"/>
      <c r="D51" s="53"/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</row>
    <row r="52" spans="2:6">
      <c r="B52" s="54"/>
      <c r="C52" s="54"/>
      <c r="D52" s="54"/>
      <c r="E52" s="54"/>
      <c r="F52" s="54"/>
    </row>
    <row r="53" spans="2:6">
      <c r="B53" s="54"/>
      <c r="C53" s="54"/>
      <c r="D53" s="54"/>
      <c r="E53" s="54"/>
      <c r="F53" s="54"/>
    </row>
    <row r="54" spans="2:6">
      <c r="B54" s="54"/>
      <c r="C54" s="54"/>
      <c r="D54" s="54"/>
      <c r="E54" s="54"/>
      <c r="F54" s="54"/>
    </row>
    <row r="55" spans="2:6">
      <c r="B55" s="54"/>
      <c r="C55" s="54"/>
      <c r="D55" s="54"/>
      <c r="E55" s="54"/>
      <c r="F55" s="54"/>
    </row>
    <row r="56" ht="51" customHeight="1" spans="2:6">
      <c r="B56" s="54"/>
      <c r="C56" s="54"/>
      <c r="D56" s="54"/>
      <c r="E56" s="54"/>
      <c r="F56" s="54"/>
    </row>
  </sheetData>
  <mergeCells count="10">
    <mergeCell ref="A1:N1"/>
    <mergeCell ref="A2:C2"/>
    <mergeCell ref="F2:N2"/>
    <mergeCell ref="A3:B3"/>
    <mergeCell ref="H3:N3"/>
    <mergeCell ref="B48:O48"/>
    <mergeCell ref="B51:O51"/>
    <mergeCell ref="A5:A21"/>
    <mergeCell ref="A22:A41"/>
    <mergeCell ref="A42:A44"/>
  </mergeCells>
  <printOptions horizontalCentered="1"/>
  <pageMargins left="0.11875" right="0.11875" top="0.159027777777778" bottom="0.259027777777778" header="0.159027777777778" footer="0.2"/>
  <pageSetup paperSize="9" orientation="portrait"/>
  <headerFooter alignWithMargins="0" scaleWithDoc="0">
    <oddFooter>&amp;L&amp;"SimSun"&amp;9&amp;C&amp;"SimSun"&amp;9第 &amp;P 页，共 &amp;N 页&amp;R&amp;"SimSun"&amp;9</oddFooter>
  </headerFooter>
</worksheet>
</file>

<file path=xl/worksheets/sheet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7030A0"/>
  </sheetPr>
  <dimension ref="A1:G21"/>
  <sheetViews>
    <sheetView showGridLines="0" topLeftCell="A4" workbookViewId="0">
      <selection activeCell="E31" sqref="E31"/>
    </sheetView>
  </sheetViews>
  <sheetFormatPr defaultColWidth="9" defaultRowHeight="14.25" outlineLevelCol="6"/>
  <cols>
    <col min="1" max="1" width="19" style="1" customWidth="1"/>
    <col min="2" max="2" width="18.375" style="1" customWidth="1"/>
    <col min="3" max="6" width="9" style="1"/>
    <col min="7" max="7" width="15.75" style="1" customWidth="1"/>
    <col min="8" max="16384" width="9" style="1"/>
  </cols>
  <sheetData>
    <row r="1" spans="1:4">
      <c r="A1" s="2" t="str">
        <f ca="1">'数据修改（批量）'!A1</f>
        <v>上海有色铝锭价格</v>
      </c>
      <c r="B1" s="2"/>
      <c r="C1" s="2"/>
      <c r="D1" s="3"/>
    </row>
    <row r="2" spans="1:7">
      <c r="A2" s="4">
        <f ca="1">'数据修改（批量）'!A2</f>
        <v>16200</v>
      </c>
      <c r="B2" s="2" t="str">
        <f ca="1">'数据修改（批量）'!B2</f>
        <v>项目</v>
      </c>
      <c r="C2" s="2" t="str">
        <f ca="1">'数据修改（批量）'!C2</f>
        <v>加工费</v>
      </c>
      <c r="D2" s="2" t="str">
        <f ca="1">'数据修改（批量）'!D2</f>
        <v>包装物</v>
      </c>
      <c r="E2" s="2" t="str">
        <f ca="1">'数据修改（批量）'!E2</f>
        <v>运费</v>
      </c>
      <c r="F2" s="2" t="str">
        <f ca="1">'数据修改（批量）'!F2</f>
        <v>单价</v>
      </c>
      <c r="G2" s="2" t="str">
        <f ca="1">'数据修改（批量）'!G2</f>
        <v>每公斤价格</v>
      </c>
    </row>
    <row r="3" spans="1:7">
      <c r="A3" s="2"/>
      <c r="B3" s="2" t="str">
        <f ca="1">'数据修改（批量）'!B3</f>
        <v>203料</v>
      </c>
      <c r="C3" s="2">
        <f ca="1">'数据修改（批量）'!C3</f>
        <v>5500</v>
      </c>
      <c r="D3" s="2">
        <f ca="1">'数据修改（批量）'!D3</f>
        <v>868</v>
      </c>
      <c r="E3" s="2">
        <f ca="1">'数据修改（批量）'!E3</f>
        <v>80</v>
      </c>
      <c r="F3" s="2">
        <f ca="1">'数据修改（批量）'!F3</f>
        <v>22648</v>
      </c>
      <c r="G3" s="2">
        <f ca="1">'数据修改（批量）'!G3</f>
        <v>22.648</v>
      </c>
    </row>
    <row r="4" spans="1:7">
      <c r="A4" s="2"/>
      <c r="B4" s="2" t="str">
        <f ca="1">'数据修改（批量）'!B4</f>
        <v>203料氧化</v>
      </c>
      <c r="C4" s="2">
        <f ca="1">'数据修改（批量）'!C4</f>
        <v>6000</v>
      </c>
      <c r="D4" s="2">
        <f ca="1">'数据修改（批量）'!D4</f>
        <v>888</v>
      </c>
      <c r="E4" s="2">
        <f ca="1">'数据修改（批量）'!E4</f>
        <v>80</v>
      </c>
      <c r="F4" s="2">
        <f ca="1">'数据修改（批量）'!F4</f>
        <v>23168</v>
      </c>
      <c r="G4" s="2">
        <f ca="1">'数据修改（批量）'!G4</f>
        <v>23.168</v>
      </c>
    </row>
    <row r="5" spans="2:7">
      <c r="B5" s="2" t="str">
        <f ca="1">'数据修改（批量）'!B5</f>
        <v>小料加工费</v>
      </c>
      <c r="C5" s="2">
        <f ca="1">'数据修改（批量）'!C5</f>
        <v>4500</v>
      </c>
      <c r="D5" s="2">
        <f ca="1">'数据修改（批量）'!D5</f>
        <v>828</v>
      </c>
      <c r="E5" s="2">
        <f ca="1">'数据修改（批量）'!E5</f>
        <v>80</v>
      </c>
      <c r="F5" s="2">
        <f ca="1">'数据修改（批量）'!F5</f>
        <v>21608</v>
      </c>
      <c r="G5" s="2">
        <f ca="1">'数据修改（批量）'!G5</f>
        <v>21.608</v>
      </c>
    </row>
    <row r="6" spans="1:4">
      <c r="A6" s="2" t="str">
        <f ca="1">'数据修改（批量）'!A6</f>
        <v>南海有色铝锭价格</v>
      </c>
      <c r="D6" s="5"/>
    </row>
    <row r="7" spans="1:1">
      <c r="A7" s="4">
        <f ca="1">'数据修改（批量）'!A7</f>
        <v>16600</v>
      </c>
    </row>
    <row r="8" spans="2:7">
      <c r="B8" s="2" t="str">
        <f ca="1">'数据修改（批量）'!B8</f>
        <v>项目</v>
      </c>
      <c r="C8" s="2" t="str">
        <f ca="1">'数据修改（批量）'!C8</f>
        <v>加工费</v>
      </c>
      <c r="D8" s="2" t="str">
        <f ca="1">'数据修改（批量）'!D8</f>
        <v>包装物</v>
      </c>
      <c r="E8" s="2" t="str">
        <f ca="1">'数据修改（批量）'!E8</f>
        <v>运费</v>
      </c>
      <c r="F8" s="2" t="str">
        <f ca="1">'数据修改（批量）'!F8</f>
        <v>单价</v>
      </c>
      <c r="G8" s="2" t="str">
        <f ca="1">'数据修改（批量）'!G8</f>
        <v>每公斤价格</v>
      </c>
    </row>
    <row r="9" spans="2:7">
      <c r="B9" s="2" t="str">
        <f ca="1">'数据修改（批量）'!B9</f>
        <v>300/350料8米以上</v>
      </c>
      <c r="C9" s="2">
        <f ca="1">'数据修改（批量）'!C9</f>
        <v>7800</v>
      </c>
      <c r="D9" s="2">
        <f ca="1">'数据修改（批量）'!D9</f>
        <v>976</v>
      </c>
      <c r="E9" s="2">
        <f ca="1">'数据修改（批量）'!E9</f>
        <v>1000</v>
      </c>
      <c r="F9" s="2">
        <f ca="1">'数据修改（批量）'!F9</f>
        <v>26376</v>
      </c>
      <c r="G9" s="2">
        <f ca="1">'数据修改（批量）'!G9</f>
        <v>26.376</v>
      </c>
    </row>
    <row r="10" spans="2:7">
      <c r="B10" s="2" t="str">
        <f ca="1">'数据修改（批量）'!B10</f>
        <v>300/350料8米以下</v>
      </c>
      <c r="C10" s="2">
        <f ca="1">'数据修改（批量）'!C10</f>
        <v>7100</v>
      </c>
      <c r="D10" s="2">
        <f ca="1">'数据修改（批量）'!D10</f>
        <v>948</v>
      </c>
      <c r="E10" s="2">
        <f ca="1">'数据修改（批量）'!E10</f>
        <v>1000</v>
      </c>
      <c r="F10" s="2">
        <f ca="1">'数据修改（批量）'!F10</f>
        <v>25648</v>
      </c>
      <c r="G10" s="2">
        <f ca="1">'数据修改（批量）'!G10</f>
        <v>25.648</v>
      </c>
    </row>
    <row r="12" spans="1:4">
      <c r="A12" s="2" t="str">
        <f ca="1">'数据修改（批量）'!A12</f>
        <v>篷布</v>
      </c>
      <c r="B12" s="2"/>
      <c r="C12" s="2"/>
      <c r="D12" s="3"/>
    </row>
    <row r="13" spans="1:7">
      <c r="A13" s="2"/>
      <c r="B13" s="2" t="str">
        <f ca="1">'数据修改（批量）'!B13</f>
        <v>项目</v>
      </c>
      <c r="C13" s="2" t="str">
        <f ca="1">'数据修改（批量）'!C13</f>
        <v>运费</v>
      </c>
      <c r="D13" s="2" t="str">
        <f ca="1">'数据修改（批量）'!D13</f>
        <v>单价</v>
      </c>
      <c r="E13" s="2" t="str">
        <f ca="1">'数据修改（批量）'!E13</f>
        <v>每平价格</v>
      </c>
      <c r="F13" s="2"/>
      <c r="G13" s="2"/>
    </row>
    <row r="14" spans="1:7">
      <c r="A14" s="2"/>
      <c r="B14" s="2">
        <f ca="1">'数据修改（批量）'!B14</f>
        <v>650</v>
      </c>
      <c r="C14" s="2">
        <f ca="1">'数据修改（批量）'!C14</f>
        <v>0.5</v>
      </c>
      <c r="D14" s="4">
        <f ca="1">'数据修改（批量）'!D14</f>
        <v>13.8</v>
      </c>
      <c r="E14" s="2">
        <f ca="1">'数据修改（批量）'!E14</f>
        <v>14.3</v>
      </c>
      <c r="F14" s="2"/>
      <c r="G14" s="2"/>
    </row>
    <row r="15" spans="1:7">
      <c r="A15" s="2"/>
      <c r="B15" s="2">
        <f ca="1">'数据修改（批量）'!B15</f>
        <v>780</v>
      </c>
      <c r="C15" s="2">
        <f ca="1">'数据修改（批量）'!C15</f>
        <v>0.5</v>
      </c>
      <c r="D15" s="4">
        <f ca="1">'数据修改（批量）'!D15</f>
        <v>16.8</v>
      </c>
      <c r="E15" s="2">
        <f ca="1">'数据修改（批量）'!E15</f>
        <v>17.3</v>
      </c>
      <c r="F15" s="2"/>
      <c r="G15" s="2"/>
    </row>
    <row r="16" spans="2:7">
      <c r="B16" s="2">
        <f ca="1">'数据修改（批量）'!B16</f>
        <v>850</v>
      </c>
      <c r="C16" s="2">
        <f ca="1">'数据修改（批量）'!C16</f>
        <v>0.5</v>
      </c>
      <c r="D16" s="4">
        <f ca="1">'数据修改（批量）'!D16</f>
        <v>18</v>
      </c>
      <c r="E16" s="2">
        <f ca="1">'数据修改（批量）'!E16</f>
        <v>18.5</v>
      </c>
      <c r="F16" s="2"/>
      <c r="G16" s="2"/>
    </row>
    <row r="21" spans="1:7">
      <c r="A21" s="6" t="str">
        <f ca="1">'数据修改（批量）'!A21</f>
        <v>说明：黄色部分可以根据价格修改</v>
      </c>
      <c r="B21" s="6"/>
      <c r="C21" s="6"/>
      <c r="D21" s="6"/>
      <c r="E21" s="6"/>
      <c r="F21" s="6"/>
      <c r="G21" s="6"/>
    </row>
  </sheetData>
  <mergeCells count="1">
    <mergeCell ref="A21:G21"/>
  </mergeCells>
  <pageMargins left="0.75" right="0.75" top="1" bottom="1" header="0.509027777777778" footer="0.509027777777778"/>
  <headerFooter/>
</worksheet>
</file>

<file path=xl/worksheets/sheet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FFFF00"/>
  </sheetPr>
  <dimension ref="A1:T56"/>
  <sheetViews>
    <sheetView showGridLines="0" workbookViewId="0">
      <selection activeCell="E14" sqref="E14"/>
    </sheetView>
  </sheetViews>
  <sheetFormatPr defaultColWidth="9" defaultRowHeight="14.25"/>
  <cols>
    <col min="1" max="1" width="2.75" style="1" customWidth="1"/>
    <col min="2" max="2" width="16.75" style="1" customWidth="1"/>
    <col min="3" max="5" width="9" style="1"/>
    <col min="6" max="6" width="9" style="1" customWidth="1"/>
    <col min="7" max="7" width="11.125" style="1" customWidth="1"/>
    <col min="8" max="9" width="9" style="1" customWidth="1"/>
    <col min="10" max="10" width="11.125" style="1" customWidth="1"/>
    <col min="11" max="11" width="9" style="1" customWidth="1"/>
    <col min="12" max="12" width="11.125" style="1" customWidth="1"/>
    <col min="13" max="13" width="9" style="1" customWidth="1"/>
    <col min="14" max="14" width="10.125" style="1" customWidth="1"/>
    <col min="15" max="15" width="59.75" style="1" customWidth="1"/>
    <col min="16" max="16" width="9" style="1"/>
    <col min="17" max="17" width="14.125" style="1" customWidth="1"/>
    <col min="18" max="16384" width="9" style="1"/>
  </cols>
  <sheetData>
    <row r="1" ht="18.75" spans="1:18">
      <c r="A1" s="72" t="s">
        <v>1653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3"/>
      <c r="P1" s="3"/>
      <c r="Q1" s="3"/>
      <c r="R1" s="3"/>
    </row>
    <row r="2" spans="1:16">
      <c r="A2" s="8" t="s">
        <v>1246</v>
      </c>
      <c r="B2" s="8"/>
      <c r="C2" s="8"/>
      <c r="D2" s="9" t="s">
        <v>1198</v>
      </c>
      <c r="E2" s="10">
        <f>A3*5*50</f>
        <v>500</v>
      </c>
      <c r="F2" s="11"/>
      <c r="G2" s="11"/>
      <c r="H2" s="11"/>
      <c r="I2" s="11"/>
      <c r="J2" s="11"/>
      <c r="K2" s="11"/>
      <c r="L2" s="11"/>
      <c r="M2" s="11"/>
      <c r="N2" s="11"/>
      <c r="O2" s="55"/>
      <c r="P2" s="3"/>
    </row>
    <row r="3" spans="1:16">
      <c r="A3" s="12">
        <v>2</v>
      </c>
      <c r="B3" s="12"/>
      <c r="C3" s="9" t="s">
        <v>1247</v>
      </c>
      <c r="D3" s="13">
        <v>3</v>
      </c>
      <c r="E3" s="11" t="s">
        <v>1248</v>
      </c>
      <c r="F3" s="14">
        <v>2</v>
      </c>
      <c r="G3" s="11" t="s">
        <v>1249</v>
      </c>
      <c r="H3" s="11"/>
      <c r="I3" s="11"/>
      <c r="J3" s="11"/>
      <c r="K3" s="11"/>
      <c r="L3" s="11"/>
      <c r="M3" s="11"/>
      <c r="N3" s="11"/>
      <c r="O3" s="55"/>
      <c r="P3" s="3"/>
    </row>
    <row r="4" ht="25.5" spans="1:20">
      <c r="A4" s="73" t="s">
        <v>1200</v>
      </c>
      <c r="B4" s="74" t="s">
        <v>1201</v>
      </c>
      <c r="C4" s="75" t="s">
        <v>1396</v>
      </c>
      <c r="D4" s="76" t="s">
        <v>22</v>
      </c>
      <c r="E4" s="76" t="s">
        <v>1203</v>
      </c>
      <c r="F4" s="18" t="s">
        <v>1202</v>
      </c>
      <c r="G4" s="17" t="s">
        <v>1204</v>
      </c>
      <c r="H4" s="19" t="s">
        <v>1205</v>
      </c>
      <c r="I4" s="17" t="s">
        <v>1253</v>
      </c>
      <c r="J4" s="17" t="s">
        <v>1254</v>
      </c>
      <c r="K4" s="17" t="s">
        <v>1255</v>
      </c>
      <c r="L4" s="17" t="s">
        <v>1209</v>
      </c>
      <c r="M4" s="17" t="s">
        <v>1420</v>
      </c>
      <c r="N4" s="17" t="s">
        <v>1211</v>
      </c>
      <c r="O4" s="56" t="s">
        <v>1257</v>
      </c>
      <c r="P4" s="57" t="s">
        <v>1430</v>
      </c>
      <c r="Q4" s="57" t="s">
        <v>1213</v>
      </c>
      <c r="R4" s="57" t="s">
        <v>1541</v>
      </c>
      <c r="S4" s="57" t="s">
        <v>1213</v>
      </c>
      <c r="T4" s="3"/>
    </row>
    <row r="5" ht="15.95" customHeight="1" spans="1:20">
      <c r="A5" s="20" t="s">
        <v>1215</v>
      </c>
      <c r="B5" s="21" t="s">
        <v>1224</v>
      </c>
      <c r="C5" s="22"/>
      <c r="D5" s="23" t="s">
        <v>28</v>
      </c>
      <c r="E5" s="24">
        <f>D3*2</f>
        <v>6</v>
      </c>
      <c r="F5" s="23"/>
      <c r="G5" s="25">
        <f ca="1" t="shared" ref="G5:G15" si="0">J5+K5+L5+M5+N5</f>
        <v>2508.37226528</v>
      </c>
      <c r="H5" s="26">
        <f>9.8/2</f>
        <v>4.9</v>
      </c>
      <c r="I5" s="26">
        <v>15.052</v>
      </c>
      <c r="J5" s="25">
        <f ca="1">H5*I5*'50米（人字350料）参数'!G9*1.1</f>
        <v>2139.89226528</v>
      </c>
      <c r="K5" s="29">
        <f ca="1">135.53*2</f>
        <v>271.06</v>
      </c>
      <c r="L5" s="29">
        <v>74.27</v>
      </c>
      <c r="M5" s="29">
        <f ca="1">2.55*5</f>
        <v>12.75</v>
      </c>
      <c r="N5" s="29">
        <f ca="1">0.65*16</f>
        <v>10.4</v>
      </c>
      <c r="O5" s="58" t="s">
        <v>1637</v>
      </c>
      <c r="P5" s="57">
        <v>4</v>
      </c>
      <c r="Q5" s="57">
        <f ca="1" t="shared" ref="Q5:Q30" si="1">G5*P5</f>
        <v>10033.48906112</v>
      </c>
      <c r="R5" s="57">
        <f t="shared" ref="R5:R24" si="2">E5-P5</f>
        <v>2</v>
      </c>
      <c r="S5" s="57">
        <f ca="1" t="shared" ref="S5:S12" si="3">G5*R5</f>
        <v>5016.74453056</v>
      </c>
      <c r="T5" s="3"/>
    </row>
    <row r="6" ht="15.95" customHeight="1" spans="1:20">
      <c r="A6" s="20"/>
      <c r="B6" s="21" t="s">
        <v>1543</v>
      </c>
      <c r="C6" s="27"/>
      <c r="D6" s="23" t="s">
        <v>28</v>
      </c>
      <c r="E6" s="24">
        <f>D3*2</f>
        <v>6</v>
      </c>
      <c r="F6" s="23"/>
      <c r="G6" s="25">
        <f ca="1" t="shared" si="0"/>
        <v>4715.321770464</v>
      </c>
      <c r="H6" s="26">
        <v>10.62</v>
      </c>
      <c r="I6" s="26">
        <v>15.052</v>
      </c>
      <c r="J6" s="25">
        <f ca="1">H6*I6*'50米（人字350料）参数'!G9*1.1</f>
        <v>4637.888950464</v>
      </c>
      <c r="K6" s="29">
        <f ca="1">8*2.5</f>
        <v>20</v>
      </c>
      <c r="L6" s="29">
        <v>21.61</v>
      </c>
      <c r="M6" s="29">
        <f ca="1">1.5*8</f>
        <v>12</v>
      </c>
      <c r="N6" s="29">
        <f ca="1">1.25*0.882*'50米（人字350料）参数'!G5</f>
        <v>23.82282</v>
      </c>
      <c r="O6" s="58" t="s">
        <v>1638</v>
      </c>
      <c r="P6" s="57">
        <v>4</v>
      </c>
      <c r="Q6" s="57">
        <f ca="1" t="shared" si="1"/>
        <v>18861.287081856</v>
      </c>
      <c r="R6" s="57">
        <f t="shared" si="2"/>
        <v>2</v>
      </c>
      <c r="S6" s="57">
        <f ca="1" t="shared" si="3"/>
        <v>9430.643540928</v>
      </c>
      <c r="T6" s="3"/>
    </row>
    <row r="7" ht="15.95" customHeight="1" spans="1:20">
      <c r="A7" s="20"/>
      <c r="B7" s="21" t="s">
        <v>1625</v>
      </c>
      <c r="C7" s="27"/>
      <c r="D7" s="23" t="s">
        <v>28</v>
      </c>
      <c r="E7" s="24">
        <f>D3*2</f>
        <v>6</v>
      </c>
      <c r="F7" s="23"/>
      <c r="G7" s="25">
        <f ca="1" t="shared" si="0"/>
        <v>5324.251074464</v>
      </c>
      <c r="H7" s="26">
        <v>10.62</v>
      </c>
      <c r="I7" s="26">
        <v>15.052</v>
      </c>
      <c r="J7" s="25">
        <f ca="1">H7*I7*'50米（人字350料）参数'!G9*1.1</f>
        <v>4637.888950464</v>
      </c>
      <c r="K7" s="29">
        <f ca="1">8*2.5</f>
        <v>20</v>
      </c>
      <c r="L7" s="25">
        <f ca="1">1.5*16.257*'50米（人字350料）参数'!G10</f>
        <v>625.439304</v>
      </c>
      <c r="M7" s="29">
        <f ca="1">2.55*2+1.5*8</f>
        <v>17.1</v>
      </c>
      <c r="N7" s="29">
        <f ca="1">1.25*0.882*'50米（人字350料）参数'!G5</f>
        <v>23.82282</v>
      </c>
      <c r="O7" s="58" t="s">
        <v>1639</v>
      </c>
      <c r="P7" s="57">
        <v>4</v>
      </c>
      <c r="Q7" s="57">
        <f ca="1" t="shared" si="1"/>
        <v>21297.004297856</v>
      </c>
      <c r="R7" s="57">
        <f t="shared" si="2"/>
        <v>2</v>
      </c>
      <c r="S7" s="57">
        <f ca="1" t="shared" si="3"/>
        <v>10648.502148928</v>
      </c>
      <c r="T7" s="3"/>
    </row>
    <row r="8" ht="15.95" customHeight="1" spans="1:20">
      <c r="A8" s="20"/>
      <c r="B8" s="21" t="s">
        <v>1586</v>
      </c>
      <c r="C8" s="27"/>
      <c r="D8" s="23" t="s">
        <v>28</v>
      </c>
      <c r="E8" s="24">
        <f>D3*2</f>
        <v>6</v>
      </c>
      <c r="F8" s="23"/>
      <c r="G8" s="25">
        <f ca="1" t="shared" si="0"/>
        <v>2945.99195024</v>
      </c>
      <c r="H8" s="26">
        <v>5.4</v>
      </c>
      <c r="I8" s="26">
        <v>15.052</v>
      </c>
      <c r="J8" s="25">
        <f ca="1">H8*I8*'50米（人字350料）参数'!G10*1.1</f>
        <v>2293.15895424</v>
      </c>
      <c r="K8" s="29">
        <f t="shared" ref="K8:K13" si="4">2.5*2</f>
        <v>5</v>
      </c>
      <c r="L8" s="25">
        <f ca="1">1.5*16.257*'50米（人字350料）参数'!G10</f>
        <v>625.439304</v>
      </c>
      <c r="M8" s="29">
        <f ca="1">2.55*2+1.5*2</f>
        <v>8.1</v>
      </c>
      <c r="N8" s="29">
        <f ca="1">0.75*0.882*'50米（人字350料）参数'!G5</f>
        <v>14.293692</v>
      </c>
      <c r="O8" s="58" t="s">
        <v>1654</v>
      </c>
      <c r="P8" s="57">
        <v>4</v>
      </c>
      <c r="Q8" s="57">
        <f ca="1" t="shared" si="1"/>
        <v>11783.96780096</v>
      </c>
      <c r="R8" s="57">
        <f t="shared" si="2"/>
        <v>2</v>
      </c>
      <c r="S8" s="57">
        <f ca="1" t="shared" si="3"/>
        <v>5891.98390048</v>
      </c>
      <c r="T8" s="3"/>
    </row>
    <row r="9" ht="15.95" customHeight="1" spans="1:20">
      <c r="A9" s="20"/>
      <c r="B9" s="21" t="s">
        <v>1588</v>
      </c>
      <c r="C9" s="27"/>
      <c r="D9" s="23" t="s">
        <v>28</v>
      </c>
      <c r="E9" s="24">
        <f>F3*2</f>
        <v>4</v>
      </c>
      <c r="F9" s="23"/>
      <c r="G9" s="25">
        <f ca="1" t="shared" si="0"/>
        <v>939.1695272</v>
      </c>
      <c r="H9" s="26">
        <v>6.33</v>
      </c>
      <c r="I9" s="26">
        <v>5.3</v>
      </c>
      <c r="J9" s="25">
        <f ca="1">H9*I9*'50米（人字350料）参数'!G3*1.1</f>
        <v>835.7995272</v>
      </c>
      <c r="K9" s="29">
        <f t="shared" si="4"/>
        <v>5</v>
      </c>
      <c r="L9" s="29">
        <f ca="1">49.51+41.21</f>
        <v>90.72</v>
      </c>
      <c r="M9" s="29">
        <f ca="1">2.55*3</f>
        <v>7.65</v>
      </c>
      <c r="N9" s="29"/>
      <c r="O9" s="58" t="s">
        <v>1589</v>
      </c>
      <c r="P9" s="57">
        <v>4</v>
      </c>
      <c r="Q9" s="57">
        <f ca="1" t="shared" si="1"/>
        <v>3756.6781088</v>
      </c>
      <c r="R9" s="57">
        <f t="shared" si="2"/>
        <v>0</v>
      </c>
      <c r="S9" s="57">
        <f ca="1" t="shared" si="3"/>
        <v>0</v>
      </c>
      <c r="T9" s="3"/>
    </row>
    <row r="10" ht="15.95" customHeight="1" spans="1:20">
      <c r="A10" s="20"/>
      <c r="B10" s="21" t="s">
        <v>1590</v>
      </c>
      <c r="C10" s="27"/>
      <c r="D10" s="23" t="s">
        <v>28</v>
      </c>
      <c r="E10" s="24">
        <f>F3*2</f>
        <v>4</v>
      </c>
      <c r="F10" s="23"/>
      <c r="G10" s="25">
        <f ca="1" t="shared" si="0"/>
        <v>1143.8281792</v>
      </c>
      <c r="H10" s="26">
        <v>7.88</v>
      </c>
      <c r="I10" s="26">
        <v>5.3</v>
      </c>
      <c r="J10" s="25">
        <f ca="1">H10*I10*'50米（人字350料）参数'!G3*1.1</f>
        <v>1040.4581792</v>
      </c>
      <c r="K10" s="29">
        <f t="shared" si="4"/>
        <v>5</v>
      </c>
      <c r="L10" s="29">
        <f ca="1">49.51+41.21</f>
        <v>90.72</v>
      </c>
      <c r="M10" s="29">
        <f ca="1">2.55*3</f>
        <v>7.65</v>
      </c>
      <c r="N10" s="29"/>
      <c r="O10" s="58" t="s">
        <v>1591</v>
      </c>
      <c r="P10" s="57">
        <v>4</v>
      </c>
      <c r="Q10" s="57">
        <f ca="1" t="shared" si="1"/>
        <v>4575.3127168</v>
      </c>
      <c r="R10" s="57">
        <f t="shared" si="2"/>
        <v>0</v>
      </c>
      <c r="S10" s="57">
        <f ca="1" t="shared" si="3"/>
        <v>0</v>
      </c>
      <c r="T10" s="3"/>
    </row>
    <row r="11" ht="15.95" customHeight="1" spans="1:20">
      <c r="A11" s="20"/>
      <c r="B11" s="21" t="s">
        <v>1592</v>
      </c>
      <c r="C11" s="27"/>
      <c r="D11" s="23" t="s">
        <v>28</v>
      </c>
      <c r="E11" s="24">
        <f>F3*2</f>
        <v>4</v>
      </c>
      <c r="F11" s="23"/>
      <c r="G11" s="25">
        <f ca="1" t="shared" si="0"/>
        <v>1348.4868312</v>
      </c>
      <c r="H11" s="26">
        <v>9.43</v>
      </c>
      <c r="I11" s="26">
        <v>5.3</v>
      </c>
      <c r="J11" s="25">
        <f ca="1">H11*I11*'50米（人字350料）参数'!G3*1.1</f>
        <v>1245.1168312</v>
      </c>
      <c r="K11" s="29">
        <f t="shared" si="4"/>
        <v>5</v>
      </c>
      <c r="L11" s="29">
        <f ca="1">49.51+41.21</f>
        <v>90.72</v>
      </c>
      <c r="M11" s="29">
        <f ca="1">2.55*3</f>
        <v>7.65</v>
      </c>
      <c r="N11" s="29"/>
      <c r="O11" s="58" t="s">
        <v>1593</v>
      </c>
      <c r="P11" s="57">
        <v>4</v>
      </c>
      <c r="Q11" s="57">
        <f ca="1" t="shared" si="1"/>
        <v>5393.9473248</v>
      </c>
      <c r="R11" s="57">
        <f t="shared" si="2"/>
        <v>0</v>
      </c>
      <c r="S11" s="57">
        <f ca="1" t="shared" si="3"/>
        <v>0</v>
      </c>
      <c r="T11" s="3"/>
    </row>
    <row r="12" ht="15.95" customHeight="1" spans="1:20">
      <c r="A12" s="20"/>
      <c r="B12" s="21" t="s">
        <v>1627</v>
      </c>
      <c r="C12" s="27"/>
      <c r="D12" s="23" t="s">
        <v>28</v>
      </c>
      <c r="E12" s="24">
        <f>F3*2</f>
        <v>4</v>
      </c>
      <c r="F12" s="23"/>
      <c r="G12" s="25">
        <f ca="1" t="shared" si="0"/>
        <v>2351.343623104</v>
      </c>
      <c r="H12" s="26">
        <v>10.96</v>
      </c>
      <c r="I12" s="26">
        <v>8.233</v>
      </c>
      <c r="J12" s="25">
        <f ca="1">H12*I12*'50米（人字350料）参数'!G3*1.1</f>
        <v>2247.973623104</v>
      </c>
      <c r="K12" s="29">
        <f t="shared" si="4"/>
        <v>5</v>
      </c>
      <c r="L12" s="29">
        <f ca="1">49.51+41.21</f>
        <v>90.72</v>
      </c>
      <c r="M12" s="29">
        <f ca="1">2.55*3</f>
        <v>7.65</v>
      </c>
      <c r="N12" s="29"/>
      <c r="O12" s="58" t="s">
        <v>1628</v>
      </c>
      <c r="P12" s="57">
        <v>4</v>
      </c>
      <c r="Q12" s="57">
        <f ca="1" t="shared" si="1"/>
        <v>9405.374492416</v>
      </c>
      <c r="R12" s="57">
        <f t="shared" si="2"/>
        <v>0</v>
      </c>
      <c r="S12" s="57">
        <f ca="1" t="shared" si="3"/>
        <v>0</v>
      </c>
      <c r="T12" s="3"/>
    </row>
    <row r="13" ht="15.95" customHeight="1" spans="1:20">
      <c r="A13" s="20"/>
      <c r="B13" s="21" t="s">
        <v>1645</v>
      </c>
      <c r="C13" s="27"/>
      <c r="D13" s="23" t="s">
        <v>28</v>
      </c>
      <c r="E13" s="24">
        <f>F3</f>
        <v>2</v>
      </c>
      <c r="F13" s="23"/>
      <c r="G13" s="25">
        <f ca="1" t="shared" si="0"/>
        <v>2970.009979904</v>
      </c>
      <c r="H13" s="26">
        <v>12.96</v>
      </c>
      <c r="I13" s="26">
        <v>8.233</v>
      </c>
      <c r="J13" s="25">
        <f ca="1">H13*I13*'50米（人字350料）参数'!G3*1.1</f>
        <v>2658.187787904</v>
      </c>
      <c r="K13" s="29">
        <f t="shared" si="4"/>
        <v>5</v>
      </c>
      <c r="L13" s="29">
        <f ca="1">49.51+41.21</f>
        <v>90.72</v>
      </c>
      <c r="M13" s="29">
        <f ca="1">2.55*3</f>
        <v>7.65</v>
      </c>
      <c r="N13" s="29">
        <f ca="1">1.2*7.67*'50米（人字350料）参数'!G3</f>
        <v>208.452192</v>
      </c>
      <c r="O13" s="58" t="s">
        <v>1646</v>
      </c>
      <c r="P13" s="57">
        <v>2</v>
      </c>
      <c r="Q13" s="57">
        <f ca="1" t="shared" si="1"/>
        <v>5940.019959808</v>
      </c>
      <c r="R13" s="57">
        <f t="shared" si="2"/>
        <v>0</v>
      </c>
      <c r="S13" s="57">
        <v>0</v>
      </c>
      <c r="T13" s="3"/>
    </row>
    <row r="14" ht="15.95" customHeight="1" spans="1:20">
      <c r="A14" s="20"/>
      <c r="B14" s="21" t="s">
        <v>1226</v>
      </c>
      <c r="C14" s="27"/>
      <c r="D14" s="23" t="s">
        <v>28</v>
      </c>
      <c r="E14" s="24">
        <f>A3*14+F3*8</f>
        <v>44</v>
      </c>
      <c r="F14" s="23"/>
      <c r="G14" s="25">
        <f ca="1" t="shared" si="0"/>
        <v>336.5448493136</v>
      </c>
      <c r="H14" s="26">
        <v>4.882</v>
      </c>
      <c r="I14" s="26">
        <v>2.771</v>
      </c>
      <c r="J14" s="25">
        <f ca="1">H14*I14*'50米（人字350料）参数'!G5*1.1</f>
        <v>321.5448493136</v>
      </c>
      <c r="K14" s="29"/>
      <c r="L14" s="29"/>
      <c r="M14" s="29">
        <f ca="1">0.5*4</f>
        <v>2</v>
      </c>
      <c r="N14" s="29">
        <f ca="1">6.5*2</f>
        <v>13</v>
      </c>
      <c r="O14" s="59" t="s">
        <v>1595</v>
      </c>
      <c r="P14" s="57">
        <v>32</v>
      </c>
      <c r="Q14" s="57">
        <f ca="1" t="shared" si="1"/>
        <v>10769.4351780352</v>
      </c>
      <c r="R14" s="57">
        <f t="shared" si="2"/>
        <v>12</v>
      </c>
      <c r="S14" s="57">
        <f ca="1" t="shared" ref="S14:S30" si="5">G14*R14</f>
        <v>4038.5381917632</v>
      </c>
      <c r="T14" s="3"/>
    </row>
    <row r="15" ht="15.95" customHeight="1" spans="1:20">
      <c r="A15" s="20"/>
      <c r="B15" s="21" t="s">
        <v>1596</v>
      </c>
      <c r="C15" s="27"/>
      <c r="D15" s="23" t="s">
        <v>28</v>
      </c>
      <c r="E15" s="24">
        <f>A3*7</f>
        <v>14</v>
      </c>
      <c r="F15" s="23"/>
      <c r="G15" s="25">
        <f ca="1" t="shared" si="0"/>
        <v>737.9347773824</v>
      </c>
      <c r="H15" s="26">
        <v>4.882</v>
      </c>
      <c r="I15" s="26">
        <v>5.944</v>
      </c>
      <c r="J15" s="25">
        <f ca="1">H15*I15*'50米（人字350料）参数'!G3*1.1</f>
        <v>722.9347773824</v>
      </c>
      <c r="K15" s="29"/>
      <c r="L15" s="29"/>
      <c r="M15" s="29">
        <f ca="1">0.5*4</f>
        <v>2</v>
      </c>
      <c r="N15" s="29">
        <f ca="1">6.5*2</f>
        <v>13</v>
      </c>
      <c r="O15" s="60" t="s">
        <v>1597</v>
      </c>
      <c r="P15" s="57">
        <v>5</v>
      </c>
      <c r="Q15" s="57">
        <f ca="1" t="shared" si="1"/>
        <v>3689.673886912</v>
      </c>
      <c r="R15" s="57">
        <f t="shared" si="2"/>
        <v>9</v>
      </c>
      <c r="S15" s="57">
        <f ca="1" t="shared" si="5"/>
        <v>6641.4129964416</v>
      </c>
      <c r="T15" s="3"/>
    </row>
    <row r="16" ht="15.95" customHeight="1" spans="1:20">
      <c r="A16" s="20"/>
      <c r="B16" s="21" t="s">
        <v>1266</v>
      </c>
      <c r="C16" s="27"/>
      <c r="D16" s="23" t="s">
        <v>28</v>
      </c>
      <c r="E16" s="24">
        <f>A3*2+F3*10</f>
        <v>24</v>
      </c>
      <c r="F16" s="23"/>
      <c r="G16" s="25">
        <f ca="1">'数据修改（批量）'!A28</f>
        <v>95</v>
      </c>
      <c r="H16" s="26">
        <v>4.86</v>
      </c>
      <c r="I16" s="26">
        <v>1.345</v>
      </c>
      <c r="J16" s="25">
        <f ca="1">H16*I16*'50米（人字350料）参数'!G5*1.1</f>
        <v>155.36951496</v>
      </c>
      <c r="K16" s="29"/>
      <c r="L16" s="29"/>
      <c r="M16" s="29"/>
      <c r="N16" s="29"/>
      <c r="O16" s="59" t="s">
        <v>1554</v>
      </c>
      <c r="P16" s="57">
        <v>22</v>
      </c>
      <c r="Q16" s="57">
        <f ca="1" t="shared" si="1"/>
        <v>2090</v>
      </c>
      <c r="R16" s="57">
        <f t="shared" si="2"/>
        <v>2</v>
      </c>
      <c r="S16" s="57">
        <f ca="1" t="shared" si="5"/>
        <v>190</v>
      </c>
      <c r="T16" s="3"/>
    </row>
    <row r="17" ht="15.95" customHeight="1" spans="1:20">
      <c r="A17" s="20"/>
      <c r="B17" s="21" t="s">
        <v>1276</v>
      </c>
      <c r="C17" s="27"/>
      <c r="D17" s="23" t="s">
        <v>28</v>
      </c>
      <c r="E17" s="28">
        <f>F3*2</f>
        <v>4</v>
      </c>
      <c r="F17" s="23"/>
      <c r="G17" s="25">
        <f ca="1" t="shared" ref="G17:G22" si="6">J17+K17+L17+M17+N17</f>
        <v>348.2448493136</v>
      </c>
      <c r="H17" s="26">
        <v>4.882</v>
      </c>
      <c r="I17" s="26">
        <v>2.771</v>
      </c>
      <c r="J17" s="25">
        <f ca="1">H17*I17*'50米（人字350料）参数'!G5*1.1</f>
        <v>321.5448493136</v>
      </c>
      <c r="K17" s="29"/>
      <c r="L17" s="61">
        <v>15</v>
      </c>
      <c r="M17" s="61">
        <f ca="1">8*0.65</f>
        <v>5.2</v>
      </c>
      <c r="N17" s="61">
        <v>6.5</v>
      </c>
      <c r="O17" s="59" t="s">
        <v>1598</v>
      </c>
      <c r="P17" s="57">
        <v>4</v>
      </c>
      <c r="Q17" s="57">
        <f ca="1" t="shared" si="1"/>
        <v>1392.9793972544</v>
      </c>
      <c r="R17" s="57">
        <f t="shared" si="2"/>
        <v>0</v>
      </c>
      <c r="S17" s="57">
        <f ca="1" t="shared" si="5"/>
        <v>0</v>
      </c>
      <c r="T17" s="3"/>
    </row>
    <row r="18" ht="15.95" customHeight="1" spans="1:20">
      <c r="A18" s="20"/>
      <c r="B18" s="21" t="s">
        <v>1356</v>
      </c>
      <c r="C18" s="27"/>
      <c r="D18" s="23" t="s">
        <v>28</v>
      </c>
      <c r="E18" s="28">
        <f>F3</f>
        <v>2</v>
      </c>
      <c r="F18" s="23"/>
      <c r="G18" s="29">
        <f ca="1" t="shared" si="6"/>
        <v>162.06</v>
      </c>
      <c r="H18" s="26">
        <v>7.5</v>
      </c>
      <c r="I18" s="26">
        <v>1</v>
      </c>
      <c r="J18" s="29">
        <f ca="1">H18*I18*'50米（人字350料）参数'!G5</f>
        <v>162.06</v>
      </c>
      <c r="K18" s="29"/>
      <c r="L18" s="29"/>
      <c r="M18" s="29"/>
      <c r="N18" s="29"/>
      <c r="O18" s="60" t="s">
        <v>1599</v>
      </c>
      <c r="P18" s="57">
        <v>2</v>
      </c>
      <c r="Q18" s="57">
        <f ca="1" t="shared" si="1"/>
        <v>324.12</v>
      </c>
      <c r="R18" s="57">
        <f t="shared" si="2"/>
        <v>0</v>
      </c>
      <c r="S18" s="57">
        <f ca="1" t="shared" si="5"/>
        <v>0</v>
      </c>
      <c r="T18" s="3"/>
    </row>
    <row r="19" ht="15.95" customHeight="1" spans="1:20">
      <c r="A19" s="20"/>
      <c r="B19" s="21" t="s">
        <v>1448</v>
      </c>
      <c r="C19" s="27"/>
      <c r="D19" s="23" t="s">
        <v>28</v>
      </c>
      <c r="E19" s="28">
        <f>D3*2-F3*2</f>
        <v>2</v>
      </c>
      <c r="F19" s="23"/>
      <c r="G19" s="29">
        <f ca="1" t="shared" si="6"/>
        <v>259</v>
      </c>
      <c r="H19" s="26"/>
      <c r="I19" s="26"/>
      <c r="J19" s="29">
        <f>128*1.5</f>
        <v>192</v>
      </c>
      <c r="K19" s="29"/>
      <c r="L19" s="29">
        <f>2.5*2</f>
        <v>5</v>
      </c>
      <c r="M19" s="29">
        <f>21*2</f>
        <v>42</v>
      </c>
      <c r="N19" s="29">
        <v>20</v>
      </c>
      <c r="O19" s="58" t="s">
        <v>1558</v>
      </c>
      <c r="P19" s="57">
        <v>0</v>
      </c>
      <c r="Q19" s="57">
        <f ca="1" t="shared" si="1"/>
        <v>0</v>
      </c>
      <c r="R19" s="57">
        <f t="shared" si="2"/>
        <v>2</v>
      </c>
      <c r="S19" s="57">
        <f ca="1" t="shared" si="5"/>
        <v>518</v>
      </c>
      <c r="T19" s="3"/>
    </row>
    <row r="20" ht="15.95" customHeight="1" spans="1:20">
      <c r="A20" s="20"/>
      <c r="B20" s="21" t="s">
        <v>1559</v>
      </c>
      <c r="C20" s="27"/>
      <c r="D20" s="23" t="s">
        <v>28</v>
      </c>
      <c r="E20" s="28">
        <f>D3-F3</f>
        <v>1</v>
      </c>
      <c r="F20" s="23"/>
      <c r="G20" s="29">
        <f ca="1" t="shared" si="6"/>
        <v>259</v>
      </c>
      <c r="H20" s="26"/>
      <c r="I20" s="26"/>
      <c r="J20" s="29">
        <f>128*1.5</f>
        <v>192</v>
      </c>
      <c r="K20" s="29"/>
      <c r="L20" s="29">
        <f>2.5*2</f>
        <v>5</v>
      </c>
      <c r="M20" s="29">
        <f>21*2</f>
        <v>42</v>
      </c>
      <c r="N20" s="29">
        <v>20</v>
      </c>
      <c r="O20" s="58" t="s">
        <v>1558</v>
      </c>
      <c r="P20" s="57">
        <v>0</v>
      </c>
      <c r="Q20" s="57">
        <f ca="1" t="shared" si="1"/>
        <v>0</v>
      </c>
      <c r="R20" s="57">
        <f t="shared" si="2"/>
        <v>1</v>
      </c>
      <c r="S20" s="57">
        <f ca="1" t="shared" si="5"/>
        <v>259</v>
      </c>
      <c r="T20" s="3"/>
    </row>
    <row r="21" ht="15.95" customHeight="1" spans="1:20">
      <c r="A21" s="20"/>
      <c r="B21" s="21" t="s">
        <v>1272</v>
      </c>
      <c r="C21" s="27"/>
      <c r="D21" s="23" t="s">
        <v>28</v>
      </c>
      <c r="E21" s="30">
        <v>6</v>
      </c>
      <c r="F21" s="23"/>
      <c r="G21" s="29">
        <f ca="1" t="shared" si="6"/>
        <v>237</v>
      </c>
      <c r="H21" s="26"/>
      <c r="I21" s="26"/>
      <c r="J21" s="29">
        <f>108*2</f>
        <v>216</v>
      </c>
      <c r="K21" s="29"/>
      <c r="L21" s="29">
        <v>6</v>
      </c>
      <c r="M21" s="29">
        <v>10</v>
      </c>
      <c r="N21" s="29">
        <v>5</v>
      </c>
      <c r="O21" s="60" t="s">
        <v>1561</v>
      </c>
      <c r="P21" s="57">
        <v>4</v>
      </c>
      <c r="Q21" s="57">
        <f ca="1" t="shared" si="1"/>
        <v>948</v>
      </c>
      <c r="R21" s="57">
        <f t="shared" si="2"/>
        <v>2</v>
      </c>
      <c r="S21" s="57">
        <f ca="1" t="shared" si="5"/>
        <v>474</v>
      </c>
      <c r="T21" s="3"/>
    </row>
    <row r="22" ht="15.95" customHeight="1" spans="1:20">
      <c r="A22" s="20" t="s">
        <v>1562</v>
      </c>
      <c r="B22" s="21" t="s">
        <v>1304</v>
      </c>
      <c r="C22" s="27"/>
      <c r="D22" s="23" t="s">
        <v>434</v>
      </c>
      <c r="E22" s="24">
        <f>D3</f>
        <v>3</v>
      </c>
      <c r="F22" s="23"/>
      <c r="G22" s="25">
        <f ca="1" t="shared" si="6"/>
        <v>1239.42283808</v>
      </c>
      <c r="H22" s="26">
        <v>1.8</v>
      </c>
      <c r="I22" s="26">
        <v>16.257</v>
      </c>
      <c r="J22" s="25">
        <f ca="1">H22*I22*'50米（人字350料）参数'!G10*1.1</f>
        <v>825.57988128</v>
      </c>
      <c r="K22" s="29">
        <v>100</v>
      </c>
      <c r="L22" s="25">
        <f ca="1">0.8*15.052*'50米（人字350料）参数'!G10</f>
        <v>308.8429568</v>
      </c>
      <c r="M22" s="29">
        <f>2*2.5</f>
        <v>5</v>
      </c>
      <c r="N22" s="29"/>
      <c r="O22" s="60" t="s">
        <v>1616</v>
      </c>
      <c r="P22" s="57">
        <v>2</v>
      </c>
      <c r="Q22" s="57">
        <f ca="1" t="shared" si="1"/>
        <v>2478.84567616</v>
      </c>
      <c r="R22" s="57">
        <f t="shared" si="2"/>
        <v>1</v>
      </c>
      <c r="S22" s="57">
        <f ca="1" t="shared" si="5"/>
        <v>1239.42283808</v>
      </c>
      <c r="T22" s="3"/>
    </row>
    <row r="23" ht="15.95" customHeight="1" spans="1:20">
      <c r="A23" s="31"/>
      <c r="B23" s="21" t="s">
        <v>1310</v>
      </c>
      <c r="C23" s="27"/>
      <c r="D23" s="23" t="s">
        <v>434</v>
      </c>
      <c r="E23" s="24">
        <f>E9+E10+E11+E12+E13</f>
        <v>18</v>
      </c>
      <c r="F23" s="23"/>
      <c r="G23" s="29">
        <v>76.4</v>
      </c>
      <c r="H23" s="26"/>
      <c r="I23" s="26"/>
      <c r="J23" s="29"/>
      <c r="K23" s="29"/>
      <c r="L23" s="29"/>
      <c r="M23" s="29"/>
      <c r="N23" s="29"/>
      <c r="O23" s="59" t="s">
        <v>1361</v>
      </c>
      <c r="P23" s="57">
        <v>18</v>
      </c>
      <c r="Q23" s="57">
        <f ca="1" t="shared" si="1"/>
        <v>1375.2</v>
      </c>
      <c r="R23" s="57">
        <f t="shared" si="2"/>
        <v>0</v>
      </c>
      <c r="S23" s="57">
        <f ca="1" t="shared" si="5"/>
        <v>0</v>
      </c>
      <c r="T23" s="3"/>
    </row>
    <row r="24" ht="15.95" customHeight="1" spans="1:20">
      <c r="A24" s="31"/>
      <c r="B24" s="21" t="s">
        <v>1280</v>
      </c>
      <c r="C24" s="27"/>
      <c r="D24" s="23" t="s">
        <v>434</v>
      </c>
      <c r="E24" s="28">
        <f>E5</f>
        <v>6</v>
      </c>
      <c r="F24" s="23"/>
      <c r="G24" s="29">
        <v>137</v>
      </c>
      <c r="H24" s="26"/>
      <c r="I24" s="26"/>
      <c r="J24" s="29"/>
      <c r="K24" s="29"/>
      <c r="L24" s="29"/>
      <c r="M24" s="29"/>
      <c r="N24" s="29"/>
      <c r="O24" s="59" t="s">
        <v>1361</v>
      </c>
      <c r="P24" s="57">
        <v>4</v>
      </c>
      <c r="Q24" s="57">
        <f ca="1" t="shared" si="1"/>
        <v>548</v>
      </c>
      <c r="R24" s="57">
        <f t="shared" si="2"/>
        <v>2</v>
      </c>
      <c r="S24" s="57">
        <f ca="1" t="shared" si="5"/>
        <v>274</v>
      </c>
      <c r="T24" s="3"/>
    </row>
    <row r="25" ht="15.95" customHeight="1" spans="1:20">
      <c r="A25" s="31"/>
      <c r="B25" s="21" t="s">
        <v>1629</v>
      </c>
      <c r="C25" s="27"/>
      <c r="D25" s="23" t="s">
        <v>28</v>
      </c>
      <c r="E25" s="32">
        <f>E21</f>
        <v>6</v>
      </c>
      <c r="F25" s="23"/>
      <c r="G25" s="29">
        <v>124</v>
      </c>
      <c r="H25" s="26"/>
      <c r="I25" s="26"/>
      <c r="J25" s="29"/>
      <c r="K25" s="29"/>
      <c r="L25" s="29"/>
      <c r="M25" s="29"/>
      <c r="N25" s="29"/>
      <c r="O25" s="60" t="s">
        <v>1630</v>
      </c>
      <c r="P25" s="57">
        <v>4</v>
      </c>
      <c r="Q25" s="57">
        <f ca="1" t="shared" si="1"/>
        <v>496</v>
      </c>
      <c r="R25" s="57">
        <f t="shared" ref="R25:R30" si="7">E25-P25</f>
        <v>2</v>
      </c>
      <c r="S25" s="57">
        <f ca="1" t="shared" si="5"/>
        <v>248</v>
      </c>
      <c r="T25" s="3"/>
    </row>
    <row r="26" ht="15.95" customHeight="1" spans="1:20">
      <c r="A26" s="31"/>
      <c r="B26" s="21" t="s">
        <v>1600</v>
      </c>
      <c r="C26" s="27"/>
      <c r="D26" s="23" t="s">
        <v>28</v>
      </c>
      <c r="E26" s="32">
        <f>E21</f>
        <v>6</v>
      </c>
      <c r="F26" s="23"/>
      <c r="G26" s="29">
        <v>119.3</v>
      </c>
      <c r="H26" s="26"/>
      <c r="I26" s="26"/>
      <c r="J26" s="29"/>
      <c r="K26" s="29"/>
      <c r="L26" s="29"/>
      <c r="M26" s="29"/>
      <c r="N26" s="29"/>
      <c r="O26" s="60" t="s">
        <v>1601</v>
      </c>
      <c r="P26" s="57">
        <v>4</v>
      </c>
      <c r="Q26" s="57">
        <f ca="1" t="shared" si="1"/>
        <v>477.2</v>
      </c>
      <c r="R26" s="57">
        <f t="shared" si="7"/>
        <v>2</v>
      </c>
      <c r="S26" s="57">
        <f ca="1" t="shared" si="5"/>
        <v>238.6</v>
      </c>
      <c r="T26" s="3"/>
    </row>
    <row r="27" ht="15.95" customHeight="1" spans="1:20">
      <c r="A27" s="31"/>
      <c r="B27" s="21" t="s">
        <v>1602</v>
      </c>
      <c r="C27" s="27"/>
      <c r="D27" s="23" t="s">
        <v>28</v>
      </c>
      <c r="E27" s="32">
        <f>E21</f>
        <v>6</v>
      </c>
      <c r="F27" s="23"/>
      <c r="G27" s="29">
        <v>97.5</v>
      </c>
      <c r="H27" s="33"/>
      <c r="I27" s="33"/>
      <c r="J27" s="62"/>
      <c r="K27" s="62"/>
      <c r="L27" s="62"/>
      <c r="M27" s="62"/>
      <c r="N27" s="62"/>
      <c r="O27" s="63" t="s">
        <v>1603</v>
      </c>
      <c r="P27" s="57">
        <v>4</v>
      </c>
      <c r="Q27" s="57">
        <f ca="1" t="shared" si="1"/>
        <v>390</v>
      </c>
      <c r="R27" s="57">
        <f t="shared" si="7"/>
        <v>2</v>
      </c>
      <c r="S27" s="57">
        <f ca="1" t="shared" si="5"/>
        <v>195</v>
      </c>
      <c r="T27" s="3"/>
    </row>
    <row r="28" ht="15.95" customHeight="1" spans="1:20">
      <c r="A28" s="31"/>
      <c r="B28" s="21" t="s">
        <v>522</v>
      </c>
      <c r="C28" s="27"/>
      <c r="D28" s="23" t="s">
        <v>434</v>
      </c>
      <c r="E28" s="32">
        <f>E21</f>
        <v>6</v>
      </c>
      <c r="F28" s="23"/>
      <c r="G28" s="34">
        <v>9.65</v>
      </c>
      <c r="H28" s="35"/>
      <c r="I28" s="35"/>
      <c r="J28" s="34"/>
      <c r="K28" s="34"/>
      <c r="L28" s="34"/>
      <c r="M28" s="34"/>
      <c r="N28" s="34"/>
      <c r="O28" s="64" t="s">
        <v>1604</v>
      </c>
      <c r="P28" s="57">
        <v>4</v>
      </c>
      <c r="Q28" s="57">
        <f ca="1" t="shared" si="1"/>
        <v>38.6</v>
      </c>
      <c r="R28" s="57">
        <f t="shared" si="7"/>
        <v>2</v>
      </c>
      <c r="S28" s="57">
        <f ca="1" t="shared" si="5"/>
        <v>19.3</v>
      </c>
      <c r="T28" s="3"/>
    </row>
    <row r="29" ht="15.95" customHeight="1" spans="1:20">
      <c r="A29" s="31"/>
      <c r="B29" s="21" t="s">
        <v>524</v>
      </c>
      <c r="C29" s="27"/>
      <c r="D29" s="23" t="s">
        <v>434</v>
      </c>
      <c r="E29" s="32">
        <f>E21*2</f>
        <v>12</v>
      </c>
      <c r="F29" s="23"/>
      <c r="G29" s="29">
        <v>18.36</v>
      </c>
      <c r="H29" s="26"/>
      <c r="I29" s="26"/>
      <c r="J29" s="29"/>
      <c r="K29" s="29"/>
      <c r="L29" s="29"/>
      <c r="M29" s="29"/>
      <c r="N29" s="29"/>
      <c r="O29" s="60" t="s">
        <v>1605</v>
      </c>
      <c r="P29" s="57">
        <v>8</v>
      </c>
      <c r="Q29" s="57">
        <f ca="1" t="shared" si="1"/>
        <v>146.88</v>
      </c>
      <c r="R29" s="57">
        <f t="shared" si="7"/>
        <v>4</v>
      </c>
      <c r="S29" s="57">
        <f ca="1" t="shared" si="5"/>
        <v>73.44</v>
      </c>
      <c r="T29" s="3"/>
    </row>
    <row r="30" ht="15.95" customHeight="1" spans="1:20">
      <c r="A30" s="31"/>
      <c r="B30" s="21" t="s">
        <v>526</v>
      </c>
      <c r="C30" s="27"/>
      <c r="D30" s="23" t="s">
        <v>434</v>
      </c>
      <c r="E30" s="32">
        <f>E29/2</f>
        <v>6</v>
      </c>
      <c r="F30" s="23"/>
      <c r="G30" s="29">
        <v>24.84</v>
      </c>
      <c r="H30" s="26"/>
      <c r="I30" s="26"/>
      <c r="J30" s="29"/>
      <c r="K30" s="29"/>
      <c r="L30" s="29"/>
      <c r="M30" s="29"/>
      <c r="N30" s="29"/>
      <c r="O30" s="60" t="s">
        <v>1606</v>
      </c>
      <c r="P30" s="57">
        <v>4</v>
      </c>
      <c r="Q30" s="57">
        <f ca="1" t="shared" si="1"/>
        <v>99.36</v>
      </c>
      <c r="R30" s="57">
        <f t="shared" si="7"/>
        <v>2</v>
      </c>
      <c r="S30" s="57">
        <f ca="1" t="shared" si="5"/>
        <v>49.68</v>
      </c>
      <c r="T30" s="3"/>
    </row>
    <row r="31" ht="15.95" customHeight="1" spans="1:20">
      <c r="A31" s="31"/>
      <c r="B31" s="21" t="s">
        <v>1647</v>
      </c>
      <c r="C31" s="27"/>
      <c r="D31" s="23"/>
      <c r="E31" s="32">
        <f>D3-F3</f>
        <v>1</v>
      </c>
      <c r="F31" s="23"/>
      <c r="G31" s="29">
        <v>64.65</v>
      </c>
      <c r="H31" s="26"/>
      <c r="I31" s="26"/>
      <c r="J31" s="29"/>
      <c r="K31" s="29"/>
      <c r="L31" s="29"/>
      <c r="M31" s="29"/>
      <c r="N31" s="29"/>
      <c r="O31" s="60" t="s">
        <v>1648</v>
      </c>
      <c r="P31" s="57">
        <v>0</v>
      </c>
      <c r="Q31" s="57"/>
      <c r="R31" s="57">
        <f t="shared" ref="R31:R44" si="8">E31-P31</f>
        <v>1</v>
      </c>
      <c r="S31" s="57"/>
      <c r="T31" s="3"/>
    </row>
    <row r="32" ht="15.95" customHeight="1" spans="1:20">
      <c r="A32" s="31"/>
      <c r="B32" s="21" t="s">
        <v>1282</v>
      </c>
      <c r="C32" s="27"/>
      <c r="D32" s="23" t="s">
        <v>434</v>
      </c>
      <c r="E32" s="24">
        <f>D3*2+F3*9</f>
        <v>24</v>
      </c>
      <c r="F32" s="23"/>
      <c r="G32" s="29">
        <v>4.45</v>
      </c>
      <c r="H32" s="26"/>
      <c r="I32" s="26"/>
      <c r="J32" s="29"/>
      <c r="K32" s="29"/>
      <c r="L32" s="29"/>
      <c r="M32" s="29"/>
      <c r="N32" s="29"/>
      <c r="O32" s="59" t="s">
        <v>1453</v>
      </c>
      <c r="P32" s="57">
        <v>22</v>
      </c>
      <c r="Q32" s="57">
        <f t="shared" ref="Q32:Q44" si="9">G32*P32</f>
        <v>97.9</v>
      </c>
      <c r="R32" s="57">
        <f t="shared" si="8"/>
        <v>2</v>
      </c>
      <c r="S32" s="57">
        <f t="shared" ref="S32:S44" si="10">G32*R32</f>
        <v>8.9</v>
      </c>
      <c r="T32" s="3"/>
    </row>
    <row r="33" ht="15.95" customHeight="1" spans="1:20">
      <c r="A33" s="31"/>
      <c r="B33" s="21" t="s">
        <v>1284</v>
      </c>
      <c r="C33" s="27"/>
      <c r="D33" s="23" t="s">
        <v>434</v>
      </c>
      <c r="E33" s="24">
        <f>D3*2</f>
        <v>6</v>
      </c>
      <c r="F33" s="23"/>
      <c r="G33" s="29">
        <v>6.51</v>
      </c>
      <c r="H33" s="26"/>
      <c r="I33" s="26"/>
      <c r="J33" s="29"/>
      <c r="K33" s="29"/>
      <c r="L33" s="29"/>
      <c r="M33" s="29"/>
      <c r="N33" s="29"/>
      <c r="O33" s="59" t="s">
        <v>1607</v>
      </c>
      <c r="P33" s="57">
        <v>4</v>
      </c>
      <c r="Q33" s="57">
        <f t="shared" si="9"/>
        <v>26.04</v>
      </c>
      <c r="R33" s="57">
        <f t="shared" si="8"/>
        <v>2</v>
      </c>
      <c r="S33" s="57">
        <f t="shared" si="10"/>
        <v>13.02</v>
      </c>
      <c r="T33" s="3"/>
    </row>
    <row r="34" ht="15.95" customHeight="1" spans="1:20">
      <c r="A34" s="31"/>
      <c r="B34" s="21" t="s">
        <v>519</v>
      </c>
      <c r="C34" s="27"/>
      <c r="D34" s="23" t="s">
        <v>434</v>
      </c>
      <c r="E34" s="24">
        <f>F3*2</f>
        <v>4</v>
      </c>
      <c r="F34" s="23"/>
      <c r="G34" s="29">
        <v>6.5</v>
      </c>
      <c r="H34" s="36"/>
      <c r="I34" s="36"/>
      <c r="J34" s="65"/>
      <c r="K34" s="65"/>
      <c r="L34" s="65"/>
      <c r="M34" s="65"/>
      <c r="N34" s="65"/>
      <c r="O34" s="66" t="s">
        <v>1455</v>
      </c>
      <c r="P34" s="57">
        <v>4</v>
      </c>
      <c r="Q34" s="57">
        <f t="shared" si="9"/>
        <v>26</v>
      </c>
      <c r="R34" s="57">
        <f t="shared" si="8"/>
        <v>0</v>
      </c>
      <c r="S34" s="57">
        <f t="shared" si="10"/>
        <v>0</v>
      </c>
      <c r="T34" s="3"/>
    </row>
    <row r="35" ht="15.95" customHeight="1" spans="1:20">
      <c r="A35" s="31"/>
      <c r="B35" s="21" t="s">
        <v>1568</v>
      </c>
      <c r="C35" s="27"/>
      <c r="D35" s="23" t="s">
        <v>612</v>
      </c>
      <c r="E35" s="24">
        <f>A3</f>
        <v>2</v>
      </c>
      <c r="F35" s="23"/>
      <c r="G35" s="29">
        <f ca="1">J35+K35+L35+M35+N35</f>
        <v>5829.48</v>
      </c>
      <c r="H35" s="26">
        <v>54.52</v>
      </c>
      <c r="I35" s="26">
        <v>5</v>
      </c>
      <c r="J35" s="29">
        <f ca="1">H35*I35*'50米（人字350料）参数'!D16*1.1</f>
        <v>5397.48</v>
      </c>
      <c r="K35" s="29">
        <f>54*2*4</f>
        <v>432</v>
      </c>
      <c r="L35" s="29"/>
      <c r="M35" s="29"/>
      <c r="N35" s="29"/>
      <c r="O35" s="67" t="s">
        <v>1649</v>
      </c>
      <c r="P35" s="68">
        <v>1</v>
      </c>
      <c r="Q35" s="57">
        <f ca="1" t="shared" si="9"/>
        <v>5829.48</v>
      </c>
      <c r="R35" s="57">
        <f t="shared" si="8"/>
        <v>1</v>
      </c>
      <c r="S35" s="57">
        <f ca="1" t="shared" si="10"/>
        <v>5829.48</v>
      </c>
      <c r="T35" s="3"/>
    </row>
    <row r="36" ht="15.95" customHeight="1" spans="1:20">
      <c r="A36" s="31"/>
      <c r="B36" s="21" t="s">
        <v>1570</v>
      </c>
      <c r="C36" s="27"/>
      <c r="D36" s="23" t="s">
        <v>664</v>
      </c>
      <c r="E36" s="24">
        <f>F3</f>
        <v>2</v>
      </c>
      <c r="F36" s="23"/>
      <c r="G36" s="29">
        <f ca="1">J36+K36+L36+M36+N36</f>
        <v>4882.0416</v>
      </c>
      <c r="H36" s="37">
        <v>25.4</v>
      </c>
      <c r="I36" s="37">
        <v>9.8</v>
      </c>
      <c r="J36" s="69">
        <f ca="1">H36*I36*'50米（人字350料）参数'!D15*1.1</f>
        <v>4600.0416</v>
      </c>
      <c r="K36" s="69">
        <f>70.5*4</f>
        <v>282</v>
      </c>
      <c r="L36" s="69"/>
      <c r="M36" s="69"/>
      <c r="N36" s="69"/>
      <c r="O36" s="70" t="s">
        <v>1650</v>
      </c>
      <c r="P36" s="57">
        <v>2</v>
      </c>
      <c r="Q36" s="57">
        <f ca="1" t="shared" si="9"/>
        <v>9764.0832</v>
      </c>
      <c r="R36" s="57">
        <f t="shared" si="8"/>
        <v>0</v>
      </c>
      <c r="S36" s="57">
        <f ca="1" t="shared" si="10"/>
        <v>0</v>
      </c>
      <c r="T36" s="3"/>
    </row>
    <row r="37" ht="15.95" customHeight="1" spans="1:20">
      <c r="A37" s="31"/>
      <c r="B37" s="21" t="s">
        <v>1572</v>
      </c>
      <c r="C37" s="27"/>
      <c r="D37" s="23" t="s">
        <v>664</v>
      </c>
      <c r="E37" s="24">
        <f>F3*10+A3*2</f>
        <v>24</v>
      </c>
      <c r="F37" s="23"/>
      <c r="G37" s="29">
        <f ca="1">J37+K37+L37+M37+N37</f>
        <v>452.7072</v>
      </c>
      <c r="H37" s="26">
        <v>5.2</v>
      </c>
      <c r="I37" s="26">
        <v>5.2</v>
      </c>
      <c r="J37" s="29">
        <f ca="1">H37*I37*'50米（人字350料）参数'!D14*1.1</f>
        <v>410.4672</v>
      </c>
      <c r="K37" s="71">
        <f>6.1*2</f>
        <v>12.2</v>
      </c>
      <c r="L37" s="71">
        <f>0.5*10</f>
        <v>5</v>
      </c>
      <c r="M37" s="71">
        <f>0.32*22</f>
        <v>7.04</v>
      </c>
      <c r="N37" s="71">
        <f>18*1</f>
        <v>18</v>
      </c>
      <c r="O37" s="60" t="s">
        <v>1580</v>
      </c>
      <c r="P37" s="57">
        <v>22</v>
      </c>
      <c r="Q37" s="57">
        <f ca="1" t="shared" si="9"/>
        <v>9959.5584</v>
      </c>
      <c r="R37" s="57">
        <f t="shared" si="8"/>
        <v>2</v>
      </c>
      <c r="S37" s="57">
        <f ca="1" t="shared" si="10"/>
        <v>905.4144</v>
      </c>
      <c r="T37" s="3"/>
    </row>
    <row r="38" ht="15.95" customHeight="1" spans="1:20">
      <c r="A38" s="31"/>
      <c r="B38" s="38" t="s">
        <v>1274</v>
      </c>
      <c r="C38" s="27"/>
      <c r="D38" s="23" t="s">
        <v>28</v>
      </c>
      <c r="E38" s="24">
        <f>E37</f>
        <v>24</v>
      </c>
      <c r="F38" s="23"/>
      <c r="G38" s="39">
        <v>21</v>
      </c>
      <c r="H38" s="40"/>
      <c r="I38" s="40"/>
      <c r="J38" s="41"/>
      <c r="K38" s="41"/>
      <c r="L38" s="41"/>
      <c r="M38" s="41"/>
      <c r="N38" s="41"/>
      <c r="O38" s="66" t="s">
        <v>1608</v>
      </c>
      <c r="P38" s="57">
        <v>22</v>
      </c>
      <c r="Q38" s="57">
        <f t="shared" si="9"/>
        <v>462</v>
      </c>
      <c r="R38" s="57">
        <f t="shared" si="8"/>
        <v>2</v>
      </c>
      <c r="S38" s="57">
        <f t="shared" si="10"/>
        <v>42</v>
      </c>
      <c r="T38" s="3"/>
    </row>
    <row r="39" ht="15.95" customHeight="1" spans="1:20">
      <c r="A39" s="31"/>
      <c r="B39" s="38" t="s">
        <v>551</v>
      </c>
      <c r="C39" s="27"/>
      <c r="D39" s="23" t="s">
        <v>434</v>
      </c>
      <c r="E39" s="24">
        <f>F3*9</f>
        <v>18</v>
      </c>
      <c r="F39" s="23"/>
      <c r="G39" s="41">
        <v>15.5</v>
      </c>
      <c r="H39" s="40"/>
      <c r="I39" s="40"/>
      <c r="J39" s="41"/>
      <c r="K39" s="41"/>
      <c r="L39" s="41"/>
      <c r="M39" s="41"/>
      <c r="N39" s="41"/>
      <c r="O39" s="66" t="s">
        <v>1456</v>
      </c>
      <c r="P39" s="57">
        <v>18</v>
      </c>
      <c r="Q39" s="57">
        <f t="shared" si="9"/>
        <v>279</v>
      </c>
      <c r="R39" s="57">
        <f t="shared" si="8"/>
        <v>0</v>
      </c>
      <c r="S39" s="57">
        <f t="shared" si="10"/>
        <v>0</v>
      </c>
      <c r="T39" s="3"/>
    </row>
    <row r="40" ht="15.95" customHeight="1" spans="1:20">
      <c r="A40" s="31"/>
      <c r="B40" s="42" t="s">
        <v>1609</v>
      </c>
      <c r="C40" s="27"/>
      <c r="D40" s="43" t="s">
        <v>555</v>
      </c>
      <c r="E40" s="44">
        <f>E5+E9+E10+E11+E25+E26+E21</f>
        <v>36</v>
      </c>
      <c r="F40" s="23"/>
      <c r="G40" s="45">
        <v>1.46</v>
      </c>
      <c r="H40" s="46"/>
      <c r="I40" s="46"/>
      <c r="J40" s="45"/>
      <c r="K40" s="45"/>
      <c r="L40" s="45"/>
      <c r="M40" s="45"/>
      <c r="N40" s="45"/>
      <c r="O40" s="59" t="s">
        <v>1610</v>
      </c>
      <c r="P40" s="57">
        <v>34</v>
      </c>
      <c r="Q40" s="57">
        <f t="shared" si="9"/>
        <v>49.64</v>
      </c>
      <c r="R40" s="57">
        <f t="shared" si="8"/>
        <v>2</v>
      </c>
      <c r="S40" s="57">
        <f t="shared" si="10"/>
        <v>2.92</v>
      </c>
      <c r="T40" s="3"/>
    </row>
    <row r="41" ht="15.95" customHeight="1" spans="1:20">
      <c r="A41" s="31"/>
      <c r="B41" s="42" t="s">
        <v>1575</v>
      </c>
      <c r="C41" s="27"/>
      <c r="D41" s="43" t="s">
        <v>555</v>
      </c>
      <c r="E41" s="44">
        <f>E28+E29*2+E30*2</f>
        <v>42</v>
      </c>
      <c r="F41" s="23"/>
      <c r="G41" s="45">
        <v>1.2</v>
      </c>
      <c r="H41" s="46"/>
      <c r="I41" s="46"/>
      <c r="J41" s="45"/>
      <c r="K41" s="45"/>
      <c r="L41" s="45"/>
      <c r="M41" s="45"/>
      <c r="N41" s="45"/>
      <c r="O41" s="59"/>
      <c r="P41" s="57">
        <v>42</v>
      </c>
      <c r="Q41" s="57">
        <f t="shared" si="9"/>
        <v>50.4</v>
      </c>
      <c r="R41" s="57">
        <f t="shared" si="8"/>
        <v>0</v>
      </c>
      <c r="S41" s="57">
        <f t="shared" si="10"/>
        <v>0</v>
      </c>
      <c r="T41" s="3"/>
    </row>
    <row r="42" ht="15.95" customHeight="1" spans="1:19">
      <c r="A42" s="20" t="s">
        <v>1217</v>
      </c>
      <c r="B42" s="21" t="s">
        <v>1574</v>
      </c>
      <c r="C42" s="24"/>
      <c r="D42" s="23" t="s">
        <v>434</v>
      </c>
      <c r="E42" s="24">
        <f>D3*6</f>
        <v>18</v>
      </c>
      <c r="F42" s="23"/>
      <c r="G42" s="47">
        <v>1.95</v>
      </c>
      <c r="H42" s="48"/>
      <c r="I42" s="48"/>
      <c r="J42" s="47"/>
      <c r="K42" s="47"/>
      <c r="L42" s="47"/>
      <c r="M42" s="47"/>
      <c r="N42" s="47"/>
      <c r="O42" s="59" t="s">
        <v>1375</v>
      </c>
      <c r="P42" s="57">
        <v>12</v>
      </c>
      <c r="Q42" s="57">
        <f t="shared" si="9"/>
        <v>23.4</v>
      </c>
      <c r="R42" s="57">
        <f t="shared" si="8"/>
        <v>6</v>
      </c>
      <c r="S42" s="57">
        <f t="shared" si="10"/>
        <v>11.7</v>
      </c>
    </row>
    <row r="43" ht="15.95" customHeight="1" spans="1:19">
      <c r="A43" s="20"/>
      <c r="B43" s="21" t="s">
        <v>1581</v>
      </c>
      <c r="C43" s="24"/>
      <c r="D43" s="23" t="s">
        <v>434</v>
      </c>
      <c r="E43" s="24">
        <f>D3*22+E28+E29+E30+F3*7</f>
        <v>104</v>
      </c>
      <c r="F43" s="23"/>
      <c r="G43" s="47">
        <v>2.15</v>
      </c>
      <c r="H43" s="48"/>
      <c r="I43" s="48"/>
      <c r="J43" s="47"/>
      <c r="K43" s="47"/>
      <c r="L43" s="47"/>
      <c r="M43" s="47"/>
      <c r="N43" s="47"/>
      <c r="O43" s="59" t="s">
        <v>1372</v>
      </c>
      <c r="P43" s="57">
        <v>82</v>
      </c>
      <c r="Q43" s="57">
        <f t="shared" si="9"/>
        <v>176.3</v>
      </c>
      <c r="R43" s="57">
        <f t="shared" si="8"/>
        <v>22</v>
      </c>
      <c r="S43" s="57">
        <f t="shared" si="10"/>
        <v>47.3</v>
      </c>
    </row>
    <row r="44" ht="15.95" customHeight="1" spans="1:19">
      <c r="A44" s="20"/>
      <c r="B44" s="21" t="s">
        <v>1582</v>
      </c>
      <c r="C44" s="24"/>
      <c r="D44" s="23" t="s">
        <v>434</v>
      </c>
      <c r="E44" s="28">
        <f>E21+E28+E29+E30</f>
        <v>30</v>
      </c>
      <c r="F44" s="23"/>
      <c r="G44" s="47">
        <v>2.55</v>
      </c>
      <c r="H44" s="48"/>
      <c r="I44" s="48"/>
      <c r="J44" s="47"/>
      <c r="K44" s="47"/>
      <c r="L44" s="47"/>
      <c r="M44" s="47"/>
      <c r="N44" s="47"/>
      <c r="O44" s="59" t="s">
        <v>1373</v>
      </c>
      <c r="P44" s="57">
        <v>30</v>
      </c>
      <c r="Q44" s="57">
        <f t="shared" si="9"/>
        <v>76.5</v>
      </c>
      <c r="R44" s="57">
        <f t="shared" si="8"/>
        <v>0</v>
      </c>
      <c r="S44" s="57">
        <f t="shared" si="10"/>
        <v>0</v>
      </c>
    </row>
    <row r="45" spans="5:20">
      <c r="E45" s="3"/>
      <c r="F45" s="3"/>
      <c r="G45" s="3"/>
      <c r="H45" s="3"/>
      <c r="I45" s="3"/>
      <c r="J45" s="3"/>
      <c r="K45" s="3"/>
      <c r="L45" s="3"/>
      <c r="M45" s="3"/>
      <c r="N45" s="3"/>
      <c r="P45" s="1" t="s">
        <v>1218</v>
      </c>
      <c r="Q45" s="3">
        <f ca="1">SUM(Q5:Q44)</f>
        <v>143131.676582778</v>
      </c>
      <c r="R45" s="3" t="s">
        <v>1219</v>
      </c>
      <c r="S45" s="3">
        <f ca="1">SUM(S5:S44)</f>
        <v>52307.0025471808</v>
      </c>
      <c r="T45" s="3"/>
    </row>
    <row r="46" spans="5:20">
      <c r="E46" s="3"/>
      <c r="F46" s="3"/>
      <c r="G46" s="3"/>
      <c r="H46" s="3"/>
      <c r="I46" s="3"/>
      <c r="J46" s="3"/>
      <c r="K46" s="3"/>
      <c r="L46" s="3"/>
      <c r="M46" s="3"/>
      <c r="N46" s="3"/>
      <c r="Q46" s="3"/>
      <c r="R46" s="3"/>
      <c r="S46" s="3"/>
      <c r="T46" s="3"/>
    </row>
    <row r="47" spans="5:20">
      <c r="E47" s="3"/>
      <c r="F47" s="3"/>
      <c r="G47" s="3"/>
      <c r="H47" s="3"/>
      <c r="I47" s="3"/>
      <c r="J47" s="3"/>
      <c r="K47" s="3"/>
      <c r="L47" s="3"/>
      <c r="M47" s="3"/>
      <c r="N47" s="3"/>
      <c r="P47" s="50" t="s">
        <v>1576</v>
      </c>
      <c r="Q47" s="3">
        <f ca="1">Q45+S45</f>
        <v>195438.679129958</v>
      </c>
      <c r="R47" s="3"/>
      <c r="S47" s="3"/>
      <c r="T47" s="3"/>
    </row>
    <row r="48" spans="2:20">
      <c r="B48" s="49" t="s">
        <v>1221</v>
      </c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52" t="s">
        <v>1577</v>
      </c>
      <c r="Q48" s="3">
        <f ca="1">Q47/E2</f>
        <v>390.877358259917</v>
      </c>
      <c r="R48" s="3"/>
      <c r="S48" s="3"/>
      <c r="T48" s="3"/>
    </row>
    <row r="49" spans="2:20">
      <c r="B49" s="50"/>
      <c r="C49" s="51"/>
      <c r="D49" s="51"/>
      <c r="E49" s="51"/>
      <c r="F49" s="50"/>
      <c r="G49" s="3"/>
      <c r="H49" s="3"/>
      <c r="I49" s="3"/>
      <c r="J49" s="3"/>
      <c r="K49" s="3"/>
      <c r="L49" s="3"/>
      <c r="M49" s="3"/>
      <c r="N49" s="3"/>
      <c r="Q49" s="3"/>
      <c r="R49" s="3"/>
      <c r="S49" s="3"/>
      <c r="T49" s="3"/>
    </row>
    <row r="50" spans="2:20">
      <c r="B50" s="52"/>
      <c r="C50" s="52"/>
      <c r="D50" s="52"/>
      <c r="E50" s="52"/>
      <c r="F50" s="52"/>
      <c r="G50" s="3"/>
      <c r="H50" s="3"/>
      <c r="I50" s="3"/>
      <c r="J50" s="3"/>
      <c r="K50" s="3"/>
      <c r="L50" s="3"/>
      <c r="M50" s="3"/>
      <c r="N50" s="3"/>
      <c r="R50" s="3"/>
      <c r="S50" s="3"/>
      <c r="T50" s="3"/>
    </row>
    <row r="51" spans="2:20">
      <c r="B51" s="53"/>
      <c r="C51" s="53"/>
      <c r="D51" s="53"/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R51" s="3"/>
      <c r="S51" s="3"/>
      <c r="T51" s="3"/>
    </row>
    <row r="52" spans="2:20">
      <c r="B52" s="54"/>
      <c r="C52" s="54"/>
      <c r="D52" s="54"/>
      <c r="E52" s="54"/>
      <c r="F52" s="54"/>
      <c r="Q52" s="3"/>
      <c r="R52" s="3"/>
      <c r="S52" s="3"/>
      <c r="T52" s="3"/>
    </row>
    <row r="53" spans="2:20">
      <c r="B53" s="54"/>
      <c r="C53" s="54"/>
      <c r="D53" s="54"/>
      <c r="E53" s="54"/>
      <c r="F53" s="54"/>
      <c r="Q53" s="3"/>
      <c r="R53" s="3"/>
      <c r="S53" s="3"/>
      <c r="T53" s="3"/>
    </row>
    <row r="54" spans="2:20">
      <c r="B54" s="54"/>
      <c r="C54" s="54"/>
      <c r="D54" s="54"/>
      <c r="E54" s="54"/>
      <c r="F54" s="54"/>
      <c r="Q54" s="3"/>
      <c r="R54" s="3"/>
      <c r="S54" s="3"/>
      <c r="T54" s="3"/>
    </row>
    <row r="55" spans="2:20">
      <c r="B55" s="54"/>
      <c r="C55" s="54"/>
      <c r="D55" s="54"/>
      <c r="E55" s="54"/>
      <c r="F55" s="54"/>
      <c r="Q55" s="3"/>
      <c r="R55" s="3"/>
      <c r="S55" s="3"/>
      <c r="T55" s="3"/>
    </row>
    <row r="56" spans="2:20">
      <c r="B56" s="54"/>
      <c r="C56" s="54"/>
      <c r="D56" s="54"/>
      <c r="E56" s="54"/>
      <c r="F56" s="54"/>
      <c r="Q56" s="3"/>
      <c r="R56" s="3"/>
      <c r="S56" s="3"/>
      <c r="T56" s="3"/>
    </row>
  </sheetData>
  <mergeCells count="10">
    <mergeCell ref="A1:N1"/>
    <mergeCell ref="A2:C2"/>
    <mergeCell ref="F2:N2"/>
    <mergeCell ref="A3:B3"/>
    <mergeCell ref="H3:N3"/>
    <mergeCell ref="B48:O48"/>
    <mergeCell ref="B51:O51"/>
    <mergeCell ref="A5:A21"/>
    <mergeCell ref="A22:A41"/>
    <mergeCell ref="A42:A44"/>
  </mergeCells>
  <pageMargins left="0.75" right="0.75" top="1" bottom="1" header="0.509027777777778" footer="0.509027777777778"/>
  <headerFooter/>
</worksheet>
</file>

<file path=xl/worksheets/sheet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FFFF00"/>
  </sheetPr>
  <dimension ref="A1:X56"/>
  <sheetViews>
    <sheetView showGridLines="0" workbookViewId="0">
      <selection activeCell="E14" sqref="E14"/>
    </sheetView>
  </sheetViews>
  <sheetFormatPr defaultColWidth="9" defaultRowHeight="14.25"/>
  <cols>
    <col min="1" max="1" width="2.375" style="1" customWidth="1"/>
    <col min="2" max="2" width="16.75" style="1" customWidth="1"/>
    <col min="3" max="4" width="9.5" style="1" customWidth="1"/>
    <col min="5" max="6" width="9.5" style="3" customWidth="1"/>
    <col min="7" max="8" width="10.375" style="1" customWidth="1"/>
    <col min="9" max="9" width="10.25" style="1" customWidth="1"/>
    <col min="10" max="10" width="13.125" style="1" customWidth="1"/>
    <col min="11" max="11" width="14.25" style="1" customWidth="1"/>
    <col min="12" max="12" width="11.125" style="1" customWidth="1"/>
    <col min="13" max="13" width="16.875" style="1" customWidth="1"/>
    <col min="14" max="14" width="13.625" style="1" customWidth="1"/>
    <col min="15" max="15" width="73.875" style="1" customWidth="1"/>
    <col min="16" max="16" width="14.375" style="1" customWidth="1"/>
    <col min="17" max="17" width="14.625" style="3" customWidth="1"/>
    <col min="18" max="18" width="13" style="3" customWidth="1"/>
    <col min="19" max="19" width="13.875" style="3" customWidth="1"/>
    <col min="20" max="24" width="9" style="3"/>
    <col min="25" max="16384" width="9" style="1"/>
  </cols>
  <sheetData>
    <row r="1" ht="30" customHeight="1" spans="1:24">
      <c r="A1" s="7" t="s">
        <v>1655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3"/>
      <c r="P1" s="3"/>
      <c r="S1" s="1"/>
      <c r="T1" s="1"/>
      <c r="U1" s="1"/>
      <c r="V1" s="1"/>
      <c r="W1" s="1"/>
      <c r="X1" s="1"/>
    </row>
    <row r="2" ht="15" customHeight="1" spans="1:24">
      <c r="A2" s="8" t="s">
        <v>1246</v>
      </c>
      <c r="B2" s="8"/>
      <c r="C2" s="8"/>
      <c r="D2" s="9" t="s">
        <v>1198</v>
      </c>
      <c r="E2" s="10">
        <f>A3*5*50</f>
        <v>500</v>
      </c>
      <c r="F2" s="11"/>
      <c r="G2" s="11"/>
      <c r="H2" s="11"/>
      <c r="I2" s="11"/>
      <c r="J2" s="11"/>
      <c r="K2" s="11"/>
      <c r="L2" s="11"/>
      <c r="M2" s="11"/>
      <c r="N2" s="11"/>
      <c r="O2" s="55"/>
      <c r="P2" s="3"/>
      <c r="Q2" s="1"/>
      <c r="R2" s="1"/>
      <c r="S2" s="1"/>
      <c r="T2" s="1"/>
      <c r="U2" s="1"/>
      <c r="V2" s="1"/>
      <c r="W2" s="1"/>
      <c r="X2" s="1"/>
    </row>
    <row r="3" ht="15" customHeight="1" spans="1:24">
      <c r="A3" s="12">
        <v>2</v>
      </c>
      <c r="B3" s="12"/>
      <c r="C3" s="9" t="s">
        <v>1247</v>
      </c>
      <c r="D3" s="13">
        <v>3</v>
      </c>
      <c r="E3" s="11" t="s">
        <v>1248</v>
      </c>
      <c r="F3" s="14">
        <v>2</v>
      </c>
      <c r="G3" s="11" t="s">
        <v>1249</v>
      </c>
      <c r="H3" s="11"/>
      <c r="I3" s="11"/>
      <c r="J3" s="11"/>
      <c r="K3" s="11"/>
      <c r="L3" s="11"/>
      <c r="M3" s="11"/>
      <c r="N3" s="11"/>
      <c r="O3" s="55"/>
      <c r="P3" s="3"/>
      <c r="Q3" s="1"/>
      <c r="R3" s="1"/>
      <c r="S3" s="1"/>
      <c r="T3" s="1"/>
      <c r="U3" s="1"/>
      <c r="V3" s="1"/>
      <c r="W3" s="1"/>
      <c r="X3" s="1"/>
    </row>
    <row r="4" ht="25.5" spans="1:19">
      <c r="A4" s="15" t="s">
        <v>1200</v>
      </c>
      <c r="B4" s="16" t="s">
        <v>1201</v>
      </c>
      <c r="C4" s="17" t="s">
        <v>1396</v>
      </c>
      <c r="D4" s="18" t="s">
        <v>22</v>
      </c>
      <c r="E4" s="18" t="s">
        <v>1203</v>
      </c>
      <c r="F4" s="18" t="s">
        <v>1202</v>
      </c>
      <c r="G4" s="17" t="s">
        <v>1204</v>
      </c>
      <c r="H4" s="19" t="s">
        <v>1205</v>
      </c>
      <c r="I4" s="17" t="s">
        <v>1253</v>
      </c>
      <c r="J4" s="17" t="s">
        <v>1254</v>
      </c>
      <c r="K4" s="17" t="s">
        <v>1255</v>
      </c>
      <c r="L4" s="17" t="s">
        <v>1209</v>
      </c>
      <c r="M4" s="17" t="s">
        <v>1420</v>
      </c>
      <c r="N4" s="17" t="s">
        <v>1211</v>
      </c>
      <c r="O4" s="56" t="s">
        <v>1257</v>
      </c>
      <c r="P4" s="57" t="s">
        <v>1430</v>
      </c>
      <c r="Q4" s="57" t="s">
        <v>1213</v>
      </c>
      <c r="R4" s="57" t="s">
        <v>1541</v>
      </c>
      <c r="S4" s="57" t="s">
        <v>1213</v>
      </c>
    </row>
    <row r="5" ht="14.1" customHeight="1" spans="1:19">
      <c r="A5" s="20" t="s">
        <v>1215</v>
      </c>
      <c r="B5" s="21" t="s">
        <v>1224</v>
      </c>
      <c r="C5" s="22"/>
      <c r="D5" s="23" t="s">
        <v>28</v>
      </c>
      <c r="E5" s="24">
        <f>D3*2</f>
        <v>6</v>
      </c>
      <c r="F5" s="23"/>
      <c r="G5" s="25">
        <f ca="1" t="shared" ref="G5:G15" si="0">J5+K5+L5+M5+N5</f>
        <v>2923.24933712</v>
      </c>
      <c r="H5" s="26">
        <f>11.7/2</f>
        <v>5.85</v>
      </c>
      <c r="I5" s="26">
        <v>15.052</v>
      </c>
      <c r="J5" s="25">
        <f ca="1">H5*I5*'50米（人字350料）参数'!G9*1.1</f>
        <v>2554.76933712</v>
      </c>
      <c r="K5" s="29">
        <f ca="1">135.53*2</f>
        <v>271.06</v>
      </c>
      <c r="L5" s="29">
        <v>74.27</v>
      </c>
      <c r="M5" s="29">
        <f ca="1">2.55*5</f>
        <v>12.75</v>
      </c>
      <c r="N5" s="29">
        <f ca="1">0.65*16</f>
        <v>10.4</v>
      </c>
      <c r="O5" s="58" t="s">
        <v>1642</v>
      </c>
      <c r="P5" s="57">
        <v>4</v>
      </c>
      <c r="Q5" s="57">
        <f ca="1" t="shared" ref="Q5:Q30" si="1">G5*P5</f>
        <v>11692.99734848</v>
      </c>
      <c r="R5" s="57">
        <f t="shared" ref="R5:R24" si="2">E5-P5</f>
        <v>2</v>
      </c>
      <c r="S5" s="57">
        <f ca="1" t="shared" ref="S5:S12" si="3">G5*R5</f>
        <v>5846.49867424</v>
      </c>
    </row>
    <row r="6" ht="14.1" customHeight="1" spans="1:19">
      <c r="A6" s="20"/>
      <c r="B6" s="21" t="s">
        <v>1543</v>
      </c>
      <c r="C6" s="27"/>
      <c r="D6" s="23" t="s">
        <v>28</v>
      </c>
      <c r="E6" s="24">
        <f>D3*2</f>
        <v>6</v>
      </c>
      <c r="F6" s="23"/>
      <c r="G6" s="25">
        <f ca="1" t="shared" si="0"/>
        <v>4715.321770464</v>
      </c>
      <c r="H6" s="26">
        <v>10.62</v>
      </c>
      <c r="I6" s="26">
        <v>15.052</v>
      </c>
      <c r="J6" s="25">
        <f ca="1">H6*I6*'50米（人字350料）参数'!G9*1.1</f>
        <v>4637.888950464</v>
      </c>
      <c r="K6" s="29">
        <f ca="1">8*2.5</f>
        <v>20</v>
      </c>
      <c r="L6" s="29">
        <v>21.61</v>
      </c>
      <c r="M6" s="29">
        <f ca="1">1.5*8</f>
        <v>12</v>
      </c>
      <c r="N6" s="29">
        <f ca="1">1.25*0.882*'50米（人字350料）参数'!G5</f>
        <v>23.82282</v>
      </c>
      <c r="O6" s="58" t="s">
        <v>1638</v>
      </c>
      <c r="P6" s="57">
        <v>4</v>
      </c>
      <c r="Q6" s="57">
        <f ca="1" t="shared" si="1"/>
        <v>18861.287081856</v>
      </c>
      <c r="R6" s="57">
        <f t="shared" si="2"/>
        <v>2</v>
      </c>
      <c r="S6" s="57">
        <f ca="1" t="shared" si="3"/>
        <v>9430.643540928</v>
      </c>
    </row>
    <row r="7" ht="14.1" customHeight="1" spans="1:19">
      <c r="A7" s="20"/>
      <c r="B7" s="21" t="s">
        <v>1625</v>
      </c>
      <c r="C7" s="27"/>
      <c r="D7" s="23" t="s">
        <v>28</v>
      </c>
      <c r="E7" s="24">
        <f>D3*2</f>
        <v>6</v>
      </c>
      <c r="F7" s="23"/>
      <c r="G7" s="25">
        <f ca="1" t="shared" si="0"/>
        <v>5324.251074464</v>
      </c>
      <c r="H7" s="26">
        <v>10.62</v>
      </c>
      <c r="I7" s="26">
        <v>15.052</v>
      </c>
      <c r="J7" s="25">
        <f ca="1">H7*I7*'50米（人字350料）参数'!G9*1.1</f>
        <v>4637.888950464</v>
      </c>
      <c r="K7" s="29">
        <f ca="1">8*2.5</f>
        <v>20</v>
      </c>
      <c r="L7" s="29">
        <f ca="1">1.5*16.257*'50米（人字350料）参数'!G10</f>
        <v>625.439304</v>
      </c>
      <c r="M7" s="29">
        <f ca="1">2.55*2+1.5*8</f>
        <v>17.1</v>
      </c>
      <c r="N7" s="29">
        <f ca="1">1.25*0.882*'50米（人字350料）参数'!G5</f>
        <v>23.82282</v>
      </c>
      <c r="O7" s="58" t="s">
        <v>1639</v>
      </c>
      <c r="P7" s="57">
        <v>4</v>
      </c>
      <c r="Q7" s="57">
        <f ca="1" t="shared" si="1"/>
        <v>21297.004297856</v>
      </c>
      <c r="R7" s="57">
        <f t="shared" si="2"/>
        <v>2</v>
      </c>
      <c r="S7" s="57">
        <f ca="1" t="shared" si="3"/>
        <v>10648.502148928</v>
      </c>
    </row>
    <row r="8" ht="14.1" customHeight="1" spans="1:19">
      <c r="A8" s="20"/>
      <c r="B8" s="21" t="s">
        <v>1586</v>
      </c>
      <c r="C8" s="27"/>
      <c r="D8" s="23" t="s">
        <v>28</v>
      </c>
      <c r="E8" s="24">
        <f>D3*2</f>
        <v>6</v>
      </c>
      <c r="F8" s="23"/>
      <c r="G8" s="25">
        <f ca="1" t="shared" si="0"/>
        <v>2945.99195024</v>
      </c>
      <c r="H8" s="26">
        <v>5.4</v>
      </c>
      <c r="I8" s="26">
        <v>15.052</v>
      </c>
      <c r="J8" s="25">
        <f ca="1">H8*I8*'50米（人字350料）参数'!G10*1.1</f>
        <v>2293.15895424</v>
      </c>
      <c r="K8" s="29">
        <f t="shared" ref="K8:K13" si="4">2.5*2</f>
        <v>5</v>
      </c>
      <c r="L8" s="29">
        <f ca="1">1.5*16.257*'50米（人字350料）参数'!G10</f>
        <v>625.439304</v>
      </c>
      <c r="M8" s="29">
        <f ca="1">2.55*2+1.5*2</f>
        <v>8.1</v>
      </c>
      <c r="N8" s="29">
        <f ca="1">0.75*0.882*'50米（人字350料）参数'!G5</f>
        <v>14.293692</v>
      </c>
      <c r="O8" s="58" t="s">
        <v>1654</v>
      </c>
      <c r="P8" s="57">
        <v>4</v>
      </c>
      <c r="Q8" s="57">
        <f ca="1" t="shared" si="1"/>
        <v>11783.96780096</v>
      </c>
      <c r="R8" s="57">
        <f t="shared" si="2"/>
        <v>2</v>
      </c>
      <c r="S8" s="57">
        <f ca="1" t="shared" si="3"/>
        <v>5891.98390048</v>
      </c>
    </row>
    <row r="9" ht="14.1" customHeight="1" spans="1:19">
      <c r="A9" s="20"/>
      <c r="B9" s="21" t="s">
        <v>1588</v>
      </c>
      <c r="C9" s="27"/>
      <c r="D9" s="23" t="s">
        <v>28</v>
      </c>
      <c r="E9" s="24">
        <f>F3*2</f>
        <v>4</v>
      </c>
      <c r="F9" s="23"/>
      <c r="G9" s="25">
        <f ca="1" t="shared" si="0"/>
        <v>1071.2073672</v>
      </c>
      <c r="H9" s="26">
        <v>7.33</v>
      </c>
      <c r="I9" s="26">
        <v>5.3</v>
      </c>
      <c r="J9" s="25">
        <f ca="1">H9*I9*'50米（人字350料）参数'!G3*1.1</f>
        <v>967.8373672</v>
      </c>
      <c r="K9" s="29">
        <f t="shared" si="4"/>
        <v>5</v>
      </c>
      <c r="L9" s="29">
        <f ca="1">49.51+41.21</f>
        <v>90.72</v>
      </c>
      <c r="M9" s="29">
        <f ca="1">2.55*3</f>
        <v>7.65</v>
      </c>
      <c r="N9" s="29"/>
      <c r="O9" s="58" t="s">
        <v>1613</v>
      </c>
      <c r="P9" s="57">
        <v>4</v>
      </c>
      <c r="Q9" s="57">
        <f ca="1" t="shared" si="1"/>
        <v>4284.8294688</v>
      </c>
      <c r="R9" s="57">
        <f t="shared" si="2"/>
        <v>0</v>
      </c>
      <c r="S9" s="57">
        <f ca="1" t="shared" si="3"/>
        <v>0</v>
      </c>
    </row>
    <row r="10" ht="14.1" customHeight="1" spans="1:19">
      <c r="A10" s="20"/>
      <c r="B10" s="21" t="s">
        <v>1590</v>
      </c>
      <c r="C10" s="27"/>
      <c r="D10" s="23" t="s">
        <v>28</v>
      </c>
      <c r="E10" s="24">
        <f>F3*2</f>
        <v>4</v>
      </c>
      <c r="F10" s="23"/>
      <c r="G10" s="25">
        <f ca="1" t="shared" si="0"/>
        <v>1275.8660192</v>
      </c>
      <c r="H10" s="26">
        <v>8.88</v>
      </c>
      <c r="I10" s="26">
        <v>5.3</v>
      </c>
      <c r="J10" s="25">
        <f ca="1">H10*I10*'50米（人字350料）参数'!G3*1.1</f>
        <v>1172.4960192</v>
      </c>
      <c r="K10" s="29">
        <f t="shared" si="4"/>
        <v>5</v>
      </c>
      <c r="L10" s="29">
        <f ca="1">49.51+41.21</f>
        <v>90.72</v>
      </c>
      <c r="M10" s="29">
        <f ca="1">2.55*3</f>
        <v>7.65</v>
      </c>
      <c r="N10" s="29"/>
      <c r="O10" s="58" t="s">
        <v>1614</v>
      </c>
      <c r="P10" s="57">
        <v>4</v>
      </c>
      <c r="Q10" s="57">
        <f ca="1" t="shared" si="1"/>
        <v>5103.4640768</v>
      </c>
      <c r="R10" s="57">
        <f t="shared" si="2"/>
        <v>0</v>
      </c>
      <c r="S10" s="57">
        <f ca="1" t="shared" si="3"/>
        <v>0</v>
      </c>
    </row>
    <row r="11" ht="14.1" customHeight="1" spans="1:19">
      <c r="A11" s="20"/>
      <c r="B11" s="21" t="s">
        <v>1592</v>
      </c>
      <c r="C11" s="27"/>
      <c r="D11" s="23" t="s">
        <v>28</v>
      </c>
      <c r="E11" s="24">
        <f>F3*2</f>
        <v>4</v>
      </c>
      <c r="F11" s="23"/>
      <c r="G11" s="25">
        <f ca="1" t="shared" si="0"/>
        <v>1480.5246712</v>
      </c>
      <c r="H11" s="26">
        <v>10.43</v>
      </c>
      <c r="I11" s="26">
        <v>5.3</v>
      </c>
      <c r="J11" s="25">
        <f ca="1">H11*I11*'50米（人字350料）参数'!G3*1.1</f>
        <v>1377.1546712</v>
      </c>
      <c r="K11" s="29">
        <f t="shared" si="4"/>
        <v>5</v>
      </c>
      <c r="L11" s="29">
        <f ca="1">49.51+41.21</f>
        <v>90.72</v>
      </c>
      <c r="M11" s="29">
        <f ca="1">2.55*3</f>
        <v>7.65</v>
      </c>
      <c r="N11" s="29"/>
      <c r="O11" s="58" t="s">
        <v>1615</v>
      </c>
      <c r="P11" s="57">
        <v>4</v>
      </c>
      <c r="Q11" s="57">
        <f ca="1" t="shared" si="1"/>
        <v>5922.0986848</v>
      </c>
      <c r="R11" s="57">
        <f t="shared" si="2"/>
        <v>0</v>
      </c>
      <c r="S11" s="57">
        <f ca="1" t="shared" si="3"/>
        <v>0</v>
      </c>
    </row>
    <row r="12" ht="14.1" customHeight="1" spans="1:19">
      <c r="A12" s="20"/>
      <c r="B12" s="21" t="s">
        <v>1627</v>
      </c>
      <c r="C12" s="27"/>
      <c r="D12" s="23" t="s">
        <v>28</v>
      </c>
      <c r="E12" s="24">
        <f>F3*2</f>
        <v>4</v>
      </c>
      <c r="F12" s="23"/>
      <c r="G12" s="25">
        <f ca="1" t="shared" si="0"/>
        <v>2556.450705504</v>
      </c>
      <c r="H12" s="26">
        <v>11.96</v>
      </c>
      <c r="I12" s="26">
        <v>8.233</v>
      </c>
      <c r="J12" s="25">
        <f ca="1">H12*I12*'50米（人字350料）参数'!G3*1.1</f>
        <v>2453.080705504</v>
      </c>
      <c r="K12" s="29">
        <f t="shared" si="4"/>
        <v>5</v>
      </c>
      <c r="L12" s="29">
        <f ca="1">49.51+41.21</f>
        <v>90.72</v>
      </c>
      <c r="M12" s="29">
        <f ca="1">2.55*3</f>
        <v>7.65</v>
      </c>
      <c r="N12" s="29"/>
      <c r="O12" s="58" t="s">
        <v>1635</v>
      </c>
      <c r="P12" s="57">
        <v>4</v>
      </c>
      <c r="Q12" s="57">
        <f ca="1" t="shared" si="1"/>
        <v>10225.802822016</v>
      </c>
      <c r="R12" s="57">
        <f t="shared" si="2"/>
        <v>0</v>
      </c>
      <c r="S12" s="57">
        <f ca="1" t="shared" si="3"/>
        <v>0</v>
      </c>
    </row>
    <row r="13" ht="14.1" customHeight="1" spans="1:19">
      <c r="A13" s="20"/>
      <c r="B13" s="21" t="s">
        <v>1645</v>
      </c>
      <c r="C13" s="27"/>
      <c r="D13" s="23" t="s">
        <v>28</v>
      </c>
      <c r="E13" s="24">
        <f>F3</f>
        <v>2</v>
      </c>
      <c r="F13" s="23"/>
      <c r="G13" s="25">
        <f ca="1" t="shared" si="0"/>
        <v>3175.117062304</v>
      </c>
      <c r="H13" s="26">
        <v>13.96</v>
      </c>
      <c r="I13" s="26">
        <v>8.233</v>
      </c>
      <c r="J13" s="25">
        <f ca="1">H13*I13*'50米（人字350料）参数'!G3*1.1</f>
        <v>2863.294870304</v>
      </c>
      <c r="K13" s="29">
        <f t="shared" si="4"/>
        <v>5</v>
      </c>
      <c r="L13" s="29">
        <f ca="1">49.51+41.21</f>
        <v>90.72</v>
      </c>
      <c r="M13" s="29">
        <f ca="1">2.55*3</f>
        <v>7.65</v>
      </c>
      <c r="N13" s="29">
        <f ca="1">1.2*7.67*'50米（人字350料）参数'!G3</f>
        <v>208.452192</v>
      </c>
      <c r="O13" s="58" t="s">
        <v>1652</v>
      </c>
      <c r="P13" s="57">
        <v>2</v>
      </c>
      <c r="Q13" s="57">
        <f ca="1" t="shared" si="1"/>
        <v>6350.234124608</v>
      </c>
      <c r="R13" s="57">
        <f t="shared" si="2"/>
        <v>0</v>
      </c>
      <c r="S13" s="57">
        <v>0</v>
      </c>
    </row>
    <row r="14" ht="14.1" customHeight="1" spans="1:19">
      <c r="A14" s="20"/>
      <c r="B14" s="21" t="s">
        <v>1226</v>
      </c>
      <c r="C14" s="27"/>
      <c r="D14" s="23" t="s">
        <v>28</v>
      </c>
      <c r="E14" s="24">
        <f>A3*14+F3*8</f>
        <v>44</v>
      </c>
      <c r="F14" s="23"/>
      <c r="G14" s="25">
        <f ca="1" t="shared" si="0"/>
        <v>336.5448493136</v>
      </c>
      <c r="H14" s="26">
        <v>4.882</v>
      </c>
      <c r="I14" s="26">
        <v>2.771</v>
      </c>
      <c r="J14" s="25">
        <f ca="1">H14*I14*'50米（人字350料）参数'!G5*1.1</f>
        <v>321.5448493136</v>
      </c>
      <c r="K14" s="29"/>
      <c r="L14" s="29"/>
      <c r="M14" s="29">
        <f ca="1">0.5*4</f>
        <v>2</v>
      </c>
      <c r="N14" s="29">
        <f ca="1">6.5*2</f>
        <v>13</v>
      </c>
      <c r="O14" s="59" t="s">
        <v>1595</v>
      </c>
      <c r="P14" s="57">
        <v>32</v>
      </c>
      <c r="Q14" s="57">
        <f ca="1" t="shared" si="1"/>
        <v>10769.4351780352</v>
      </c>
      <c r="R14" s="57">
        <f t="shared" si="2"/>
        <v>12</v>
      </c>
      <c r="S14" s="57">
        <f ca="1" t="shared" ref="S14:S30" si="5">G14*R14</f>
        <v>4038.5381917632</v>
      </c>
    </row>
    <row r="15" ht="14.1" customHeight="1" spans="1:19">
      <c r="A15" s="20"/>
      <c r="B15" s="21" t="s">
        <v>1596</v>
      </c>
      <c r="C15" s="27"/>
      <c r="D15" s="23" t="s">
        <v>28</v>
      </c>
      <c r="E15" s="24">
        <f>A3*7</f>
        <v>14</v>
      </c>
      <c r="F15" s="23"/>
      <c r="G15" s="25">
        <f ca="1" t="shared" si="0"/>
        <v>737.9347773824</v>
      </c>
      <c r="H15" s="26">
        <v>4.882</v>
      </c>
      <c r="I15" s="26">
        <v>5.944</v>
      </c>
      <c r="J15" s="25">
        <f ca="1">H15*I15*'50米（人字350料）参数'!G3*1.1</f>
        <v>722.9347773824</v>
      </c>
      <c r="K15" s="29"/>
      <c r="L15" s="29"/>
      <c r="M15" s="29">
        <f ca="1">0.5*4</f>
        <v>2</v>
      </c>
      <c r="N15" s="29">
        <f ca="1">6.5*2</f>
        <v>13</v>
      </c>
      <c r="O15" s="60" t="s">
        <v>1597</v>
      </c>
      <c r="P15" s="57">
        <v>5</v>
      </c>
      <c r="Q15" s="57">
        <f ca="1" t="shared" si="1"/>
        <v>3689.673886912</v>
      </c>
      <c r="R15" s="57">
        <f t="shared" si="2"/>
        <v>9</v>
      </c>
      <c r="S15" s="57">
        <f ca="1" t="shared" si="5"/>
        <v>6641.4129964416</v>
      </c>
    </row>
    <row r="16" ht="14.1" customHeight="1" spans="1:19">
      <c r="A16" s="20"/>
      <c r="B16" s="21" t="s">
        <v>1266</v>
      </c>
      <c r="C16" s="27"/>
      <c r="D16" s="23" t="s">
        <v>28</v>
      </c>
      <c r="E16" s="24">
        <f>A3*2+F3*10</f>
        <v>24</v>
      </c>
      <c r="F16" s="23"/>
      <c r="G16" s="25">
        <f ca="1">'数据修改（批量）'!A28</f>
        <v>95</v>
      </c>
      <c r="H16" s="26">
        <v>4.86</v>
      </c>
      <c r="I16" s="26">
        <v>1.345</v>
      </c>
      <c r="J16" s="25">
        <f ca="1">H16*I16*'50米（人字350料）参数'!G5*1.1</f>
        <v>155.36951496</v>
      </c>
      <c r="K16" s="29"/>
      <c r="L16" s="29"/>
      <c r="M16" s="29"/>
      <c r="N16" s="29"/>
      <c r="O16" s="59" t="s">
        <v>1554</v>
      </c>
      <c r="P16" s="57">
        <v>22</v>
      </c>
      <c r="Q16" s="57">
        <f ca="1" t="shared" si="1"/>
        <v>2090</v>
      </c>
      <c r="R16" s="57">
        <f t="shared" si="2"/>
        <v>2</v>
      </c>
      <c r="S16" s="57">
        <f ca="1" t="shared" si="5"/>
        <v>190</v>
      </c>
    </row>
    <row r="17" ht="14.1" customHeight="1" spans="1:19">
      <c r="A17" s="20"/>
      <c r="B17" s="21" t="s">
        <v>1276</v>
      </c>
      <c r="C17" s="27"/>
      <c r="D17" s="23" t="s">
        <v>28</v>
      </c>
      <c r="E17" s="28">
        <f>F3*2</f>
        <v>4</v>
      </c>
      <c r="F17" s="23"/>
      <c r="G17" s="25">
        <f ca="1" t="shared" ref="G17:G22" si="6">J17+K17+L17+M17+N17</f>
        <v>348.2448493136</v>
      </c>
      <c r="H17" s="26">
        <v>4.882</v>
      </c>
      <c r="I17" s="26">
        <v>2.771</v>
      </c>
      <c r="J17" s="25">
        <f ca="1">H17*I17*'50米（人字350料）参数'!G5*1.1</f>
        <v>321.5448493136</v>
      </c>
      <c r="K17" s="29"/>
      <c r="L17" s="61">
        <v>15</v>
      </c>
      <c r="M17" s="61">
        <f ca="1">8*0.65</f>
        <v>5.2</v>
      </c>
      <c r="N17" s="61">
        <v>6.5</v>
      </c>
      <c r="O17" s="59" t="s">
        <v>1598</v>
      </c>
      <c r="P17" s="57">
        <v>4</v>
      </c>
      <c r="Q17" s="57">
        <f ca="1" t="shared" si="1"/>
        <v>1392.9793972544</v>
      </c>
      <c r="R17" s="57">
        <f t="shared" si="2"/>
        <v>0</v>
      </c>
      <c r="S17" s="57">
        <f ca="1" t="shared" si="5"/>
        <v>0</v>
      </c>
    </row>
    <row r="18" ht="14.1" customHeight="1" spans="1:19">
      <c r="A18" s="20"/>
      <c r="B18" s="21" t="s">
        <v>1356</v>
      </c>
      <c r="C18" s="27"/>
      <c r="D18" s="23" t="s">
        <v>28</v>
      </c>
      <c r="E18" s="28">
        <f>F3</f>
        <v>2</v>
      </c>
      <c r="F18" s="23"/>
      <c r="G18" s="25">
        <f ca="1" t="shared" si="6"/>
        <v>162.06</v>
      </c>
      <c r="H18" s="26">
        <v>7.5</v>
      </c>
      <c r="I18" s="26">
        <v>1</v>
      </c>
      <c r="J18" s="29">
        <f ca="1">H18*I18*'50米（人字350料）参数'!G5</f>
        <v>162.06</v>
      </c>
      <c r="K18" s="29"/>
      <c r="L18" s="29"/>
      <c r="M18" s="29"/>
      <c r="N18" s="29"/>
      <c r="O18" s="60" t="s">
        <v>1599</v>
      </c>
      <c r="P18" s="57">
        <v>2</v>
      </c>
      <c r="Q18" s="57">
        <f ca="1" t="shared" si="1"/>
        <v>324.12</v>
      </c>
      <c r="R18" s="57">
        <f t="shared" si="2"/>
        <v>0</v>
      </c>
      <c r="S18" s="57">
        <f ca="1" t="shared" si="5"/>
        <v>0</v>
      </c>
    </row>
    <row r="19" ht="14.1" customHeight="1" spans="1:19">
      <c r="A19" s="20"/>
      <c r="B19" s="21" t="s">
        <v>1448</v>
      </c>
      <c r="C19" s="27"/>
      <c r="D19" s="23" t="s">
        <v>28</v>
      </c>
      <c r="E19" s="28">
        <f>D3*2-F3*2</f>
        <v>2</v>
      </c>
      <c r="F19" s="23"/>
      <c r="G19" s="29">
        <f ca="1" t="shared" si="6"/>
        <v>259</v>
      </c>
      <c r="H19" s="26"/>
      <c r="I19" s="26"/>
      <c r="J19" s="29">
        <f>128*1.5</f>
        <v>192</v>
      </c>
      <c r="K19" s="29"/>
      <c r="L19" s="29">
        <f>2.5*2</f>
        <v>5</v>
      </c>
      <c r="M19" s="29">
        <f>21*2</f>
        <v>42</v>
      </c>
      <c r="N19" s="29">
        <v>20</v>
      </c>
      <c r="O19" s="58" t="s">
        <v>1558</v>
      </c>
      <c r="P19" s="57">
        <v>0</v>
      </c>
      <c r="Q19" s="57">
        <f ca="1" t="shared" si="1"/>
        <v>0</v>
      </c>
      <c r="R19" s="57">
        <f t="shared" si="2"/>
        <v>2</v>
      </c>
      <c r="S19" s="57">
        <f ca="1" t="shared" si="5"/>
        <v>518</v>
      </c>
    </row>
    <row r="20" ht="14.1" customHeight="1" spans="1:19">
      <c r="A20" s="20"/>
      <c r="B20" s="21" t="s">
        <v>1559</v>
      </c>
      <c r="C20" s="27"/>
      <c r="D20" s="23" t="s">
        <v>28</v>
      </c>
      <c r="E20" s="28">
        <f>D3-F3</f>
        <v>1</v>
      </c>
      <c r="F20" s="23"/>
      <c r="G20" s="29">
        <f ca="1" t="shared" si="6"/>
        <v>259</v>
      </c>
      <c r="H20" s="26"/>
      <c r="I20" s="26"/>
      <c r="J20" s="29">
        <f>128*1.5</f>
        <v>192</v>
      </c>
      <c r="K20" s="29"/>
      <c r="L20" s="29">
        <f>2.5*2</f>
        <v>5</v>
      </c>
      <c r="M20" s="29">
        <f>21*2</f>
        <v>42</v>
      </c>
      <c r="N20" s="29">
        <v>20</v>
      </c>
      <c r="O20" s="58" t="s">
        <v>1558</v>
      </c>
      <c r="P20" s="57">
        <v>0</v>
      </c>
      <c r="Q20" s="57">
        <f ca="1" t="shared" si="1"/>
        <v>0</v>
      </c>
      <c r="R20" s="57">
        <f t="shared" si="2"/>
        <v>1</v>
      </c>
      <c r="S20" s="57">
        <f ca="1" t="shared" si="5"/>
        <v>259</v>
      </c>
    </row>
    <row r="21" ht="14.1" customHeight="1" spans="1:19">
      <c r="A21" s="20"/>
      <c r="B21" s="21" t="s">
        <v>1272</v>
      </c>
      <c r="C21" s="27"/>
      <c r="D21" s="23" t="s">
        <v>28</v>
      </c>
      <c r="E21" s="30">
        <v>6</v>
      </c>
      <c r="F21" s="23"/>
      <c r="G21" s="29">
        <f ca="1" t="shared" si="6"/>
        <v>237</v>
      </c>
      <c r="H21" s="26"/>
      <c r="I21" s="26"/>
      <c r="J21" s="29">
        <f>108*2</f>
        <v>216</v>
      </c>
      <c r="K21" s="29"/>
      <c r="L21" s="29">
        <v>6</v>
      </c>
      <c r="M21" s="29">
        <v>10</v>
      </c>
      <c r="N21" s="29">
        <v>5</v>
      </c>
      <c r="O21" s="60" t="s">
        <v>1561</v>
      </c>
      <c r="P21" s="57">
        <v>4</v>
      </c>
      <c r="Q21" s="57">
        <f ca="1" t="shared" si="1"/>
        <v>948</v>
      </c>
      <c r="R21" s="57">
        <f t="shared" si="2"/>
        <v>2</v>
      </c>
      <c r="S21" s="57">
        <f ca="1" t="shared" si="5"/>
        <v>474</v>
      </c>
    </row>
    <row r="22" ht="14.1" customHeight="1" spans="1:19">
      <c r="A22" s="20" t="s">
        <v>1562</v>
      </c>
      <c r="B22" s="21" t="s">
        <v>1304</v>
      </c>
      <c r="C22" s="27"/>
      <c r="D22" s="23" t="s">
        <v>434</v>
      </c>
      <c r="E22" s="24">
        <f>D3</f>
        <v>3</v>
      </c>
      <c r="F22" s="23"/>
      <c r="G22" s="25">
        <f ca="1" t="shared" si="6"/>
        <v>1239.42283808</v>
      </c>
      <c r="H22" s="26">
        <v>1.8</v>
      </c>
      <c r="I22" s="26">
        <v>16.257</v>
      </c>
      <c r="J22" s="29">
        <f ca="1">H22*I22*'50米（人字350料）参数'!G10*1.1</f>
        <v>825.57988128</v>
      </c>
      <c r="K22" s="29">
        <v>100</v>
      </c>
      <c r="L22" s="25">
        <f ca="1">0.8*15.052*'50米（人字350料）参数'!G10</f>
        <v>308.8429568</v>
      </c>
      <c r="M22" s="29">
        <f>2*2.5</f>
        <v>5</v>
      </c>
      <c r="N22" s="29"/>
      <c r="O22" s="60" t="s">
        <v>1616</v>
      </c>
      <c r="P22" s="57">
        <v>2</v>
      </c>
      <c r="Q22" s="57">
        <f ca="1" t="shared" si="1"/>
        <v>2478.84567616</v>
      </c>
      <c r="R22" s="57">
        <f t="shared" si="2"/>
        <v>1</v>
      </c>
      <c r="S22" s="57">
        <f ca="1" t="shared" si="5"/>
        <v>1239.42283808</v>
      </c>
    </row>
    <row r="23" ht="14.1" customHeight="1" spans="1:19">
      <c r="A23" s="31"/>
      <c r="B23" s="21" t="s">
        <v>1310</v>
      </c>
      <c r="C23" s="27"/>
      <c r="D23" s="23" t="s">
        <v>434</v>
      </c>
      <c r="E23" s="24">
        <f>E9+E10+E11+E12+E13</f>
        <v>18</v>
      </c>
      <c r="F23" s="23"/>
      <c r="G23" s="29">
        <v>76.4</v>
      </c>
      <c r="H23" s="26"/>
      <c r="I23" s="26"/>
      <c r="J23" s="29"/>
      <c r="K23" s="29"/>
      <c r="L23" s="29"/>
      <c r="M23" s="29"/>
      <c r="N23" s="29"/>
      <c r="O23" s="59" t="s">
        <v>1361</v>
      </c>
      <c r="P23" s="57">
        <v>18</v>
      </c>
      <c r="Q23" s="57">
        <f ca="1" t="shared" si="1"/>
        <v>1375.2</v>
      </c>
      <c r="R23" s="57">
        <f t="shared" si="2"/>
        <v>0</v>
      </c>
      <c r="S23" s="57">
        <f ca="1" t="shared" si="5"/>
        <v>0</v>
      </c>
    </row>
    <row r="24" ht="14.1" customHeight="1" spans="1:19">
      <c r="A24" s="31"/>
      <c r="B24" s="21" t="s">
        <v>1280</v>
      </c>
      <c r="C24" s="27"/>
      <c r="D24" s="23" t="s">
        <v>434</v>
      </c>
      <c r="E24" s="28">
        <f>E5</f>
        <v>6</v>
      </c>
      <c r="F24" s="23"/>
      <c r="G24" s="29">
        <v>137</v>
      </c>
      <c r="H24" s="26"/>
      <c r="I24" s="26"/>
      <c r="J24" s="29"/>
      <c r="K24" s="29"/>
      <c r="L24" s="29"/>
      <c r="M24" s="29"/>
      <c r="N24" s="29"/>
      <c r="O24" s="59" t="s">
        <v>1361</v>
      </c>
      <c r="P24" s="57">
        <v>4</v>
      </c>
      <c r="Q24" s="57">
        <f ca="1" t="shared" si="1"/>
        <v>548</v>
      </c>
      <c r="R24" s="57">
        <f t="shared" si="2"/>
        <v>2</v>
      </c>
      <c r="S24" s="57">
        <f ca="1" t="shared" si="5"/>
        <v>274</v>
      </c>
    </row>
    <row r="25" ht="14.1" customHeight="1" spans="1:19">
      <c r="A25" s="31"/>
      <c r="B25" s="21" t="s">
        <v>1629</v>
      </c>
      <c r="C25" s="27"/>
      <c r="D25" s="23" t="s">
        <v>28</v>
      </c>
      <c r="E25" s="32">
        <f>E21</f>
        <v>6</v>
      </c>
      <c r="F25" s="23"/>
      <c r="G25" s="29">
        <v>124</v>
      </c>
      <c r="H25" s="26"/>
      <c r="I25" s="26"/>
      <c r="J25" s="29"/>
      <c r="K25" s="29"/>
      <c r="L25" s="29"/>
      <c r="M25" s="29"/>
      <c r="N25" s="29"/>
      <c r="O25" s="60" t="s">
        <v>1630</v>
      </c>
      <c r="P25" s="57">
        <v>4</v>
      </c>
      <c r="Q25" s="57">
        <f ca="1" t="shared" si="1"/>
        <v>496</v>
      </c>
      <c r="R25" s="57">
        <f t="shared" ref="R25:R33" si="7">E25-P25</f>
        <v>2</v>
      </c>
      <c r="S25" s="57">
        <f ca="1" t="shared" si="5"/>
        <v>248</v>
      </c>
    </row>
    <row r="26" ht="14.1" customHeight="1" spans="1:19">
      <c r="A26" s="31"/>
      <c r="B26" s="21" t="s">
        <v>1600</v>
      </c>
      <c r="C26" s="27"/>
      <c r="D26" s="23" t="s">
        <v>28</v>
      </c>
      <c r="E26" s="32">
        <f>E21</f>
        <v>6</v>
      </c>
      <c r="F26" s="23"/>
      <c r="G26" s="29">
        <v>119.3</v>
      </c>
      <c r="H26" s="26"/>
      <c r="I26" s="26"/>
      <c r="J26" s="29"/>
      <c r="K26" s="29"/>
      <c r="L26" s="29"/>
      <c r="M26" s="29"/>
      <c r="N26" s="29"/>
      <c r="O26" s="60" t="s">
        <v>1601</v>
      </c>
      <c r="P26" s="57">
        <v>4</v>
      </c>
      <c r="Q26" s="57">
        <f ca="1" t="shared" si="1"/>
        <v>477.2</v>
      </c>
      <c r="R26" s="57">
        <f t="shared" si="7"/>
        <v>2</v>
      </c>
      <c r="S26" s="57">
        <f ca="1" t="shared" si="5"/>
        <v>238.6</v>
      </c>
    </row>
    <row r="27" ht="14.1" customHeight="1" spans="1:19">
      <c r="A27" s="31"/>
      <c r="B27" s="21" t="s">
        <v>1602</v>
      </c>
      <c r="C27" s="27"/>
      <c r="D27" s="23" t="s">
        <v>28</v>
      </c>
      <c r="E27" s="32">
        <f>E21</f>
        <v>6</v>
      </c>
      <c r="F27" s="23"/>
      <c r="G27" s="29">
        <v>97.5</v>
      </c>
      <c r="H27" s="33"/>
      <c r="I27" s="33"/>
      <c r="J27" s="62"/>
      <c r="K27" s="62"/>
      <c r="L27" s="62"/>
      <c r="M27" s="62"/>
      <c r="N27" s="62"/>
      <c r="O27" s="63" t="s">
        <v>1603</v>
      </c>
      <c r="P27" s="57">
        <v>4</v>
      </c>
      <c r="Q27" s="57">
        <f ca="1" t="shared" si="1"/>
        <v>390</v>
      </c>
      <c r="R27" s="57">
        <f t="shared" si="7"/>
        <v>2</v>
      </c>
      <c r="S27" s="57">
        <f ca="1" t="shared" si="5"/>
        <v>195</v>
      </c>
    </row>
    <row r="28" ht="14.1" customHeight="1" spans="1:19">
      <c r="A28" s="31"/>
      <c r="B28" s="21" t="s">
        <v>522</v>
      </c>
      <c r="C28" s="27"/>
      <c r="D28" s="23" t="s">
        <v>434</v>
      </c>
      <c r="E28" s="32">
        <f>E21</f>
        <v>6</v>
      </c>
      <c r="F28" s="23"/>
      <c r="G28" s="34">
        <v>9.65</v>
      </c>
      <c r="H28" s="35"/>
      <c r="I28" s="35"/>
      <c r="J28" s="34"/>
      <c r="K28" s="34"/>
      <c r="L28" s="34"/>
      <c r="M28" s="34"/>
      <c r="N28" s="34"/>
      <c r="O28" s="64" t="s">
        <v>1604</v>
      </c>
      <c r="P28" s="57">
        <v>4</v>
      </c>
      <c r="Q28" s="57">
        <f ca="1" t="shared" si="1"/>
        <v>38.6</v>
      </c>
      <c r="R28" s="57">
        <f t="shared" si="7"/>
        <v>2</v>
      </c>
      <c r="S28" s="57">
        <f ca="1" t="shared" si="5"/>
        <v>19.3</v>
      </c>
    </row>
    <row r="29" ht="14.1" customHeight="1" spans="1:19">
      <c r="A29" s="31"/>
      <c r="B29" s="21" t="s">
        <v>524</v>
      </c>
      <c r="C29" s="27"/>
      <c r="D29" s="23" t="s">
        <v>434</v>
      </c>
      <c r="E29" s="32">
        <f>E21*2</f>
        <v>12</v>
      </c>
      <c r="F29" s="23"/>
      <c r="G29" s="29">
        <v>18.36</v>
      </c>
      <c r="H29" s="26"/>
      <c r="I29" s="26"/>
      <c r="J29" s="29"/>
      <c r="K29" s="29"/>
      <c r="L29" s="29"/>
      <c r="M29" s="29"/>
      <c r="N29" s="29"/>
      <c r="O29" s="60" t="s">
        <v>1605</v>
      </c>
      <c r="P29" s="57">
        <v>8</v>
      </c>
      <c r="Q29" s="57">
        <f ca="1" t="shared" si="1"/>
        <v>146.88</v>
      </c>
      <c r="R29" s="57">
        <f t="shared" si="7"/>
        <v>4</v>
      </c>
      <c r="S29" s="57">
        <f ca="1" t="shared" si="5"/>
        <v>73.44</v>
      </c>
    </row>
    <row r="30" ht="14.1" customHeight="1" spans="1:19">
      <c r="A30" s="31"/>
      <c r="B30" s="21" t="s">
        <v>526</v>
      </c>
      <c r="C30" s="27"/>
      <c r="D30" s="23" t="s">
        <v>434</v>
      </c>
      <c r="E30" s="32">
        <f>E29/2</f>
        <v>6</v>
      </c>
      <c r="F30" s="23"/>
      <c r="G30" s="29">
        <v>24.84</v>
      </c>
      <c r="H30" s="26"/>
      <c r="I30" s="26"/>
      <c r="J30" s="29"/>
      <c r="K30" s="29"/>
      <c r="L30" s="29"/>
      <c r="M30" s="29"/>
      <c r="N30" s="29"/>
      <c r="O30" s="60" t="s">
        <v>1606</v>
      </c>
      <c r="P30" s="57">
        <v>4</v>
      </c>
      <c r="Q30" s="57">
        <f ca="1" t="shared" si="1"/>
        <v>99.36</v>
      </c>
      <c r="R30" s="57">
        <f t="shared" si="7"/>
        <v>2</v>
      </c>
      <c r="S30" s="57">
        <f ca="1" t="shared" si="5"/>
        <v>49.68</v>
      </c>
    </row>
    <row r="31" ht="14.1" customHeight="1" spans="1:19">
      <c r="A31" s="31"/>
      <c r="B31" s="21" t="s">
        <v>1647</v>
      </c>
      <c r="C31" s="27"/>
      <c r="D31" s="23"/>
      <c r="E31" s="32">
        <f>D3-F3</f>
        <v>1</v>
      </c>
      <c r="F31" s="23"/>
      <c r="G31" s="29">
        <v>64.65</v>
      </c>
      <c r="H31" s="26"/>
      <c r="I31" s="26"/>
      <c r="J31" s="29"/>
      <c r="K31" s="29"/>
      <c r="L31" s="29"/>
      <c r="M31" s="29"/>
      <c r="N31" s="29"/>
      <c r="O31" s="60" t="s">
        <v>1648</v>
      </c>
      <c r="P31" s="57">
        <v>0</v>
      </c>
      <c r="Q31" s="57"/>
      <c r="R31" s="57">
        <f t="shared" si="7"/>
        <v>1</v>
      </c>
      <c r="S31" s="57"/>
    </row>
    <row r="32" ht="14.1" customHeight="1" spans="1:19">
      <c r="A32" s="31"/>
      <c r="B32" s="21" t="s">
        <v>1282</v>
      </c>
      <c r="C32" s="27"/>
      <c r="D32" s="23" t="s">
        <v>434</v>
      </c>
      <c r="E32" s="24">
        <f>D3*2+F3*9</f>
        <v>24</v>
      </c>
      <c r="F32" s="23"/>
      <c r="G32" s="29">
        <v>4.45</v>
      </c>
      <c r="H32" s="26"/>
      <c r="I32" s="26"/>
      <c r="J32" s="29"/>
      <c r="K32" s="29"/>
      <c r="L32" s="29"/>
      <c r="M32" s="29"/>
      <c r="N32" s="29"/>
      <c r="O32" s="59" t="s">
        <v>1453</v>
      </c>
      <c r="P32" s="57">
        <v>22</v>
      </c>
      <c r="Q32" s="57">
        <f t="shared" ref="Q32:Q44" si="8">G32*P32</f>
        <v>97.9</v>
      </c>
      <c r="R32" s="57">
        <f t="shared" si="7"/>
        <v>2</v>
      </c>
      <c r="S32" s="57">
        <f t="shared" ref="S32:S44" si="9">G32*R32</f>
        <v>8.9</v>
      </c>
    </row>
    <row r="33" ht="14.1" customHeight="1" spans="1:19">
      <c r="A33" s="31"/>
      <c r="B33" s="21" t="s">
        <v>1284</v>
      </c>
      <c r="C33" s="27"/>
      <c r="D33" s="23" t="s">
        <v>434</v>
      </c>
      <c r="E33" s="24">
        <f>D3*2</f>
        <v>6</v>
      </c>
      <c r="F33" s="23"/>
      <c r="G33" s="29">
        <v>6.51</v>
      </c>
      <c r="H33" s="26"/>
      <c r="I33" s="26"/>
      <c r="J33" s="29"/>
      <c r="K33" s="29"/>
      <c r="L33" s="29"/>
      <c r="M33" s="29"/>
      <c r="N33" s="29"/>
      <c r="O33" s="59" t="s">
        <v>1607</v>
      </c>
      <c r="P33" s="57">
        <v>4</v>
      </c>
      <c r="Q33" s="57">
        <f t="shared" si="8"/>
        <v>26.04</v>
      </c>
      <c r="R33" s="57">
        <f t="shared" si="7"/>
        <v>2</v>
      </c>
      <c r="S33" s="57">
        <f t="shared" si="9"/>
        <v>13.02</v>
      </c>
    </row>
    <row r="34" ht="14.1" customHeight="1" spans="1:19">
      <c r="A34" s="31"/>
      <c r="B34" s="21" t="s">
        <v>519</v>
      </c>
      <c r="C34" s="27"/>
      <c r="D34" s="23" t="s">
        <v>434</v>
      </c>
      <c r="E34" s="24">
        <f>F3*2</f>
        <v>4</v>
      </c>
      <c r="F34" s="23"/>
      <c r="G34" s="29">
        <v>6.5</v>
      </c>
      <c r="H34" s="36"/>
      <c r="I34" s="36"/>
      <c r="J34" s="65"/>
      <c r="K34" s="65"/>
      <c r="L34" s="65"/>
      <c r="M34" s="65"/>
      <c r="N34" s="65"/>
      <c r="O34" s="66" t="s">
        <v>1455</v>
      </c>
      <c r="P34" s="57">
        <v>4</v>
      </c>
      <c r="Q34" s="57">
        <f t="shared" si="8"/>
        <v>26</v>
      </c>
      <c r="R34" s="57">
        <f t="shared" ref="R34:R44" si="10">E34-P34</f>
        <v>0</v>
      </c>
      <c r="S34" s="57">
        <f t="shared" si="9"/>
        <v>0</v>
      </c>
    </row>
    <row r="35" ht="14.1" customHeight="1" spans="1:19">
      <c r="A35" s="31"/>
      <c r="B35" s="21" t="s">
        <v>1568</v>
      </c>
      <c r="C35" s="27"/>
      <c r="D35" s="23" t="s">
        <v>612</v>
      </c>
      <c r="E35" s="24">
        <f>A3</f>
        <v>2</v>
      </c>
      <c r="F35" s="23"/>
      <c r="G35" s="29">
        <f ca="1">J35+K35+L35+M35+N35</f>
        <v>5829.48</v>
      </c>
      <c r="H35" s="26">
        <v>54.52</v>
      </c>
      <c r="I35" s="26">
        <v>5</v>
      </c>
      <c r="J35" s="29">
        <f ca="1">H35*I35*'50米（人字350料）参数'!D16*1.1</f>
        <v>5397.48</v>
      </c>
      <c r="K35" s="29">
        <f>54*2*4</f>
        <v>432</v>
      </c>
      <c r="L35" s="29"/>
      <c r="M35" s="29"/>
      <c r="N35" s="29"/>
      <c r="O35" s="67" t="s">
        <v>1649</v>
      </c>
      <c r="P35" s="68">
        <v>1</v>
      </c>
      <c r="Q35" s="57">
        <f ca="1" t="shared" si="8"/>
        <v>5829.48</v>
      </c>
      <c r="R35" s="57">
        <f t="shared" si="10"/>
        <v>1</v>
      </c>
      <c r="S35" s="57">
        <f ca="1" t="shared" si="9"/>
        <v>5829.48</v>
      </c>
    </row>
    <row r="36" ht="14.1" customHeight="1" spans="1:19">
      <c r="A36" s="31"/>
      <c r="B36" s="21" t="s">
        <v>1570</v>
      </c>
      <c r="C36" s="27"/>
      <c r="D36" s="23" t="s">
        <v>664</v>
      </c>
      <c r="E36" s="24">
        <f>F3</f>
        <v>2</v>
      </c>
      <c r="F36" s="23"/>
      <c r="G36" s="29">
        <f ca="1">J36+K36+L36+M36+N36</f>
        <v>4882.0416</v>
      </c>
      <c r="H36" s="37">
        <v>25.4</v>
      </c>
      <c r="I36" s="37">
        <v>9.8</v>
      </c>
      <c r="J36" s="69">
        <f ca="1">H36*I36*'50米（人字350料）参数'!D15*1.1</f>
        <v>4600.0416</v>
      </c>
      <c r="K36" s="69">
        <f>70.5*4</f>
        <v>282</v>
      </c>
      <c r="L36" s="69"/>
      <c r="M36" s="69"/>
      <c r="N36" s="69"/>
      <c r="O36" s="70" t="s">
        <v>1650</v>
      </c>
      <c r="P36" s="57">
        <v>2</v>
      </c>
      <c r="Q36" s="57">
        <f ca="1" t="shared" si="8"/>
        <v>9764.0832</v>
      </c>
      <c r="R36" s="57">
        <f t="shared" si="10"/>
        <v>0</v>
      </c>
      <c r="S36" s="57">
        <f ca="1" t="shared" si="9"/>
        <v>0</v>
      </c>
    </row>
    <row r="37" ht="14.1" customHeight="1" spans="1:19">
      <c r="A37" s="31"/>
      <c r="B37" s="21" t="s">
        <v>1572</v>
      </c>
      <c r="C37" s="27"/>
      <c r="D37" s="23" t="s">
        <v>664</v>
      </c>
      <c r="E37" s="24">
        <f>F3*10+A3*2</f>
        <v>24</v>
      </c>
      <c r="F37" s="23"/>
      <c r="G37" s="29">
        <f ca="1">J37+K37+L37+M37+N37</f>
        <v>531.6432</v>
      </c>
      <c r="H37" s="26">
        <v>6.2</v>
      </c>
      <c r="I37" s="26">
        <v>5.2</v>
      </c>
      <c r="J37" s="29">
        <f ca="1">H37*I37*'50米（人字350料）参数'!D14*1.1</f>
        <v>489.4032</v>
      </c>
      <c r="K37" s="71">
        <f>6.1*2</f>
        <v>12.2</v>
      </c>
      <c r="L37" s="71">
        <f>0.5*10</f>
        <v>5</v>
      </c>
      <c r="M37" s="71">
        <f>0.32*22</f>
        <v>7.04</v>
      </c>
      <c r="N37" s="71">
        <f>18*1</f>
        <v>18</v>
      </c>
      <c r="O37" s="60" t="s">
        <v>1580</v>
      </c>
      <c r="P37" s="57">
        <v>20</v>
      </c>
      <c r="Q37" s="57">
        <f ca="1" t="shared" si="8"/>
        <v>10632.864</v>
      </c>
      <c r="R37" s="57">
        <f t="shared" si="10"/>
        <v>4</v>
      </c>
      <c r="S37" s="57">
        <f ca="1" t="shared" si="9"/>
        <v>2126.5728</v>
      </c>
    </row>
    <row r="38" ht="14.1" customHeight="1" spans="1:19">
      <c r="A38" s="31"/>
      <c r="B38" s="38" t="s">
        <v>1274</v>
      </c>
      <c r="C38" s="27"/>
      <c r="D38" s="23" t="s">
        <v>28</v>
      </c>
      <c r="E38" s="24">
        <f>E37</f>
        <v>24</v>
      </c>
      <c r="F38" s="23"/>
      <c r="G38" s="39">
        <v>21</v>
      </c>
      <c r="H38" s="40"/>
      <c r="I38" s="40"/>
      <c r="J38" s="41"/>
      <c r="K38" s="41"/>
      <c r="L38" s="41"/>
      <c r="M38" s="41"/>
      <c r="N38" s="41"/>
      <c r="O38" s="66" t="s">
        <v>1608</v>
      </c>
      <c r="P38" s="57">
        <v>18</v>
      </c>
      <c r="Q38" s="57">
        <f t="shared" si="8"/>
        <v>378</v>
      </c>
      <c r="R38" s="57">
        <f t="shared" si="10"/>
        <v>6</v>
      </c>
      <c r="S38" s="57">
        <f t="shared" si="9"/>
        <v>126</v>
      </c>
    </row>
    <row r="39" ht="14.1" customHeight="1" spans="1:19">
      <c r="A39" s="31"/>
      <c r="B39" s="38" t="s">
        <v>551</v>
      </c>
      <c r="C39" s="27"/>
      <c r="D39" s="23" t="s">
        <v>434</v>
      </c>
      <c r="E39" s="24">
        <f>F3*9</f>
        <v>18</v>
      </c>
      <c r="F39" s="23"/>
      <c r="G39" s="41">
        <v>15.5</v>
      </c>
      <c r="H39" s="40"/>
      <c r="I39" s="40"/>
      <c r="J39" s="41"/>
      <c r="K39" s="41"/>
      <c r="L39" s="41"/>
      <c r="M39" s="41"/>
      <c r="N39" s="41"/>
      <c r="O39" s="66" t="s">
        <v>1456</v>
      </c>
      <c r="P39" s="57">
        <v>14</v>
      </c>
      <c r="Q39" s="57">
        <f t="shared" si="8"/>
        <v>217</v>
      </c>
      <c r="R39" s="57">
        <f t="shared" si="10"/>
        <v>4</v>
      </c>
      <c r="S39" s="57">
        <f t="shared" si="9"/>
        <v>62</v>
      </c>
    </row>
    <row r="40" ht="14.1" customHeight="1" spans="1:19">
      <c r="A40" s="31"/>
      <c r="B40" s="42" t="s">
        <v>1609</v>
      </c>
      <c r="C40" s="27"/>
      <c r="D40" s="43" t="s">
        <v>555</v>
      </c>
      <c r="E40" s="44">
        <f>E5+E9+E10+E11+E25+E26+E21</f>
        <v>36</v>
      </c>
      <c r="F40" s="23"/>
      <c r="G40" s="45">
        <v>1.46</v>
      </c>
      <c r="H40" s="46"/>
      <c r="I40" s="46"/>
      <c r="J40" s="45"/>
      <c r="K40" s="45"/>
      <c r="L40" s="45"/>
      <c r="M40" s="45"/>
      <c r="N40" s="45"/>
      <c r="O40" s="59" t="s">
        <v>1610</v>
      </c>
      <c r="P40" s="57">
        <v>28</v>
      </c>
      <c r="Q40" s="57">
        <f t="shared" si="8"/>
        <v>40.88</v>
      </c>
      <c r="R40" s="57">
        <f t="shared" si="10"/>
        <v>8</v>
      </c>
      <c r="S40" s="57">
        <f t="shared" si="9"/>
        <v>11.68</v>
      </c>
    </row>
    <row r="41" ht="14.1" customHeight="1" spans="1:19">
      <c r="A41" s="31"/>
      <c r="B41" s="42" t="s">
        <v>1575</v>
      </c>
      <c r="C41" s="27"/>
      <c r="D41" s="43" t="s">
        <v>555</v>
      </c>
      <c r="E41" s="44">
        <f>E28+E29*2+E30*2</f>
        <v>42</v>
      </c>
      <c r="F41" s="23"/>
      <c r="G41" s="45">
        <v>1.2</v>
      </c>
      <c r="H41" s="46"/>
      <c r="I41" s="46"/>
      <c r="J41" s="45"/>
      <c r="K41" s="45"/>
      <c r="L41" s="45"/>
      <c r="M41" s="45"/>
      <c r="N41" s="45"/>
      <c r="O41" s="59"/>
      <c r="P41" s="57">
        <v>16</v>
      </c>
      <c r="Q41" s="57">
        <f t="shared" si="8"/>
        <v>19.2</v>
      </c>
      <c r="R41" s="57">
        <f t="shared" si="10"/>
        <v>26</v>
      </c>
      <c r="S41" s="57">
        <f t="shared" si="9"/>
        <v>31.2</v>
      </c>
    </row>
    <row r="42" ht="14.1" customHeight="1" spans="1:24">
      <c r="A42" s="20" t="s">
        <v>1217</v>
      </c>
      <c r="B42" s="21" t="s">
        <v>1574</v>
      </c>
      <c r="C42" s="24"/>
      <c r="D42" s="23" t="s">
        <v>434</v>
      </c>
      <c r="E42" s="24">
        <f>D3*6</f>
        <v>18</v>
      </c>
      <c r="F42" s="23"/>
      <c r="G42" s="47">
        <v>1.95</v>
      </c>
      <c r="H42" s="48"/>
      <c r="I42" s="48"/>
      <c r="J42" s="47"/>
      <c r="K42" s="47"/>
      <c r="L42" s="47"/>
      <c r="M42" s="47"/>
      <c r="N42" s="47"/>
      <c r="O42" s="59" t="s">
        <v>1375</v>
      </c>
      <c r="P42" s="57">
        <v>12</v>
      </c>
      <c r="Q42" s="57">
        <f t="shared" si="8"/>
        <v>23.4</v>
      </c>
      <c r="R42" s="57">
        <f t="shared" si="10"/>
        <v>6</v>
      </c>
      <c r="S42" s="57">
        <f t="shared" si="9"/>
        <v>11.7</v>
      </c>
      <c r="T42" s="1"/>
      <c r="U42" s="1"/>
      <c r="V42" s="1"/>
      <c r="W42" s="1"/>
      <c r="X42" s="1"/>
    </row>
    <row r="43" ht="14.1" customHeight="1" spans="1:24">
      <c r="A43" s="20"/>
      <c r="B43" s="21" t="s">
        <v>1581</v>
      </c>
      <c r="C43" s="24"/>
      <c r="D43" s="23" t="s">
        <v>434</v>
      </c>
      <c r="E43" s="24">
        <f>D3*22+E28+E29+E30+F3*7</f>
        <v>104</v>
      </c>
      <c r="F43" s="23"/>
      <c r="G43" s="47">
        <v>2.15</v>
      </c>
      <c r="H43" s="48"/>
      <c r="I43" s="48"/>
      <c r="J43" s="47"/>
      <c r="K43" s="47"/>
      <c r="L43" s="47"/>
      <c r="M43" s="47"/>
      <c r="N43" s="47"/>
      <c r="O43" s="59" t="s">
        <v>1372</v>
      </c>
      <c r="P43" s="57">
        <v>28</v>
      </c>
      <c r="Q43" s="57">
        <f t="shared" si="8"/>
        <v>60.2</v>
      </c>
      <c r="R43" s="57">
        <f t="shared" si="10"/>
        <v>76</v>
      </c>
      <c r="S43" s="57">
        <f t="shared" si="9"/>
        <v>163.4</v>
      </c>
      <c r="T43" s="1"/>
      <c r="U43" s="1"/>
      <c r="V43" s="1"/>
      <c r="W43" s="1"/>
      <c r="X43" s="1"/>
    </row>
    <row r="44" ht="14.1" customHeight="1" spans="1:24">
      <c r="A44" s="20"/>
      <c r="B44" s="21" t="s">
        <v>1582</v>
      </c>
      <c r="C44" s="24"/>
      <c r="D44" s="23" t="s">
        <v>434</v>
      </c>
      <c r="E44" s="28">
        <f>E21+E28+E29+E30</f>
        <v>30</v>
      </c>
      <c r="F44" s="23"/>
      <c r="G44" s="47">
        <v>2.55</v>
      </c>
      <c r="H44" s="48"/>
      <c r="I44" s="48"/>
      <c r="J44" s="47"/>
      <c r="K44" s="47"/>
      <c r="L44" s="47"/>
      <c r="M44" s="47"/>
      <c r="N44" s="47"/>
      <c r="O44" s="59" t="s">
        <v>1373</v>
      </c>
      <c r="P44" s="57">
        <v>12</v>
      </c>
      <c r="Q44" s="57">
        <f t="shared" si="8"/>
        <v>30.6</v>
      </c>
      <c r="R44" s="57">
        <f t="shared" si="10"/>
        <v>18</v>
      </c>
      <c r="S44" s="57">
        <f t="shared" si="9"/>
        <v>45.9</v>
      </c>
      <c r="T44" s="1"/>
      <c r="U44" s="1"/>
      <c r="V44" s="1"/>
      <c r="W44" s="1"/>
      <c r="X44" s="1"/>
    </row>
    <row r="45" spans="7:19">
      <c r="G45" s="3"/>
      <c r="H45" s="3"/>
      <c r="I45" s="3"/>
      <c r="J45" s="3"/>
      <c r="K45" s="3"/>
      <c r="L45" s="3"/>
      <c r="M45" s="3"/>
      <c r="N45" s="3"/>
      <c r="P45" s="1" t="s">
        <v>1218</v>
      </c>
      <c r="Q45" s="3">
        <f ca="1">SUM(Q5:Q44)</f>
        <v>147931.627044538</v>
      </c>
      <c r="R45" s="3" t="s">
        <v>1219</v>
      </c>
      <c r="S45" s="3">
        <f ca="1">SUM(S5:S44)</f>
        <v>54705.8750908608</v>
      </c>
    </row>
    <row r="46" spans="7:14">
      <c r="G46" s="3"/>
      <c r="H46" s="3"/>
      <c r="I46" s="3"/>
      <c r="J46" s="3"/>
      <c r="K46" s="3"/>
      <c r="L46" s="3"/>
      <c r="M46" s="3"/>
      <c r="N46" s="3"/>
    </row>
    <row r="47" spans="7:14">
      <c r="G47" s="3"/>
      <c r="H47" s="3"/>
      <c r="I47" s="3"/>
      <c r="J47" s="3"/>
      <c r="K47" s="3"/>
      <c r="L47" s="3"/>
      <c r="M47" s="3"/>
      <c r="N47" s="3"/>
    </row>
    <row r="48" spans="2:15">
      <c r="B48" s="49" t="s">
        <v>1221</v>
      </c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</row>
    <row r="49" spans="2:17">
      <c r="B49" s="50"/>
      <c r="C49" s="51"/>
      <c r="D49" s="51"/>
      <c r="E49" s="51"/>
      <c r="F49" s="50"/>
      <c r="G49" s="3"/>
      <c r="H49" s="3"/>
      <c r="I49" s="3"/>
      <c r="J49" s="3"/>
      <c r="K49" s="3"/>
      <c r="L49" s="3"/>
      <c r="M49" s="3"/>
      <c r="N49" s="3"/>
      <c r="P49" s="50" t="s">
        <v>1576</v>
      </c>
      <c r="Q49" s="3">
        <f ca="1">Q45+S45</f>
        <v>202637.502135398</v>
      </c>
    </row>
    <row r="50" spans="2:17">
      <c r="B50" s="52"/>
      <c r="C50" s="52"/>
      <c r="D50" s="52"/>
      <c r="E50" s="52"/>
      <c r="F50" s="52"/>
      <c r="G50" s="3"/>
      <c r="H50" s="3"/>
      <c r="I50" s="3"/>
      <c r="J50" s="3"/>
      <c r="K50" s="3"/>
      <c r="L50" s="3"/>
      <c r="M50" s="3"/>
      <c r="N50" s="3"/>
      <c r="P50" s="52" t="s">
        <v>1577</v>
      </c>
      <c r="Q50" s="3">
        <f ca="1">Q49/E2</f>
        <v>405.275004270797</v>
      </c>
    </row>
    <row r="51" ht="18" customHeight="1" spans="2:15">
      <c r="B51" s="53"/>
      <c r="C51" s="53"/>
      <c r="D51" s="53"/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</row>
    <row r="52" spans="2:6">
      <c r="B52" s="54"/>
      <c r="C52" s="54"/>
      <c r="D52" s="54"/>
      <c r="E52" s="54"/>
      <c r="F52" s="54"/>
    </row>
    <row r="53" spans="2:6">
      <c r="B53" s="54"/>
      <c r="C53" s="54"/>
      <c r="D53" s="54"/>
      <c r="E53" s="54"/>
      <c r="F53" s="54"/>
    </row>
    <row r="54" spans="2:6">
      <c r="B54" s="54"/>
      <c r="C54" s="54"/>
      <c r="D54" s="54"/>
      <c r="E54" s="54"/>
      <c r="F54" s="54"/>
    </row>
    <row r="55" spans="2:6">
      <c r="B55" s="54"/>
      <c r="C55" s="54"/>
      <c r="D55" s="54"/>
      <c r="E55" s="54"/>
      <c r="F55" s="54"/>
    </row>
    <row r="56" ht="51" customHeight="1" spans="2:6">
      <c r="B56" s="54"/>
      <c r="C56" s="54"/>
      <c r="D56" s="54"/>
      <c r="E56" s="54"/>
      <c r="F56" s="54"/>
    </row>
  </sheetData>
  <mergeCells count="10">
    <mergeCell ref="A1:N1"/>
    <mergeCell ref="A2:C2"/>
    <mergeCell ref="F2:N2"/>
    <mergeCell ref="A3:B3"/>
    <mergeCell ref="H3:N3"/>
    <mergeCell ref="B48:O48"/>
    <mergeCell ref="B51:O51"/>
    <mergeCell ref="A5:A21"/>
    <mergeCell ref="A22:A41"/>
    <mergeCell ref="A42:A44"/>
  </mergeCells>
  <printOptions horizontalCentered="1"/>
  <pageMargins left="0.11875" right="0.11875" top="0.159027777777778" bottom="0.259027777777778" header="0.159027777777778" footer="0.2"/>
  <pageSetup paperSize="9" orientation="portrait"/>
  <headerFooter alignWithMargins="0" scaleWithDoc="0">
    <oddFooter>&amp;L&amp;"SimSun"&amp;9&amp;C&amp;"SimSun"&amp;9第 &amp;P 页，共 &amp;N 页&amp;R&amp;"SimSun"&amp;9</oddFooter>
  </headerFooter>
</worksheet>
</file>

<file path=xl/worksheets/sheet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7030A0"/>
  </sheetPr>
  <dimension ref="A1:G21"/>
  <sheetViews>
    <sheetView showGridLines="0" workbookViewId="0">
      <selection activeCell="E31" sqref="E31"/>
    </sheetView>
  </sheetViews>
  <sheetFormatPr defaultColWidth="9" defaultRowHeight="14.25" outlineLevelCol="6"/>
  <cols>
    <col min="1" max="1" width="19" style="1" customWidth="1"/>
    <col min="2" max="2" width="18.375" style="1" customWidth="1"/>
    <col min="3" max="6" width="9" style="1"/>
    <col min="7" max="7" width="15.75" style="1" customWidth="1"/>
    <col min="8" max="16384" width="9" style="1"/>
  </cols>
  <sheetData>
    <row r="1" spans="1:4">
      <c r="A1" s="2" t="str">
        <f ca="1">'数据修改（批量）'!A1</f>
        <v>上海有色铝锭价格</v>
      </c>
      <c r="B1" s="2"/>
      <c r="C1" s="2"/>
      <c r="D1" s="3"/>
    </row>
    <row r="2" spans="1:7">
      <c r="A2" s="4">
        <f ca="1">'数据修改（批量）'!A2</f>
        <v>16200</v>
      </c>
      <c r="B2" s="2" t="str">
        <f ca="1">'数据修改（批量）'!B2</f>
        <v>项目</v>
      </c>
      <c r="C2" s="2" t="str">
        <f ca="1">'数据修改（批量）'!C2</f>
        <v>加工费</v>
      </c>
      <c r="D2" s="2" t="str">
        <f ca="1">'数据修改（批量）'!D2</f>
        <v>包装物</v>
      </c>
      <c r="E2" s="2" t="str">
        <f ca="1">'数据修改（批量）'!E2</f>
        <v>运费</v>
      </c>
      <c r="F2" s="2" t="str">
        <f ca="1">'数据修改（批量）'!F2</f>
        <v>单价</v>
      </c>
      <c r="G2" s="2" t="str">
        <f ca="1">'数据修改（批量）'!G2</f>
        <v>每公斤价格</v>
      </c>
    </row>
    <row r="3" spans="1:7">
      <c r="A3" s="2"/>
      <c r="B3" s="2" t="str">
        <f ca="1">'数据修改（批量）'!B3</f>
        <v>203料</v>
      </c>
      <c r="C3" s="2">
        <f ca="1">'数据修改（批量）'!C3</f>
        <v>5500</v>
      </c>
      <c r="D3" s="2">
        <f ca="1">'数据修改（批量）'!D3</f>
        <v>868</v>
      </c>
      <c r="E3" s="2">
        <f ca="1">'数据修改（批量）'!E3</f>
        <v>80</v>
      </c>
      <c r="F3" s="2">
        <f ca="1">'数据修改（批量）'!F3</f>
        <v>22648</v>
      </c>
      <c r="G3" s="2">
        <f ca="1">'数据修改（批量）'!G3</f>
        <v>22.648</v>
      </c>
    </row>
    <row r="4" spans="1:7">
      <c r="A4" s="2"/>
      <c r="B4" s="2" t="str">
        <f ca="1">'数据修改（批量）'!B4</f>
        <v>203料氧化</v>
      </c>
      <c r="C4" s="2">
        <f ca="1">'数据修改（批量）'!C4</f>
        <v>6000</v>
      </c>
      <c r="D4" s="2">
        <f ca="1">'数据修改（批量）'!D4</f>
        <v>888</v>
      </c>
      <c r="E4" s="2">
        <f ca="1">'数据修改（批量）'!E4</f>
        <v>80</v>
      </c>
      <c r="F4" s="2">
        <f ca="1">'数据修改（批量）'!F4</f>
        <v>23168</v>
      </c>
      <c r="G4" s="2">
        <f ca="1">'数据修改（批量）'!G4</f>
        <v>23.168</v>
      </c>
    </row>
    <row r="5" spans="2:7">
      <c r="B5" s="2" t="str">
        <f ca="1">'数据修改（批量）'!B5</f>
        <v>小料加工费</v>
      </c>
      <c r="C5" s="2">
        <f ca="1">'数据修改（批量）'!C5</f>
        <v>4500</v>
      </c>
      <c r="D5" s="2">
        <f ca="1">'数据修改（批量）'!D5</f>
        <v>828</v>
      </c>
      <c r="E5" s="2">
        <f ca="1">'数据修改（批量）'!E5</f>
        <v>80</v>
      </c>
      <c r="F5" s="2">
        <f ca="1">'数据修改（批量）'!F5</f>
        <v>21608</v>
      </c>
      <c r="G5" s="2">
        <f ca="1">'数据修改（批量）'!G5</f>
        <v>21.608</v>
      </c>
    </row>
    <row r="6" spans="1:4">
      <c r="A6" s="2" t="str">
        <f ca="1">'数据修改（批量）'!A6</f>
        <v>南海有色铝锭价格</v>
      </c>
      <c r="D6" s="5"/>
    </row>
    <row r="7" spans="1:1">
      <c r="A7" s="4">
        <f ca="1">'数据修改（批量）'!A7</f>
        <v>16600</v>
      </c>
    </row>
    <row r="8" spans="2:7">
      <c r="B8" s="2" t="str">
        <f ca="1">'数据修改（批量）'!B8</f>
        <v>项目</v>
      </c>
      <c r="C8" s="2" t="str">
        <f ca="1">'数据修改（批量）'!C8</f>
        <v>加工费</v>
      </c>
      <c r="D8" s="2" t="str">
        <f ca="1">'数据修改（批量）'!D8</f>
        <v>包装物</v>
      </c>
      <c r="E8" s="2" t="str">
        <f ca="1">'数据修改（批量）'!E8</f>
        <v>运费</v>
      </c>
      <c r="F8" s="2" t="str">
        <f ca="1">'数据修改（批量）'!F8</f>
        <v>单价</v>
      </c>
      <c r="G8" s="2" t="str">
        <f ca="1">'数据修改（批量）'!G8</f>
        <v>每公斤价格</v>
      </c>
    </row>
    <row r="9" spans="2:7">
      <c r="B9" s="2" t="str">
        <f ca="1">'数据修改（批量）'!B9</f>
        <v>300/350料8米以上</v>
      </c>
      <c r="C9" s="2">
        <f ca="1">'数据修改（批量）'!C9</f>
        <v>7800</v>
      </c>
      <c r="D9" s="2">
        <f ca="1">'数据修改（批量）'!D9</f>
        <v>976</v>
      </c>
      <c r="E9" s="2">
        <f ca="1">'数据修改（批量）'!E9</f>
        <v>1000</v>
      </c>
      <c r="F9" s="2">
        <f ca="1">'数据修改（批量）'!F9</f>
        <v>26376</v>
      </c>
      <c r="G9" s="2">
        <f ca="1">'数据修改（批量）'!G9</f>
        <v>26.376</v>
      </c>
    </row>
    <row r="10" spans="2:7">
      <c r="B10" s="2" t="str">
        <f ca="1">'数据修改（批量）'!B10</f>
        <v>300/350料8米以下</v>
      </c>
      <c r="C10" s="2">
        <f ca="1">'数据修改（批量）'!C10</f>
        <v>7100</v>
      </c>
      <c r="D10" s="2">
        <f ca="1">'数据修改（批量）'!D10</f>
        <v>948</v>
      </c>
      <c r="E10" s="2">
        <f ca="1">'数据修改（批量）'!E10</f>
        <v>1000</v>
      </c>
      <c r="F10" s="2">
        <f ca="1">'数据修改（批量）'!F10</f>
        <v>25648</v>
      </c>
      <c r="G10" s="2">
        <f ca="1">'数据修改（批量）'!G10</f>
        <v>25.648</v>
      </c>
    </row>
    <row r="12" spans="1:4">
      <c r="A12" s="2" t="str">
        <f ca="1">'数据修改（批量）'!A12</f>
        <v>篷布</v>
      </c>
      <c r="B12" s="2"/>
      <c r="C12" s="2"/>
      <c r="D12" s="3"/>
    </row>
    <row r="13" spans="1:7">
      <c r="A13" s="2"/>
      <c r="B13" s="2" t="str">
        <f ca="1">'数据修改（批量）'!B13</f>
        <v>项目</v>
      </c>
      <c r="C13" s="2" t="str">
        <f ca="1">'数据修改（批量）'!C13</f>
        <v>运费</v>
      </c>
      <c r="D13" s="2" t="str">
        <f ca="1">'数据修改（批量）'!D13</f>
        <v>单价</v>
      </c>
      <c r="E13" s="2" t="str">
        <f ca="1">'数据修改（批量）'!E13</f>
        <v>每平价格</v>
      </c>
      <c r="F13" s="2"/>
      <c r="G13" s="2"/>
    </row>
    <row r="14" spans="1:7">
      <c r="A14" s="2"/>
      <c r="B14" s="2">
        <f ca="1">'数据修改（批量）'!B14</f>
        <v>650</v>
      </c>
      <c r="C14" s="2">
        <f ca="1">'数据修改（批量）'!C14</f>
        <v>0.5</v>
      </c>
      <c r="D14" s="4">
        <f ca="1">'数据修改（批量）'!D14</f>
        <v>13.8</v>
      </c>
      <c r="E14" s="2">
        <f ca="1">'数据修改（批量）'!E14</f>
        <v>14.3</v>
      </c>
      <c r="F14" s="2"/>
      <c r="G14" s="2"/>
    </row>
    <row r="15" spans="1:7">
      <c r="A15" s="2"/>
      <c r="B15" s="2">
        <f ca="1">'数据修改（批量）'!B15</f>
        <v>780</v>
      </c>
      <c r="C15" s="2">
        <f ca="1">'数据修改（批量）'!C15</f>
        <v>0.5</v>
      </c>
      <c r="D15" s="4">
        <f ca="1">'数据修改（批量）'!D15</f>
        <v>16.8</v>
      </c>
      <c r="E15" s="2">
        <f ca="1">'数据修改（批量）'!E15</f>
        <v>17.3</v>
      </c>
      <c r="F15" s="2"/>
      <c r="G15" s="2"/>
    </row>
    <row r="16" spans="2:7">
      <c r="B16" s="2">
        <f ca="1">'数据修改（批量）'!B16</f>
        <v>850</v>
      </c>
      <c r="C16" s="2">
        <f ca="1">'数据修改（批量）'!C16</f>
        <v>0.5</v>
      </c>
      <c r="D16" s="4">
        <f ca="1">'数据修改（批量）'!D16</f>
        <v>18</v>
      </c>
      <c r="E16" s="2">
        <f ca="1">'数据修改（批量）'!E16</f>
        <v>18.5</v>
      </c>
      <c r="F16" s="2"/>
      <c r="G16" s="2"/>
    </row>
    <row r="21" spans="1:7">
      <c r="A21" s="6" t="str">
        <f ca="1">'数据修改（批量）'!A21</f>
        <v>说明：黄色部分可以根据价格修改</v>
      </c>
      <c r="B21" s="6"/>
      <c r="C21" s="6"/>
      <c r="D21" s="6"/>
      <c r="E21" s="6"/>
      <c r="F21" s="6"/>
      <c r="G21" s="6"/>
    </row>
  </sheetData>
  <mergeCells count="1">
    <mergeCell ref="A21:G21"/>
  </mergeCells>
  <pageMargins left="0.75" right="0.75" top="1" bottom="1" header="0.509027777777778" footer="0.509027777777778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高山篷房制造（沈阳）有限公司</Company>
  <Application>WPS 表格</Application>
  <HeadingPairs>
    <vt:vector size="2" baseType="variant">
      <vt:variant>
        <vt:lpstr>工作表</vt:lpstr>
      </vt:variant>
      <vt:variant>
        <vt:i4>96</vt:i4>
      </vt:variant>
    </vt:vector>
  </HeadingPairs>
  <TitlesOfParts>
    <vt:vector size="96" baseType="lpstr">
      <vt:lpstr>数据修改（批量）</vt:lpstr>
      <vt:lpstr>骨架类A</vt:lpstr>
      <vt:lpstr>钢部件类B</vt:lpstr>
      <vt:lpstr>篷布类C</vt:lpstr>
      <vt:lpstr>固定类D</vt:lpstr>
      <vt:lpstr>工具类E</vt:lpstr>
      <vt:lpstr>配套类F</vt:lpstr>
      <vt:lpstr>幔类G</vt:lpstr>
      <vt:lpstr>3米（尖顶）-55料</vt:lpstr>
      <vt:lpstr>3米（尖顶）-84料</vt:lpstr>
      <vt:lpstr>3米（尖顶）参数</vt:lpstr>
      <vt:lpstr>4米（尖顶）-55料</vt:lpstr>
      <vt:lpstr>4米（尖顶）-84料</vt:lpstr>
      <vt:lpstr>4米（尖顶）参数</vt:lpstr>
      <vt:lpstr>5米（尖顶）-84料</vt:lpstr>
      <vt:lpstr>5米（尖顶）-100料</vt:lpstr>
      <vt:lpstr>5米（尖顶）参数</vt:lpstr>
      <vt:lpstr>6米（尖顶）-84料</vt:lpstr>
      <vt:lpstr>6米（尖顶）-100料</vt:lpstr>
      <vt:lpstr>6米（尖顶）参数</vt:lpstr>
      <vt:lpstr>3米（弧形84料）</vt:lpstr>
      <vt:lpstr>3米（弧形84料）参数 </vt:lpstr>
      <vt:lpstr>3米（人字84料）-2.8米</vt:lpstr>
      <vt:lpstr>3米（人字84料）参数</vt:lpstr>
      <vt:lpstr>6米（人字84料）-2.8米</vt:lpstr>
      <vt:lpstr>6米（人字84料）参数</vt:lpstr>
      <vt:lpstr>7米（人字84料）-2.8米</vt:lpstr>
      <vt:lpstr>7米（人字84料）参数</vt:lpstr>
      <vt:lpstr>8米（人字84料）-2.8米</vt:lpstr>
      <vt:lpstr>8米（人字84料）参数</vt:lpstr>
      <vt:lpstr>10米（人字84料）-2.8米</vt:lpstr>
      <vt:lpstr>10米（人字84料）参数</vt:lpstr>
      <vt:lpstr>10米人字（88料）-4米</vt:lpstr>
      <vt:lpstr>10米（人字88料）参数</vt:lpstr>
      <vt:lpstr>10米人字（150料）-4米</vt:lpstr>
      <vt:lpstr>10米人字（150料）-5米</vt:lpstr>
      <vt:lpstr>10米（人字150料）参数</vt:lpstr>
      <vt:lpstr>10变12米（人字88料）-4米</vt:lpstr>
      <vt:lpstr>10变12米（人字88料）参数</vt:lpstr>
      <vt:lpstr>10变15米（人字150料）-4米</vt:lpstr>
      <vt:lpstr>10变15米（人字150料）-5米</vt:lpstr>
      <vt:lpstr>10变15米（人字150料）参数</vt:lpstr>
      <vt:lpstr>15米（人字150料）-4米 </vt:lpstr>
      <vt:lpstr>15米（人字150料）-5米</vt:lpstr>
      <vt:lpstr>15米（人字150料）参数</vt:lpstr>
      <vt:lpstr>15米（人字203料）-4米 </vt:lpstr>
      <vt:lpstr>15米（人字203料）-5米</vt:lpstr>
      <vt:lpstr>15米（人字203料）参数</vt:lpstr>
      <vt:lpstr>15变18（人字150料）-4米</vt:lpstr>
      <vt:lpstr>15变18（人字150料）-5米</vt:lpstr>
      <vt:lpstr>15变18（人字150料）参数 </vt:lpstr>
      <vt:lpstr>15变18（人字203料）-4米边高</vt:lpstr>
      <vt:lpstr>15变18（人字203料）-5米</vt:lpstr>
      <vt:lpstr>15变18（人字203料）-6米</vt:lpstr>
      <vt:lpstr>15变18（人字203料）参数</vt:lpstr>
      <vt:lpstr>18米（人字203料）-4米</vt:lpstr>
      <vt:lpstr>18米（人字203料）-5米</vt:lpstr>
      <vt:lpstr>18米（人字203料）-6米</vt:lpstr>
      <vt:lpstr>18米（人字203料）参数</vt:lpstr>
      <vt:lpstr>20米(人字203料）-4米</vt:lpstr>
      <vt:lpstr>20米(人字203料）-5米</vt:lpstr>
      <vt:lpstr>20米(人字203料）-6米</vt:lpstr>
      <vt:lpstr>20米(人字203料）参数</vt:lpstr>
      <vt:lpstr>18变21米（人字203料）-4米</vt:lpstr>
      <vt:lpstr>18变21米（人字203料）-5米</vt:lpstr>
      <vt:lpstr>18变21米（人字203料）-6米</vt:lpstr>
      <vt:lpstr>18变21米（人字203料）参数 </vt:lpstr>
      <vt:lpstr>21米（人字203料）-4米</vt:lpstr>
      <vt:lpstr>21米（人字203料）-5米</vt:lpstr>
      <vt:lpstr>21米（人字203料）-6米</vt:lpstr>
      <vt:lpstr>21米（人字203料）参数</vt:lpstr>
      <vt:lpstr>25米（人字203料）-4米</vt:lpstr>
      <vt:lpstr>25米（人字203料）-5米</vt:lpstr>
      <vt:lpstr>25米（人字203料）-6米</vt:lpstr>
      <vt:lpstr>25米（人字203料）参数 </vt:lpstr>
      <vt:lpstr>30米（人字203料）-5米</vt:lpstr>
      <vt:lpstr>30米（人字203料）-6米</vt:lpstr>
      <vt:lpstr>30米（人字203料）参数 </vt:lpstr>
      <vt:lpstr>30米（人字250料）-5米</vt:lpstr>
      <vt:lpstr>30米（人字250料）-6米 </vt:lpstr>
      <vt:lpstr>30米（人字250料）参数 </vt:lpstr>
      <vt:lpstr>30米（人字300料）-5.4米</vt:lpstr>
      <vt:lpstr>30米（人字300料）-6.4米</vt:lpstr>
      <vt:lpstr>30米（人字300料）参数 </vt:lpstr>
      <vt:lpstr>40米（人字300料）-5.4米</vt:lpstr>
      <vt:lpstr>40米（人字300料）-6.4米</vt:lpstr>
      <vt:lpstr>40米（人字300料）参数 </vt:lpstr>
      <vt:lpstr>40米（人字350料）-5.4米</vt:lpstr>
      <vt:lpstr>40米（人字350料）-6.4米</vt:lpstr>
      <vt:lpstr>40米（人字350料）参数</vt:lpstr>
      <vt:lpstr>50米（人字300料）-5.4米</vt:lpstr>
      <vt:lpstr>50米（人字300料）-6.4米</vt:lpstr>
      <vt:lpstr>50米（人字300料）参数</vt:lpstr>
      <vt:lpstr>50米（人字350料）-5.4米 </vt:lpstr>
      <vt:lpstr>50米（人字350料）-6.4米</vt:lpstr>
      <vt:lpstr>50米（人字350料）参数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高山篷房物料单价统计</dc:subject>
  <dc:creator>TianFangZhen</dc:creator>
  <cp:lastModifiedBy>Gs - 田芳镇</cp:lastModifiedBy>
  <dcterms:created xsi:type="dcterms:W3CDTF">2017-12-16T00:37:00Z</dcterms:created>
  <dcterms:modified xsi:type="dcterms:W3CDTF">2018-09-08T09:58:44Z</dcterms:modified>
  <cp:category>物料单价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2052-10.8.0.6206</vt:lpwstr>
  </property>
  <property fmtid="{D5CDD505-2E9C-101B-9397-08002B2CF9AE}" pid="3" name="KSOReadingLayout">
    <vt:bool>false</vt:bool>
  </property>
</Properties>
</file>