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740" windowWidth="10740" windowHeight="9930"/>
  </bookViews>
  <sheets>
    <sheet name="物料清单" sheetId="1" r:id="rId1"/>
  </sheets>
  <definedNames>
    <definedName name="_xlnm.Print_Area" localSheetId="0">物料清单!$A$14:$I$45</definedName>
    <definedName name="_xlnm.Print_Titles" localSheetId="0">物料清单!$14:$20</definedName>
  </definedNames>
  <calcPr calcId="144525"/>
</workbook>
</file>

<file path=xl/comments1.xml><?xml version="1.0" encoding="utf-8"?>
<comments xmlns="http://schemas.openxmlformats.org/spreadsheetml/2006/main">
  <authors>
    <author>TianFangZhen</author>
  </authors>
  <commentList>
    <comment ref="A19" authorId="0">
      <text>
        <r>
          <rPr>
            <sz val="9"/>
            <rFont val="宋体"/>
            <charset val="134"/>
          </rPr>
          <t>这个单元格内是数值，我们叫它“间”</t>
        </r>
      </text>
    </comment>
    <comment ref="F19" authorId="0">
      <text>
        <r>
          <rPr>
            <sz val="9"/>
            <rFont val="宋体"/>
            <charset val="134"/>
          </rPr>
          <t xml:space="preserve">这个单元格内是数值，我们叫它“排”
</t>
        </r>
      </text>
    </comment>
    <comment ref="H19" authorId="0">
      <text>
        <r>
          <rPr>
            <sz val="9"/>
            <rFont val="宋体"/>
            <charset val="134"/>
          </rPr>
          <t xml:space="preserve">这个单元格内是数值，我们叫它“山尖”
</t>
        </r>
      </text>
    </comment>
    <comment ref="E21" authorId="0">
      <text>
        <r>
          <rPr>
            <sz val="9"/>
            <rFont val="宋体"/>
            <charset val="134"/>
          </rPr>
          <t>此列单元格的数据来源：单重*数量</t>
        </r>
      </text>
    </comment>
    <comment ref="J21" authorId="0">
      <text>
        <r>
          <rPr>
            <sz val="9"/>
            <rFont val="宋体"/>
            <charset val="134"/>
          </rPr>
          <t>手动输入</t>
        </r>
      </text>
    </comment>
  </commentList>
</comments>
</file>

<file path=xl/sharedStrings.xml><?xml version="1.0" encoding="utf-8"?>
<sst xmlns="http://schemas.openxmlformats.org/spreadsheetml/2006/main" count="100">
  <si>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</si>
  <si>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</si>
  <si>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</si>
  <si>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</si>
  <si>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</si>
  <si>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</si>
  <si>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</si>
  <si>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</si>
  <si>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</si>
  <si>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</si>
  <si>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</si>
  <si>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</si>
  <si>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</si>
  <si>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</si>
  <si>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</si>
  <si>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</si>
  <si>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</si>
  <si>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</si>
  <si>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</si>
  <si>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</si>
  <si>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</si>
  <si>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</si>
  <si>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“需求数量”列中的数值来源说明</t>
  </si>
  <si>
    <t>备注</t>
  </si>
  <si>
    <t>单重/kg</t>
  </si>
  <si>
    <t>骨架明细</t>
  </si>
  <si>
    <t>AA009</t>
  </si>
  <si>
    <t>长梁（3米弧形梁）</t>
  </si>
  <si>
    <t>48mm*84mm*2.7mm*4.2m</t>
  </si>
  <si>
    <t>根</t>
  </si>
  <si>
    <t>排*1</t>
  </si>
  <si>
    <t>AB004</t>
  </si>
  <si>
    <t>侧立柱（弧形/人字/84料/2.8米边高）</t>
  </si>
  <si>
    <t>48mm*84mm*2.7mm*2.8m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</si>
  <si>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</si>
  <si>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</si>
  <si>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</si>
  <si>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</si>
  <si>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</si>
  <si>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</si>
  <si>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</si>
  <si>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</si>
  <si>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</si>
  <si>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AE001</t>
  </si>
  <si>
    <t>端横梁（3米弧形）</t>
  </si>
  <si>
    <t>48mm*84mm*2.7mm*3m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</si>
  <si>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</si>
  <si>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AF001</t>
  </si>
  <si>
    <t>顶布穿管（84料/3m）</t>
  </si>
  <si>
    <t>25.4mm*50.8mm*2.3mm*3m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</si>
  <si>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</si>
  <si>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</si>
  <si>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</si>
  <si>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</si>
  <si>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</si>
  <si>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</si>
  <si>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</si>
  <si>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</si>
  <si>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</si>
  <si>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</si>
  <si>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</si>
  <si>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</si>
  <si>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钢部件明细</t>
  </si>
  <si>
    <t>BG001</t>
  </si>
  <si>
    <t>侧立柱接头（短）</t>
  </si>
  <si>
    <t>个</t>
  </si>
  <si>
    <t>BB004</t>
  </si>
  <si>
    <t>地脚（人字/84料）</t>
  </si>
  <si>
    <r>
      <rPr>
        <sz val="10"/>
        <rFont val="宋体"/>
        <charset val="134"/>
      </rPr>
      <t>侧立柱</t>
    </r>
    <r>
      <rPr>
        <sz val="10"/>
        <rFont val="Arial"/>
        <charset val="134"/>
      </rPr>
      <t>*1</t>
    </r>
  </si>
  <si>
    <t>BF001</t>
  </si>
  <si>
    <t>顶布紧线器170mm</t>
  </si>
  <si>
    <t>BE001</t>
  </si>
  <si>
    <t>顶布连接器300mm</t>
  </si>
  <si>
    <r>
      <rPr>
        <sz val="10"/>
        <rFont val="宋体"/>
        <charset val="134"/>
      </rPr>
      <t>（排</t>
    </r>
    <r>
      <rPr>
        <sz val="10"/>
        <rFont val="Arial"/>
        <charset val="134"/>
      </rPr>
      <t>*2</t>
    </r>
    <r>
      <rPr>
        <sz val="10"/>
        <rFont val="宋体"/>
        <charset val="134"/>
      </rPr>
      <t>）</t>
    </r>
    <r>
      <rPr>
        <sz val="10"/>
        <rFont val="Arial"/>
        <charset val="134"/>
      </rPr>
      <t>-</t>
    </r>
    <r>
      <rPr>
        <sz val="10"/>
        <rFont val="宋体"/>
        <charset val="134"/>
      </rPr>
      <t>（山尖</t>
    </r>
    <r>
      <rPr>
        <sz val="10"/>
        <rFont val="Arial"/>
        <charset val="134"/>
      </rPr>
      <t>*1</t>
    </r>
    <r>
      <rPr>
        <sz val="10"/>
        <rFont val="宋体"/>
        <charset val="134"/>
      </rPr>
      <t>）</t>
    </r>
  </si>
  <si>
    <t>BH001</t>
  </si>
  <si>
    <t>三角连接器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</si>
  <si>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</si>
  <si>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篷布明细</t>
  </si>
  <si>
    <t>CA005</t>
  </si>
  <si>
    <t>顶布（3米弧形）</t>
  </si>
  <si>
    <t>块</t>
  </si>
  <si>
    <t>CC001</t>
  </si>
  <si>
    <t>山尖布（3米弧形）</t>
  </si>
  <si>
    <t>对</t>
  </si>
  <si>
    <t>CB005</t>
  </si>
  <si>
    <t>围布（人字/2.8米边高）</t>
  </si>
  <si>
    <t>CB026</t>
  </si>
  <si>
    <t>围布加宽条</t>
  </si>
  <si>
    <t>条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</si>
  <si>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</si>
  <si>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</si>
  <si>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</si>
  <si>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</si>
  <si>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</si>
  <si>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</si>
  <si>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侧地脚</t>
    </r>
    <r>
      <rPr>
        <sz val="10"/>
        <rFont val="Arial"/>
        <charset val="134"/>
      </rPr>
      <t>*1</t>
    </r>
  </si>
  <si>
    <t>BK007</t>
  </si>
  <si>
    <t>螺栓12*150</t>
  </si>
  <si>
    <r>
      <rPr>
        <sz val="10"/>
        <rFont val="宋体"/>
        <charset val="134"/>
      </rPr>
      <t>侧横梁</t>
    </r>
    <r>
      <rPr>
        <sz val="10"/>
        <rFont val="Arial"/>
        <charset val="134"/>
      </rPr>
      <t>*4+</t>
    </r>
    <r>
      <rPr>
        <sz val="10"/>
        <rFont val="宋体"/>
        <charset val="134"/>
      </rPr>
      <t>十字撑</t>
    </r>
    <r>
      <rPr>
        <sz val="10"/>
        <rFont val="Arial"/>
        <charset val="134"/>
      </rPr>
      <t>*4</t>
    </r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</si>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</sst>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&quot;米&quot;&quot;弧&quot;&quot;形&quot;"/>
    <numFmt numFmtId="177" formatCode="0&quot;米间距&quot;"/>
    <numFmt numFmtId="178" formatCode="&quot;每座&quot;0&quot;间&quot;"/>
    <numFmt numFmtId="179" formatCode="0&quot;座&quot;"/>
    <numFmt numFmtId="180" formatCode="0&quot;米&quot;"/>
    <numFmt numFmtId="181" formatCode="0&quot;kg&quot;"/>
    <numFmt numFmtId="182" formatCode="0&quot;间&quot;"/>
    <numFmt numFmtId="183" formatCode="0&quot;根十字撑&quot;"/>
    <numFmt numFmtId="184" formatCode="0&quot;组&quot;"/>
    <numFmt numFmtId="185" formatCode="0&quot;排&quot;"/>
    <numFmt numFmtId="186" formatCode="0&quot;㎡&quot;"/>
    <numFmt numFmtId="187" formatCode="0&quot;山&quot;&quot;尖&quot;"/>
    <numFmt numFmtId="188" formatCode="0_ 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rgb="FFFF0000"/>
      <name val="宋体"/>
      <charset val="134"/>
    </font>
    <font>
      <sz val="10"/>
      <name val="Arial"/>
      <charset val="134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7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21" fillId="7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5" fillId="11" borderId="26" applyNumberFormat="0" applyAlignment="0" applyProtection="0">
      <alignment vertical="center"/>
    </xf>
    <xf numFmtId="0" fontId="28" fillId="11" borderId="23" applyNumberFormat="0" applyAlignment="0" applyProtection="0">
      <alignment vertical="center"/>
    </xf>
    <xf numFmtId="0" fontId="17" fillId="4" borderId="19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4" fillId="0" borderId="25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4" fontId="8" fillId="2" borderId="0" xfId="0" applyNumberFormat="1" applyFont="1" applyFill="1" applyBorder="1" applyAlignment="1" applyProtection="1">
      <alignment horizontal="center" vertical="center"/>
    </xf>
    <xf numFmtId="185" fontId="6" fillId="2" borderId="3" xfId="0" applyNumberFormat="1" applyFont="1" applyFill="1" applyBorder="1" applyAlignment="1" applyProtection="1">
      <alignment horizontal="center" vertical="center"/>
    </xf>
    <xf numFmtId="185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78" fontId="6" fillId="2" borderId="3" xfId="0" applyNumberFormat="1" applyFont="1" applyFill="1" applyBorder="1" applyAlignment="1" applyProtection="1">
      <alignment horizontal="center" vertical="center"/>
    </xf>
    <xf numFmtId="178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76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6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188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 wrapText="1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12" fillId="0" borderId="12" xfId="0" applyFont="1" applyFill="1" applyBorder="1" applyAlignment="1" applyProtection="1">
      <alignment horizontal="center" vertical="center" wrapText="1"/>
      <protection locked="0"/>
    </xf>
    <xf numFmtId="0" fontId="12" fillId="0" borderId="7" xfId="0" applyNumberFormat="1" applyFont="1" applyFill="1" applyBorder="1" applyAlignment="1" applyProtection="1">
      <alignment vertical="center" textRotation="255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4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4" fontId="8" fillId="2" borderId="14" xfId="0" applyNumberFormat="1" applyFont="1" applyFill="1" applyBorder="1" applyAlignment="1" applyProtection="1">
      <alignment horizontal="center" vertical="center"/>
    </xf>
    <xf numFmtId="0" fontId="8" fillId="2" borderId="14" xfId="0" applyFont="1" applyFill="1" applyBorder="1" applyProtection="1">
      <alignment vertical="center"/>
    </xf>
    <xf numFmtId="0" fontId="8" fillId="2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Continuous" vertical="center"/>
    </xf>
    <xf numFmtId="0" fontId="11" fillId="0" borderId="16" xfId="0" applyFont="1" applyFill="1" applyBorder="1" applyAlignment="1" applyProtection="1">
      <alignment horizontal="left" vertical="center"/>
      <protection locked="0"/>
    </xf>
    <xf numFmtId="181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4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4" fillId="0" borderId="18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Fill="1">
      <alignment vertical="center"/>
    </xf>
    <xf numFmtId="0" fontId="16" fillId="0" borderId="7" xfId="0" applyFont="1" applyFill="1" applyBorder="1" applyAlignment="1" applyProtection="1">
      <alignment horizontal="center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showGridLines="0" tabSelected="1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9.125" style="1" customWidth="1"/>
    <col min="3" max="3" width="29.5" style="1" customWidth="1"/>
    <col min="4" max="4" width="20.625" style="1" customWidth="1"/>
    <col min="5" max="7" width="10.625" style="1" customWidth="1"/>
    <col min="8" max="8" width="16.8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6" t="s">
        <v>0</v>
      </c>
      <c r="J1" s="77"/>
    </row>
    <row r="2" s="1" customFormat="1" ht="20" customHeight="1" spans="1:10">
      <c r="A2" s="8" t="s">
        <v>1</v>
      </c>
      <c r="B2" s="9"/>
      <c r="C2" s="10"/>
      <c r="D2" s="11"/>
      <c r="E2" s="12">
        <v>3</v>
      </c>
      <c r="F2" s="12">
        <v>24</v>
      </c>
      <c r="G2" s="13">
        <v>1</v>
      </c>
      <c r="H2" s="14">
        <v>3</v>
      </c>
      <c r="I2" s="78">
        <v>2.8</v>
      </c>
      <c r="J2" s="79"/>
    </row>
    <row r="3" s="1" customFormat="1" ht="20" hidden="1" customHeight="1" spans="1:10">
      <c r="A3" s="15">
        <f>F2/H2*G2</f>
        <v>8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0" t="str">
        <f>IF(AND(A7&gt;=63,A7&lt;=68),24,"")</f>
        <v/>
      </c>
      <c r="J3" s="79"/>
    </row>
    <row r="4" s="1" customFormat="1" ht="20" hidden="1" customHeight="1" spans="1:10">
      <c r="A4" s="18">
        <f>(F2/H2+1)*G2</f>
        <v>9</v>
      </c>
      <c r="B4" s="19"/>
      <c r="C4" s="17" t="str">
        <f>IF(AND(A7&gt;=2,A7&lt;=6),2,"")</f>
        <v/>
      </c>
      <c r="D4" s="17"/>
      <c r="E4" s="17" t="str">
        <f>IF(AND(A7&gt;=32,A7&lt;=36),8,"")</f>
        <v/>
      </c>
      <c r="F4" s="17" t="str">
        <f>IF(AND(A7&gt;=62,A7&lt;=66),14,"")</f>
        <v/>
      </c>
      <c r="G4" s="17" t="str">
        <f>IF(AND(A7&gt;=3,A7&lt;=3),2,"")</f>
        <v/>
      </c>
      <c r="H4" s="17" t="str">
        <f>IF(AND(A7&gt;=33,A7&lt;=38),14,"")</f>
        <v/>
      </c>
      <c r="I4" s="80" t="str">
        <f>IF(AND(A7&gt;=69,A7&lt;=74),26,"")</f>
        <v/>
      </c>
      <c r="J4" s="79"/>
    </row>
    <row r="5" s="1" customFormat="1" ht="20" hidden="1" customHeight="1" spans="1:10">
      <c r="A5" s="20">
        <f>G2*2</f>
        <v>2</v>
      </c>
      <c r="B5" s="21"/>
      <c r="C5" s="17">
        <f>IF(AND(A7&gt;=7,A7&lt;=11),3,"")</f>
        <v>3</v>
      </c>
      <c r="D5" s="17"/>
      <c r="E5" s="17" t="str">
        <f>IF(AND(A7&gt;=37,A7&lt;=41),9,"")</f>
        <v/>
      </c>
      <c r="F5" s="17" t="str">
        <f>IF(AND(A7&gt;=67,A7&lt;=71),15,"")</f>
        <v/>
      </c>
      <c r="G5" s="17">
        <f>IF(AND(A7&gt;=4,A7&lt;=8),4,"")</f>
        <v>4</v>
      </c>
      <c r="H5" s="17" t="str">
        <f>IF(AND(A7&gt;=39,A7&lt;=44),16,"")</f>
        <v/>
      </c>
      <c r="I5" s="80" t="str">
        <f>IF(AND(A7&gt;=75,A7&lt;=80),28,"")</f>
        <v/>
      </c>
      <c r="J5" s="79"/>
    </row>
    <row r="6" s="1" customFormat="1" ht="20" hidden="1" customHeight="1" spans="1:10">
      <c r="A6" s="22">
        <f>(E2*F2)*G2</f>
        <v>72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0" t="str">
        <f>IF(AND(A7&gt;=81,A7&lt;=86),30,"")</f>
        <v/>
      </c>
      <c r="J6" s="79"/>
    </row>
    <row r="7" s="1" customFormat="1" ht="20" hidden="1" customHeight="1" spans="1:10">
      <c r="A7" s="24">
        <f>F2/H2</f>
        <v>8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0" t="str">
        <f>IF(AND(A7&gt;=87,A7&lt;=92),32,"")</f>
        <v/>
      </c>
      <c r="J7" s="79"/>
    </row>
    <row r="8" s="1" customFormat="1" ht="20" hidden="1" customHeight="1" spans="1:10">
      <c r="A8" s="26">
        <f>SUM(A10:A11)</f>
        <v>12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0" t="str">
        <f>IF(AND(A7&gt;=93,A7&lt;=98),34,"")</f>
        <v/>
      </c>
      <c r="J8" s="79"/>
    </row>
    <row r="9" s="1" customFormat="1" ht="20" hidden="1" customHeight="1" spans="1:10">
      <c r="A9" s="28" t="str">
        <f>"篷房规格："&amp;E2&amp;"m × "&amp;F2&amp;"m × "&amp;G2&amp;"座"</f>
        <v>篷房规格：3m × 24m × 1座</v>
      </c>
      <c r="B9" s="29"/>
      <c r="C9" s="30"/>
      <c r="D9" s="30"/>
      <c r="E9" s="30"/>
      <c r="F9" s="30"/>
      <c r="G9" s="30"/>
      <c r="H9" s="30"/>
      <c r="I9" s="81"/>
      <c r="J9" s="79"/>
    </row>
    <row r="10" s="1" customFormat="1" ht="20" hidden="1" customHeight="1" spans="1:10">
      <c r="A10" s="26">
        <f>IF(AND(E2&gt;=0,E2&lt;=25),C10,"")</f>
        <v>12</v>
      </c>
      <c r="B10" s="27"/>
      <c r="C10" s="31">
        <f>SUM(C3:F8)*4*G2</f>
        <v>12</v>
      </c>
      <c r="D10" s="31"/>
      <c r="E10" s="32"/>
      <c r="F10" s="33"/>
      <c r="G10" s="33"/>
      <c r="H10" s="33"/>
      <c r="I10" s="82"/>
      <c r="J10" s="79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16</v>
      </c>
      <c r="D11" s="31"/>
      <c r="E11" s="33"/>
      <c r="F11" s="33"/>
      <c r="G11" s="33"/>
      <c r="H11" s="33"/>
      <c r="I11" s="82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83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3</v>
      </c>
      <c r="F17" s="49" t="str">
        <f>"（"&amp;I1&amp;"料"</f>
        <v>（48*84料</v>
      </c>
      <c r="G17" s="50" t="str">
        <f>I2&amp;"米边高)"</f>
        <v>2.8米边高)</v>
      </c>
      <c r="H17" s="50" t="s">
        <v>9</v>
      </c>
      <c r="I17" s="84"/>
    </row>
    <row r="18" s="1" customFormat="1" customHeight="1" spans="1:10">
      <c r="A18" s="51" t="str">
        <f>A9</f>
        <v>篷房规格：3m × 24m × 1座</v>
      </c>
      <c r="B18" s="51"/>
      <c r="C18" s="51"/>
      <c r="D18" s="51"/>
      <c r="E18" s="51"/>
      <c r="F18" s="52" t="s">
        <v>10</v>
      </c>
      <c r="G18" s="53">
        <f>A6</f>
        <v>72</v>
      </c>
      <c r="H18" s="54" t="s">
        <v>11</v>
      </c>
      <c r="I18" s="85">
        <f>SUM(E21:E500)</f>
        <v>905.35</v>
      </c>
      <c r="J18" s="86"/>
    </row>
    <row r="19" s="1" customFormat="1" customHeight="1" spans="1:10">
      <c r="A19" s="55">
        <f>A3</f>
        <v>8</v>
      </c>
      <c r="B19" s="55"/>
      <c r="C19" s="55"/>
      <c r="D19" s="55"/>
      <c r="E19" s="42" t="s">
        <v>12</v>
      </c>
      <c r="F19" s="56">
        <f>A4</f>
        <v>9</v>
      </c>
      <c r="G19" s="57" t="s">
        <v>13</v>
      </c>
      <c r="H19" s="55">
        <f>A5</f>
        <v>2</v>
      </c>
      <c r="I19" s="57" t="s">
        <v>14</v>
      </c>
      <c r="J19" s="86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42" t="s">
        <v>22</v>
      </c>
      <c r="I20" s="57" t="s">
        <v>23</v>
      </c>
      <c r="J20" s="87" t="s">
        <v>24</v>
      </c>
    </row>
    <row r="21" customHeight="1" spans="1:10">
      <c r="A21" s="60" t="s">
        <v>25</v>
      </c>
      <c r="B21" s="61" t="s">
        <v>26</v>
      </c>
      <c r="C21" s="62" t="s">
        <v>27</v>
      </c>
      <c r="D21" s="63" t="s">
        <v>28</v>
      </c>
      <c r="E21" s="64">
        <f t="shared" ref="E21:E33" si="0">G21*J21</f>
        <v>63</v>
      </c>
      <c r="F21" s="64" t="s">
        <v>29</v>
      </c>
      <c r="G21" s="65">
        <f>F19*1</f>
        <v>9</v>
      </c>
      <c r="H21" s="64" t="s">
        <v>30</v>
      </c>
      <c r="I21" s="88"/>
      <c r="J21" s="89">
        <v>7</v>
      </c>
    </row>
    <row r="22" customHeight="1" spans="1:10">
      <c r="A22" s="60"/>
      <c r="B22" s="61" t="s">
        <v>31</v>
      </c>
      <c r="C22" s="62" t="s">
        <v>32</v>
      </c>
      <c r="D22" s="63" t="s">
        <v>33</v>
      </c>
      <c r="E22" s="64">
        <f t="shared" si="0"/>
        <v>100.8</v>
      </c>
      <c r="F22" s="64" t="s">
        <v>29</v>
      </c>
      <c r="G22" s="65">
        <f>F19*2</f>
        <v>18</v>
      </c>
      <c r="H22" s="64" t="s">
        <v>34</v>
      </c>
      <c r="I22" s="90"/>
      <c r="J22" s="91">
        <v>5.6</v>
      </c>
    </row>
    <row r="23" customHeight="1" spans="1:10">
      <c r="A23" s="60"/>
      <c r="B23" s="61" t="s">
        <v>35</v>
      </c>
      <c r="C23" s="62" t="s">
        <v>36</v>
      </c>
      <c r="D23" s="63" t="s">
        <v>37</v>
      </c>
      <c r="E23" s="64">
        <f t="shared" si="0"/>
        <v>20.8</v>
      </c>
      <c r="F23" s="64" t="s">
        <v>29</v>
      </c>
      <c r="G23" s="65">
        <f>A19*1</f>
        <v>8</v>
      </c>
      <c r="H23" s="64" t="s">
        <v>38</v>
      </c>
      <c r="I23" s="90"/>
      <c r="J23" s="89">
        <v>2.6</v>
      </c>
    </row>
    <row r="24" customHeight="1" spans="1:10">
      <c r="A24" s="60"/>
      <c r="B24" s="61" t="s">
        <v>39</v>
      </c>
      <c r="C24" s="62" t="s">
        <v>40</v>
      </c>
      <c r="D24" s="63" t="s">
        <v>41</v>
      </c>
      <c r="E24" s="64">
        <f t="shared" si="0"/>
        <v>74.4</v>
      </c>
      <c r="F24" s="64" t="s">
        <v>29</v>
      </c>
      <c r="G24" s="65">
        <f>A19*2</f>
        <v>16</v>
      </c>
      <c r="H24" s="64" t="s">
        <v>42</v>
      </c>
      <c r="I24" s="65"/>
      <c r="J24" s="89">
        <v>4.65</v>
      </c>
    </row>
    <row r="25" customHeight="1" spans="1:10">
      <c r="A25" s="60"/>
      <c r="B25" s="61" t="s">
        <v>43</v>
      </c>
      <c r="C25" s="62" t="s">
        <v>44</v>
      </c>
      <c r="D25" s="63" t="s">
        <v>45</v>
      </c>
      <c r="E25" s="64">
        <f t="shared" si="0"/>
        <v>8.5</v>
      </c>
      <c r="F25" s="64" t="s">
        <v>29</v>
      </c>
      <c r="G25" s="66">
        <f>H19</f>
        <v>2</v>
      </c>
      <c r="H25" s="64" t="s">
        <v>46</v>
      </c>
      <c r="I25" s="90"/>
      <c r="J25" s="89">
        <v>4.25</v>
      </c>
    </row>
    <row r="26" customHeight="1" spans="1:10">
      <c r="A26" s="60"/>
      <c r="B26" s="61" t="s">
        <v>47</v>
      </c>
      <c r="C26" s="62" t="s">
        <v>48</v>
      </c>
      <c r="D26" s="63" t="s">
        <v>49</v>
      </c>
      <c r="E26" s="64">
        <f t="shared" si="0"/>
        <v>113.4</v>
      </c>
      <c r="F26" s="64" t="s">
        <v>29</v>
      </c>
      <c r="G26" s="65">
        <f>A19*2+H19</f>
        <v>18</v>
      </c>
      <c r="H26" s="64" t="s">
        <v>50</v>
      </c>
      <c r="I26" s="90"/>
      <c r="J26" s="89">
        <v>6.3</v>
      </c>
    </row>
    <row r="27" customHeight="1" spans="1:11">
      <c r="A27" s="60"/>
      <c r="B27" s="61" t="s">
        <v>51</v>
      </c>
      <c r="C27" s="62" t="s">
        <v>52</v>
      </c>
      <c r="D27" s="63"/>
      <c r="E27" s="64">
        <f t="shared" si="0"/>
        <v>59.4</v>
      </c>
      <c r="F27" s="64" t="s">
        <v>29</v>
      </c>
      <c r="G27" s="66">
        <f>G28/2</f>
        <v>6</v>
      </c>
      <c r="H27" s="67" t="s">
        <v>53</v>
      </c>
      <c r="I27" s="90"/>
      <c r="J27" s="89">
        <v>9.9</v>
      </c>
      <c r="K27" s="92" t="s">
        <v>54</v>
      </c>
    </row>
    <row r="28" customHeight="1" spans="1:10">
      <c r="A28" s="60"/>
      <c r="B28" s="61" t="s">
        <v>55</v>
      </c>
      <c r="C28" s="62" t="s">
        <v>56</v>
      </c>
      <c r="D28" s="63" t="s">
        <v>57</v>
      </c>
      <c r="E28" s="64">
        <f t="shared" si="0"/>
        <v>97.2</v>
      </c>
      <c r="F28" s="64" t="s">
        <v>29</v>
      </c>
      <c r="G28" s="68">
        <f>A8</f>
        <v>12</v>
      </c>
      <c r="H28" s="64" t="s">
        <v>58</v>
      </c>
      <c r="I28" s="90"/>
      <c r="J28" s="89">
        <v>8.1</v>
      </c>
    </row>
    <row r="29" customHeight="1" spans="1:10">
      <c r="A29" s="69"/>
      <c r="B29" s="61" t="s">
        <v>59</v>
      </c>
      <c r="C29" s="62" t="s">
        <v>60</v>
      </c>
      <c r="D29" s="63" t="s">
        <v>61</v>
      </c>
      <c r="E29" s="64">
        <f t="shared" si="0"/>
        <v>49.5</v>
      </c>
      <c r="F29" s="64" t="s">
        <v>29</v>
      </c>
      <c r="G29" s="68">
        <f>A19*2+H19</f>
        <v>18</v>
      </c>
      <c r="H29" s="64" t="s">
        <v>50</v>
      </c>
      <c r="I29" s="90"/>
      <c r="J29" s="89">
        <v>2.75</v>
      </c>
    </row>
    <row r="30" customHeight="1" spans="1:10">
      <c r="A30" s="70" t="s">
        <v>62</v>
      </c>
      <c r="B30" s="71" t="s">
        <v>63</v>
      </c>
      <c r="C30" s="72" t="s">
        <v>64</v>
      </c>
      <c r="D30" s="73"/>
      <c r="E30" s="64">
        <f t="shared" si="0"/>
        <v>48.6</v>
      </c>
      <c r="F30" s="64" t="s">
        <v>65</v>
      </c>
      <c r="G30" s="65">
        <f>F19*2</f>
        <v>18</v>
      </c>
      <c r="H30" s="64" t="s">
        <v>34</v>
      </c>
      <c r="I30" s="64"/>
      <c r="J30" s="89">
        <v>2.7</v>
      </c>
    </row>
    <row r="31" customHeight="1" spans="1:10">
      <c r="A31" s="70"/>
      <c r="B31" s="71" t="s">
        <v>66</v>
      </c>
      <c r="C31" s="63" t="s">
        <v>67</v>
      </c>
      <c r="D31" s="63"/>
      <c r="E31" s="64">
        <f t="shared" si="0"/>
        <v>30.6</v>
      </c>
      <c r="F31" s="64" t="s">
        <v>65</v>
      </c>
      <c r="G31" s="66">
        <f>G22</f>
        <v>18</v>
      </c>
      <c r="H31" s="67" t="s">
        <v>68</v>
      </c>
      <c r="I31" s="90"/>
      <c r="J31" s="89">
        <v>1.7</v>
      </c>
    </row>
    <row r="32" customHeight="1" spans="1:10">
      <c r="A32" s="70"/>
      <c r="B32" s="71" t="s">
        <v>69</v>
      </c>
      <c r="C32" s="72" t="s">
        <v>70</v>
      </c>
      <c r="D32" s="73"/>
      <c r="E32" s="64">
        <f t="shared" si="0"/>
        <v>8.1</v>
      </c>
      <c r="F32" s="64" t="s">
        <v>65</v>
      </c>
      <c r="G32" s="65">
        <f>F19*2</f>
        <v>18</v>
      </c>
      <c r="H32" s="64" t="s">
        <v>34</v>
      </c>
      <c r="I32" s="90"/>
      <c r="J32" s="89">
        <v>0.45</v>
      </c>
    </row>
    <row r="33" customHeight="1" spans="1:10">
      <c r="A33" s="70"/>
      <c r="B33" s="71" t="s">
        <v>71</v>
      </c>
      <c r="C33" s="72" t="s">
        <v>72</v>
      </c>
      <c r="D33" s="73"/>
      <c r="E33" s="64">
        <f t="shared" si="0"/>
        <v>6.4</v>
      </c>
      <c r="F33" s="64" t="s">
        <v>65</v>
      </c>
      <c r="G33" s="66">
        <f>(F19*2)-H19</f>
        <v>16</v>
      </c>
      <c r="H33" s="67" t="s">
        <v>73</v>
      </c>
      <c r="I33" s="90"/>
      <c r="J33" s="89">
        <v>0.4</v>
      </c>
    </row>
    <row r="34" customHeight="1" spans="1:10">
      <c r="A34" s="70"/>
      <c r="B34" s="71" t="s">
        <v>74</v>
      </c>
      <c r="C34" s="72" t="s">
        <v>75</v>
      </c>
      <c r="D34" s="73"/>
      <c r="E34" s="64">
        <f t="shared" ref="E34:E41" si="1">G34*J34</f>
        <v>2.4</v>
      </c>
      <c r="F34" s="64" t="s">
        <v>65</v>
      </c>
      <c r="G34" s="65">
        <f>H19*2</f>
        <v>4</v>
      </c>
      <c r="H34" s="64" t="s">
        <v>76</v>
      </c>
      <c r="I34" s="90"/>
      <c r="J34" s="89">
        <v>0.6</v>
      </c>
    </row>
    <row r="35" customHeight="1" spans="1:10">
      <c r="A35" s="74" t="s">
        <v>77</v>
      </c>
      <c r="B35" s="71" t="s">
        <v>78</v>
      </c>
      <c r="C35" s="72" t="s">
        <v>79</v>
      </c>
      <c r="D35" s="73"/>
      <c r="E35" s="64">
        <f t="shared" si="1"/>
        <v>86</v>
      </c>
      <c r="F35" s="64" t="s">
        <v>80</v>
      </c>
      <c r="G35" s="65">
        <f>A19</f>
        <v>8</v>
      </c>
      <c r="H35" s="64" t="s">
        <v>38</v>
      </c>
      <c r="I35" s="93"/>
      <c r="J35" s="89">
        <v>10.75</v>
      </c>
    </row>
    <row r="36" customHeight="1" spans="1:10">
      <c r="A36" s="60"/>
      <c r="B36" s="71" t="s">
        <v>81</v>
      </c>
      <c r="C36" s="72" t="s">
        <v>82</v>
      </c>
      <c r="D36" s="73"/>
      <c r="E36" s="64">
        <f t="shared" si="1"/>
        <v>8.3</v>
      </c>
      <c r="F36" s="64" t="s">
        <v>83</v>
      </c>
      <c r="G36" s="65">
        <f>H19</f>
        <v>2</v>
      </c>
      <c r="H36" s="64" t="s">
        <v>46</v>
      </c>
      <c r="I36" s="90"/>
      <c r="J36" s="89">
        <v>4.15</v>
      </c>
    </row>
    <row r="37" customHeight="1" spans="1:10">
      <c r="A37" s="60"/>
      <c r="B37" s="71" t="s">
        <v>84</v>
      </c>
      <c r="C37" s="72" t="s">
        <v>85</v>
      </c>
      <c r="D37" s="73"/>
      <c r="E37" s="64">
        <f t="shared" si="1"/>
        <v>109.8</v>
      </c>
      <c r="F37" s="64" t="s">
        <v>83</v>
      </c>
      <c r="G37" s="65">
        <f>A19*2+H19</f>
        <v>18</v>
      </c>
      <c r="H37" s="64" t="s">
        <v>50</v>
      </c>
      <c r="I37" s="90"/>
      <c r="J37" s="89">
        <v>6.1</v>
      </c>
    </row>
    <row r="38" customHeight="1" spans="1:10">
      <c r="A38" s="69"/>
      <c r="B38" s="71" t="s">
        <v>86</v>
      </c>
      <c r="C38" s="72" t="s">
        <v>87</v>
      </c>
      <c r="D38" s="73"/>
      <c r="E38" s="64">
        <f t="shared" si="1"/>
        <v>0.6</v>
      </c>
      <c r="F38" s="64" t="s">
        <v>88</v>
      </c>
      <c r="G38" s="65">
        <f>H19</f>
        <v>2</v>
      </c>
      <c r="H38" s="64" t="s">
        <v>46</v>
      </c>
      <c r="I38" s="90"/>
      <c r="J38" s="89">
        <v>0.3</v>
      </c>
    </row>
    <row r="39" customHeight="1" spans="1:10">
      <c r="A39" s="70" t="s">
        <v>89</v>
      </c>
      <c r="B39" s="71" t="s">
        <v>90</v>
      </c>
      <c r="C39" s="63" t="s">
        <v>91</v>
      </c>
      <c r="D39" s="73"/>
      <c r="E39" s="64">
        <f t="shared" si="1"/>
        <v>5.4</v>
      </c>
      <c r="F39" s="64" t="s">
        <v>65</v>
      </c>
      <c r="G39" s="65">
        <f>F19*8</f>
        <v>72</v>
      </c>
      <c r="H39" s="64" t="s">
        <v>92</v>
      </c>
      <c r="I39" s="90"/>
      <c r="J39" s="89">
        <v>0.075</v>
      </c>
    </row>
    <row r="40" customHeight="1" spans="1:10">
      <c r="A40" s="70"/>
      <c r="B40" s="71" t="s">
        <v>93</v>
      </c>
      <c r="C40" s="63" t="s">
        <v>94</v>
      </c>
      <c r="D40" s="73"/>
      <c r="E40" s="64">
        <f t="shared" si="1"/>
        <v>2.07</v>
      </c>
      <c r="F40" s="64" t="s">
        <v>65</v>
      </c>
      <c r="G40" s="65">
        <f>G31</f>
        <v>18</v>
      </c>
      <c r="H40" s="64" t="s">
        <v>95</v>
      </c>
      <c r="I40" s="90"/>
      <c r="J40" s="89">
        <v>0.115</v>
      </c>
    </row>
    <row r="41" customHeight="1" spans="1:10">
      <c r="A41" s="70"/>
      <c r="B41" s="71" t="s">
        <v>96</v>
      </c>
      <c r="C41" s="72" t="s">
        <v>97</v>
      </c>
      <c r="D41" s="73"/>
      <c r="E41" s="64">
        <f t="shared" si="1"/>
        <v>10.08</v>
      </c>
      <c r="F41" s="64" t="s">
        <v>65</v>
      </c>
      <c r="G41" s="65">
        <f>G27*4+G28*4</f>
        <v>72</v>
      </c>
      <c r="H41" s="64" t="s">
        <v>98</v>
      </c>
      <c r="I41" s="90"/>
      <c r="J41" s="89">
        <v>0.14</v>
      </c>
    </row>
    <row r="42" customHeight="1" spans="1:10">
      <c r="A42" s="75" t="s">
        <v>99</v>
      </c>
      <c r="B42" s="75"/>
      <c r="C42" s="73"/>
      <c r="D42" s="73"/>
      <c r="E42" s="64"/>
      <c r="F42" s="64"/>
      <c r="G42" s="65"/>
      <c r="H42" s="65"/>
      <c r="I42" s="90"/>
      <c r="J42" s="89"/>
    </row>
    <row r="43" customHeight="1" spans="1:10">
      <c r="A43" s="75"/>
      <c r="B43" s="75"/>
      <c r="C43" s="73"/>
      <c r="D43" s="73"/>
      <c r="E43" s="64"/>
      <c r="F43" s="64"/>
      <c r="G43" s="65"/>
      <c r="H43" s="65"/>
      <c r="I43" s="90"/>
      <c r="J43" s="89"/>
    </row>
    <row r="44" customHeight="1" spans="1:10">
      <c r="A44" s="75"/>
      <c r="B44" s="75"/>
      <c r="C44" s="73"/>
      <c r="D44" s="73"/>
      <c r="E44" s="64"/>
      <c r="F44" s="64"/>
      <c r="G44" s="65"/>
      <c r="H44" s="65"/>
      <c r="I44" s="90"/>
      <c r="J44" s="89"/>
    </row>
    <row r="45" customHeight="1" spans="1:10">
      <c r="A45" s="75"/>
      <c r="B45" s="75"/>
      <c r="C45" s="73"/>
      <c r="D45" s="73"/>
      <c r="E45" s="64"/>
      <c r="F45" s="64"/>
      <c r="G45" s="65"/>
      <c r="H45" s="65"/>
      <c r="I45" s="90"/>
      <c r="J45" s="89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29"/>
    <mergeCell ref="A30:A34"/>
    <mergeCell ref="A35:A38"/>
    <mergeCell ref="A39:A41"/>
    <mergeCell ref="A42:A45"/>
    <mergeCell ref="A15:F16"/>
  </mergeCells>
  <conditionalFormatting sqref="B39:B41">
    <cfRule type="duplicateValues" dxfId="0" priority="1"/>
  </conditionalFormatting>
  <conditionalFormatting sqref="C40:C41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2018-08-15T08:14:32Z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