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495" windowHeight="9930"/>
  </bookViews>
  <sheets>
    <sheet name="物料清单" sheetId="1" r:id="rId1"/>
  </sheets>
  <definedNames>
    <definedName name="_xlnm.Print_Area" localSheetId="0">物料清单!$A$14:$G$61</definedName>
    <definedName name="_xlnm.Print_Titles" localSheetId="0">物料清单!$14:$20</definedName>
  </definedNames>
  <calcPr calcId="144525"/>
</workbook>
</file>

<file path=xl/sharedStrings.xml><?xml version="1.0" encoding="utf-8"?>
<sst xmlns="http://schemas.openxmlformats.org/spreadsheetml/2006/main" count="91">
  <si>
    <t>120*350</t>
  </si>
  <si>
    <t>规格：长*宽*数量</t>
  </si>
  <si>
    <t>请勿删除黑色区域</t>
  </si>
  <si>
    <t>项目名称：</t>
  </si>
  <si>
    <t>合同编号：</t>
  </si>
  <si>
    <t>搭建地点：</t>
  </si>
  <si>
    <t>搭建时间：</t>
  </si>
  <si>
    <t>拆除时间：</t>
  </si>
  <si>
    <t>租赁</t>
  </si>
  <si>
    <t>篷房物料明细单</t>
  </si>
  <si>
    <t>面积</t>
  </si>
  <si>
    <t>合计重量</t>
  </si>
  <si>
    <t>间</t>
  </si>
  <si>
    <t>排</t>
  </si>
  <si>
    <t>山尖数</t>
  </si>
  <si>
    <t>类别</t>
  </si>
  <si>
    <t>物料名称</t>
  </si>
  <si>
    <t>分类重量</t>
  </si>
  <si>
    <t>单位</t>
  </si>
  <si>
    <t>需求数量</t>
  </si>
  <si>
    <t>实际数量</t>
  </si>
  <si>
    <t>备注</t>
  </si>
  <si>
    <t>单重/kg</t>
  </si>
  <si>
    <t>骨架明细</t>
  </si>
  <si>
    <t>一梁</t>
  </si>
  <si>
    <t>根</t>
  </si>
  <si>
    <r>
      <t>排</t>
    </r>
    <r>
      <rPr>
        <sz val="10"/>
        <rFont val="Arial"/>
        <charset val="134"/>
      </rPr>
      <t>*2</t>
    </r>
  </si>
  <si>
    <t>二梁</t>
  </si>
  <si>
    <t>侧立柱</t>
  </si>
  <si>
    <t>端立柱1</t>
  </si>
  <si>
    <r>
      <t>山尖</t>
    </r>
    <r>
      <rPr>
        <sz val="10"/>
        <rFont val="Arial"/>
        <charset val="134"/>
      </rPr>
      <t>*2</t>
    </r>
  </si>
  <si>
    <t>端立柱2</t>
  </si>
  <si>
    <t>端立柱3</t>
  </si>
  <si>
    <t>端中立柱</t>
  </si>
  <si>
    <r>
      <t>山尖</t>
    </r>
    <r>
      <rPr>
        <sz val="10"/>
        <rFont val="Arial"/>
        <charset val="134"/>
      </rPr>
      <t>*1</t>
    </r>
  </si>
  <si>
    <t>屋面檩条（80*100）</t>
  </si>
  <si>
    <t>间*12+山尖*6</t>
  </si>
  <si>
    <t>屋檐檩条（88*140）</t>
  </si>
  <si>
    <t>间*2</t>
  </si>
  <si>
    <t>屋檐檩条（90*140）</t>
  </si>
  <si>
    <t>间*3</t>
  </si>
  <si>
    <t>左右向檩条</t>
  </si>
  <si>
    <t>山尖固定扁铝</t>
  </si>
  <si>
    <t>顶布穿管</t>
  </si>
  <si>
    <r>
      <t>间</t>
    </r>
    <r>
      <rPr>
        <sz val="10"/>
        <rFont val="Arial"/>
        <charset val="134"/>
      </rPr>
      <t>*2+</t>
    </r>
    <r>
      <rPr>
        <sz val="10"/>
        <rFont val="宋体"/>
        <charset val="134"/>
      </rPr>
      <t>山尖</t>
    </r>
    <r>
      <rPr>
        <sz val="10"/>
        <rFont val="Arial"/>
        <charset val="134"/>
      </rPr>
      <t>*8</t>
    </r>
  </si>
  <si>
    <t>斜撑</t>
  </si>
  <si>
    <r>
      <t>（排</t>
    </r>
    <r>
      <rPr>
        <sz val="10"/>
        <rFont val="Arial"/>
        <charset val="134"/>
      </rPr>
      <t>-</t>
    </r>
    <r>
      <rPr>
        <sz val="10"/>
        <rFont val="宋体"/>
        <charset val="134"/>
      </rPr>
      <t>山尖）*2</t>
    </r>
  </si>
  <si>
    <t>屋面拉杆</t>
  </si>
  <si>
    <r>
      <t>排</t>
    </r>
    <r>
      <rPr>
        <sz val="10"/>
        <rFont val="Arial"/>
        <charset val="134"/>
      </rPr>
      <t>-</t>
    </r>
    <r>
      <rPr>
        <sz val="10"/>
        <rFont val="宋体"/>
        <charset val="134"/>
      </rPr>
      <t>山尖</t>
    </r>
  </si>
  <si>
    <t>十字撑</t>
  </si>
  <si>
    <t>提取十字撑判断结果</t>
  </si>
  <si>
    <t>围布沉重管</t>
  </si>
  <si>
    <t>钢部件明细</t>
  </si>
  <si>
    <t>过渡接头</t>
  </si>
  <si>
    <t>个</t>
  </si>
  <si>
    <r>
      <t>排</t>
    </r>
    <r>
      <rPr>
        <sz val="10"/>
        <rFont val="Arial"/>
        <charset val="134"/>
      </rPr>
      <t>*1</t>
    </r>
  </si>
  <si>
    <t>端地脚</t>
  </si>
  <si>
    <t>所有端立柱合计</t>
  </si>
  <si>
    <t>侧地脚</t>
  </si>
  <si>
    <r>
      <t>侧地脚</t>
    </r>
    <r>
      <rPr>
        <sz val="10"/>
        <rFont val="Arial"/>
        <charset val="134"/>
      </rPr>
      <t>*1</t>
    </r>
  </si>
  <si>
    <t>钢丝绳（红）</t>
  </si>
  <si>
    <r>
      <t>十字撑</t>
    </r>
    <r>
      <rPr>
        <sz val="10"/>
        <rFont val="Arial"/>
        <charset val="134"/>
      </rPr>
      <t>*1</t>
    </r>
  </si>
  <si>
    <t>钢丝绳（蓝）</t>
  </si>
  <si>
    <t>钢缆基座（小）</t>
  </si>
  <si>
    <t>钢缆基座（直）</t>
  </si>
  <si>
    <t>钢缆基座（弯）</t>
  </si>
  <si>
    <t>十字撑/2</t>
  </si>
  <si>
    <t>顶布紧线器</t>
  </si>
  <si>
    <t>顶布连接器</t>
  </si>
  <si>
    <t>顶布连接器1m</t>
  </si>
  <si>
    <r>
      <t>山尖</t>
    </r>
    <r>
      <rPr>
        <sz val="10"/>
        <rFont val="Arial"/>
        <charset val="134"/>
      </rPr>
      <t>*7</t>
    </r>
  </si>
  <si>
    <t>带卡连接器</t>
  </si>
  <si>
    <t>捆紧器（嘎嘎叫）</t>
  </si>
  <si>
    <t>篷布明细</t>
  </si>
  <si>
    <t>顶布{白}{B类}</t>
  </si>
  <si>
    <t>块</t>
  </si>
  <si>
    <r>
      <t>间</t>
    </r>
    <r>
      <rPr>
        <sz val="10"/>
        <rFont val="Arial"/>
        <charset val="134"/>
      </rPr>
      <t>*1</t>
    </r>
  </si>
  <si>
    <t>山尖布{白}{B类}</t>
  </si>
  <si>
    <t>对</t>
  </si>
  <si>
    <t>围布{白}{B类}</t>
  </si>
  <si>
    <t>间*2+山尖*8</t>
  </si>
  <si>
    <t>螺栓明细</t>
  </si>
  <si>
    <t>固定销</t>
  </si>
  <si>
    <r>
      <t>端地脚</t>
    </r>
    <r>
      <rPr>
        <sz val="10"/>
        <rFont val="Arial"/>
        <charset val="134"/>
      </rPr>
      <t>+</t>
    </r>
    <r>
      <rPr>
        <sz val="10"/>
        <rFont val="宋体"/>
        <charset val="134"/>
      </rPr>
      <t>侧地脚</t>
    </r>
    <r>
      <rPr>
        <sz val="10"/>
        <rFont val="Arial"/>
        <charset val="134"/>
      </rPr>
      <t>+</t>
    </r>
    <r>
      <rPr>
        <sz val="10"/>
        <rFont val="宋体"/>
        <charset val="134"/>
      </rPr>
      <t>十字撑</t>
    </r>
  </si>
  <si>
    <r>
      <rPr>
        <sz val="10"/>
        <rFont val="宋体"/>
        <charset val="134"/>
      </rPr>
      <t>螺栓</t>
    </r>
    <r>
      <rPr>
        <sz val="10"/>
        <rFont val="Times New Roman"/>
        <charset val="134"/>
      </rPr>
      <t>20*160</t>
    </r>
  </si>
  <si>
    <t>排*4+屋面拉杆*12</t>
  </si>
  <si>
    <r>
      <rPr>
        <sz val="10"/>
        <rFont val="宋体"/>
        <charset val="134"/>
      </rPr>
      <t>螺栓</t>
    </r>
    <r>
      <rPr>
        <sz val="10"/>
        <rFont val="Times New Roman"/>
        <charset val="134"/>
      </rPr>
      <t>20*180</t>
    </r>
  </si>
  <si>
    <t>排*8+钢丝绳（红）+钢丝绳（黄）+所有端立柱</t>
  </si>
  <si>
    <r>
      <rPr>
        <sz val="10"/>
        <rFont val="宋体"/>
        <charset val="134"/>
      </rPr>
      <t>螺栓</t>
    </r>
    <r>
      <rPr>
        <sz val="10"/>
        <rFont val="Times New Roman"/>
        <charset val="134"/>
      </rPr>
      <t>20*200</t>
    </r>
  </si>
  <si>
    <t>十字撑*3</t>
  </si>
  <si>
    <t>工具明细</t>
  </si>
</sst>
</file>

<file path=xl/styles.xml><?xml version="1.0" encoding="utf-8"?>
<styleSheet xmlns="http://schemas.openxmlformats.org/spreadsheetml/2006/main">
  <numFmts count="1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&quot;米间距&quot;"/>
    <numFmt numFmtId="177" formatCode="0&quot;座&quot;"/>
    <numFmt numFmtId="178" formatCode="0&quot;米&quot;"/>
    <numFmt numFmtId="179" formatCode="0&quot;排&quot;"/>
    <numFmt numFmtId="180" formatCode="0&quot;间&quot;"/>
    <numFmt numFmtId="181" formatCode="0&quot;组&quot;"/>
    <numFmt numFmtId="182" formatCode="0&quot;山&quot;&quot;尖&quot;"/>
    <numFmt numFmtId="183" formatCode="0&quot;㎡&quot;"/>
    <numFmt numFmtId="184" formatCode="&quot;每座&quot;0&quot;间&quot;"/>
    <numFmt numFmtId="185" formatCode="0&quot;根十字撑&quot;"/>
    <numFmt numFmtId="186" formatCode="0&quot;米&quot;&quot;人&quot;&quot;字&quot;"/>
    <numFmt numFmtId="187" formatCode="0&quot;kg&quot;"/>
    <numFmt numFmtId="188" formatCode="0_ "/>
  </numFmts>
  <fonts count="36">
    <font>
      <sz val="11"/>
      <color theme="1"/>
      <name val="宋体"/>
      <charset val="134"/>
      <scheme val="minor"/>
    </font>
    <font>
      <sz val="12"/>
      <name val="宋体"/>
      <charset val="134"/>
    </font>
    <font>
      <sz val="10"/>
      <name val="宋体"/>
      <charset val="134"/>
      <scheme val="major"/>
    </font>
    <font>
      <b/>
      <sz val="11"/>
      <name val="仿宋"/>
      <charset val="134"/>
    </font>
    <font>
      <sz val="11"/>
      <name val="宋体"/>
      <charset val="134"/>
      <scheme val="minor"/>
    </font>
    <font>
      <sz val="10"/>
      <name val="宋体"/>
      <charset val="134"/>
    </font>
    <font>
      <b/>
      <sz val="11"/>
      <color theme="0"/>
      <name val="仿宋"/>
      <charset val="134"/>
    </font>
    <font>
      <b/>
      <sz val="10"/>
      <name val="仿宋"/>
      <charset val="134"/>
    </font>
    <font>
      <b/>
      <sz val="11"/>
      <color rgb="FFFF0000"/>
      <name val="仿宋"/>
      <charset val="134"/>
    </font>
    <font>
      <sz val="10"/>
      <name val="宋体"/>
      <charset val="134"/>
      <scheme val="minor"/>
    </font>
    <font>
      <b/>
      <sz val="10"/>
      <name val="宋体"/>
      <charset val="134"/>
      <scheme val="major"/>
    </font>
    <font>
      <b/>
      <sz val="11"/>
      <color rgb="FFFF0000"/>
      <name val="宋体"/>
      <charset val="134"/>
      <scheme val="major"/>
    </font>
    <font>
      <b/>
      <sz val="10"/>
      <color rgb="FFFF0000"/>
      <name val="宋体"/>
      <charset val="134"/>
      <scheme val="minor"/>
    </font>
    <font>
      <sz val="10"/>
      <color indexed="10"/>
      <name val="宋体"/>
      <charset val="134"/>
    </font>
    <font>
      <sz val="10"/>
      <name val="Arial"/>
      <charset val="134"/>
    </font>
    <font>
      <b/>
      <sz val="10"/>
      <color rgb="FFFF0000"/>
      <name val="宋体"/>
      <charset val="134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0"/>
      <name val="Times New Roman"/>
      <charset val="134"/>
    </font>
  </fonts>
  <fills count="3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6">
    <border>
      <left/>
      <right/>
      <top/>
      <bottom/>
      <diagonal/>
    </border>
    <border>
      <left style="double">
        <color rgb="FFFF0000"/>
      </left>
      <right/>
      <top style="double">
        <color rgb="FFFF0000"/>
      </top>
      <bottom/>
      <diagonal/>
    </border>
    <border>
      <left/>
      <right/>
      <top style="double">
        <color rgb="FFFF0000"/>
      </top>
      <bottom/>
      <diagonal/>
    </border>
    <border>
      <left/>
      <right style="double">
        <color rgb="FFFF0000"/>
      </right>
      <top style="double">
        <color rgb="FFFF0000"/>
      </top>
      <bottom/>
      <diagonal/>
    </border>
    <border>
      <left style="double">
        <color rgb="FFFF0000"/>
      </left>
      <right/>
      <top/>
      <bottom/>
      <diagonal/>
    </border>
    <border>
      <left style="double">
        <color rgb="FFFFFF00"/>
      </left>
      <right style="double">
        <color rgb="FFFFFF00"/>
      </right>
      <top style="double">
        <color rgb="FFFFFF00"/>
      </top>
      <bottom style="double">
        <color rgb="FFFFFF00"/>
      </bottom>
      <diagonal/>
    </border>
    <border>
      <left/>
      <right style="double">
        <color rgb="FFFF0000"/>
      </right>
      <top/>
      <bottom/>
      <diagonal/>
    </border>
    <border>
      <left style="double">
        <color rgb="FFFF0000"/>
      </left>
      <right/>
      <top/>
      <bottom style="double">
        <color rgb="FFFF0000"/>
      </bottom>
      <diagonal/>
    </border>
    <border>
      <left/>
      <right/>
      <top/>
      <bottom style="double">
        <color rgb="FFFF0000"/>
      </bottom>
      <diagonal/>
    </border>
    <border>
      <left/>
      <right style="double">
        <color rgb="FFFF0000"/>
      </right>
      <top/>
      <bottom style="double">
        <color rgb="FFFF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dotted">
        <color auto="1"/>
      </right>
      <top/>
      <bottom style="dotted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7" fillId="21" borderId="2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11" borderId="21" applyNumberFormat="0" applyFont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0" fillId="0" borderId="18" applyNumberFormat="0" applyFill="0" applyAlignment="0" applyProtection="0">
      <alignment vertical="center"/>
    </xf>
    <xf numFmtId="0" fontId="34" fillId="0" borderId="1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25" fillId="0" borderId="20" applyNumberFormat="0" applyFill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3" fillId="25" borderId="25" applyNumberFormat="0" applyAlignment="0" applyProtection="0">
      <alignment vertical="center"/>
    </xf>
    <xf numFmtId="0" fontId="31" fillId="25" borderId="23" applyNumberFormat="0" applyAlignment="0" applyProtection="0">
      <alignment vertical="center"/>
    </xf>
    <xf numFmtId="0" fontId="26" fillId="17" borderId="22" applyNumberFormat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24" fillId="0" borderId="19" applyNumberFormat="0" applyFill="0" applyAlignment="0" applyProtection="0">
      <alignment vertical="center"/>
    </xf>
    <xf numFmtId="0" fontId="30" fillId="0" borderId="24" applyNumberFormat="0" applyFill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</cellStyleXfs>
  <cellXfs count="76">
    <xf numFmtId="0" fontId="0" fillId="0" borderId="0" xfId="0">
      <alignment vertical="center"/>
    </xf>
    <xf numFmtId="0" fontId="1" fillId="0" borderId="0" xfId="0" applyFont="1" applyFill="1" applyBorder="1" applyAlignment="1" applyProtection="1">
      <protection locked="0"/>
    </xf>
    <xf numFmtId="0" fontId="2" fillId="2" borderId="1" xfId="0" applyFont="1" applyFill="1" applyBorder="1" applyAlignment="1" applyProtection="1">
      <alignment horizontal="center" vertical="center"/>
    </xf>
    <xf numFmtId="178" fontId="3" fillId="2" borderId="2" xfId="0" applyNumberFormat="1" applyFont="1" applyFill="1" applyBorder="1" applyAlignment="1" applyProtection="1">
      <alignment horizontal="center" vertical="center"/>
    </xf>
    <xf numFmtId="177" fontId="3" fillId="2" borderId="2" xfId="0" applyNumberFormat="1" applyFont="1" applyFill="1" applyBorder="1" applyAlignment="1" applyProtection="1">
      <alignment horizontal="center" vertical="center"/>
    </xf>
    <xf numFmtId="176" fontId="3" fillId="2" borderId="2" xfId="0" applyNumberFormat="1" applyFont="1" applyFill="1" applyBorder="1" applyAlignment="1" applyProtection="1">
      <alignment horizontal="center" vertical="center"/>
    </xf>
    <xf numFmtId="0" fontId="4" fillId="2" borderId="2" xfId="0" applyFont="1" applyFill="1" applyBorder="1" applyProtection="1">
      <alignment vertical="center"/>
    </xf>
    <xf numFmtId="0" fontId="4" fillId="2" borderId="3" xfId="0" applyFont="1" applyFill="1" applyBorder="1" applyAlignment="1" applyProtection="1">
      <alignment horizontal="center" vertical="center"/>
      <protection locked="0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2" borderId="4" xfId="0" applyFont="1" applyFill="1" applyBorder="1" applyAlignment="1" applyProtection="1">
      <alignment horizontal="centerContinuous" vertical="center"/>
    </xf>
    <xf numFmtId="0" fontId="7" fillId="2" borderId="0" xfId="0" applyFont="1" applyFill="1" applyBorder="1" applyAlignment="1" applyProtection="1">
      <alignment horizontal="centerContinuous" vertical="center"/>
    </xf>
    <xf numFmtId="178" fontId="8" fillId="2" borderId="5" xfId="0" applyNumberFormat="1" applyFont="1" applyFill="1" applyBorder="1" applyAlignment="1" applyProtection="1">
      <alignment horizontal="center" vertical="center"/>
      <protection locked="0"/>
    </xf>
    <xf numFmtId="177" fontId="8" fillId="2" borderId="5" xfId="0" applyNumberFormat="1" applyFont="1" applyFill="1" applyBorder="1" applyAlignment="1" applyProtection="1">
      <alignment horizontal="center" vertical="center"/>
      <protection locked="0"/>
    </xf>
    <xf numFmtId="176" fontId="8" fillId="2" borderId="5" xfId="0" applyNumberFormat="1" applyFont="1" applyFill="1" applyBorder="1" applyAlignment="1" applyProtection="1">
      <alignment horizontal="center" vertical="center"/>
      <protection locked="0"/>
    </xf>
    <xf numFmtId="0" fontId="4" fillId="2" borderId="6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180" fontId="7" fillId="2" borderId="4" xfId="0" applyNumberFormat="1" applyFont="1" applyFill="1" applyBorder="1" applyAlignment="1" applyProtection="1">
      <alignment horizontal="center" vertical="center"/>
    </xf>
    <xf numFmtId="181" fontId="9" fillId="2" borderId="0" xfId="0" applyNumberFormat="1" applyFont="1" applyFill="1" applyBorder="1" applyAlignment="1" applyProtection="1">
      <alignment horizontal="center" vertical="center"/>
    </xf>
    <xf numFmtId="181" fontId="9" fillId="2" borderId="6" xfId="0" applyNumberFormat="1" applyFont="1" applyFill="1" applyBorder="1" applyAlignment="1" applyProtection="1">
      <alignment horizontal="center" vertical="center"/>
    </xf>
    <xf numFmtId="179" fontId="7" fillId="2" borderId="4" xfId="0" applyNumberFormat="1" applyFont="1" applyFill="1" applyBorder="1" applyAlignment="1" applyProtection="1">
      <alignment horizontal="center" vertical="center"/>
    </xf>
    <xf numFmtId="182" fontId="7" fillId="2" borderId="4" xfId="0" applyNumberFormat="1" applyFont="1" applyFill="1" applyBorder="1" applyAlignment="1" applyProtection="1">
      <alignment horizontal="center" vertical="center"/>
    </xf>
    <xf numFmtId="183" fontId="7" fillId="2" borderId="4" xfId="0" applyNumberFormat="1" applyFont="1" applyFill="1" applyBorder="1" applyAlignment="1" applyProtection="1">
      <alignment horizontal="center" vertical="center"/>
    </xf>
    <xf numFmtId="184" fontId="7" fillId="2" borderId="4" xfId="0" applyNumberFormat="1" applyFont="1" applyFill="1" applyBorder="1" applyAlignment="1" applyProtection="1">
      <alignment horizontal="center" vertical="center"/>
    </xf>
    <xf numFmtId="185" fontId="7" fillId="2" borderId="4" xfId="0" applyNumberFormat="1" applyFont="1" applyFill="1" applyBorder="1" applyAlignment="1" applyProtection="1">
      <alignment horizontal="center" vertical="center"/>
    </xf>
    <xf numFmtId="0" fontId="9" fillId="2" borderId="4" xfId="0" applyFont="1" applyFill="1" applyBorder="1" applyProtection="1">
      <alignment vertical="center"/>
    </xf>
    <xf numFmtId="0" fontId="9" fillId="2" borderId="0" xfId="0" applyFont="1" applyFill="1" applyBorder="1" applyProtection="1">
      <alignment vertical="center"/>
    </xf>
    <xf numFmtId="0" fontId="9" fillId="2" borderId="6" xfId="0" applyFont="1" applyFill="1" applyBorder="1" applyProtection="1">
      <alignment vertical="center"/>
    </xf>
    <xf numFmtId="185" fontId="7" fillId="2" borderId="0" xfId="0" applyNumberFormat="1" applyFont="1" applyFill="1" applyBorder="1" applyAlignment="1" applyProtection="1">
      <alignment horizontal="center" vertical="center"/>
    </xf>
    <xf numFmtId="0" fontId="5" fillId="2" borderId="0" xfId="0" applyFont="1" applyFill="1" applyBorder="1" applyAlignment="1" applyProtection="1">
      <alignment horizontal="center" vertical="center"/>
    </xf>
    <xf numFmtId="0" fontId="9" fillId="2" borderId="0" xfId="0" applyFont="1" applyFill="1" applyBorder="1" applyAlignment="1" applyProtection="1">
      <alignment horizontal="center" vertical="center"/>
    </xf>
    <xf numFmtId="0" fontId="9" fillId="2" borderId="6" xfId="0" applyFont="1" applyFill="1" applyBorder="1" applyAlignment="1" applyProtection="1">
      <alignment horizontal="center" vertical="center"/>
    </xf>
    <xf numFmtId="0" fontId="6" fillId="2" borderId="7" xfId="0" applyFont="1" applyFill="1" applyBorder="1" applyAlignment="1" applyProtection="1">
      <alignment horizontal="centerContinuous" vertical="center"/>
    </xf>
    <xf numFmtId="0" fontId="3" fillId="2" borderId="8" xfId="0" applyFont="1" applyFill="1" applyBorder="1" applyAlignment="1" applyProtection="1">
      <alignment horizontal="centerContinuous" vertical="center"/>
    </xf>
    <xf numFmtId="0" fontId="4" fillId="2" borderId="8" xfId="0" applyFont="1" applyFill="1" applyBorder="1" applyAlignment="1" applyProtection="1">
      <alignment horizontal="centerContinuous" vertical="center"/>
    </xf>
    <xf numFmtId="0" fontId="4" fillId="2" borderId="9" xfId="0" applyFont="1" applyFill="1" applyBorder="1" applyAlignment="1" applyProtection="1">
      <alignment horizontal="centerContinuous" vertical="center"/>
    </xf>
    <xf numFmtId="0" fontId="6" fillId="0" borderId="0" xfId="0" applyFont="1" applyFill="1" applyBorder="1" applyAlignment="1" applyProtection="1">
      <alignment horizontal="centerContinuous" vertical="center"/>
    </xf>
    <xf numFmtId="0" fontId="3" fillId="0" borderId="0" xfId="0" applyFont="1" applyFill="1" applyBorder="1" applyAlignment="1" applyProtection="1">
      <alignment horizontal="centerContinuous" vertical="center"/>
    </xf>
    <xf numFmtId="0" fontId="4" fillId="0" borderId="0" xfId="0" applyFont="1" applyFill="1" applyBorder="1" applyAlignment="1" applyProtection="1">
      <alignment horizontal="centerContinuous" vertical="center"/>
    </xf>
    <xf numFmtId="0" fontId="10" fillId="0" borderId="10" xfId="0" applyFont="1" applyFill="1" applyBorder="1" applyAlignment="1" applyProtection="1">
      <alignment horizontal="left" vertical="center" wrapText="1"/>
      <protection locked="0"/>
    </xf>
    <xf numFmtId="0" fontId="10" fillId="0" borderId="10" xfId="0" applyFont="1" applyFill="1" applyBorder="1" applyAlignment="1" applyProtection="1">
      <alignment horizontal="center" vertical="center" wrapText="1"/>
      <protection locked="0"/>
    </xf>
    <xf numFmtId="0" fontId="10" fillId="0" borderId="10" xfId="0" applyFont="1" applyFill="1" applyBorder="1" applyAlignment="1" applyProtection="1">
      <alignment horizontal="left" vertical="top" wrapText="1"/>
      <protection locked="0"/>
    </xf>
    <xf numFmtId="0" fontId="10" fillId="0" borderId="10" xfId="0" applyFont="1" applyFill="1" applyBorder="1" applyAlignment="1" applyProtection="1">
      <alignment horizontal="center" vertical="top" wrapText="1"/>
      <protection locked="0"/>
    </xf>
    <xf numFmtId="0" fontId="11" fillId="0" borderId="10" xfId="0" applyFont="1" applyFill="1" applyBorder="1" applyAlignment="1" applyProtection="1">
      <alignment horizontal="center" vertical="center"/>
      <protection locked="0"/>
    </xf>
    <xf numFmtId="0" fontId="11" fillId="0" borderId="11" xfId="0" applyFont="1" applyFill="1" applyBorder="1" applyAlignment="1" applyProtection="1">
      <alignment horizontal="center" vertical="center"/>
      <protection locked="0"/>
    </xf>
    <xf numFmtId="186" fontId="11" fillId="0" borderId="11" xfId="0" applyNumberFormat="1" applyFont="1" applyFill="1" applyBorder="1" applyAlignment="1" applyProtection="1">
      <alignment horizontal="right" vertical="center"/>
      <protection locked="0"/>
    </xf>
    <xf numFmtId="0" fontId="11" fillId="0" borderId="12" xfId="0" applyNumberFormat="1" applyFont="1" applyFill="1" applyBorder="1" applyAlignment="1" applyProtection="1">
      <alignment horizontal="right" vertical="center"/>
      <protection locked="0"/>
    </xf>
    <xf numFmtId="0" fontId="11" fillId="0" borderId="12" xfId="0" applyFont="1" applyFill="1" applyBorder="1" applyAlignment="1" applyProtection="1">
      <alignment horizontal="left" vertical="center"/>
      <protection locked="0"/>
    </xf>
    <xf numFmtId="0" fontId="11" fillId="0" borderId="13" xfId="0" applyFont="1" applyFill="1" applyBorder="1" applyAlignment="1" applyProtection="1">
      <alignment horizontal="left" vertical="center"/>
      <protection locked="0"/>
    </xf>
    <xf numFmtId="0" fontId="2" fillId="0" borderId="10" xfId="0" applyFont="1" applyFill="1" applyBorder="1" applyAlignment="1" applyProtection="1">
      <alignment horizontal="left" vertical="center"/>
      <protection locked="0"/>
    </xf>
    <xf numFmtId="0" fontId="10" fillId="0" borderId="14" xfId="0" applyFont="1" applyFill="1" applyBorder="1" applyAlignment="1" applyProtection="1">
      <alignment horizontal="center" vertical="center" wrapText="1"/>
      <protection locked="0"/>
    </xf>
    <xf numFmtId="183" fontId="2" fillId="0" borderId="14" xfId="0" applyNumberFormat="1" applyFont="1" applyFill="1" applyBorder="1" applyAlignment="1" applyProtection="1">
      <alignment horizontal="center" vertical="center" wrapText="1"/>
      <protection locked="0"/>
    </xf>
    <xf numFmtId="0" fontId="10" fillId="0" borderId="14" xfId="0" applyFont="1" applyFill="1" applyBorder="1" applyAlignment="1" applyProtection="1">
      <alignment horizontal="center" vertical="center"/>
      <protection locked="0"/>
    </xf>
    <xf numFmtId="187" fontId="2" fillId="0" borderId="14" xfId="0" applyNumberFormat="1" applyFont="1" applyFill="1" applyBorder="1" applyAlignment="1" applyProtection="1">
      <alignment horizontal="center" vertical="center"/>
      <protection locked="0"/>
    </xf>
    <xf numFmtId="0" fontId="1" fillId="0" borderId="0" xfId="0" applyFont="1" applyFill="1" applyBorder="1" applyAlignment="1" applyProtection="1">
      <alignment vertical="center" wrapText="1"/>
      <protection locked="0"/>
    </xf>
    <xf numFmtId="0" fontId="2" fillId="0" borderId="10" xfId="0" applyFont="1" applyFill="1" applyBorder="1" applyAlignment="1" applyProtection="1">
      <alignment horizontal="center" vertical="center" wrapText="1"/>
      <protection locked="0"/>
    </xf>
    <xf numFmtId="0" fontId="2" fillId="0" borderId="10" xfId="0" applyFont="1" applyFill="1" applyBorder="1" applyAlignment="1" applyProtection="1">
      <alignment horizontal="center" vertical="center"/>
      <protection locked="0"/>
    </xf>
    <xf numFmtId="0" fontId="10" fillId="0" borderId="10" xfId="0" applyFont="1" applyFill="1" applyBorder="1" applyAlignment="1" applyProtection="1">
      <alignment horizontal="center" vertical="center"/>
      <protection locked="0"/>
    </xf>
    <xf numFmtId="0" fontId="10" fillId="0" borderId="10" xfId="0" applyFont="1" applyFill="1" applyBorder="1" applyAlignment="1" applyProtection="1">
      <alignment vertical="center" textRotation="255"/>
      <protection locked="0"/>
    </xf>
    <xf numFmtId="0" fontId="12" fillId="3" borderId="10" xfId="0" applyNumberFormat="1" applyFont="1" applyFill="1" applyBorder="1" applyAlignment="1" applyProtection="1">
      <alignment horizontal="center" vertical="center" wrapText="1"/>
      <protection locked="0"/>
    </xf>
    <xf numFmtId="0" fontId="13" fillId="0" borderId="10" xfId="0" applyFont="1" applyFill="1" applyBorder="1" applyAlignment="1" applyProtection="1">
      <alignment horizontal="center" vertical="center" textRotation="255"/>
      <protection locked="0"/>
    </xf>
    <xf numFmtId="0" fontId="5" fillId="0" borderId="10" xfId="0" applyFont="1" applyFill="1" applyBorder="1" applyAlignment="1" applyProtection="1">
      <alignment vertical="center"/>
      <protection locked="0"/>
    </xf>
    <xf numFmtId="0" fontId="5" fillId="0" borderId="10" xfId="0" applyFont="1" applyFill="1" applyBorder="1" applyAlignment="1" applyProtection="1">
      <alignment horizontal="center" vertical="center"/>
      <protection locked="0"/>
    </xf>
    <xf numFmtId="0" fontId="14" fillId="0" borderId="10" xfId="0" applyFont="1" applyFill="1" applyBorder="1" applyAlignment="1" applyProtection="1">
      <alignment horizontal="center" vertical="center"/>
      <protection locked="0"/>
    </xf>
    <xf numFmtId="0" fontId="5" fillId="0" borderId="10" xfId="0" applyFont="1" applyFill="1" applyBorder="1" applyAlignment="1" applyProtection="1">
      <alignment horizontal="center"/>
      <protection locked="0"/>
    </xf>
    <xf numFmtId="0" fontId="0" fillId="0" borderId="15" xfId="0" applyNumberFormat="1" applyFont="1" applyFill="1" applyBorder="1" applyAlignment="1" applyProtection="1">
      <alignment horizontal="center" vertical="center"/>
      <protection locked="0"/>
    </xf>
    <xf numFmtId="1" fontId="14" fillId="0" borderId="10" xfId="0" applyNumberFormat="1" applyFont="1" applyFill="1" applyBorder="1" applyAlignment="1" applyProtection="1">
      <alignment horizontal="center" vertical="center"/>
      <protection locked="0"/>
    </xf>
    <xf numFmtId="1" fontId="5" fillId="0" borderId="10" xfId="0" applyNumberFormat="1" applyFont="1" applyFill="1" applyBorder="1" applyAlignment="1" applyProtection="1">
      <alignment horizontal="center" vertical="center"/>
      <protection locked="0"/>
    </xf>
    <xf numFmtId="188" fontId="14" fillId="0" borderId="10" xfId="0" applyNumberFormat="1" applyFont="1" applyFill="1" applyBorder="1" applyAlignment="1" applyProtection="1">
      <alignment horizontal="center" vertical="center"/>
      <protection locked="0"/>
    </xf>
    <xf numFmtId="0" fontId="5" fillId="0" borderId="10" xfId="0" applyFont="1" applyFill="1" applyBorder="1" applyAlignment="1" applyProtection="1">
      <protection locked="0"/>
    </xf>
    <xf numFmtId="0" fontId="15" fillId="0" borderId="10" xfId="0" applyFont="1" applyFill="1" applyBorder="1" applyAlignment="1" applyProtection="1">
      <alignment vertical="center"/>
      <protection locked="0"/>
    </xf>
    <xf numFmtId="0" fontId="13" fillId="0" borderId="16" xfId="0" applyFont="1" applyFill="1" applyBorder="1" applyAlignment="1" applyProtection="1">
      <alignment horizontal="center" vertical="center" textRotation="255"/>
      <protection locked="0"/>
    </xf>
    <xf numFmtId="0" fontId="13" fillId="0" borderId="17" xfId="0" applyFont="1" applyFill="1" applyBorder="1" applyAlignment="1" applyProtection="1">
      <alignment horizontal="center" vertical="center" textRotation="255"/>
      <protection locked="0"/>
    </xf>
    <xf numFmtId="0" fontId="1" fillId="0" borderId="10" xfId="0" applyFont="1" applyFill="1" applyBorder="1" applyAlignment="1" applyProtection="1">
      <alignment horizontal="center"/>
      <protection locked="0"/>
    </xf>
    <xf numFmtId="0" fontId="1" fillId="0" borderId="10" xfId="0" applyFont="1" applyFill="1" applyBorder="1" applyAlignment="1" applyProtection="1">
      <protection locked="0"/>
    </xf>
    <xf numFmtId="0" fontId="13" fillId="0" borderId="14" xfId="0" applyFont="1" applyFill="1" applyBorder="1" applyAlignment="1" applyProtection="1">
      <alignment horizontal="center" vertical="center" textRotation="255"/>
      <protection locked="0"/>
    </xf>
    <xf numFmtId="0" fontId="13" fillId="0" borderId="10" xfId="0" applyFont="1" applyFill="1" applyBorder="1" applyAlignment="1" applyProtection="1">
      <alignment horizontal="center" vertical="center" wrapText="1"/>
      <protection locked="0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1"/>
  <sheetViews>
    <sheetView showGridLines="0" tabSelected="1" topLeftCell="A12" workbookViewId="0">
      <selection activeCell="F21" sqref="F21:F57"/>
    </sheetView>
  </sheetViews>
  <sheetFormatPr defaultColWidth="9" defaultRowHeight="15" customHeight="1" outlineLevelCol="7"/>
  <cols>
    <col min="1" max="1" width="3.125" style="1" customWidth="1"/>
    <col min="2" max="2" width="20.625" style="1" customWidth="1"/>
    <col min="3" max="5" width="10.625" style="1" customWidth="1"/>
    <col min="6" max="6" width="22.75" style="1" customWidth="1"/>
    <col min="7" max="7" width="10.625" style="1" customWidth="1"/>
    <col min="8" max="8" width="9" style="1"/>
    <col min="9" max="9" width="8.875" style="1" customWidth="1"/>
    <col min="10" max="16384" width="9" style="1"/>
  </cols>
  <sheetData>
    <row r="1" s="1" customFormat="1" ht="20" customHeight="1" spans="1:8">
      <c r="A1" s="2"/>
      <c r="B1" s="3"/>
      <c r="C1" s="3"/>
      <c r="D1" s="4"/>
      <c r="E1" s="5"/>
      <c r="F1" s="6"/>
      <c r="G1" s="7" t="s">
        <v>0</v>
      </c>
      <c r="H1" s="8"/>
    </row>
    <row r="2" s="1" customFormat="1" ht="20" customHeight="1" spans="1:8">
      <c r="A2" s="9" t="s">
        <v>1</v>
      </c>
      <c r="B2" s="10"/>
      <c r="C2" s="11">
        <v>40</v>
      </c>
      <c r="D2" s="11">
        <v>70</v>
      </c>
      <c r="E2" s="12">
        <v>1</v>
      </c>
      <c r="F2" s="13">
        <v>5</v>
      </c>
      <c r="G2" s="14">
        <v>5.4</v>
      </c>
      <c r="H2" s="15"/>
    </row>
    <row r="3" s="1" customFormat="1" ht="20" hidden="1" customHeight="1" spans="1:8">
      <c r="A3" s="16">
        <f>D2/F2*E2</f>
        <v>14</v>
      </c>
      <c r="B3" s="17" t="str">
        <f>IF(AND(A7&gt;=1,A7&lt;=1),1,"")</f>
        <v/>
      </c>
      <c r="C3" s="17" t="str">
        <f>IF(AND(A7&gt;=27,A7&lt;=31),7,"")</f>
        <v/>
      </c>
      <c r="D3" s="17" t="str">
        <f>IF(AND(A7&gt;=57,A7&lt;=61),13,"")</f>
        <v/>
      </c>
      <c r="E3" s="17" t="str">
        <f>IF(AND(A7&gt;=1,A7&lt;=2),1,"")</f>
        <v/>
      </c>
      <c r="F3" s="17" t="str">
        <f>IF(AND(A7&gt;=27,A7&lt;=32),12,"")</f>
        <v/>
      </c>
      <c r="G3" s="18" t="str">
        <f>IF(AND(A7&gt;=63,A7&lt;=68),24,"")</f>
        <v/>
      </c>
      <c r="H3" s="15"/>
    </row>
    <row r="4" s="1" customFormat="1" ht="20" hidden="1" customHeight="1" spans="1:8">
      <c r="A4" s="19">
        <f>(D2/F2+1)*E2</f>
        <v>15</v>
      </c>
      <c r="B4" s="17" t="str">
        <f>IF(AND(A7&gt;=2,A7&lt;=6),2,"")</f>
        <v/>
      </c>
      <c r="C4" s="17" t="str">
        <f>IF(AND(A7&gt;=32,A7&lt;=36),8,"")</f>
        <v/>
      </c>
      <c r="D4" s="17" t="str">
        <f>IF(AND(A7&gt;=62,A7&lt;=66),14,"")</f>
        <v/>
      </c>
      <c r="E4" s="17" t="str">
        <f>IF(AND(A7&gt;=3,A7&lt;=3),2,"")</f>
        <v/>
      </c>
      <c r="F4" s="17" t="str">
        <f>IF(AND(A7&gt;=33,A7&lt;=38),14,"")</f>
        <v/>
      </c>
      <c r="G4" s="18" t="str">
        <f>IF(AND(A7&gt;=69,A7&lt;=74),26,"")</f>
        <v/>
      </c>
      <c r="H4" s="15"/>
    </row>
    <row r="5" s="1" customFormat="1" ht="20" hidden="1" customHeight="1" spans="1:8">
      <c r="A5" s="20">
        <f>E2*2</f>
        <v>2</v>
      </c>
      <c r="B5" s="17" t="str">
        <f>IF(AND(A7&gt;=7,A7&lt;=11),3,"")</f>
        <v/>
      </c>
      <c r="C5" s="17" t="str">
        <f>IF(AND(A7&gt;=37,A7&lt;=41),9,"")</f>
        <v/>
      </c>
      <c r="D5" s="17" t="str">
        <f>IF(AND(A7&gt;=67,A7&lt;=71),15,"")</f>
        <v/>
      </c>
      <c r="E5" s="17" t="str">
        <f>IF(AND(A7&gt;=4,A7&lt;=8),4,"")</f>
        <v/>
      </c>
      <c r="F5" s="17" t="str">
        <f>IF(AND(A7&gt;=39,A7&lt;=44),16,"")</f>
        <v/>
      </c>
      <c r="G5" s="18" t="str">
        <f>IF(AND(A7&gt;=75,A7&lt;=80),28,"")</f>
        <v/>
      </c>
      <c r="H5" s="15"/>
    </row>
    <row r="6" s="1" customFormat="1" ht="20" hidden="1" customHeight="1" spans="1:8">
      <c r="A6" s="21">
        <f>(C2*D2)*E2</f>
        <v>2800</v>
      </c>
      <c r="B6" s="17">
        <f>IF(AND(A7&gt;=12,A7&lt;=16),4,"")</f>
        <v>4</v>
      </c>
      <c r="C6" s="17" t="str">
        <f>IF(AND(A7&gt;=42,A7&lt;=46),10,"")</f>
        <v/>
      </c>
      <c r="D6" s="17" t="str">
        <f>IF(AND(A7&gt;=72,A7&lt;=76),16,"")</f>
        <v/>
      </c>
      <c r="E6" s="17">
        <f>IF(AND(A7&gt;=9,A7&lt;=14),6,"")</f>
        <v>6</v>
      </c>
      <c r="F6" s="17" t="str">
        <f>IF(AND(A7&gt;=45,A7&lt;=50),18,"")</f>
        <v/>
      </c>
      <c r="G6" s="18" t="str">
        <f>IF(AND(A7&gt;=81,A7&lt;=86),30,"")</f>
        <v/>
      </c>
      <c r="H6" s="15"/>
    </row>
    <row r="7" s="1" customFormat="1" ht="20" hidden="1" customHeight="1" spans="1:8">
      <c r="A7" s="22">
        <f>D2/F2</f>
        <v>14</v>
      </c>
      <c r="B7" s="17" t="str">
        <f>IF(AND(A7&gt;=17,A7&lt;=21),5,"")</f>
        <v/>
      </c>
      <c r="C7" s="17" t="str">
        <f>IF(AND(A7&gt;=47,A7&lt;=51),11,"")</f>
        <v/>
      </c>
      <c r="D7" s="17" t="str">
        <f>IF(AND(A7&gt;=77,A7&lt;=81),17,"")</f>
        <v/>
      </c>
      <c r="E7" s="17" t="str">
        <f>IF(AND(A7&gt;=15,A7&lt;=20),8,"")</f>
        <v/>
      </c>
      <c r="F7" s="17" t="str">
        <f>IF(AND(A7&gt;=51,A7&lt;=56),20,"")</f>
        <v/>
      </c>
      <c r="G7" s="18" t="str">
        <f>IF(AND(A7&gt;=87,A7&lt;=92),32,"")</f>
        <v/>
      </c>
      <c r="H7" s="15"/>
    </row>
    <row r="8" s="1" customFormat="1" ht="20" hidden="1" customHeight="1" spans="1:8">
      <c r="A8" s="23">
        <f>SUM(A10:A11)</f>
        <v>24</v>
      </c>
      <c r="B8" s="17" t="str">
        <f>IF(AND(A7&gt;=22,A7&lt;=26),6,"")</f>
        <v/>
      </c>
      <c r="C8" s="17" t="str">
        <f>IF(AND(A7&gt;=52,A7&lt;=56),12,"")</f>
        <v/>
      </c>
      <c r="D8" s="17" t="str">
        <f>IF(AND(A7&gt;=82,A7&lt;=86),18,"")</f>
        <v/>
      </c>
      <c r="E8" s="17" t="str">
        <f>IF(AND(A7&gt;=21,A7&lt;=26),10,"")</f>
        <v/>
      </c>
      <c r="F8" s="17" t="str">
        <f>IF(AND(A7&gt;=57,A7&lt;=62),22,"")</f>
        <v/>
      </c>
      <c r="G8" s="18" t="str">
        <f>IF(AND(A7&gt;=93,A7&lt;=98),34,"")</f>
        <v/>
      </c>
      <c r="H8" s="15"/>
    </row>
    <row r="9" s="1" customFormat="1" ht="20" hidden="1" customHeight="1" spans="1:8">
      <c r="A9" s="24" t="str">
        <f>"篷房规格："&amp;C2&amp;"m × "&amp;D2&amp;"m × "&amp;E2&amp;"座"</f>
        <v>篷房规格：40m × 70m × 1座</v>
      </c>
      <c r="B9" s="25"/>
      <c r="C9" s="25"/>
      <c r="D9" s="25"/>
      <c r="E9" s="25"/>
      <c r="F9" s="25"/>
      <c r="G9" s="26"/>
      <c r="H9" s="15"/>
    </row>
    <row r="10" s="1" customFormat="1" ht="20" hidden="1" customHeight="1" spans="1:8">
      <c r="A10" s="23" t="str">
        <f>IF(AND(C2&gt;=0,C2&lt;=25),B10,"")</f>
        <v/>
      </c>
      <c r="B10" s="27">
        <f>SUM(B3:D8)*4*E2</f>
        <v>16</v>
      </c>
      <c r="C10" s="28"/>
      <c r="D10" s="29"/>
      <c r="E10" s="29"/>
      <c r="F10" s="29"/>
      <c r="G10" s="30"/>
      <c r="H10" s="15"/>
    </row>
    <row r="11" s="1" customFormat="1" ht="20" hidden="1" customHeight="1" spans="1:7">
      <c r="A11" s="23">
        <f>IF(AND(C2&gt;=26,C2&lt;=100),B11,"")</f>
        <v>24</v>
      </c>
      <c r="B11" s="27">
        <f>SUM(E3:G8)*4*E2</f>
        <v>24</v>
      </c>
      <c r="C11" s="29"/>
      <c r="D11" s="29"/>
      <c r="E11" s="29"/>
      <c r="F11" s="29"/>
      <c r="G11" s="30"/>
    </row>
    <row r="12" s="1" customFormat="1" ht="20" customHeight="1" spans="1:7">
      <c r="A12" s="31" t="s">
        <v>2</v>
      </c>
      <c r="B12" s="32"/>
      <c r="C12" s="33"/>
      <c r="D12" s="33"/>
      <c r="E12" s="33"/>
      <c r="F12" s="33"/>
      <c r="G12" s="34"/>
    </row>
    <row r="13" s="1" customFormat="1" ht="5" customHeight="1" spans="1:7">
      <c r="A13" s="35"/>
      <c r="B13" s="36"/>
      <c r="C13" s="37"/>
      <c r="D13" s="37"/>
      <c r="E13" s="37"/>
      <c r="F13" s="37"/>
      <c r="G13" s="37"/>
    </row>
    <row r="14" s="1" customFormat="1" ht="20" customHeight="1" spans="1:7">
      <c r="A14" s="38" t="s">
        <v>3</v>
      </c>
      <c r="B14" s="38"/>
      <c r="C14" s="39"/>
      <c r="D14" s="38"/>
      <c r="E14" s="38" t="s">
        <v>4</v>
      </c>
      <c r="F14" s="38"/>
      <c r="G14" s="38"/>
    </row>
    <row r="15" s="1" customFormat="1" ht="20" customHeight="1" spans="1:7">
      <c r="A15" s="40" t="s">
        <v>5</v>
      </c>
      <c r="B15" s="40"/>
      <c r="C15" s="41"/>
      <c r="D15" s="40"/>
      <c r="E15" s="38" t="s">
        <v>6</v>
      </c>
      <c r="F15" s="38"/>
      <c r="G15" s="38"/>
    </row>
    <row r="16" s="1" customFormat="1" ht="20" customHeight="1" spans="1:7">
      <c r="A16" s="40"/>
      <c r="B16" s="40"/>
      <c r="C16" s="41"/>
      <c r="D16" s="40"/>
      <c r="E16" s="38" t="s">
        <v>7</v>
      </c>
      <c r="F16" s="38"/>
      <c r="G16" s="38"/>
    </row>
    <row r="17" s="1" customFormat="1" ht="20" customHeight="1" spans="1:7">
      <c r="A17" s="42" t="s">
        <v>8</v>
      </c>
      <c r="B17" s="43"/>
      <c r="C17" s="44">
        <f>C2</f>
        <v>40</v>
      </c>
      <c r="D17" s="45" t="str">
        <f>"（"&amp;G1&amp;"料"</f>
        <v>（120*350料</v>
      </c>
      <c r="E17" s="46" t="str">
        <f>G2&amp;"米边高)"</f>
        <v>5.4米边高)</v>
      </c>
      <c r="F17" s="46" t="s">
        <v>9</v>
      </c>
      <c r="G17" s="47"/>
    </row>
    <row r="18" s="1" customFormat="1" customHeight="1" spans="1:8">
      <c r="A18" s="48" t="str">
        <f>A9</f>
        <v>篷房规格：40m × 70m × 1座</v>
      </c>
      <c r="B18" s="48"/>
      <c r="C18" s="48"/>
      <c r="D18" s="49" t="s">
        <v>10</v>
      </c>
      <c r="E18" s="50">
        <f>A6</f>
        <v>2800</v>
      </c>
      <c r="F18" s="51" t="s">
        <v>11</v>
      </c>
      <c r="G18" s="52">
        <f>SUM(C21:C500)</f>
        <v>29956.12</v>
      </c>
      <c r="H18" s="53"/>
    </row>
    <row r="19" s="1" customFormat="1" customHeight="1" spans="1:8">
      <c r="A19" s="54">
        <f>A3</f>
        <v>14</v>
      </c>
      <c r="B19" s="54"/>
      <c r="C19" s="39" t="s">
        <v>12</v>
      </c>
      <c r="D19" s="55">
        <f>A4</f>
        <v>15</v>
      </c>
      <c r="E19" s="56" t="s">
        <v>13</v>
      </c>
      <c r="F19" s="54">
        <f>A5</f>
        <v>2</v>
      </c>
      <c r="G19" s="56" t="s">
        <v>14</v>
      </c>
      <c r="H19" s="53"/>
    </row>
    <row r="20" s="1" customFormat="1" ht="25" customHeight="1" spans="1:8">
      <c r="A20" s="57" t="s">
        <v>15</v>
      </c>
      <c r="B20" s="56" t="s">
        <v>16</v>
      </c>
      <c r="C20" s="39" t="s">
        <v>17</v>
      </c>
      <c r="D20" s="56" t="s">
        <v>18</v>
      </c>
      <c r="E20" s="56" t="s">
        <v>19</v>
      </c>
      <c r="F20" s="56" t="s">
        <v>20</v>
      </c>
      <c r="G20" s="56" t="s">
        <v>21</v>
      </c>
      <c r="H20" s="58" t="s">
        <v>22</v>
      </c>
    </row>
    <row r="21" customHeight="1" spans="1:8">
      <c r="A21" s="59" t="s">
        <v>23</v>
      </c>
      <c r="B21" s="60" t="s">
        <v>24</v>
      </c>
      <c r="C21" s="61">
        <f t="shared" ref="C21:C33" si="0">E21*H21</f>
        <v>4590</v>
      </c>
      <c r="D21" s="61" t="s">
        <v>25</v>
      </c>
      <c r="E21" s="62">
        <f>D19*2</f>
        <v>30</v>
      </c>
      <c r="F21" s="61" t="s">
        <v>26</v>
      </c>
      <c r="G21" s="63"/>
      <c r="H21" s="64">
        <v>153</v>
      </c>
    </row>
    <row r="22" customHeight="1" spans="1:8">
      <c r="A22" s="59"/>
      <c r="B22" s="60" t="s">
        <v>27</v>
      </c>
      <c r="C22" s="61">
        <f t="shared" si="0"/>
        <v>5220</v>
      </c>
      <c r="D22" s="61" t="s">
        <v>25</v>
      </c>
      <c r="E22" s="62">
        <f>D19*2</f>
        <v>30</v>
      </c>
      <c r="F22" s="61" t="s">
        <v>26</v>
      </c>
      <c r="G22" s="63"/>
      <c r="H22" s="64">
        <v>174</v>
      </c>
    </row>
    <row r="23" customHeight="1" spans="1:8">
      <c r="A23" s="59"/>
      <c r="B23" s="60" t="s">
        <v>28</v>
      </c>
      <c r="C23" s="61">
        <f t="shared" si="0"/>
        <v>3900</v>
      </c>
      <c r="D23" s="61" t="s">
        <v>25</v>
      </c>
      <c r="E23" s="62">
        <f>D19*2</f>
        <v>30</v>
      </c>
      <c r="F23" s="61" t="s">
        <v>26</v>
      </c>
      <c r="G23" s="63"/>
      <c r="H23" s="64">
        <v>130</v>
      </c>
    </row>
    <row r="24" customHeight="1" spans="1:8">
      <c r="A24" s="59"/>
      <c r="B24" s="60" t="s">
        <v>29</v>
      </c>
      <c r="C24" s="61">
        <f t="shared" si="0"/>
        <v>256</v>
      </c>
      <c r="D24" s="61" t="s">
        <v>25</v>
      </c>
      <c r="E24" s="62">
        <f>F19*2</f>
        <v>4</v>
      </c>
      <c r="F24" s="61" t="s">
        <v>30</v>
      </c>
      <c r="G24" s="63"/>
      <c r="H24" s="64">
        <v>64</v>
      </c>
    </row>
    <row r="25" customHeight="1" spans="1:8">
      <c r="A25" s="59"/>
      <c r="B25" s="60" t="s">
        <v>31</v>
      </c>
      <c r="C25" s="61">
        <f t="shared" si="0"/>
        <v>320</v>
      </c>
      <c r="D25" s="61" t="s">
        <v>25</v>
      </c>
      <c r="E25" s="62">
        <f>F19*2</f>
        <v>4</v>
      </c>
      <c r="F25" s="61" t="s">
        <v>30</v>
      </c>
      <c r="G25" s="63"/>
      <c r="H25" s="64">
        <v>80</v>
      </c>
    </row>
    <row r="26" customHeight="1" spans="1:8">
      <c r="A26" s="59"/>
      <c r="B26" s="60" t="s">
        <v>32</v>
      </c>
      <c r="C26" s="61">
        <f t="shared" si="0"/>
        <v>380</v>
      </c>
      <c r="D26" s="61" t="s">
        <v>25</v>
      </c>
      <c r="E26" s="62">
        <f>F19*2</f>
        <v>4</v>
      </c>
      <c r="F26" s="61" t="s">
        <v>30</v>
      </c>
      <c r="G26" s="63"/>
      <c r="H26" s="64">
        <v>95</v>
      </c>
    </row>
    <row r="27" customHeight="1" spans="1:8">
      <c r="A27" s="59"/>
      <c r="B27" s="60" t="s">
        <v>33</v>
      </c>
      <c r="C27" s="61">
        <f t="shared" si="0"/>
        <v>220</v>
      </c>
      <c r="D27" s="61" t="s">
        <v>25</v>
      </c>
      <c r="E27" s="62">
        <f>F19</f>
        <v>2</v>
      </c>
      <c r="F27" s="61" t="s">
        <v>34</v>
      </c>
      <c r="G27" s="63"/>
      <c r="H27" s="64">
        <v>110</v>
      </c>
    </row>
    <row r="28" customHeight="1" spans="1:8">
      <c r="A28" s="59"/>
      <c r="B28" s="60" t="s">
        <v>35</v>
      </c>
      <c r="C28" s="61">
        <f t="shared" si="0"/>
        <v>2565</v>
      </c>
      <c r="D28" s="61" t="s">
        <v>25</v>
      </c>
      <c r="E28" s="62">
        <f>A19*12+F19*6</f>
        <v>180</v>
      </c>
      <c r="F28" s="61" t="s">
        <v>36</v>
      </c>
      <c r="G28" s="63"/>
      <c r="H28" s="64">
        <v>14.25</v>
      </c>
    </row>
    <row r="29" customHeight="1" spans="1:8">
      <c r="A29" s="59"/>
      <c r="B29" s="60" t="s">
        <v>37</v>
      </c>
      <c r="C29" s="61">
        <f t="shared" si="0"/>
        <v>826</v>
      </c>
      <c r="D29" s="61" t="s">
        <v>25</v>
      </c>
      <c r="E29" s="62">
        <f>A19*2</f>
        <v>28</v>
      </c>
      <c r="F29" s="61" t="s">
        <v>38</v>
      </c>
      <c r="G29" s="63"/>
      <c r="H29" s="64">
        <v>29.5</v>
      </c>
    </row>
    <row r="30" customHeight="1" spans="1:8">
      <c r="A30" s="59"/>
      <c r="B30" s="60" t="s">
        <v>39</v>
      </c>
      <c r="C30" s="61">
        <f t="shared" si="0"/>
        <v>1239</v>
      </c>
      <c r="D30" s="61" t="s">
        <v>25</v>
      </c>
      <c r="E30" s="62">
        <f>A19*3</f>
        <v>42</v>
      </c>
      <c r="F30" s="61" t="s">
        <v>40</v>
      </c>
      <c r="G30" s="63"/>
      <c r="H30" s="64">
        <v>29.5</v>
      </c>
    </row>
    <row r="31" customHeight="1" spans="1:8">
      <c r="A31" s="59"/>
      <c r="B31" s="60" t="s">
        <v>41</v>
      </c>
      <c r="C31" s="61">
        <f t="shared" si="0"/>
        <v>63.2</v>
      </c>
      <c r="D31" s="61" t="s">
        <v>25</v>
      </c>
      <c r="E31" s="65">
        <f>F19*2</f>
        <v>4</v>
      </c>
      <c r="F31" s="66" t="s">
        <v>30</v>
      </c>
      <c r="G31" s="63"/>
      <c r="H31" s="64">
        <v>15.8</v>
      </c>
    </row>
    <row r="32" customHeight="1" spans="1:8">
      <c r="A32" s="59"/>
      <c r="B32" s="60" t="s">
        <v>42</v>
      </c>
      <c r="C32" s="61">
        <f t="shared" si="0"/>
        <v>15.4</v>
      </c>
      <c r="D32" s="61" t="s">
        <v>25</v>
      </c>
      <c r="E32" s="65">
        <f>F19</f>
        <v>2</v>
      </c>
      <c r="F32" s="66" t="s">
        <v>34</v>
      </c>
      <c r="G32" s="63"/>
      <c r="H32" s="64">
        <v>7.7</v>
      </c>
    </row>
    <row r="33" customHeight="1" spans="1:8">
      <c r="A33" s="59"/>
      <c r="B33" s="60" t="s">
        <v>43</v>
      </c>
      <c r="C33" s="61">
        <f t="shared" si="0"/>
        <v>283.8</v>
      </c>
      <c r="D33" s="61" t="s">
        <v>25</v>
      </c>
      <c r="E33" s="62">
        <f>A19*2+F19*8</f>
        <v>44</v>
      </c>
      <c r="F33" s="61" t="s">
        <v>44</v>
      </c>
      <c r="G33" s="63"/>
      <c r="H33" s="64">
        <v>6.45</v>
      </c>
    </row>
    <row r="34" customHeight="1" spans="1:8">
      <c r="A34" s="59"/>
      <c r="B34" s="60" t="s">
        <v>45</v>
      </c>
      <c r="C34" s="61">
        <f t="shared" ref="C34:C57" si="1">E34*H34</f>
        <v>1517.1</v>
      </c>
      <c r="D34" s="61" t="s">
        <v>25</v>
      </c>
      <c r="E34" s="65">
        <f>D19*2-F19*2</f>
        <v>26</v>
      </c>
      <c r="F34" s="66" t="s">
        <v>46</v>
      </c>
      <c r="G34" s="63"/>
      <c r="H34" s="64">
        <v>58.35</v>
      </c>
    </row>
    <row r="35" customHeight="1" spans="1:8">
      <c r="A35" s="59"/>
      <c r="B35" s="60" t="s">
        <v>47</v>
      </c>
      <c r="C35" s="61">
        <f t="shared" si="1"/>
        <v>667.55</v>
      </c>
      <c r="D35" s="61" t="s">
        <v>25</v>
      </c>
      <c r="E35" s="65">
        <f>D19-F19</f>
        <v>13</v>
      </c>
      <c r="F35" s="66" t="s">
        <v>48</v>
      </c>
      <c r="G35" s="63"/>
      <c r="H35" s="64">
        <v>51.35</v>
      </c>
    </row>
    <row r="36" customHeight="1" spans="1:8">
      <c r="A36" s="59"/>
      <c r="B36" s="60" t="s">
        <v>49</v>
      </c>
      <c r="C36" s="61">
        <f t="shared" si="1"/>
        <v>1080</v>
      </c>
      <c r="D36" s="61" t="s">
        <v>25</v>
      </c>
      <c r="E36" s="67">
        <f>A8</f>
        <v>24</v>
      </c>
      <c r="F36" s="61" t="s">
        <v>50</v>
      </c>
      <c r="G36" s="63"/>
      <c r="H36" s="64">
        <v>45</v>
      </c>
    </row>
    <row r="37" customHeight="1" spans="1:8">
      <c r="A37" s="59"/>
      <c r="B37" s="68" t="s">
        <v>51</v>
      </c>
      <c r="C37" s="61">
        <f t="shared" si="1"/>
        <v>224.4</v>
      </c>
      <c r="D37" s="61" t="s">
        <v>25</v>
      </c>
      <c r="E37" s="62">
        <f>A19*2+F19*8</f>
        <v>44</v>
      </c>
      <c r="F37" s="61" t="s">
        <v>44</v>
      </c>
      <c r="G37" s="63"/>
      <c r="H37" s="64">
        <v>5.1</v>
      </c>
    </row>
    <row r="38" customHeight="1" spans="1:8">
      <c r="A38" s="59" t="s">
        <v>52</v>
      </c>
      <c r="B38" s="60" t="s">
        <v>53</v>
      </c>
      <c r="C38" s="61">
        <f t="shared" si="1"/>
        <v>727.5</v>
      </c>
      <c r="D38" s="61" t="s">
        <v>54</v>
      </c>
      <c r="E38" s="62">
        <f>D19</f>
        <v>15</v>
      </c>
      <c r="F38" s="61" t="s">
        <v>55</v>
      </c>
      <c r="G38" s="63"/>
      <c r="H38" s="64">
        <v>48.5</v>
      </c>
    </row>
    <row r="39" customHeight="1" spans="1:8">
      <c r="A39" s="59"/>
      <c r="B39" s="60" t="s">
        <v>56</v>
      </c>
      <c r="C39" s="61">
        <f t="shared" si="1"/>
        <v>177.1</v>
      </c>
      <c r="D39" s="61" t="s">
        <v>54</v>
      </c>
      <c r="E39" s="62">
        <f>E24+E25+E26+E27</f>
        <v>14</v>
      </c>
      <c r="F39" s="61" t="s">
        <v>57</v>
      </c>
      <c r="G39" s="63"/>
      <c r="H39" s="64">
        <v>12.65</v>
      </c>
    </row>
    <row r="40" customHeight="1" spans="1:8">
      <c r="A40" s="59"/>
      <c r="B40" s="60" t="s">
        <v>58</v>
      </c>
      <c r="C40" s="61">
        <f t="shared" si="1"/>
        <v>826.5</v>
      </c>
      <c r="D40" s="61" t="s">
        <v>54</v>
      </c>
      <c r="E40" s="65">
        <f>E23</f>
        <v>30</v>
      </c>
      <c r="F40" s="66" t="s">
        <v>59</v>
      </c>
      <c r="G40" s="63"/>
      <c r="H40" s="64">
        <v>27.55</v>
      </c>
    </row>
    <row r="41" customHeight="1" spans="1:8">
      <c r="A41" s="59"/>
      <c r="B41" s="60" t="s">
        <v>60</v>
      </c>
      <c r="C41" s="61">
        <f t="shared" si="1"/>
        <v>231.6</v>
      </c>
      <c r="D41" s="61" t="s">
        <v>25</v>
      </c>
      <c r="E41" s="67">
        <f>E36</f>
        <v>24</v>
      </c>
      <c r="F41" s="61" t="s">
        <v>61</v>
      </c>
      <c r="G41" s="63"/>
      <c r="H41" s="64">
        <v>9.65</v>
      </c>
    </row>
    <row r="42" customHeight="1" spans="1:8">
      <c r="A42" s="59"/>
      <c r="B42" s="60" t="s">
        <v>62</v>
      </c>
      <c r="C42" s="61">
        <f t="shared" si="1"/>
        <v>216</v>
      </c>
      <c r="D42" s="61" t="s">
        <v>25</v>
      </c>
      <c r="E42" s="67">
        <f>E36</f>
        <v>24</v>
      </c>
      <c r="F42" s="61" t="s">
        <v>61</v>
      </c>
      <c r="G42" s="63"/>
      <c r="H42" s="64">
        <v>9</v>
      </c>
    </row>
    <row r="43" customHeight="1" spans="1:8">
      <c r="A43" s="59"/>
      <c r="B43" s="60" t="s">
        <v>63</v>
      </c>
      <c r="C43" s="61">
        <f t="shared" si="1"/>
        <v>22.8</v>
      </c>
      <c r="D43" s="61" t="s">
        <v>54</v>
      </c>
      <c r="E43" s="67">
        <f>E42</f>
        <v>24</v>
      </c>
      <c r="F43" s="61" t="s">
        <v>61</v>
      </c>
      <c r="G43" s="63"/>
      <c r="H43" s="64">
        <v>0.95</v>
      </c>
    </row>
    <row r="44" customHeight="1" spans="1:8">
      <c r="A44" s="59"/>
      <c r="B44" s="60" t="s">
        <v>64</v>
      </c>
      <c r="C44" s="61">
        <f t="shared" si="1"/>
        <v>39.6</v>
      </c>
      <c r="D44" s="61" t="s">
        <v>54</v>
      </c>
      <c r="E44" s="67">
        <f>E43</f>
        <v>24</v>
      </c>
      <c r="F44" s="61" t="s">
        <v>61</v>
      </c>
      <c r="G44" s="63"/>
      <c r="H44" s="64">
        <v>1.65</v>
      </c>
    </row>
    <row r="45" customHeight="1" spans="1:8">
      <c r="A45" s="59"/>
      <c r="B45" s="60" t="s">
        <v>65</v>
      </c>
      <c r="C45" s="61">
        <f t="shared" si="1"/>
        <v>29.4</v>
      </c>
      <c r="D45" s="61" t="s">
        <v>54</v>
      </c>
      <c r="E45" s="67">
        <f>E44/2</f>
        <v>12</v>
      </c>
      <c r="F45" s="61" t="s">
        <v>66</v>
      </c>
      <c r="G45" s="63"/>
      <c r="H45" s="64">
        <v>2.45</v>
      </c>
    </row>
    <row r="46" customHeight="1" spans="1:8">
      <c r="A46" s="59"/>
      <c r="B46" s="60" t="s">
        <v>67</v>
      </c>
      <c r="C46" s="61">
        <f t="shared" si="1"/>
        <v>27</v>
      </c>
      <c r="D46" s="61" t="s">
        <v>54</v>
      </c>
      <c r="E46" s="62">
        <f>D19*2</f>
        <v>30</v>
      </c>
      <c r="F46" s="61" t="s">
        <v>26</v>
      </c>
      <c r="G46" s="63"/>
      <c r="H46" s="64">
        <v>0.9</v>
      </c>
    </row>
    <row r="47" customHeight="1" spans="1:8">
      <c r="A47" s="59"/>
      <c r="B47" s="60" t="s">
        <v>68</v>
      </c>
      <c r="C47" s="61">
        <f t="shared" si="1"/>
        <v>33</v>
      </c>
      <c r="D47" s="61" t="s">
        <v>54</v>
      </c>
      <c r="E47" s="62">
        <f>D19*2</f>
        <v>30</v>
      </c>
      <c r="F47" s="61" t="s">
        <v>26</v>
      </c>
      <c r="G47" s="63"/>
      <c r="H47" s="64">
        <v>1.1</v>
      </c>
    </row>
    <row r="48" customHeight="1" spans="1:8">
      <c r="A48" s="59"/>
      <c r="B48" s="60" t="s">
        <v>69</v>
      </c>
      <c r="C48" s="61">
        <f t="shared" si="1"/>
        <v>30.8</v>
      </c>
      <c r="D48" s="61" t="s">
        <v>54</v>
      </c>
      <c r="E48" s="62">
        <f>F19*7</f>
        <v>14</v>
      </c>
      <c r="F48" s="61" t="s">
        <v>70</v>
      </c>
      <c r="G48" s="63"/>
      <c r="H48" s="64">
        <v>2.2</v>
      </c>
    </row>
    <row r="49" customHeight="1" spans="1:8">
      <c r="A49" s="59"/>
      <c r="B49" s="60" t="s">
        <v>71</v>
      </c>
      <c r="C49" s="61">
        <f t="shared" si="1"/>
        <v>5.4</v>
      </c>
      <c r="D49" s="61" t="s">
        <v>54</v>
      </c>
      <c r="E49" s="62">
        <f>F19*2</f>
        <v>4</v>
      </c>
      <c r="F49" s="61" t="s">
        <v>30</v>
      </c>
      <c r="G49" s="63"/>
      <c r="H49" s="64">
        <v>1.35</v>
      </c>
    </row>
    <row r="50" customHeight="1" spans="1:8">
      <c r="A50" s="59"/>
      <c r="B50" s="68" t="s">
        <v>72</v>
      </c>
      <c r="C50" s="61">
        <f t="shared" si="1"/>
        <v>9.8</v>
      </c>
      <c r="D50" s="61" t="s">
        <v>54</v>
      </c>
      <c r="E50" s="62">
        <f>F19*7</f>
        <v>14</v>
      </c>
      <c r="F50" s="61" t="s">
        <v>57</v>
      </c>
      <c r="G50" s="63"/>
      <c r="H50" s="64">
        <v>0.7</v>
      </c>
    </row>
    <row r="51" customHeight="1" spans="1:8">
      <c r="A51" s="59" t="s">
        <v>73</v>
      </c>
      <c r="B51" s="60" t="s">
        <v>74</v>
      </c>
      <c r="C51" s="61">
        <f t="shared" si="1"/>
        <v>2814</v>
      </c>
      <c r="D51" s="61" t="s">
        <v>75</v>
      </c>
      <c r="E51" s="62">
        <f>A19</f>
        <v>14</v>
      </c>
      <c r="F51" s="61" t="s">
        <v>76</v>
      </c>
      <c r="G51" s="63"/>
      <c r="H51" s="64">
        <v>201</v>
      </c>
    </row>
    <row r="52" customHeight="1" spans="1:8">
      <c r="A52" s="59"/>
      <c r="B52" s="60" t="s">
        <v>77</v>
      </c>
      <c r="C52" s="61">
        <f t="shared" si="1"/>
        <v>246</v>
      </c>
      <c r="D52" s="61" t="s">
        <v>78</v>
      </c>
      <c r="E52" s="62">
        <f>F19</f>
        <v>2</v>
      </c>
      <c r="F52" s="61" t="s">
        <v>34</v>
      </c>
      <c r="G52" s="63"/>
      <c r="H52" s="64">
        <v>123</v>
      </c>
    </row>
    <row r="53" customHeight="1" spans="1:8">
      <c r="A53" s="59"/>
      <c r="B53" s="60" t="s">
        <v>79</v>
      </c>
      <c r="C53" s="61">
        <f t="shared" si="1"/>
        <v>897.6</v>
      </c>
      <c r="D53" s="61" t="s">
        <v>78</v>
      </c>
      <c r="E53" s="62">
        <f>A19*2+F19*8</f>
        <v>44</v>
      </c>
      <c r="F53" s="61" t="s">
        <v>80</v>
      </c>
      <c r="G53" s="69"/>
      <c r="H53" s="64">
        <v>20.4</v>
      </c>
    </row>
    <row r="54" customHeight="1" spans="1:8">
      <c r="A54" s="70" t="s">
        <v>81</v>
      </c>
      <c r="B54" s="60" t="s">
        <v>82</v>
      </c>
      <c r="C54" s="61">
        <f t="shared" si="1"/>
        <v>19.72</v>
      </c>
      <c r="D54" s="61" t="s">
        <v>54</v>
      </c>
      <c r="E54" s="62">
        <f>E39+E40+E36</f>
        <v>68</v>
      </c>
      <c r="F54" s="61" t="s">
        <v>83</v>
      </c>
      <c r="G54" s="63"/>
      <c r="H54" s="64">
        <v>0.29</v>
      </c>
    </row>
    <row r="55" customHeight="1" spans="1:8">
      <c r="A55" s="71"/>
      <c r="B55" s="60" t="s">
        <v>84</v>
      </c>
      <c r="C55" s="61">
        <f t="shared" si="1"/>
        <v>101.52</v>
      </c>
      <c r="D55" s="61" t="s">
        <v>54</v>
      </c>
      <c r="E55" s="62">
        <f>D19*4+E35*12</f>
        <v>216</v>
      </c>
      <c r="F55" s="72" t="s">
        <v>85</v>
      </c>
      <c r="G55" s="73"/>
      <c r="H55" s="64">
        <v>0.47</v>
      </c>
    </row>
    <row r="56" customHeight="1" spans="1:8">
      <c r="A56" s="71"/>
      <c r="B56" s="60" t="s">
        <v>86</v>
      </c>
      <c r="C56" s="61">
        <f t="shared" si="1"/>
        <v>93.73</v>
      </c>
      <c r="D56" s="61" t="s">
        <v>54</v>
      </c>
      <c r="E56" s="62">
        <f>(D19*8)+E41+E42+E39</f>
        <v>182</v>
      </c>
      <c r="F56" s="72" t="s">
        <v>87</v>
      </c>
      <c r="G56" s="73"/>
      <c r="H56" s="64">
        <v>0.515</v>
      </c>
    </row>
    <row r="57" customHeight="1" spans="1:8">
      <c r="A57" s="74"/>
      <c r="B57" s="60" t="s">
        <v>88</v>
      </c>
      <c r="C57" s="61">
        <f t="shared" si="1"/>
        <v>39.6</v>
      </c>
      <c r="D57" s="61" t="s">
        <v>54</v>
      </c>
      <c r="E57" s="65">
        <f>E36*3</f>
        <v>72</v>
      </c>
      <c r="F57" s="72" t="s">
        <v>89</v>
      </c>
      <c r="G57" s="73"/>
      <c r="H57" s="64">
        <v>0.55</v>
      </c>
    </row>
    <row r="58" customHeight="1" spans="1:8">
      <c r="A58" s="75" t="s">
        <v>90</v>
      </c>
      <c r="B58" s="60"/>
      <c r="C58" s="61"/>
      <c r="D58" s="61"/>
      <c r="E58" s="65"/>
      <c r="F58" s="72"/>
      <c r="G58" s="73"/>
      <c r="H58" s="64"/>
    </row>
    <row r="59" customHeight="1" spans="1:8">
      <c r="A59" s="75"/>
      <c r="B59" s="60"/>
      <c r="C59" s="61"/>
      <c r="D59" s="61"/>
      <c r="E59" s="65"/>
      <c r="F59" s="72"/>
      <c r="G59" s="73"/>
      <c r="H59" s="64"/>
    </row>
    <row r="60" customHeight="1" spans="1:8">
      <c r="A60" s="75"/>
      <c r="B60" s="60"/>
      <c r="C60" s="61"/>
      <c r="D60" s="61"/>
      <c r="E60" s="65"/>
      <c r="F60" s="72"/>
      <c r="G60" s="73"/>
      <c r="H60" s="64"/>
    </row>
    <row r="61" customHeight="1" spans="1:8">
      <c r="A61" s="75"/>
      <c r="B61" s="60"/>
      <c r="C61" s="61"/>
      <c r="D61" s="61"/>
      <c r="E61" s="65"/>
      <c r="F61" s="72"/>
      <c r="G61" s="73"/>
      <c r="H61" s="64"/>
    </row>
  </sheetData>
  <sheetProtection password="CF68" sheet="1" formatCells="0" formatColumns="0" formatRows="0" insertRows="0" insertColumns="0" insertHyperlinks="0" deleteColumns="0" deleteRows="0" sort="0" autoFilter="0" pivotTables="0"/>
  <mergeCells count="14">
    <mergeCell ref="A14:D14"/>
    <mergeCell ref="E14:G14"/>
    <mergeCell ref="E15:G15"/>
    <mergeCell ref="E16:G16"/>
    <mergeCell ref="A17:B17"/>
    <mergeCell ref="F17:G17"/>
    <mergeCell ref="A18:C18"/>
    <mergeCell ref="A19:B19"/>
    <mergeCell ref="A21:A37"/>
    <mergeCell ref="A38:A50"/>
    <mergeCell ref="A51:A53"/>
    <mergeCell ref="A54:A57"/>
    <mergeCell ref="A58:A61"/>
    <mergeCell ref="A15:D16"/>
  </mergeCells>
  <dataValidations count="2">
    <dataValidation allowBlank="1" showInputMessage="1" showErrorMessage="1" sqref="G2"/>
    <dataValidation type="list" allowBlank="1" showInputMessage="1" sqref="A17:B17">
      <formula1>"租赁,销售全新,销售二手,销售二手骨架/全新篷布"</formula1>
    </dataValidation>
  </dataValidations>
  <printOptions horizontalCentered="1"/>
  <pageMargins left="0" right="0" top="0.707638888888889" bottom="1.18055555555556" header="0.196527777777778" footer="0"/>
  <pageSetup paperSize="9" scale="90" orientation="portrait" horizontalDpi="600"/>
  <headerFooter>
    <oddHeader>&amp;L&amp;G&amp;C&amp;"仿宋"&amp;16&amp;B高山篷房制造（沈阳）有限公司&amp;R&amp;"仿宋"&amp;U&amp;B400-024-1088&amp;8&amp;U
意之高远 志随山行</oddHeader>
    <oddFooter>&amp;L&amp;G&amp;R第&amp;P页/共&amp;N页
&amp;D &amp;T</oddFooter>
  </headerFooter>
  <legacyDrawingHF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>高山篷房制造（沈阳）有限公司</Company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物料清单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高山篷房-物料清单</dc:title>
  <dc:subject>物料清单</dc:subject>
  <dc:creator>TianFangZhen</dc:creator>
  <cp:keywords>清单</cp:keywords>
  <cp:lastModifiedBy>Gs - 田芳镇</cp:lastModifiedBy>
  <dcterms:created xsi:type="dcterms:W3CDTF">2018-02-27T11:14:00Z</dcterms:created>
  <dcterms:modified xsi:type="dcterms:W3CDTF">2018-08-10T02:28:30Z</dcterms:modified>
  <cp:category>物料清单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  <property fmtid="{D5CDD505-2E9C-101B-9397-08002B2CF9AE}" pid="3" name="办公室">
    <vt:lpwstr>2052-10.1.0.7346</vt:lpwstr>
  </property>
</Properties>
</file>