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360" yWindow="360" windowWidth="18255" windowHeight="6690"/>
  </bookViews>
  <sheets>
    <sheet name="物料清单" sheetId="1" r:id="rId1"/>
  </sheets>
  <definedNames>
    <definedName name="_xlnm.Print_Area" localSheetId="0">物料清单!$A$14:$I$50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<sst xmlns="http://schemas.openxmlformats.org/spreadsheetml/2006/main" count="111">
  <si>
    <t>48*84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</si>
  <si>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</si>
  <si>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</si>
  <si>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</si>
  <si>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</si>
  <si>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</si>
  <si>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</si>
  <si>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</si>
  <si>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</si>
  <si>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</si>
  <si>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</si>
  <si>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</si>
  <si>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</si>
  <si>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</si>
  <si>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</si>
  <si>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</si>
  <si>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货品编码</t>
  </si>
  <si>
    <t>物料名称</t>
  </si>
  <si>
    <t>货品规格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</si>
  <si>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</si>
  <si>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</si>
  <si>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</si>
  <si>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</si>
  <si>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</si>
  <si>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</si>
  <si>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</si>
  <si>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AA011</t>
  </si>
  <si>
    <t>长梁（6米长梁）</t>
  </si>
  <si>
    <t>48mm*84mm*2.7mm*2.7m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</si>
  <si>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</si>
  <si>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</si>
  <si>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AB004</t>
  </si>
  <si>
    <t>侧立柱（弧形/人字/84料/2.8米边高）</t>
  </si>
  <si>
    <t>48mm*84mm*2.7mm*2.8m</t>
  </si>
  <si>
    <t>AC001</t>
  </si>
  <si>
    <t>端立柱（6米专用/48*84料）</t>
  </si>
  <si>
    <t>48mm*84mm*2.7mm*3.77m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</si>
  <si>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</si>
  <si>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AD006</t>
  </si>
  <si>
    <t>屋面檩条（40*40*2）</t>
  </si>
  <si>
    <t>40mm*40mm*2mm*2.95m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</si>
  <si>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</si>
  <si>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AD007</t>
  </si>
  <si>
    <t>屋檐檩条（40*80*2）</t>
  </si>
  <si>
    <t>40mm*48mm*2mm*2.95m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</si>
  <si>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</si>
  <si>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AE002</t>
  </si>
  <si>
    <t>左右向檩条（6米人字）</t>
  </si>
  <si>
    <t>48mm*84mm*2.7mm*3m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</si>
  <si>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</si>
  <si>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AF001</t>
  </si>
  <si>
    <t>顶布穿管（84料/3m）</t>
  </si>
  <si>
    <t>25.4mm*50.8mm*2.3mm*3m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</si>
  <si>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</si>
  <si>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AJ001</t>
  </si>
  <si>
    <t>侧横梁（48*84料专用）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</si>
  <si>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/2</t>
    </r>
  </si>
  <si>
    <t>小10米以下篷房销售无侧横梁，采用玻璃墙专用十字撑</t>
  </si>
  <si>
    <t>AK002</t>
  </si>
  <si>
    <t>十字撑（2.8米边高/48*84料)</t>
  </si>
  <si>
    <t>30mm*50mm*2mm*3.4m</t>
  </si>
  <si>
    <t>提取十字撑判断结果</t>
  </si>
  <si>
    <t>AL001</t>
  </si>
  <si>
    <t>围布承重管3m</t>
  </si>
  <si>
    <t>6分圆管</t>
  </si>
  <si>
    <t>钢部件明细</t>
  </si>
  <si>
    <t>BG001</t>
  </si>
  <si>
    <t>侧立柱接头（短）</t>
  </si>
  <si>
    <t>个</t>
  </si>
  <si>
    <t>排*2</t>
  </si>
  <si>
    <t>BA001</t>
  </si>
  <si>
    <t>过渡接头（48*84料）</t>
  </si>
  <si>
    <t>排*1</t>
  </si>
  <si>
    <t>BB004</t>
  </si>
  <si>
    <t>地脚（人字/84料）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</si>
  <si>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+</t>
    </r>
    <r>
      <rPr>
        <sz val="10"/>
        <rFont val="宋体"/>
        <charset val="134"/>
      </rPr>
      <t>侧立柱</t>
    </r>
  </si>
  <si>
    <t>BF001</t>
  </si>
  <si>
    <t>顶布紧线器170mm</t>
  </si>
  <si>
    <t>BE001</t>
  </si>
  <si>
    <t>顶布连接器300mm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</si>
  <si>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*2-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</si>
  <si>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BH001</t>
  </si>
  <si>
    <t>三角连接器</t>
  </si>
  <si>
    <t>BJ011</t>
  </si>
  <si>
    <t>单钩捆紧器（嘎嘎叫）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</si>
  <si>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</si>
  <si>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篷布明细</t>
  </si>
  <si>
    <t>CA009</t>
  </si>
  <si>
    <t>顶布（6米人字）</t>
  </si>
  <si>
    <t>块</t>
  </si>
  <si>
    <t>CC005</t>
  </si>
  <si>
    <t>山尖布（6米人字）</t>
  </si>
  <si>
    <t>对</t>
  </si>
  <si>
    <r>
      <rPr>
        <sz val="10"/>
        <rFont val="宋体"/>
        <charset val="134"/>
      </rPr>
      <t>山尖布</t>
    </r>
    <r>
      <rPr>
        <sz val="10"/>
        <rFont val="Arial"/>
        <charset val="134"/>
      </rPr>
      <t>*1</t>
    </r>
  </si>
  <si>
    <t>CB005</t>
  </si>
  <si>
    <t>围布（人字/2.8米边高）</t>
  </si>
  <si>
    <t>间*2+山尖*2</t>
  </si>
  <si>
    <t>CB026</t>
  </si>
  <si>
    <t>围布加宽条</t>
  </si>
  <si>
    <t>条</t>
  </si>
  <si>
    <t>螺栓明细</t>
  </si>
  <si>
    <t>BK005</t>
  </si>
  <si>
    <t>螺栓12*80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</si>
  <si>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</t>
    </r>
  </si>
  <si>
    <t>BK006</t>
  </si>
  <si>
    <t>螺栓12*120</t>
  </si>
  <si>
    <r>
      <rPr>
        <sz val="10"/>
        <rFont val="宋体"/>
        <charset val="134"/>
      </rPr>
      <t>地脚</t>
    </r>
    <r>
      <rPr>
        <sz val="10"/>
        <rFont val="Arial"/>
        <charset val="134"/>
      </rPr>
      <t>*1</t>
    </r>
  </si>
  <si>
    <t>BK007</t>
  </si>
  <si>
    <t>螺栓12*150</t>
  </si>
  <si>
    <t>侧横梁*4</t>
  </si>
  <si>
    <t>工具明细</t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</si>
</sst>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&quot;米间距&quot;"/>
    <numFmt numFmtId="177" formatCode="0&quot;根十字撑&quot;"/>
    <numFmt numFmtId="178" formatCode="0&quot;座&quot;"/>
    <numFmt numFmtId="179" formatCode="0&quot;米&quot;"/>
    <numFmt numFmtId="180" formatCode="0&quot;间&quot;"/>
    <numFmt numFmtId="181" formatCode="0&quot;组&quot;"/>
    <numFmt numFmtId="182" formatCode="&quot;每座&quot;0&quot;间&quot;"/>
    <numFmt numFmtId="183" formatCode="0&quot;山&quot;&quot;尖&quot;"/>
    <numFmt numFmtId="184" formatCode="0&quot;排&quot;"/>
    <numFmt numFmtId="185" formatCode="0&quot;㎡&quot;"/>
    <numFmt numFmtId="186" formatCode="0&quot;kg&quot;"/>
    <numFmt numFmtId="187" formatCode="0&quot;米&quot;&quot;人&quot;&quot;字&quot;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indexed="10"/>
      <name val="宋体"/>
      <charset val="134"/>
    </font>
    <font>
      <sz val="10"/>
      <name val="Arial"/>
      <charset val="134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0" fillId="21" borderId="22" applyNumberFormat="0" applyAlignment="0" applyProtection="0">
      <alignment vertical="center"/>
    </xf>
    <xf numFmtId="0" fontId="31" fillId="21" borderId="19" applyNumberFormat="0" applyAlignment="0" applyProtection="0">
      <alignment vertical="center"/>
    </xf>
    <xf numFmtId="0" fontId="32" fillId="22" borderId="23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79" fontId="7" fillId="2" borderId="4" xfId="0" applyNumberFormat="1" applyFont="1" applyFill="1" applyBorder="1" applyAlignment="1" applyProtection="1">
      <alignment horizontal="center" vertical="center"/>
      <protection locked="0"/>
    </xf>
    <xf numFmtId="178" fontId="7" fillId="2" borderId="4" xfId="0" applyNumberFormat="1" applyFont="1" applyFill="1" applyBorder="1" applyAlignment="1" applyProtection="1">
      <alignment horizontal="center" vertical="center"/>
      <protection locked="0"/>
    </xf>
    <xf numFmtId="176" fontId="7" fillId="2" borderId="4" xfId="0" applyNumberFormat="1" applyFont="1" applyFill="1" applyBorder="1" applyAlignment="1" applyProtection="1">
      <alignment horizontal="center" vertical="center"/>
      <protection locked="0"/>
    </xf>
    <xf numFmtId="180" fontId="6" fillId="2" borderId="3" xfId="0" applyNumberFormat="1" applyFont="1" applyFill="1" applyBorder="1" applyAlignment="1" applyProtection="1">
      <alignment horizontal="center" vertical="center"/>
    </xf>
    <xf numFmtId="180" fontId="6" fillId="2" borderId="0" xfId="0" applyNumberFormat="1" applyFont="1" applyFill="1" applyBorder="1" applyAlignment="1" applyProtection="1">
      <alignment horizontal="center" vertical="center"/>
    </xf>
    <xf numFmtId="181" fontId="8" fillId="2" borderId="0" xfId="0" applyNumberFormat="1" applyFont="1" applyFill="1" applyBorder="1" applyAlignment="1" applyProtection="1">
      <alignment horizontal="center" vertical="center"/>
    </xf>
    <xf numFmtId="184" fontId="6" fillId="2" borderId="3" xfId="0" applyNumberFormat="1" applyFont="1" applyFill="1" applyBorder="1" applyAlignment="1" applyProtection="1">
      <alignment horizontal="center" vertical="center"/>
    </xf>
    <xf numFmtId="184" fontId="6" fillId="2" borderId="0" xfId="0" applyNumberFormat="1" applyFont="1" applyFill="1" applyBorder="1" applyAlignment="1" applyProtection="1">
      <alignment horizontal="center" vertical="center"/>
    </xf>
    <xf numFmtId="183" fontId="6" fillId="2" borderId="3" xfId="0" applyNumberFormat="1" applyFont="1" applyFill="1" applyBorder="1" applyAlignment="1" applyProtection="1">
      <alignment horizontal="center" vertical="center"/>
    </xf>
    <xf numFmtId="183" fontId="6" fillId="2" borderId="0" xfId="0" applyNumberFormat="1" applyFont="1" applyFill="1" applyBorder="1" applyAlignment="1" applyProtection="1">
      <alignment horizontal="center" vertical="center"/>
    </xf>
    <xf numFmtId="185" fontId="6" fillId="2" borderId="3" xfId="0" applyNumberFormat="1" applyFont="1" applyFill="1" applyBorder="1" applyAlignment="1" applyProtection="1">
      <alignment horizontal="center" vertical="center"/>
    </xf>
    <xf numFmtId="185" fontId="6" fillId="2" borderId="0" xfId="0" applyNumberFormat="1" applyFont="1" applyFill="1" applyBorder="1" applyAlignment="1" applyProtection="1">
      <alignment horizontal="center" vertical="center"/>
    </xf>
    <xf numFmtId="182" fontId="6" fillId="2" borderId="3" xfId="0" applyNumberFormat="1" applyFont="1" applyFill="1" applyBorder="1" applyAlignment="1" applyProtection="1">
      <alignment horizontal="center" vertical="center"/>
    </xf>
    <xf numFmtId="182" fontId="6" fillId="2" borderId="0" xfId="0" applyNumberFormat="1" applyFont="1" applyFill="1" applyBorder="1" applyAlignment="1" applyProtection="1">
      <alignment horizontal="center" vertical="center"/>
    </xf>
    <xf numFmtId="177" fontId="6" fillId="2" borderId="3" xfId="0" applyNumberFormat="1" applyFont="1" applyFill="1" applyBorder="1" applyAlignment="1" applyProtection="1">
      <alignment horizontal="center" vertical="center"/>
    </xf>
    <xf numFmtId="177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8" fillId="2" borderId="0" xfId="0" applyFont="1" applyFill="1" applyBorder="1" applyAlignment="1" applyProtection="1">
      <alignment horizontal="center" vertical="center"/>
    </xf>
    <xf numFmtId="177" fontId="6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87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85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1" fontId="13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81" fontId="8" fillId="2" borderId="12" xfId="0" applyNumberFormat="1" applyFont="1" applyFill="1" applyBorder="1" applyAlignment="1" applyProtection="1">
      <alignment horizontal="center" vertical="center"/>
    </xf>
    <xf numFmtId="0" fontId="8" fillId="2" borderId="12" xfId="0" applyFont="1" applyFill="1" applyBorder="1" applyProtection="1">
      <alignment vertical="center"/>
    </xf>
    <xf numFmtId="0" fontId="8" fillId="2" borderId="12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Continuous" vertical="center"/>
    </xf>
    <xf numFmtId="0" fontId="11" fillId="0" borderId="14" xfId="0" applyFont="1" applyFill="1" applyBorder="1" applyAlignment="1" applyProtection="1">
      <alignment horizontal="left" vertical="center"/>
      <protection locked="0"/>
    </xf>
    <xf numFmtId="186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4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NumberFormat="1" applyBorder="1" applyAlignment="1" applyProtection="1">
      <alignment horizontal="center" vertical="center"/>
      <protection locked="0"/>
    </xf>
    <xf numFmtId="0" fontId="0" fillId="0" borderId="16" xfId="0" applyNumberFormat="1" applyBorder="1" applyAlignment="1" applyProtection="1">
      <alignment horizontal="center" vertical="center"/>
      <protection locked="0"/>
    </xf>
    <xf numFmtId="0" fontId="15" fillId="0" borderId="0" xfId="0" applyFont="1" applyFill="1" applyProtection="1">
      <alignment vertical="center"/>
      <protection locked="0"/>
    </xf>
    <xf numFmtId="0" fontId="16" fillId="0" borderId="7" xfId="0" applyFont="1" applyFill="1" applyBorder="1" applyAlignment="1" applyProtection="1">
      <alignment vertical="center"/>
      <protection locked="0"/>
    </xf>
    <xf numFmtId="0" fontId="9" fillId="0" borderId="7" xfId="0" applyFont="1" applyFill="1" applyBorder="1" applyAlignment="1" applyProtection="1">
      <alignment vertical="center" wrapText="1"/>
      <protection locked="0"/>
    </xf>
    <xf numFmtId="0" fontId="1" fillId="0" borderId="7" xfId="0" applyFont="1" applyFill="1" applyBorder="1" applyAlignment="1" applyProtection="1"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showGridLines="0" tabSelected="1" zoomScale="85" zoomScaleNormal="85" workbookViewId="0">
      <selection activeCell="A14" sqref="A14:F14"/>
    </sheetView>
  </sheetViews>
  <sheetFormatPr defaultColWidth="9" defaultRowHeight="15" customHeight="1"/>
  <cols>
    <col min="1" max="1" width="3.125" style="1" customWidth="1"/>
    <col min="2" max="2" width="12.2" style="1" customWidth="1"/>
    <col min="3" max="4" width="28.3833333333333" style="1" customWidth="1"/>
    <col min="5" max="7" width="10.625" style="1" customWidth="1"/>
    <col min="8" max="8" width="16.5" style="2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3"/>
      <c r="B1" s="4"/>
      <c r="C1" s="5"/>
      <c r="D1" s="5"/>
      <c r="E1" s="5"/>
      <c r="F1" s="6"/>
      <c r="G1" s="7"/>
      <c r="H1" s="8"/>
      <c r="I1" s="77" t="s">
        <v>0</v>
      </c>
      <c r="J1" s="78"/>
    </row>
    <row r="2" s="1" customFormat="1" ht="20" customHeight="1" spans="1:10">
      <c r="A2" s="9" t="s">
        <v>1</v>
      </c>
      <c r="B2" s="10"/>
      <c r="C2" s="11"/>
      <c r="D2" s="12"/>
      <c r="E2" s="13">
        <v>6</v>
      </c>
      <c r="F2" s="13">
        <v>6</v>
      </c>
      <c r="G2" s="14">
        <v>1</v>
      </c>
      <c r="H2" s="15">
        <v>3</v>
      </c>
      <c r="I2" s="79">
        <v>2.8</v>
      </c>
      <c r="J2" s="80"/>
    </row>
    <row r="3" s="1" customFormat="1" ht="20" hidden="1" customHeight="1" spans="1:10">
      <c r="A3" s="16">
        <f>F2/H2*G2</f>
        <v>2</v>
      </c>
      <c r="B3" s="17"/>
      <c r="C3" s="18" t="str">
        <f>IF(AND(A7&gt;=1,A7&lt;=1),1,"")</f>
        <v/>
      </c>
      <c r="D3" s="18"/>
      <c r="E3" s="18" t="str">
        <f>IF(AND(A7&gt;=27,A7&lt;=31),7,"")</f>
        <v/>
      </c>
      <c r="F3" s="18" t="str">
        <f>IF(AND(A7&gt;=57,A7&lt;=61),13,"")</f>
        <v/>
      </c>
      <c r="G3" s="18">
        <f>IF(AND(A7&gt;=1,A7&lt;=2),1,"")</f>
        <v>1</v>
      </c>
      <c r="H3" s="18" t="str">
        <f>IF(AND(A7&gt;=27,A7&lt;=32),12,"")</f>
        <v/>
      </c>
      <c r="I3" s="81" t="str">
        <f>IF(AND(A7&gt;=63,A7&lt;=68),24,"")</f>
        <v/>
      </c>
      <c r="J3" s="80"/>
    </row>
    <row r="4" s="1" customFormat="1" ht="20" hidden="1" customHeight="1" spans="1:10">
      <c r="A4" s="19">
        <f>(F2/H2+1)*G2</f>
        <v>3</v>
      </c>
      <c r="B4" s="20"/>
      <c r="C4" s="18">
        <f>IF(AND(A7&gt;=2,A7&lt;=6),2,"")</f>
        <v>2</v>
      </c>
      <c r="D4" s="18"/>
      <c r="E4" s="18" t="str">
        <f>IF(AND(A7&gt;=32,A7&lt;=36),8,"")</f>
        <v/>
      </c>
      <c r="F4" s="18" t="str">
        <f>IF(AND(A7&gt;=62,A7&lt;=66),14,"")</f>
        <v/>
      </c>
      <c r="G4" s="18" t="str">
        <f>IF(AND(A7&gt;=3,A7&lt;=3),2,"")</f>
        <v/>
      </c>
      <c r="H4" s="18" t="str">
        <f>IF(AND(A7&gt;=33,A7&lt;=38),14,"")</f>
        <v/>
      </c>
      <c r="I4" s="81" t="str">
        <f>IF(AND(A7&gt;=69,A7&lt;=74),26,"")</f>
        <v/>
      </c>
      <c r="J4" s="80"/>
    </row>
    <row r="5" s="1" customFormat="1" ht="20" hidden="1" customHeight="1" spans="1:10">
      <c r="A5" s="21">
        <f>G2*2</f>
        <v>2</v>
      </c>
      <c r="B5" s="22"/>
      <c r="C5" s="18" t="str">
        <f>IF(AND(A7&gt;=7,A7&lt;=11),3,"")</f>
        <v/>
      </c>
      <c r="D5" s="18"/>
      <c r="E5" s="18" t="str">
        <f>IF(AND(A7&gt;=37,A7&lt;=41),9,"")</f>
        <v/>
      </c>
      <c r="F5" s="18" t="str">
        <f>IF(AND(A7&gt;=67,A7&lt;=71),15,"")</f>
        <v/>
      </c>
      <c r="G5" s="18" t="str">
        <f>IF(AND(A7&gt;=4,A7&lt;=8),4,"")</f>
        <v/>
      </c>
      <c r="H5" s="18" t="str">
        <f>IF(AND(A7&gt;=39,A7&lt;=44),16,"")</f>
        <v/>
      </c>
      <c r="I5" s="81" t="str">
        <f>IF(AND(A7&gt;=75,A7&lt;=80),28,"")</f>
        <v/>
      </c>
      <c r="J5" s="80"/>
    </row>
    <row r="6" s="1" customFormat="1" ht="20" hidden="1" customHeight="1" spans="1:10">
      <c r="A6" s="23">
        <f>(E2*F2)*G2</f>
        <v>36</v>
      </c>
      <c r="B6" s="24"/>
      <c r="C6" s="18" t="str">
        <f>IF(AND(A7&gt;=12,A7&lt;=16),4,"")</f>
        <v/>
      </c>
      <c r="D6" s="18"/>
      <c r="E6" s="18" t="str">
        <f>IF(AND(A7&gt;=42,A7&lt;=46),10,"")</f>
        <v/>
      </c>
      <c r="F6" s="18" t="str">
        <f>IF(AND(A7&gt;=72,A7&lt;=76),16,"")</f>
        <v/>
      </c>
      <c r="G6" s="18" t="str">
        <f>IF(AND(A7&gt;=9,A7&lt;=14),6,"")</f>
        <v/>
      </c>
      <c r="H6" s="18" t="str">
        <f>IF(AND(A7&gt;=45,A7&lt;=50),18,"")</f>
        <v/>
      </c>
      <c r="I6" s="81" t="str">
        <f>IF(AND(A7&gt;=81,A7&lt;=86),30,"")</f>
        <v/>
      </c>
      <c r="J6" s="80"/>
    </row>
    <row r="7" s="1" customFormat="1" ht="20" hidden="1" customHeight="1" spans="1:10">
      <c r="A7" s="25">
        <f>F2/H2</f>
        <v>2</v>
      </c>
      <c r="B7" s="26"/>
      <c r="C7" s="18" t="str">
        <f>IF(AND(A7&gt;=17,A7&lt;=21),5,"")</f>
        <v/>
      </c>
      <c r="D7" s="18"/>
      <c r="E7" s="18" t="str">
        <f>IF(AND(A7&gt;=47,A7&lt;=51),11,"")</f>
        <v/>
      </c>
      <c r="F7" s="18" t="str">
        <f>IF(AND(A7&gt;=77,A7&lt;=81),17,"")</f>
        <v/>
      </c>
      <c r="G7" s="18" t="str">
        <f>IF(AND(A7&gt;=15,A7&lt;=20),8,"")</f>
        <v/>
      </c>
      <c r="H7" s="18" t="str">
        <f>IF(AND(A7&gt;=51,A7&lt;=56),20,"")</f>
        <v/>
      </c>
      <c r="I7" s="81" t="str">
        <f>IF(AND(A7&gt;=87,A7&lt;=92),32,"")</f>
        <v/>
      </c>
      <c r="J7" s="80"/>
    </row>
    <row r="8" s="1" customFormat="1" ht="20" hidden="1" customHeight="1" spans="1:10">
      <c r="A8" s="27">
        <f>SUM(A10:A11)</f>
        <v>8</v>
      </c>
      <c r="B8" s="28"/>
      <c r="C8" s="18" t="str">
        <f>IF(AND(A7&gt;=22,A7&lt;=26),6,"")</f>
        <v/>
      </c>
      <c r="D8" s="18"/>
      <c r="E8" s="18" t="str">
        <f>IF(AND(A7&gt;=52,A7&lt;=56),12,"")</f>
        <v/>
      </c>
      <c r="F8" s="18" t="str">
        <f>IF(AND(A7&gt;=82,A7&lt;=86),18,"")</f>
        <v/>
      </c>
      <c r="G8" s="18" t="str">
        <f>IF(AND(A7&gt;=21,A7&lt;=26),10,"")</f>
        <v/>
      </c>
      <c r="H8" s="18" t="str">
        <f>IF(AND(A7&gt;=57,A7&lt;=62),22,"")</f>
        <v/>
      </c>
      <c r="I8" s="81" t="str">
        <f>IF(AND(A7&gt;=93,A7&lt;=98),34,"")</f>
        <v/>
      </c>
      <c r="J8" s="80"/>
    </row>
    <row r="9" s="1" customFormat="1" ht="20" hidden="1" customHeight="1" spans="1:10">
      <c r="A9" s="29" t="str">
        <f>"篷房规格："&amp;E2&amp;"m × "&amp;F2&amp;"m × "&amp;G2&amp;"座"</f>
        <v>篷房规格：6m × 6m × 1座</v>
      </c>
      <c r="B9" s="30"/>
      <c r="C9" s="31"/>
      <c r="D9" s="31"/>
      <c r="E9" s="31"/>
      <c r="F9" s="31"/>
      <c r="G9" s="31"/>
      <c r="H9" s="32"/>
      <c r="I9" s="82"/>
      <c r="J9" s="80"/>
    </row>
    <row r="10" s="1" customFormat="1" ht="20" hidden="1" customHeight="1" spans="1:10">
      <c r="A10" s="27">
        <f>IF(AND(E2&gt;=0,E2&lt;=25),C10,"")</f>
        <v>8</v>
      </c>
      <c r="B10" s="28"/>
      <c r="C10" s="33">
        <f>SUM(C3:F8)*4*G2</f>
        <v>8</v>
      </c>
      <c r="D10" s="33"/>
      <c r="E10" s="34"/>
      <c r="F10" s="32"/>
      <c r="G10" s="32"/>
      <c r="H10" s="32"/>
      <c r="I10" s="83"/>
      <c r="J10" s="80"/>
    </row>
    <row r="11" s="1" customFormat="1" ht="20" hidden="1" customHeight="1" spans="1:9">
      <c r="A11" s="27" t="str">
        <f>IF(AND(E2&gt;=26,E2&lt;=100),C11,"")</f>
        <v/>
      </c>
      <c r="B11" s="28"/>
      <c r="C11" s="33">
        <f>SUM(G3:I8)*4*G2</f>
        <v>4</v>
      </c>
      <c r="D11" s="33"/>
      <c r="E11" s="32"/>
      <c r="F11" s="32"/>
      <c r="G11" s="32"/>
      <c r="H11" s="32"/>
      <c r="I11" s="83"/>
    </row>
    <row r="12" s="1" customFormat="1" ht="20" customHeight="1" spans="1:9">
      <c r="A12" s="35" t="s">
        <v>2</v>
      </c>
      <c r="B12" s="36"/>
      <c r="C12" s="37"/>
      <c r="D12" s="37"/>
      <c r="E12" s="38"/>
      <c r="F12" s="38"/>
      <c r="G12" s="38"/>
      <c r="H12" s="39"/>
      <c r="I12" s="84"/>
    </row>
    <row r="13" s="1" customFormat="1" ht="5" customHeight="1" spans="1:9">
      <c r="A13" s="40"/>
      <c r="B13" s="40"/>
      <c r="C13" s="41"/>
      <c r="D13" s="41"/>
      <c r="E13" s="42"/>
      <c r="F13" s="42"/>
      <c r="G13" s="42"/>
      <c r="H13" s="43"/>
      <c r="I13" s="42"/>
    </row>
    <row r="14" s="1" customFormat="1" ht="20" customHeight="1" spans="1:9">
      <c r="A14" s="44" t="s">
        <v>3</v>
      </c>
      <c r="B14" s="44"/>
      <c r="C14" s="44"/>
      <c r="D14" s="44"/>
      <c r="E14" s="45"/>
      <c r="F14" s="44"/>
      <c r="G14" s="44" t="s">
        <v>4</v>
      </c>
      <c r="H14" s="45"/>
      <c r="I14" s="44"/>
    </row>
    <row r="15" s="1" customFormat="1" ht="20" customHeight="1" spans="1:9">
      <c r="A15" s="46" t="s">
        <v>5</v>
      </c>
      <c r="B15" s="46"/>
      <c r="C15" s="46"/>
      <c r="D15" s="46"/>
      <c r="E15" s="47"/>
      <c r="F15" s="46"/>
      <c r="G15" s="44" t="s">
        <v>6</v>
      </c>
      <c r="H15" s="45"/>
      <c r="I15" s="44"/>
    </row>
    <row r="16" s="1" customFormat="1" ht="20" customHeight="1" spans="1:9">
      <c r="A16" s="46"/>
      <c r="B16" s="46"/>
      <c r="C16" s="46"/>
      <c r="D16" s="46"/>
      <c r="E16" s="47"/>
      <c r="F16" s="46"/>
      <c r="G16" s="44" t="s">
        <v>7</v>
      </c>
      <c r="H16" s="45"/>
      <c r="I16" s="44"/>
    </row>
    <row r="17" s="1" customFormat="1" ht="20" customHeight="1" spans="1:9">
      <c r="A17" s="48" t="s">
        <v>8</v>
      </c>
      <c r="B17" s="49"/>
      <c r="C17" s="50"/>
      <c r="D17" s="50"/>
      <c r="E17" s="51">
        <f>E2</f>
        <v>6</v>
      </c>
      <c r="F17" s="52" t="str">
        <f>"（"&amp;I1&amp;"料"</f>
        <v>（48*84料</v>
      </c>
      <c r="G17" s="53" t="str">
        <f>I2&amp;"米边高)"</f>
        <v>2.8米边高)</v>
      </c>
      <c r="H17" s="53" t="s">
        <v>9</v>
      </c>
      <c r="I17" s="85"/>
    </row>
    <row r="18" s="1" customFormat="1" customHeight="1" spans="1:10">
      <c r="A18" s="54" t="str">
        <f>A9</f>
        <v>篷房规格：6m × 6m × 1座</v>
      </c>
      <c r="B18" s="54"/>
      <c r="C18" s="54"/>
      <c r="D18" s="54"/>
      <c r="E18" s="54"/>
      <c r="F18" s="55" t="s">
        <v>10</v>
      </c>
      <c r="G18" s="56">
        <f>A6</f>
        <v>36</v>
      </c>
      <c r="H18" s="57" t="s">
        <v>11</v>
      </c>
      <c r="I18" s="86">
        <f>SUM(E21:E499)</f>
        <v>476.06</v>
      </c>
      <c r="J18" s="87"/>
    </row>
    <row r="19" s="1" customFormat="1" customHeight="1" spans="1:10">
      <c r="A19" s="58">
        <f>A3</f>
        <v>2</v>
      </c>
      <c r="B19" s="58"/>
      <c r="C19" s="58"/>
      <c r="D19" s="58"/>
      <c r="E19" s="45" t="s">
        <v>12</v>
      </c>
      <c r="F19" s="59">
        <f>A4</f>
        <v>3</v>
      </c>
      <c r="G19" s="60" t="s">
        <v>13</v>
      </c>
      <c r="H19" s="58">
        <f>A5</f>
        <v>2</v>
      </c>
      <c r="I19" s="60" t="s">
        <v>14</v>
      </c>
      <c r="J19" s="87"/>
    </row>
    <row r="20" s="1" customFormat="1" ht="25" customHeight="1" spans="1:10">
      <c r="A20" s="61" t="s">
        <v>15</v>
      </c>
      <c r="B20" s="62" t="s">
        <v>16</v>
      </c>
      <c r="C20" s="60" t="s">
        <v>17</v>
      </c>
      <c r="D20" s="62" t="s">
        <v>18</v>
      </c>
      <c r="E20" s="45" t="s">
        <v>19</v>
      </c>
      <c r="F20" s="60" t="s">
        <v>20</v>
      </c>
      <c r="G20" s="60" t="s">
        <v>21</v>
      </c>
      <c r="H20" s="60" t="s">
        <v>22</v>
      </c>
      <c r="I20" s="60" t="s">
        <v>23</v>
      </c>
      <c r="J20" s="88" t="s">
        <v>24</v>
      </c>
    </row>
    <row r="21" customHeight="1" spans="1:10">
      <c r="A21" s="63" t="s">
        <v>25</v>
      </c>
      <c r="B21" s="64" t="s">
        <v>26</v>
      </c>
      <c r="C21" s="65" t="s">
        <v>27</v>
      </c>
      <c r="D21" s="66" t="s">
        <v>28</v>
      </c>
      <c r="E21" s="67">
        <f t="shared" ref="E21:E32" si="0">G21*J21</f>
        <v>42</v>
      </c>
      <c r="F21" s="67" t="s">
        <v>29</v>
      </c>
      <c r="G21" s="68">
        <f>F19*2</f>
        <v>6</v>
      </c>
      <c r="H21" s="67" t="s">
        <v>30</v>
      </c>
      <c r="I21" s="75"/>
      <c r="J21" s="89">
        <v>7</v>
      </c>
    </row>
    <row r="22" customHeight="1" spans="1:10">
      <c r="A22" s="63"/>
      <c r="B22" s="64" t="s">
        <v>31</v>
      </c>
      <c r="C22" s="65" t="s">
        <v>32</v>
      </c>
      <c r="D22" s="66" t="s">
        <v>33</v>
      </c>
      <c r="E22" s="67">
        <f t="shared" si="0"/>
        <v>33.6</v>
      </c>
      <c r="F22" s="67" t="s">
        <v>29</v>
      </c>
      <c r="G22" s="68">
        <f>F19*2</f>
        <v>6</v>
      </c>
      <c r="H22" s="67" t="s">
        <v>30</v>
      </c>
      <c r="I22" s="75"/>
      <c r="J22" s="90">
        <v>5.6</v>
      </c>
    </row>
    <row r="23" customHeight="1" spans="1:10">
      <c r="A23" s="63"/>
      <c r="B23" s="64" t="s">
        <v>34</v>
      </c>
      <c r="C23" s="65" t="s">
        <v>35</v>
      </c>
      <c r="D23" s="66" t="s">
        <v>36</v>
      </c>
      <c r="E23" s="67">
        <f t="shared" si="0"/>
        <v>17</v>
      </c>
      <c r="F23" s="67" t="s">
        <v>29</v>
      </c>
      <c r="G23" s="68">
        <f>H19*1</f>
        <v>2</v>
      </c>
      <c r="H23" s="67" t="s">
        <v>37</v>
      </c>
      <c r="I23" s="75"/>
      <c r="J23" s="89">
        <v>8.5</v>
      </c>
    </row>
    <row r="24" customHeight="1" spans="1:10">
      <c r="A24" s="63"/>
      <c r="B24" s="64" t="s">
        <v>38</v>
      </c>
      <c r="C24" s="65" t="s">
        <v>39</v>
      </c>
      <c r="D24" s="66" t="s">
        <v>40</v>
      </c>
      <c r="E24" s="67">
        <f t="shared" si="0"/>
        <v>5.2</v>
      </c>
      <c r="F24" s="67" t="s">
        <v>29</v>
      </c>
      <c r="G24" s="68">
        <f>A19*1</f>
        <v>2</v>
      </c>
      <c r="H24" s="67" t="s">
        <v>41</v>
      </c>
      <c r="I24" s="75"/>
      <c r="J24" s="89">
        <v>2.6</v>
      </c>
    </row>
    <row r="25" customHeight="1" spans="1:10">
      <c r="A25" s="63"/>
      <c r="B25" s="64" t="s">
        <v>42</v>
      </c>
      <c r="C25" s="65" t="s">
        <v>43</v>
      </c>
      <c r="D25" s="66" t="s">
        <v>44</v>
      </c>
      <c r="E25" s="67">
        <f t="shared" si="0"/>
        <v>18.6</v>
      </c>
      <c r="F25" s="67" t="s">
        <v>29</v>
      </c>
      <c r="G25" s="68">
        <f>A19*2</f>
        <v>4</v>
      </c>
      <c r="H25" s="67" t="s">
        <v>45</v>
      </c>
      <c r="I25" s="75"/>
      <c r="J25" s="89">
        <v>4.65</v>
      </c>
    </row>
    <row r="26" customHeight="1" spans="1:10">
      <c r="A26" s="63"/>
      <c r="B26" s="64" t="s">
        <v>46</v>
      </c>
      <c r="C26" s="65" t="s">
        <v>47</v>
      </c>
      <c r="D26" s="66" t="s">
        <v>48</v>
      </c>
      <c r="E26" s="67">
        <f t="shared" si="0"/>
        <v>18.4</v>
      </c>
      <c r="F26" s="67" t="s">
        <v>29</v>
      </c>
      <c r="G26" s="68">
        <f>H19*2</f>
        <v>4</v>
      </c>
      <c r="H26" s="67" t="s">
        <v>49</v>
      </c>
      <c r="I26" s="75"/>
      <c r="J26" s="89">
        <v>4.6</v>
      </c>
    </row>
    <row r="27" customHeight="1" spans="1:10">
      <c r="A27" s="63"/>
      <c r="B27" s="64" t="s">
        <v>50</v>
      </c>
      <c r="C27" s="65" t="s">
        <v>51</v>
      </c>
      <c r="D27" s="66" t="s">
        <v>52</v>
      </c>
      <c r="E27" s="67">
        <f t="shared" si="0"/>
        <v>50.4</v>
      </c>
      <c r="F27" s="67" t="s">
        <v>29</v>
      </c>
      <c r="G27" s="68">
        <f>A19*2+H19*2</f>
        <v>8</v>
      </c>
      <c r="H27" s="67" t="s">
        <v>53</v>
      </c>
      <c r="I27" s="75"/>
      <c r="J27" s="89">
        <v>6.3</v>
      </c>
    </row>
    <row r="28" customHeight="1" spans="1:11">
      <c r="A28" s="63"/>
      <c r="B28" s="64" t="s">
        <v>54</v>
      </c>
      <c r="C28" s="65" t="s">
        <v>55</v>
      </c>
      <c r="D28" s="66"/>
      <c r="E28" s="67">
        <f t="shared" si="0"/>
        <v>50</v>
      </c>
      <c r="F28" s="67" t="s">
        <v>29</v>
      </c>
      <c r="G28" s="68">
        <f>G29/2</f>
        <v>4</v>
      </c>
      <c r="H28" s="67" t="s">
        <v>56</v>
      </c>
      <c r="I28" s="75"/>
      <c r="J28" s="89">
        <v>12.5</v>
      </c>
      <c r="K28" s="91" t="s">
        <v>57</v>
      </c>
    </row>
    <row r="29" customHeight="1" spans="1:10">
      <c r="A29" s="63"/>
      <c r="B29" s="64" t="s">
        <v>58</v>
      </c>
      <c r="C29" s="65" t="s">
        <v>59</v>
      </c>
      <c r="D29" s="66" t="s">
        <v>60</v>
      </c>
      <c r="E29" s="67">
        <f t="shared" si="0"/>
        <v>64.8</v>
      </c>
      <c r="F29" s="67" t="s">
        <v>29</v>
      </c>
      <c r="G29" s="68">
        <f>A8</f>
        <v>8</v>
      </c>
      <c r="H29" s="67" t="s">
        <v>61</v>
      </c>
      <c r="I29" s="75"/>
      <c r="J29" s="89">
        <v>8.1</v>
      </c>
    </row>
    <row r="30" customHeight="1" spans="1:10">
      <c r="A30" s="63"/>
      <c r="B30" s="64" t="s">
        <v>62</v>
      </c>
      <c r="C30" s="65" t="s">
        <v>63</v>
      </c>
      <c r="D30" s="66" t="s">
        <v>64</v>
      </c>
      <c r="E30" s="67">
        <f t="shared" si="0"/>
        <v>22</v>
      </c>
      <c r="F30" s="67" t="s">
        <v>29</v>
      </c>
      <c r="G30" s="68">
        <f>A19*2+H19*2</f>
        <v>8</v>
      </c>
      <c r="H30" s="67" t="s">
        <v>53</v>
      </c>
      <c r="I30" s="75"/>
      <c r="J30" s="89">
        <v>2.75</v>
      </c>
    </row>
    <row r="31" customHeight="1" spans="1:10">
      <c r="A31" s="63" t="s">
        <v>65</v>
      </c>
      <c r="B31" s="69" t="s">
        <v>66</v>
      </c>
      <c r="C31" s="70" t="s">
        <v>67</v>
      </c>
      <c r="D31" s="71"/>
      <c r="E31" s="67">
        <f t="shared" si="0"/>
        <v>16.2</v>
      </c>
      <c r="F31" s="67" t="s">
        <v>68</v>
      </c>
      <c r="G31" s="68">
        <f>F19*2</f>
        <v>6</v>
      </c>
      <c r="H31" s="67" t="s">
        <v>69</v>
      </c>
      <c r="I31" s="92"/>
      <c r="J31" s="89">
        <v>2.7</v>
      </c>
    </row>
    <row r="32" customHeight="1" spans="1:10">
      <c r="A32" s="63"/>
      <c r="B32" s="69" t="s">
        <v>70</v>
      </c>
      <c r="C32" s="70" t="s">
        <v>71</v>
      </c>
      <c r="D32" s="71"/>
      <c r="E32" s="67">
        <f t="shared" si="0"/>
        <v>9.9</v>
      </c>
      <c r="F32" s="67" t="s">
        <v>68</v>
      </c>
      <c r="G32" s="68">
        <f>F19</f>
        <v>3</v>
      </c>
      <c r="H32" s="67" t="s">
        <v>72</v>
      </c>
      <c r="I32" s="74"/>
      <c r="J32" s="89">
        <v>3.3</v>
      </c>
    </row>
    <row r="33" customHeight="1" spans="1:10">
      <c r="A33" s="63"/>
      <c r="B33" s="69" t="s">
        <v>73</v>
      </c>
      <c r="C33" s="66" t="s">
        <v>74</v>
      </c>
      <c r="D33" s="71"/>
      <c r="E33" s="67">
        <f t="shared" ref="E33:E44" si="1">G33*J33</f>
        <v>13.6</v>
      </c>
      <c r="F33" s="67" t="s">
        <v>68</v>
      </c>
      <c r="G33" s="72">
        <f>G22+G23</f>
        <v>8</v>
      </c>
      <c r="H33" s="73" t="s">
        <v>75</v>
      </c>
      <c r="I33" s="74"/>
      <c r="J33" s="89">
        <v>1.7</v>
      </c>
    </row>
    <row r="34" customHeight="1" spans="1:10">
      <c r="A34" s="63"/>
      <c r="B34" s="69" t="s">
        <v>76</v>
      </c>
      <c r="C34" s="70" t="s">
        <v>77</v>
      </c>
      <c r="D34" s="71"/>
      <c r="E34" s="67">
        <f t="shared" si="1"/>
        <v>2.7</v>
      </c>
      <c r="F34" s="67" t="s">
        <v>68</v>
      </c>
      <c r="G34" s="68">
        <f>F19*2</f>
        <v>6</v>
      </c>
      <c r="H34" s="67" t="s">
        <v>30</v>
      </c>
      <c r="I34" s="74"/>
      <c r="J34" s="89">
        <v>0.45</v>
      </c>
    </row>
    <row r="35" customHeight="1" spans="1:10">
      <c r="A35" s="63"/>
      <c r="B35" s="69" t="s">
        <v>78</v>
      </c>
      <c r="C35" s="70" t="s">
        <v>79</v>
      </c>
      <c r="D35" s="71"/>
      <c r="E35" s="67">
        <f t="shared" si="1"/>
        <v>1.6</v>
      </c>
      <c r="F35" s="67" t="s">
        <v>68</v>
      </c>
      <c r="G35" s="68">
        <f>F19*2-H19</f>
        <v>4</v>
      </c>
      <c r="H35" s="67" t="s">
        <v>80</v>
      </c>
      <c r="I35" s="74"/>
      <c r="J35" s="89">
        <v>0.4</v>
      </c>
    </row>
    <row r="36" customHeight="1" spans="1:10">
      <c r="A36" s="63"/>
      <c r="B36" s="69" t="s">
        <v>81</v>
      </c>
      <c r="C36" s="70" t="s">
        <v>82</v>
      </c>
      <c r="D36" s="71"/>
      <c r="E36" s="67">
        <f t="shared" si="1"/>
        <v>2.4</v>
      </c>
      <c r="F36" s="67" t="s">
        <v>68</v>
      </c>
      <c r="G36" s="68">
        <f>H19*2</f>
        <v>4</v>
      </c>
      <c r="H36" s="67" t="s">
        <v>49</v>
      </c>
      <c r="I36" s="74"/>
      <c r="J36" s="89">
        <v>0.6</v>
      </c>
    </row>
    <row r="37" customHeight="1" spans="1:10">
      <c r="A37" s="63"/>
      <c r="B37" s="69" t="s">
        <v>83</v>
      </c>
      <c r="C37" s="70" t="s">
        <v>84</v>
      </c>
      <c r="D37" s="71"/>
      <c r="E37" s="67">
        <f t="shared" si="1"/>
        <v>1.4</v>
      </c>
      <c r="F37" s="67" t="s">
        <v>68</v>
      </c>
      <c r="G37" s="68">
        <f>G23</f>
        <v>2</v>
      </c>
      <c r="H37" s="67" t="s">
        <v>85</v>
      </c>
      <c r="I37" s="74"/>
      <c r="J37" s="89">
        <v>0.7</v>
      </c>
    </row>
    <row r="38" customHeight="1" spans="1:10">
      <c r="A38" s="63" t="s">
        <v>86</v>
      </c>
      <c r="B38" s="69" t="s">
        <v>87</v>
      </c>
      <c r="C38" s="70" t="s">
        <v>88</v>
      </c>
      <c r="D38" s="71"/>
      <c r="E38" s="67">
        <f t="shared" si="1"/>
        <v>38.9</v>
      </c>
      <c r="F38" s="67" t="s">
        <v>89</v>
      </c>
      <c r="G38" s="68">
        <f>A19</f>
        <v>2</v>
      </c>
      <c r="H38" s="67" t="s">
        <v>41</v>
      </c>
      <c r="I38" s="75"/>
      <c r="J38" s="89">
        <v>19.45</v>
      </c>
    </row>
    <row r="39" customHeight="1" spans="1:10">
      <c r="A39" s="63"/>
      <c r="B39" s="69" t="s">
        <v>90</v>
      </c>
      <c r="C39" s="70" t="s">
        <v>91</v>
      </c>
      <c r="D39" s="71"/>
      <c r="E39" s="67">
        <f t="shared" si="1"/>
        <v>12.4</v>
      </c>
      <c r="F39" s="67" t="s">
        <v>92</v>
      </c>
      <c r="G39" s="68">
        <f>H19</f>
        <v>2</v>
      </c>
      <c r="H39" s="67" t="s">
        <v>93</v>
      </c>
      <c r="I39" s="75"/>
      <c r="J39" s="89">
        <v>6.2</v>
      </c>
    </row>
    <row r="40" customHeight="1" spans="1:10">
      <c r="A40" s="63"/>
      <c r="B40" s="69" t="s">
        <v>94</v>
      </c>
      <c r="C40" s="70" t="s">
        <v>95</v>
      </c>
      <c r="D40" s="71"/>
      <c r="E40" s="67">
        <f t="shared" si="1"/>
        <v>48.8</v>
      </c>
      <c r="F40" s="67" t="s">
        <v>92</v>
      </c>
      <c r="G40" s="68">
        <f>A19*2+H19*2</f>
        <v>8</v>
      </c>
      <c r="H40" s="67" t="s">
        <v>96</v>
      </c>
      <c r="I40" s="92"/>
      <c r="J40" s="89">
        <v>6.1</v>
      </c>
    </row>
    <row r="41" customHeight="1" spans="1:10">
      <c r="A41" s="63"/>
      <c r="B41" s="69" t="s">
        <v>97</v>
      </c>
      <c r="C41" s="70" t="s">
        <v>98</v>
      </c>
      <c r="D41" s="71"/>
      <c r="E41" s="67">
        <f t="shared" si="1"/>
        <v>1.2</v>
      </c>
      <c r="F41" s="67" t="s">
        <v>99</v>
      </c>
      <c r="G41" s="68">
        <f>H19*2</f>
        <v>4</v>
      </c>
      <c r="H41" s="67" t="s">
        <v>49</v>
      </c>
      <c r="I41" s="74"/>
      <c r="J41" s="89">
        <v>0.3</v>
      </c>
    </row>
    <row r="42" customHeight="1" spans="1:10">
      <c r="A42" s="63" t="s">
        <v>100</v>
      </c>
      <c r="B42" s="69" t="s">
        <v>101</v>
      </c>
      <c r="C42" s="66" t="s">
        <v>102</v>
      </c>
      <c r="D42" s="71"/>
      <c r="E42" s="67">
        <f t="shared" si="1"/>
        <v>1.8</v>
      </c>
      <c r="F42" s="67" t="s">
        <v>68</v>
      </c>
      <c r="G42" s="68">
        <f>F19*8</f>
        <v>24</v>
      </c>
      <c r="H42" s="67" t="s">
        <v>103</v>
      </c>
      <c r="I42" s="93"/>
      <c r="J42" s="89">
        <v>0.075</v>
      </c>
    </row>
    <row r="43" customHeight="1" spans="1:10">
      <c r="A43" s="63"/>
      <c r="B43" s="69" t="s">
        <v>104</v>
      </c>
      <c r="C43" s="66" t="s">
        <v>105</v>
      </c>
      <c r="D43" s="71"/>
      <c r="E43" s="67">
        <f t="shared" si="1"/>
        <v>0.92</v>
      </c>
      <c r="F43" s="67" t="s">
        <v>68</v>
      </c>
      <c r="G43" s="68">
        <f>G33</f>
        <v>8</v>
      </c>
      <c r="H43" s="67" t="s">
        <v>106</v>
      </c>
      <c r="I43" s="93"/>
      <c r="J43" s="89">
        <v>0.115</v>
      </c>
    </row>
    <row r="44" customHeight="1" spans="1:10">
      <c r="A44" s="63"/>
      <c r="B44" s="69" t="s">
        <v>107</v>
      </c>
      <c r="C44" s="70" t="s">
        <v>108</v>
      </c>
      <c r="D44" s="74"/>
      <c r="E44" s="67">
        <f t="shared" si="1"/>
        <v>2.24</v>
      </c>
      <c r="F44" s="75" t="s">
        <v>68</v>
      </c>
      <c r="G44" s="76">
        <f>G28*4</f>
        <v>16</v>
      </c>
      <c r="H44" s="67" t="s">
        <v>109</v>
      </c>
      <c r="I44" s="94"/>
      <c r="J44" s="89">
        <v>0.14</v>
      </c>
    </row>
    <row r="45" customHeight="1" spans="1:10">
      <c r="A45" s="63" t="s">
        <v>110</v>
      </c>
      <c r="B45" s="63"/>
      <c r="C45" s="71"/>
      <c r="D45" s="71"/>
      <c r="E45" s="67"/>
      <c r="F45" s="67"/>
      <c r="G45" s="68"/>
      <c r="H45" s="68"/>
      <c r="I45" s="93"/>
      <c r="J45" s="89"/>
    </row>
    <row r="46" customHeight="1" spans="1:10">
      <c r="A46" s="63"/>
      <c r="B46" s="63"/>
      <c r="C46" s="71"/>
      <c r="D46" s="71"/>
      <c r="E46" s="67"/>
      <c r="F46" s="67"/>
      <c r="G46" s="68"/>
      <c r="H46" s="68"/>
      <c r="I46" s="93"/>
      <c r="J46" s="89"/>
    </row>
    <row r="47" customHeight="1" spans="1:10">
      <c r="A47" s="63"/>
      <c r="B47" s="63"/>
      <c r="C47" s="71"/>
      <c r="D47" s="71"/>
      <c r="E47" s="67"/>
      <c r="F47" s="67"/>
      <c r="G47" s="68"/>
      <c r="H47" s="68"/>
      <c r="I47" s="93"/>
      <c r="J47" s="89"/>
    </row>
    <row r="48" customHeight="1" spans="1:10">
      <c r="A48" s="63"/>
      <c r="B48" s="63"/>
      <c r="C48" s="71"/>
      <c r="D48" s="71"/>
      <c r="E48" s="67"/>
      <c r="F48" s="67"/>
      <c r="G48" s="68"/>
      <c r="H48" s="68"/>
      <c r="I48" s="93"/>
      <c r="J48" s="89"/>
    </row>
    <row r="49" customHeight="1" spans="1:10">
      <c r="A49" s="63"/>
      <c r="B49" s="63"/>
      <c r="C49" s="71"/>
      <c r="D49" s="71"/>
      <c r="E49" s="67"/>
      <c r="F49" s="67"/>
      <c r="G49" s="68"/>
      <c r="H49" s="68"/>
      <c r="I49" s="93"/>
      <c r="J49" s="89"/>
    </row>
    <row r="50" customHeight="1" spans="1:10">
      <c r="A50" s="63"/>
      <c r="B50" s="63"/>
      <c r="C50" s="71"/>
      <c r="D50" s="71"/>
      <c r="E50" s="67"/>
      <c r="F50" s="67"/>
      <c r="G50" s="68"/>
      <c r="H50" s="68"/>
      <c r="I50" s="93"/>
      <c r="J50" s="89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30"/>
    <mergeCell ref="A31:A37"/>
    <mergeCell ref="A38:A41"/>
    <mergeCell ref="A42:A44"/>
    <mergeCell ref="A45:A50"/>
    <mergeCell ref="A15:F16"/>
  </mergeCells>
  <conditionalFormatting sqref="B42:B44">
    <cfRule type="duplicateValues" dxfId="0" priority="1"/>
  </conditionalFormatting>
  <conditionalFormatting sqref="C43:C44">
    <cfRule type="duplicateValues" dxfId="0" priority="2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2018-08-15T08:19:22Z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