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320\iCloudDrive\毕业设计\毕设 进行\"/>
    </mc:Choice>
  </mc:AlternateContent>
  <xr:revisionPtr revIDLastSave="0" documentId="13_ncr:1_{DA358168-2F93-4642-A670-E88386F99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" i="1" l="1"/>
  <c r="S3" i="1"/>
  <c r="S9" i="1"/>
  <c r="T9" i="1"/>
  <c r="S10" i="1"/>
  <c r="T10" i="1"/>
  <c r="K40" i="1"/>
  <c r="L40" i="1" s="1"/>
  <c r="M40" i="1" s="1"/>
  <c r="G40" i="1"/>
  <c r="H40" i="1" s="1"/>
  <c r="K39" i="1"/>
  <c r="L39" i="1" s="1"/>
  <c r="M39" i="1" s="1"/>
  <c r="G39" i="1"/>
  <c r="H39" i="1" s="1"/>
  <c r="K38" i="1"/>
  <c r="L38" i="1" s="1"/>
  <c r="M38" i="1" s="1"/>
  <c r="G38" i="1"/>
  <c r="H38" i="1" s="1"/>
  <c r="K37" i="1"/>
  <c r="L37" i="1" s="1"/>
  <c r="M37" i="1" s="1"/>
  <c r="G37" i="1"/>
  <c r="H37" i="1" s="1"/>
  <c r="I37" i="1" s="1"/>
  <c r="K36" i="1"/>
  <c r="L36" i="1" s="1"/>
  <c r="M36" i="1" s="1"/>
  <c r="G36" i="1"/>
  <c r="H36" i="1" s="1"/>
  <c r="K35" i="1"/>
  <c r="L35" i="1" s="1"/>
  <c r="M35" i="1" s="1"/>
  <c r="G35" i="1"/>
  <c r="H35" i="1" s="1"/>
  <c r="K34" i="1"/>
  <c r="L34" i="1" s="1"/>
  <c r="M34" i="1" s="1"/>
  <c r="G34" i="1"/>
  <c r="H34" i="1" s="1"/>
  <c r="K33" i="1"/>
  <c r="L33" i="1" s="1"/>
  <c r="M33" i="1" s="1"/>
  <c r="G33" i="1"/>
  <c r="H33" i="1" s="1"/>
  <c r="I33" i="1" s="1"/>
  <c r="K32" i="1"/>
  <c r="L32" i="1" s="1"/>
  <c r="M32" i="1" s="1"/>
  <c r="G32" i="1"/>
  <c r="H32" i="1" s="1"/>
  <c r="P32" i="1" s="1"/>
  <c r="K30" i="1"/>
  <c r="L30" i="1" s="1"/>
  <c r="M30" i="1" s="1"/>
  <c r="G30" i="1"/>
  <c r="H30" i="1" s="1"/>
  <c r="K29" i="1"/>
  <c r="L29" i="1" s="1"/>
  <c r="M29" i="1" s="1"/>
  <c r="G29" i="1"/>
  <c r="H29" i="1" s="1"/>
  <c r="P29" i="1" s="1"/>
  <c r="K28" i="1"/>
  <c r="L28" i="1" s="1"/>
  <c r="M28" i="1" s="1"/>
  <c r="G28" i="1"/>
  <c r="H28" i="1" s="1"/>
  <c r="K27" i="1"/>
  <c r="L27" i="1" s="1"/>
  <c r="M27" i="1" s="1"/>
  <c r="G27" i="1"/>
  <c r="H27" i="1" s="1"/>
  <c r="K26" i="1"/>
  <c r="L26" i="1" s="1"/>
  <c r="M26" i="1" s="1"/>
  <c r="G26" i="1"/>
  <c r="H26" i="1" s="1"/>
  <c r="K25" i="1"/>
  <c r="L25" i="1" s="1"/>
  <c r="M25" i="1" s="1"/>
  <c r="G25" i="1"/>
  <c r="H25" i="1" s="1"/>
  <c r="K24" i="1"/>
  <c r="L24" i="1" s="1"/>
  <c r="M24" i="1" s="1"/>
  <c r="G24" i="1"/>
  <c r="H24" i="1" s="1"/>
  <c r="K23" i="1"/>
  <c r="L23" i="1" s="1"/>
  <c r="M23" i="1" s="1"/>
  <c r="Q23" i="1" s="1"/>
  <c r="G23" i="1"/>
  <c r="H23" i="1" s="1"/>
  <c r="I23" i="1" s="1"/>
  <c r="K22" i="1"/>
  <c r="L22" i="1" s="1"/>
  <c r="M22" i="1" s="1"/>
  <c r="G22" i="1"/>
  <c r="H22" i="1" s="1"/>
  <c r="K20" i="1"/>
  <c r="L20" i="1" s="1"/>
  <c r="M20" i="1" s="1"/>
  <c r="Q20" i="1" s="1"/>
  <c r="G20" i="1"/>
  <c r="H20" i="1" s="1"/>
  <c r="I20" i="1" s="1"/>
  <c r="K19" i="1"/>
  <c r="L19" i="1" s="1"/>
  <c r="M19" i="1" s="1"/>
  <c r="G19" i="1"/>
  <c r="H19" i="1" s="1"/>
  <c r="P19" i="1" s="1"/>
  <c r="K18" i="1"/>
  <c r="L18" i="1" s="1"/>
  <c r="M18" i="1" s="1"/>
  <c r="Q18" i="1" s="1"/>
  <c r="H18" i="1"/>
  <c r="I18" i="1" s="1"/>
  <c r="G18" i="1"/>
  <c r="K17" i="1"/>
  <c r="L17" i="1" s="1"/>
  <c r="M17" i="1" s="1"/>
  <c r="G17" i="1"/>
  <c r="H17" i="1" s="1"/>
  <c r="P17" i="1" s="1"/>
  <c r="K16" i="1"/>
  <c r="L16" i="1" s="1"/>
  <c r="M16" i="1" s="1"/>
  <c r="G16" i="1"/>
  <c r="H16" i="1" s="1"/>
  <c r="K15" i="1"/>
  <c r="L15" i="1" s="1"/>
  <c r="M15" i="1" s="1"/>
  <c r="G15" i="1"/>
  <c r="H15" i="1" s="1"/>
  <c r="K14" i="1"/>
  <c r="L14" i="1" s="1"/>
  <c r="M14" i="1" s="1"/>
  <c r="G14" i="1"/>
  <c r="H14" i="1" s="1"/>
  <c r="I14" i="1" s="1"/>
  <c r="K13" i="1"/>
  <c r="L13" i="1" s="1"/>
  <c r="M13" i="1" s="1"/>
  <c r="Q13" i="1" s="1"/>
  <c r="G13" i="1"/>
  <c r="H13" i="1" s="1"/>
  <c r="K10" i="1"/>
  <c r="L10" i="1" s="1"/>
  <c r="M10" i="1" s="1"/>
  <c r="G10" i="1"/>
  <c r="H10" i="1" s="1"/>
  <c r="K9" i="1"/>
  <c r="L9" i="1" s="1"/>
  <c r="M9" i="1" s="1"/>
  <c r="Q9" i="1" s="1"/>
  <c r="G9" i="1"/>
  <c r="H9" i="1" s="1"/>
  <c r="K8" i="1"/>
  <c r="L8" i="1" s="1"/>
  <c r="M8" i="1" s="1"/>
  <c r="G8" i="1"/>
  <c r="H8" i="1" s="1"/>
  <c r="K7" i="1"/>
  <c r="L7" i="1" s="1"/>
  <c r="M7" i="1" s="1"/>
  <c r="G7" i="1"/>
  <c r="H7" i="1" s="1"/>
  <c r="K6" i="1"/>
  <c r="L6" i="1" s="1"/>
  <c r="M6" i="1" s="1"/>
  <c r="G6" i="1"/>
  <c r="H6" i="1" s="1"/>
  <c r="K5" i="1"/>
  <c r="L5" i="1" s="1"/>
  <c r="M5" i="1" s="1"/>
  <c r="N5" i="1" s="1"/>
  <c r="R5" i="1" s="1"/>
  <c r="G5" i="1"/>
  <c r="H5" i="1" s="1"/>
  <c r="K4" i="1"/>
  <c r="L4" i="1" s="1"/>
  <c r="M4" i="1" s="1"/>
  <c r="G4" i="1"/>
  <c r="H4" i="1" s="1"/>
  <c r="K3" i="1"/>
  <c r="L3" i="1" s="1"/>
  <c r="M3" i="1" s="1"/>
  <c r="G3" i="1"/>
  <c r="H3" i="1" s="1"/>
  <c r="I3" i="1" s="1"/>
  <c r="K2" i="1"/>
  <c r="L2" i="1" s="1"/>
  <c r="M2" i="1" s="1"/>
  <c r="G2" i="1"/>
  <c r="H2" i="1" s="1"/>
  <c r="P22" i="1" l="1"/>
  <c r="I22" i="1"/>
  <c r="O22" i="1" s="1"/>
  <c r="P26" i="1"/>
  <c r="I26" i="1"/>
  <c r="P35" i="1"/>
  <c r="I35" i="1"/>
  <c r="N26" i="1"/>
  <c r="R26" i="1" s="1"/>
  <c r="Q26" i="1"/>
  <c r="N17" i="1"/>
  <c r="R17" i="1" s="1"/>
  <c r="Q17" i="1"/>
  <c r="I6" i="1"/>
  <c r="P6" i="1"/>
  <c r="P27" i="1"/>
  <c r="I27" i="1"/>
  <c r="O27" i="1" s="1"/>
  <c r="P36" i="1"/>
  <c r="I36" i="1"/>
  <c r="O36" i="1" s="1"/>
  <c r="T36" i="1" s="1"/>
  <c r="P13" i="1"/>
  <c r="I13" i="1"/>
  <c r="J13" i="1" s="1"/>
  <c r="I17" i="1"/>
  <c r="I19" i="1"/>
  <c r="O19" i="1" s="1"/>
  <c r="N8" i="1"/>
  <c r="R8" i="1" s="1"/>
  <c r="Q8" i="1"/>
  <c r="P9" i="1"/>
  <c r="I9" i="1"/>
  <c r="J9" i="1" s="1"/>
  <c r="P5" i="1"/>
  <c r="I5" i="1"/>
  <c r="O5" i="1" s="1"/>
  <c r="N10" i="1"/>
  <c r="R10" i="1" s="1"/>
  <c r="Q10" i="1"/>
  <c r="U10" i="1" s="1"/>
  <c r="N4" i="1"/>
  <c r="R4" i="1" s="1"/>
  <c r="Q4" i="1"/>
  <c r="N9" i="1"/>
  <c r="R9" i="1" s="1"/>
  <c r="V9" i="1" s="1"/>
  <c r="I2" i="1"/>
  <c r="P2" i="1"/>
  <c r="I4" i="1"/>
  <c r="P4" i="1"/>
  <c r="N13" i="1"/>
  <c r="R13" i="1" s="1"/>
  <c r="I15" i="1"/>
  <c r="P15" i="1"/>
  <c r="N27" i="1"/>
  <c r="R27" i="1" s="1"/>
  <c r="Q27" i="1"/>
  <c r="Q33" i="1"/>
  <c r="N33" i="1"/>
  <c r="R33" i="1" s="1"/>
  <c r="Q35" i="1"/>
  <c r="N35" i="1"/>
  <c r="R35" i="1" s="1"/>
  <c r="N37" i="1"/>
  <c r="R37" i="1" s="1"/>
  <c r="Q37" i="1"/>
  <c r="N6" i="1"/>
  <c r="R6" i="1" s="1"/>
  <c r="Q6" i="1"/>
  <c r="J18" i="1"/>
  <c r="O18" i="1"/>
  <c r="I7" i="1"/>
  <c r="P7" i="1"/>
  <c r="J20" i="1"/>
  <c r="O20" i="1"/>
  <c r="N22" i="1"/>
  <c r="R22" i="1" s="1"/>
  <c r="Q22" i="1"/>
  <c r="Q24" i="1"/>
  <c r="N24" i="1"/>
  <c r="R24" i="1" s="1"/>
  <c r="I28" i="1"/>
  <c r="P28" i="1"/>
  <c r="Q30" i="1"/>
  <c r="N30" i="1"/>
  <c r="R30" i="1" s="1"/>
  <c r="I34" i="1"/>
  <c r="P34" i="1"/>
  <c r="I38" i="1"/>
  <c r="P38" i="1"/>
  <c r="N19" i="1"/>
  <c r="R19" i="1" s="1"/>
  <c r="Q19" i="1"/>
  <c r="N2" i="1"/>
  <c r="R2" i="1" s="1"/>
  <c r="Q2" i="1"/>
  <c r="Q15" i="1"/>
  <c r="N15" i="1"/>
  <c r="R15" i="1" s="1"/>
  <c r="I25" i="1"/>
  <c r="P25" i="1"/>
  <c r="Q34" i="1"/>
  <c r="N34" i="1"/>
  <c r="R34" i="1" s="1"/>
  <c r="Q38" i="1"/>
  <c r="N38" i="1"/>
  <c r="R38" i="1" s="1"/>
  <c r="I24" i="1"/>
  <c r="P24" i="1"/>
  <c r="N7" i="1"/>
  <c r="R7" i="1" s="1"/>
  <c r="Q7" i="1"/>
  <c r="V8" i="1"/>
  <c r="J14" i="1"/>
  <c r="O14" i="1"/>
  <c r="J23" i="1"/>
  <c r="O23" i="1"/>
  <c r="Q25" i="1"/>
  <c r="N25" i="1"/>
  <c r="R25" i="1" s="1"/>
  <c r="Q28" i="1"/>
  <c r="N28" i="1"/>
  <c r="R28" i="1" s="1"/>
  <c r="I39" i="1"/>
  <c r="P39" i="1"/>
  <c r="Q5" i="1"/>
  <c r="I10" i="1"/>
  <c r="P10" i="1"/>
  <c r="I16" i="1"/>
  <c r="P16" i="1"/>
  <c r="N32" i="1"/>
  <c r="R32" i="1" s="1"/>
  <c r="Q32" i="1"/>
  <c r="N36" i="1"/>
  <c r="R36" i="1" s="1"/>
  <c r="Q36" i="1"/>
  <c r="N39" i="1"/>
  <c r="R39" i="1" s="1"/>
  <c r="Q39" i="1"/>
  <c r="I30" i="1"/>
  <c r="P30" i="1"/>
  <c r="J3" i="1"/>
  <c r="O3" i="1"/>
  <c r="Q16" i="1"/>
  <c r="N16" i="1"/>
  <c r="R16" i="1" s="1"/>
  <c r="V17" i="1"/>
  <c r="T19" i="1"/>
  <c r="S19" i="1"/>
  <c r="I40" i="1"/>
  <c r="P40" i="1"/>
  <c r="Q3" i="1"/>
  <c r="N3" i="1"/>
  <c r="R3" i="1" s="1"/>
  <c r="O6" i="1"/>
  <c r="J6" i="1"/>
  <c r="I8" i="1"/>
  <c r="P8" i="1"/>
  <c r="Q14" i="1"/>
  <c r="N14" i="1"/>
  <c r="R14" i="1" s="1"/>
  <c r="T27" i="1"/>
  <c r="S27" i="1"/>
  <c r="Y27" i="1" s="1"/>
  <c r="N29" i="1"/>
  <c r="R29" i="1" s="1"/>
  <c r="Q29" i="1"/>
  <c r="J33" i="1"/>
  <c r="O33" i="1"/>
  <c r="O37" i="1"/>
  <c r="J37" i="1"/>
  <c r="Q40" i="1"/>
  <c r="N40" i="1"/>
  <c r="R40" i="1" s="1"/>
  <c r="P37" i="1"/>
  <c r="O13" i="1"/>
  <c r="N18" i="1"/>
  <c r="R18" i="1" s="1"/>
  <c r="U18" i="1" s="1"/>
  <c r="J19" i="1"/>
  <c r="N20" i="1"/>
  <c r="R20" i="1" s="1"/>
  <c r="U20" i="1" s="1"/>
  <c r="J22" i="1"/>
  <c r="N23" i="1"/>
  <c r="R23" i="1" s="1"/>
  <c r="J27" i="1"/>
  <c r="I29" i="1"/>
  <c r="I32" i="1"/>
  <c r="P14" i="1"/>
  <c r="U17" i="1"/>
  <c r="P18" i="1"/>
  <c r="P20" i="1"/>
  <c r="P23" i="1"/>
  <c r="U8" i="1"/>
  <c r="P33" i="1"/>
  <c r="P3" i="1"/>
  <c r="V20" i="1" l="1"/>
  <c r="S36" i="1"/>
  <c r="U9" i="1"/>
  <c r="O35" i="1"/>
  <c r="J35" i="1"/>
  <c r="Y36" i="1"/>
  <c r="AA36" i="1" s="1"/>
  <c r="O26" i="1"/>
  <c r="J26" i="1"/>
  <c r="J36" i="1"/>
  <c r="O17" i="1"/>
  <c r="J17" i="1"/>
  <c r="O9" i="1"/>
  <c r="V10" i="1"/>
  <c r="J5" i="1"/>
  <c r="Y3" i="1"/>
  <c r="AA27" i="1"/>
  <c r="Z27" i="1"/>
  <c r="J30" i="1"/>
  <c r="O30" i="1"/>
  <c r="Z36" i="1"/>
  <c r="T14" i="1"/>
  <c r="S14" i="1"/>
  <c r="V38" i="1"/>
  <c r="U38" i="1"/>
  <c r="J34" i="1"/>
  <c r="O34" i="1"/>
  <c r="T5" i="1"/>
  <c r="S5" i="1"/>
  <c r="J15" i="1"/>
  <c r="O15" i="1"/>
  <c r="V40" i="1"/>
  <c r="U40" i="1"/>
  <c r="T6" i="1"/>
  <c r="S6" i="1"/>
  <c r="V39" i="1"/>
  <c r="U39" i="1"/>
  <c r="T20" i="1"/>
  <c r="X20" i="1" s="1"/>
  <c r="S20" i="1"/>
  <c r="W20" i="1" s="1"/>
  <c r="T18" i="1"/>
  <c r="S18" i="1"/>
  <c r="W18" i="1" s="1"/>
  <c r="J16" i="1"/>
  <c r="O16" i="1"/>
  <c r="V30" i="1"/>
  <c r="U30" i="1"/>
  <c r="O8" i="1"/>
  <c r="J8" i="1"/>
  <c r="T37" i="1"/>
  <c r="S37" i="1"/>
  <c r="V28" i="1"/>
  <c r="U28" i="1"/>
  <c r="V7" i="1"/>
  <c r="U7" i="1"/>
  <c r="V19" i="1"/>
  <c r="X19" i="1" s="1"/>
  <c r="U19" i="1"/>
  <c r="W19" i="1" s="1"/>
  <c r="V27" i="1"/>
  <c r="X27" i="1" s="1"/>
  <c r="U27" i="1"/>
  <c r="W27" i="1" s="1"/>
  <c r="O4" i="1"/>
  <c r="J4" i="1"/>
  <c r="T33" i="1"/>
  <c r="O10" i="1"/>
  <c r="J10" i="1"/>
  <c r="J25" i="1"/>
  <c r="O25" i="1"/>
  <c r="J28" i="1"/>
  <c r="O28" i="1"/>
  <c r="J39" i="1"/>
  <c r="O39" i="1"/>
  <c r="O32" i="1"/>
  <c r="J32" i="1"/>
  <c r="T13" i="1"/>
  <c r="S13" i="1"/>
  <c r="J40" i="1"/>
  <c r="O40" i="1"/>
  <c r="T3" i="1"/>
  <c r="V18" i="1"/>
  <c r="V37" i="1"/>
  <c r="U37" i="1"/>
  <c r="J2" i="1"/>
  <c r="O2" i="1"/>
  <c r="O29" i="1"/>
  <c r="J29" i="1"/>
  <c r="V29" i="1"/>
  <c r="U29" i="1"/>
  <c r="T23" i="1"/>
  <c r="S23" i="1"/>
  <c r="Y23" i="1" s="1"/>
  <c r="J24" i="1"/>
  <c r="O24" i="1"/>
  <c r="J38" i="1"/>
  <c r="O38" i="1"/>
  <c r="J7" i="1"/>
  <c r="O7" i="1"/>
  <c r="X18" i="1" l="1"/>
  <c r="AB18" i="1" s="1"/>
  <c r="W9" i="1"/>
  <c r="X9" i="1"/>
  <c r="AB9" i="1" s="1"/>
  <c r="Y33" i="1"/>
  <c r="AA33" i="1" s="1"/>
  <c r="Y14" i="1"/>
  <c r="Z14" i="1" s="1"/>
  <c r="S17" i="1"/>
  <c r="T17" i="1"/>
  <c r="X17" i="1" s="1"/>
  <c r="T26" i="1"/>
  <c r="S26" i="1"/>
  <c r="W37" i="1"/>
  <c r="S35" i="1"/>
  <c r="T35" i="1"/>
  <c r="Y5" i="1"/>
  <c r="AA5" i="1" s="1"/>
  <c r="AB20" i="1"/>
  <c r="AA20" i="1"/>
  <c r="AA18" i="1"/>
  <c r="AA3" i="1"/>
  <c r="Z3" i="1"/>
  <c r="T39" i="1"/>
  <c r="X39" i="1" s="1"/>
  <c r="S39" i="1"/>
  <c r="W39" i="1" s="1"/>
  <c r="X10" i="1"/>
  <c r="W10" i="1"/>
  <c r="AA19" i="1"/>
  <c r="AB19" i="1"/>
  <c r="AA23" i="1"/>
  <c r="Z23" i="1"/>
  <c r="T7" i="1"/>
  <c r="S7" i="1"/>
  <c r="Y7" i="1" s="1"/>
  <c r="T40" i="1"/>
  <c r="X40" i="1" s="1"/>
  <c r="S40" i="1"/>
  <c r="Y6" i="1"/>
  <c r="T34" i="1"/>
  <c r="S34" i="1"/>
  <c r="S30" i="1"/>
  <c r="T30" i="1"/>
  <c r="X30" i="1" s="1"/>
  <c r="T8" i="1"/>
  <c r="X8" i="1" s="1"/>
  <c r="S8" i="1"/>
  <c r="W8" i="1" s="1"/>
  <c r="T38" i="1"/>
  <c r="X38" i="1" s="1"/>
  <c r="S38" i="1"/>
  <c r="W38" i="1" s="1"/>
  <c r="Y13" i="1"/>
  <c r="S28" i="1"/>
  <c r="T28" i="1"/>
  <c r="X28" i="1" s="1"/>
  <c r="X7" i="1"/>
  <c r="W30" i="1"/>
  <c r="W40" i="1"/>
  <c r="AA9" i="1"/>
  <c r="T4" i="1"/>
  <c r="S4" i="1"/>
  <c r="W28" i="1"/>
  <c r="W7" i="1"/>
  <c r="X37" i="1"/>
  <c r="S25" i="1"/>
  <c r="T25" i="1"/>
  <c r="S15" i="1"/>
  <c r="T15" i="1"/>
  <c r="T29" i="1"/>
  <c r="X29" i="1" s="1"/>
  <c r="S29" i="1"/>
  <c r="W29" i="1" s="1"/>
  <c r="S24" i="1"/>
  <c r="T24" i="1"/>
  <c r="Y37" i="1"/>
  <c r="S16" i="1"/>
  <c r="T16" i="1"/>
  <c r="Y35" i="1" l="1"/>
  <c r="AA35" i="1" s="1"/>
  <c r="Y34" i="1"/>
  <c r="AA14" i="1"/>
  <c r="Z33" i="1"/>
  <c r="Y25" i="1"/>
  <c r="Z5" i="1"/>
  <c r="Z35" i="1"/>
  <c r="Y26" i="1"/>
  <c r="Y15" i="1"/>
  <c r="AA15" i="1" s="1"/>
  <c r="Y24" i="1"/>
  <c r="Z24" i="1" s="1"/>
  <c r="Y17" i="1"/>
  <c r="W17" i="1"/>
  <c r="AB29" i="1"/>
  <c r="AA29" i="1"/>
  <c r="AB38" i="1"/>
  <c r="AA38" i="1"/>
  <c r="AB28" i="1"/>
  <c r="AA28" i="1"/>
  <c r="AB40" i="1"/>
  <c r="AA40" i="1"/>
  <c r="AA6" i="1"/>
  <c r="Z6" i="1"/>
  <c r="Y4" i="1"/>
  <c r="AB30" i="1"/>
  <c r="AA30" i="1"/>
  <c r="AA8" i="1"/>
  <c r="AB8" i="1"/>
  <c r="AA10" i="1"/>
  <c r="AB10" i="1"/>
  <c r="Y16" i="1"/>
  <c r="AA7" i="1"/>
  <c r="Z7" i="1"/>
  <c r="AA37" i="1"/>
  <c r="Z37" i="1"/>
  <c r="AA34" i="1"/>
  <c r="Z34" i="1"/>
  <c r="AA25" i="1"/>
  <c r="Z25" i="1"/>
  <c r="AA13" i="1"/>
  <c r="Z13" i="1"/>
  <c r="AB39" i="1"/>
  <c r="AA39" i="1"/>
  <c r="Z17" i="1" l="1"/>
  <c r="AA17" i="1"/>
  <c r="AA24" i="1"/>
  <c r="Z15" i="1"/>
  <c r="AA26" i="1"/>
  <c r="Z26" i="1"/>
  <c r="AA4" i="1"/>
  <c r="Z4" i="1"/>
  <c r="AA16" i="1"/>
  <c r="Z16" i="1"/>
</calcChain>
</file>

<file path=xl/sharedStrings.xml><?xml version="1.0" encoding="utf-8"?>
<sst xmlns="http://schemas.openxmlformats.org/spreadsheetml/2006/main" count="124" uniqueCount="42">
  <si>
    <r>
      <t>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号ab</t>
    </r>
    <phoneticPr fontId="3" type="noConversion"/>
  </si>
  <si>
    <t>岩土名称</t>
  </si>
  <si>
    <r>
      <t>厚度（</t>
    </r>
    <r>
      <rPr>
        <sz val="10.5"/>
        <color theme="1"/>
        <rFont val="Times New Roman"/>
        <family val="1"/>
      </rPr>
      <t>m</t>
    </r>
    <r>
      <rPr>
        <sz val="10.5"/>
        <color theme="1"/>
        <rFont val="宋体"/>
        <family val="3"/>
        <charset val="134"/>
      </rPr>
      <t>）</t>
    </r>
  </si>
  <si>
    <r>
      <t>粘聚力（</t>
    </r>
    <r>
      <rPr>
        <sz val="10.5"/>
        <color rgb="FF000000"/>
        <rFont val="Times New Roman"/>
        <family val="1"/>
      </rPr>
      <t>kPa</t>
    </r>
    <r>
      <rPr>
        <sz val="10.5"/>
        <color rgb="FF000000"/>
        <rFont val="宋体"/>
        <family val="3"/>
        <charset val="134"/>
      </rPr>
      <t>）</t>
    </r>
  </si>
  <si>
    <t>内摩擦角（°）</t>
  </si>
  <si>
    <r>
      <t>重度（</t>
    </r>
    <r>
      <rPr>
        <sz val="10.5"/>
        <color rgb="FF000000"/>
        <rFont val="Times New Roman"/>
        <family val="1"/>
      </rPr>
      <t>kN/m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）</t>
    </r>
  </si>
  <si>
    <t>①</t>
  </si>
  <si>
    <t>杂、素填土</t>
  </si>
  <si>
    <t>②</t>
  </si>
  <si>
    <t>淤泥质粉质粘土</t>
  </si>
  <si>
    <t>③</t>
  </si>
  <si>
    <t>粘土</t>
  </si>
  <si>
    <t>④</t>
  </si>
  <si>
    <t>粉质粘土</t>
  </si>
  <si>
    <t>⑤</t>
  </si>
  <si>
    <t>粉土</t>
  </si>
  <si>
    <t>⑥</t>
  </si>
  <si>
    <t>粉砂</t>
  </si>
  <si>
    <t>⑦</t>
  </si>
  <si>
    <t>粉细砂</t>
  </si>
  <si>
    <t>⑧</t>
  </si>
  <si>
    <r>
      <t>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号bc</t>
    </r>
    <phoneticPr fontId="3" type="noConversion"/>
  </si>
  <si>
    <t>内摩擦角（°）</t>
    <phoneticPr fontId="3" type="noConversion"/>
  </si>
  <si>
    <t>根</t>
    <phoneticPr fontId="3" type="noConversion"/>
  </si>
  <si>
    <t>Ka, i</t>
    <phoneticPr fontId="3" type="noConversion"/>
  </si>
  <si>
    <t>Kp, i</t>
  </si>
  <si>
    <t>kai</t>
    <phoneticPr fontId="3" type="noConversion"/>
  </si>
  <si>
    <t>跟</t>
    <phoneticPr fontId="3" type="noConversion"/>
  </si>
  <si>
    <t>kpi</t>
    <phoneticPr fontId="3" type="noConversion"/>
  </si>
  <si>
    <r>
      <t>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号cd</t>
    </r>
    <phoneticPr fontId="3" type="noConversion"/>
  </si>
  <si>
    <r>
      <t>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号da</t>
    </r>
    <phoneticPr fontId="3" type="noConversion"/>
  </si>
  <si>
    <r>
      <t>层</t>
    </r>
    <r>
      <rPr>
        <sz val="10.5"/>
        <color theme="1"/>
        <rFont val="宋体"/>
        <family val="1"/>
        <charset val="134"/>
      </rPr>
      <t xml:space="preserve"> </t>
    </r>
    <r>
      <rPr>
        <sz val="10.5"/>
        <color theme="1"/>
        <rFont val="宋体"/>
        <family val="3"/>
        <charset val="134"/>
      </rPr>
      <t>号bc</t>
    </r>
    <phoneticPr fontId="3" type="noConversion"/>
  </si>
  <si>
    <t>主动土压力上</t>
    <phoneticPr fontId="3" type="noConversion"/>
  </si>
  <si>
    <t>主动土压力下</t>
    <phoneticPr fontId="3" type="noConversion"/>
  </si>
  <si>
    <t>被动上</t>
    <phoneticPr fontId="3" type="noConversion"/>
  </si>
  <si>
    <t>被动下</t>
    <phoneticPr fontId="3" type="noConversion"/>
  </si>
  <si>
    <t>净土上</t>
    <phoneticPr fontId="3" type="noConversion"/>
  </si>
  <si>
    <t>净土下</t>
    <phoneticPr fontId="3" type="noConversion"/>
  </si>
  <si>
    <t>z</t>
    <phoneticPr fontId="3" type="noConversion"/>
  </si>
  <si>
    <t>ea</t>
    <phoneticPr fontId="3" type="noConversion"/>
  </si>
  <si>
    <t>y</t>
    <phoneticPr fontId="3" type="noConversion"/>
  </si>
  <si>
    <t>ep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</si>
</sst>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_);[Red]\(0.00\)"/>
    <numFmt numFmtId="178" formatCode="0.00_ "/>
    <numFmt numFmtId="179" formatCode="0.0000000000_);[Red]\(0.0000000000\)"/>
  </numFmts>
  <fonts count="8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7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0" fillId="0" borderId="0" xfId="0" applyNumberFormat="1" applyAlignment="1">
      <alignment vertical="center"/>
    </xf>
    <xf numFmtId="178" fontId="0" fillId="0" borderId="3" xfId="0" applyNumberFormat="1" applyBorder="1" applyAlignment="1">
      <alignment vertical="center"/>
    </xf>
    <xf numFmtId="178" fontId="0" fillId="0" borderId="4" xfId="0" applyNumberForma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vertical="center"/>
    </xf>
    <xf numFmtId="178" fontId="0" fillId="0" borderId="7" xfId="0" applyNumberFormat="1" applyBorder="1" applyAlignment="1">
      <alignment vertical="center"/>
    </xf>
    <xf numFmtId="179" fontId="0" fillId="0" borderId="0" xfId="0" applyNumberFormat="1" applyAlignment="1">
      <alignment vertical="center"/>
    </xf>
    <xf numFmtId="179" fontId="4" fillId="0" borderId="0" xfId="0" applyNumberFormat="1" applyFont="1" applyAlignment="1">
      <alignment horizontal="center" vertical="center" wrapText="1"/>
    </xf>
    <xf numFmtId="179" fontId="0" fillId="0" borderId="2" xfId="0" applyNumberFormat="1" applyBorder="1" applyAlignment="1">
      <alignment vertical="center"/>
    </xf>
    <xf numFmtId="179" fontId="0" fillId="0" borderId="4" xfId="0" applyNumberFormat="1" applyBorder="1" applyAlignment="1">
      <alignment vertical="center"/>
    </xf>
    <xf numFmtId="179" fontId="0" fillId="0" borderId="8" xfId="0" applyNumberFormat="1" applyBorder="1" applyAlignment="1">
      <alignment vertical="center"/>
    </xf>
    <xf numFmtId="179" fontId="0" fillId="0" borderId="9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A7" zoomScale="60" zoomScaleNormal="60" workbookViewId="0">
      <selection activeCell="S33" sqref="S33"/>
    </sheetView>
  </sheetViews>
  <sheetFormatPr defaultRowHeight="13.8" x14ac:dyDescent="0.25"/>
  <sheetData>
    <row r="1" spans="1:28" ht="46.8" thickTop="1" thickBot="1" x14ac:dyDescent="0.3">
      <c r="A1" s="1" t="s">
        <v>31</v>
      </c>
      <c r="B1" s="1" t="s">
        <v>1</v>
      </c>
      <c r="C1" s="1" t="s">
        <v>2</v>
      </c>
      <c r="D1" s="2" t="s">
        <v>3</v>
      </c>
      <c r="E1" s="2" t="s">
        <v>22</v>
      </c>
      <c r="F1" s="2" t="s">
        <v>5</v>
      </c>
      <c r="G1" s="17"/>
      <c r="H1" s="18" t="s">
        <v>23</v>
      </c>
      <c r="I1" s="18" t="s">
        <v>24</v>
      </c>
      <c r="J1" s="18" t="s">
        <v>23</v>
      </c>
      <c r="K1" s="17"/>
      <c r="L1" s="17" t="s">
        <v>23</v>
      </c>
      <c r="M1" s="17" t="s">
        <v>25</v>
      </c>
      <c r="N1" s="17" t="s">
        <v>23</v>
      </c>
      <c r="O1" s="19" t="s">
        <v>26</v>
      </c>
      <c r="P1" s="19" t="s">
        <v>27</v>
      </c>
      <c r="Q1" s="19" t="s">
        <v>28</v>
      </c>
      <c r="R1" s="19" t="s">
        <v>23</v>
      </c>
      <c r="S1" s="20" t="s">
        <v>32</v>
      </c>
      <c r="T1" s="20" t="s">
        <v>33</v>
      </c>
      <c r="U1" s="20" t="s">
        <v>34</v>
      </c>
      <c r="V1" s="17" t="s">
        <v>35</v>
      </c>
      <c r="W1" s="21" t="s">
        <v>36</v>
      </c>
      <c r="X1" s="22" t="s">
        <v>37</v>
      </c>
      <c r="Y1" s="20" t="s">
        <v>38</v>
      </c>
      <c r="Z1" s="20" t="s">
        <v>39</v>
      </c>
      <c r="AA1" s="20" t="s">
        <v>40</v>
      </c>
      <c r="AB1" s="20" t="s">
        <v>41</v>
      </c>
    </row>
    <row r="2" spans="1:28" ht="46.8" thickTop="1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e">
        <f>RADIANS(45-E2/2)</f>
        <v>#VALUE!</v>
      </c>
      <c r="H2" s="3" t="e">
        <f>TAN(G2)</f>
        <v>#VALUE!</v>
      </c>
      <c r="I2" s="3" t="e">
        <f>POWER(H2,2)</f>
        <v>#VALUE!</v>
      </c>
      <c r="J2" s="3" t="e">
        <f>SQRT(I2)</f>
        <v>#VALUE!</v>
      </c>
      <c r="K2" s="3" t="e">
        <f>RADIANS(45+E2/2)</f>
        <v>#VALUE!</v>
      </c>
      <c r="L2" s="3" t="e">
        <f>TAN(K2)</f>
        <v>#VALUE!</v>
      </c>
      <c r="M2" s="3" t="e">
        <f>POWER(L2,2)</f>
        <v>#VALUE!</v>
      </c>
      <c r="N2" s="3" t="e">
        <f>SQRT(M2)</f>
        <v>#VALUE!</v>
      </c>
      <c r="O2" s="4" t="e">
        <f>ROUND(I2,2)</f>
        <v>#VALUE!</v>
      </c>
      <c r="P2" s="4" t="e">
        <f>ROUND(H2,2)</f>
        <v>#VALUE!</v>
      </c>
      <c r="Q2" s="4" t="e">
        <f>ROUND(M2,2)</f>
        <v>#VALUE!</v>
      </c>
      <c r="R2" s="4" t="e">
        <f>ROUND(N2,2)</f>
        <v>#VALUE!</v>
      </c>
      <c r="S2" s="5"/>
      <c r="T2" s="5"/>
      <c r="U2" s="5"/>
      <c r="V2" s="5"/>
      <c r="W2" s="6"/>
      <c r="X2" s="7"/>
      <c r="Y2" s="5"/>
      <c r="Z2" s="5"/>
      <c r="AA2" s="5"/>
      <c r="AB2" s="5"/>
    </row>
    <row r="3" spans="1:28" ht="28.8" x14ac:dyDescent="0.25">
      <c r="A3" s="8" t="s">
        <v>6</v>
      </c>
      <c r="B3" s="9" t="s">
        <v>7</v>
      </c>
      <c r="C3" s="8">
        <v>1.5</v>
      </c>
      <c r="D3" s="8">
        <v>10.199999999999999</v>
      </c>
      <c r="E3" s="8">
        <v>10.1</v>
      </c>
      <c r="F3" s="8">
        <v>18.2</v>
      </c>
      <c r="G3" s="3">
        <f>RADIANS(45-E3/2)</f>
        <v>0.69725903617173468</v>
      </c>
      <c r="H3" s="3">
        <f>TAN(G3)</f>
        <v>0.83761362145059315</v>
      </c>
      <c r="I3" s="3">
        <f>POWER(H3,2)</f>
        <v>0.7015965788395776</v>
      </c>
      <c r="J3" s="3">
        <f>SQRT(I3)</f>
        <v>0.83761362145059315</v>
      </c>
      <c r="K3" s="3">
        <f>RADIANS(45+E3/2)</f>
        <v>0.87353729062316188</v>
      </c>
      <c r="L3" s="3">
        <f>TAN(K3)</f>
        <v>1.1938678817903932</v>
      </c>
      <c r="M3" s="3">
        <f>POWER(L3,2)</f>
        <v>1.4253205191706801</v>
      </c>
      <c r="N3" s="3">
        <f>SQRT(M3)</f>
        <v>1.1938678817903932</v>
      </c>
      <c r="O3" s="4">
        <f>ROUND(I3,2)</f>
        <v>0.7</v>
      </c>
      <c r="P3" s="4">
        <f>ROUND(H3,2)</f>
        <v>0.84</v>
      </c>
      <c r="Q3" s="4">
        <f>ROUND(M3,2)</f>
        <v>1.43</v>
      </c>
      <c r="R3" s="4">
        <f>ROUND(N3,2)</f>
        <v>1.19</v>
      </c>
      <c r="S3" s="10">
        <f>20*O3-2*D3*P3</f>
        <v>-3.1359999999999992</v>
      </c>
      <c r="T3" s="10">
        <f>(20+F3*C3)*O3-2*D3*P3</f>
        <v>15.974</v>
      </c>
      <c r="U3" s="10"/>
      <c r="V3" s="10"/>
      <c r="W3" s="11"/>
      <c r="X3" s="12"/>
      <c r="Y3" s="5">
        <f>ROUND((ABS(S3)*C3)/(ABS(S3)+ABS(T3)),2)</f>
        <v>0.25</v>
      </c>
      <c r="Z3" s="5">
        <f>ROUND((C3-Y3)*T3/2,2)</f>
        <v>9.98</v>
      </c>
      <c r="AA3" s="5">
        <f>ROUND((C3-Y3)/3,2)</f>
        <v>0.42</v>
      </c>
      <c r="AB3" s="5"/>
    </row>
    <row r="4" spans="1:28" ht="28.8" x14ac:dyDescent="0.25">
      <c r="A4" s="8" t="s">
        <v>8</v>
      </c>
      <c r="B4" s="9" t="s">
        <v>9</v>
      </c>
      <c r="C4" s="8">
        <v>3.2</v>
      </c>
      <c r="D4" s="8">
        <v>10.1</v>
      </c>
      <c r="E4" s="8">
        <v>10.199999999999999</v>
      </c>
      <c r="F4" s="8">
        <v>17.899999999999999</v>
      </c>
      <c r="G4" s="3">
        <f>RADIANS(45-E4/2)</f>
        <v>0.69638637154573746</v>
      </c>
      <c r="H4" s="3">
        <f>TAN(G4)</f>
        <v>0.83612978255246839</v>
      </c>
      <c r="I4" s="3">
        <f>POWER(H4,2)</f>
        <v>0.69911301327123809</v>
      </c>
      <c r="J4" s="3">
        <f>SQRT(I4)</f>
        <v>0.83612978255246839</v>
      </c>
      <c r="K4" s="3">
        <f>RADIANS(45+E4/2)</f>
        <v>0.8744099552491591</v>
      </c>
      <c r="L4" s="3">
        <f>TAN(K4)</f>
        <v>1.1959865811109873</v>
      </c>
      <c r="M4" s="3">
        <f>POWER(L4,2)</f>
        <v>1.4303839021975482</v>
      </c>
      <c r="N4" s="3">
        <f>SQRT(M4)</f>
        <v>1.1959865811109873</v>
      </c>
      <c r="O4" s="4">
        <f>ROUND(I4,2)</f>
        <v>0.7</v>
      </c>
      <c r="P4" s="4">
        <f>ROUND(H4,2)</f>
        <v>0.84</v>
      </c>
      <c r="Q4" s="4">
        <f>ROUND(M4,2)</f>
        <v>1.43</v>
      </c>
      <c r="R4" s="4">
        <f>ROUND(N4,2)</f>
        <v>1.2</v>
      </c>
      <c r="S4" s="10">
        <f>(20+F3*C3)*O4-2*D4*P4</f>
        <v>16.141999999999999</v>
      </c>
      <c r="T4" s="10">
        <f>(20+F3*C3+C4*F4)*O4-2*D4*P4</f>
        <v>56.237999999999985</v>
      </c>
      <c r="U4" s="10"/>
      <c r="V4" s="10"/>
      <c r="W4" s="11"/>
      <c r="X4" s="12"/>
      <c r="Y4" s="5">
        <f>ROUND((ABS(S4)*C4)/(ABS(S4)+ABS(T4)),2)</f>
        <v>0.71</v>
      </c>
      <c r="Z4" s="5">
        <f>ROUND((C4-Y4)*T4/2,2)</f>
        <v>70.02</v>
      </c>
      <c r="AA4" s="5">
        <f>ROUND((C4-Y4)/3,2)</f>
        <v>0.83</v>
      </c>
      <c r="AB4" s="5"/>
    </row>
    <row r="5" spans="1:28" ht="14.4" x14ac:dyDescent="0.25">
      <c r="A5" s="8" t="s">
        <v>10</v>
      </c>
      <c r="B5" s="9" t="s">
        <v>11</v>
      </c>
      <c r="C5" s="8">
        <v>1.4</v>
      </c>
      <c r="D5" s="8">
        <v>51.8</v>
      </c>
      <c r="E5" s="8">
        <v>14.8</v>
      </c>
      <c r="F5" s="8">
        <v>19.5</v>
      </c>
      <c r="G5" s="3">
        <f>RADIANS(45-E5/2)</f>
        <v>0.65624379874986793</v>
      </c>
      <c r="H5" s="3">
        <f>TAN(G5)</f>
        <v>0.77010367233556531</v>
      </c>
      <c r="I5" s="3">
        <f>POWER(H5,2)</f>
        <v>0.59305966614472372</v>
      </c>
      <c r="J5" s="3">
        <f>SQRT(I5)</f>
        <v>0.77010367233556531</v>
      </c>
      <c r="K5" s="3">
        <f>RADIANS(45+E5/2)</f>
        <v>0.91455252804502862</v>
      </c>
      <c r="L5" s="3">
        <f>TAN(K5)</f>
        <v>1.2985264658811542</v>
      </c>
      <c r="M5" s="3">
        <f>POWER(L5,2)</f>
        <v>1.6861709825938003</v>
      </c>
      <c r="N5" s="3">
        <f>SQRT(M5)</f>
        <v>1.2985264658811542</v>
      </c>
      <c r="O5" s="4">
        <f>ROUND(I5,2)</f>
        <v>0.59</v>
      </c>
      <c r="P5" s="4">
        <f>ROUND(H5,2)</f>
        <v>0.77</v>
      </c>
      <c r="Q5" s="4">
        <f>ROUND(M5,2)</f>
        <v>1.69</v>
      </c>
      <c r="R5" s="4">
        <f>ROUND(N5,2)</f>
        <v>1.3</v>
      </c>
      <c r="S5" s="10">
        <f>(20+F3*C3+C4*F4)*O5-2*D5*P5</f>
        <v>-18.069799999999994</v>
      </c>
      <c r="T5" s="10">
        <f>(20+F3*C3+C4*F4+C5*F5)*O5-2*D5*P5</f>
        <v>-1.9628000000000014</v>
      </c>
      <c r="U5" s="10"/>
      <c r="V5" s="10"/>
      <c r="W5" s="11"/>
      <c r="X5" s="12"/>
      <c r="Y5" s="5">
        <f>ROUND((ABS(S5)*C5)/(ABS(S5)+ABS(T5)),2)</f>
        <v>1.26</v>
      </c>
      <c r="Z5" s="5">
        <f>ROUND((C5-Y5)*T5/2,2)</f>
        <v>-0.14000000000000001</v>
      </c>
      <c r="AA5" s="5">
        <f>ROUND((C5-Y5)/3,2)</f>
        <v>0.05</v>
      </c>
      <c r="AB5" s="5"/>
    </row>
    <row r="6" spans="1:28" ht="14.4" x14ac:dyDescent="0.25">
      <c r="A6" s="8" t="s">
        <v>12</v>
      </c>
      <c r="B6" s="9" t="s">
        <v>13</v>
      </c>
      <c r="C6" s="8">
        <v>1.8</v>
      </c>
      <c r="D6" s="8">
        <v>37.799999999999997</v>
      </c>
      <c r="E6" s="8">
        <v>14.4</v>
      </c>
      <c r="F6" s="8">
        <v>19.100000000000001</v>
      </c>
      <c r="G6" s="3">
        <f>RADIANS(45-E6/2)</f>
        <v>0.65973445725385649</v>
      </c>
      <c r="H6" s="3">
        <f>TAN(G6)</f>
        <v>0.77567951104961297</v>
      </c>
      <c r="I6" s="3">
        <f>POWER(H6,2)</f>
        <v>0.6016787038621666</v>
      </c>
      <c r="J6" s="3">
        <f>SQRT(I6)</f>
        <v>0.77567951104961297</v>
      </c>
      <c r="K6" s="3">
        <f>RADIANS(45+E6/2)</f>
        <v>0.91106186954104007</v>
      </c>
      <c r="L6" s="3">
        <f>TAN(K6)</f>
        <v>1.2891922317850668</v>
      </c>
      <c r="M6" s="3">
        <f>POWER(L6,2)</f>
        <v>1.6620166104949614</v>
      </c>
      <c r="N6" s="3">
        <f>SQRT(M6)</f>
        <v>1.2891922317850668</v>
      </c>
      <c r="O6" s="4">
        <f>ROUND(I6,2)</f>
        <v>0.6</v>
      </c>
      <c r="P6" s="4">
        <f>ROUND(H6,2)</f>
        <v>0.78</v>
      </c>
      <c r="Q6" s="4">
        <f>ROUND(M6,2)</f>
        <v>1.66</v>
      </c>
      <c r="R6" s="4">
        <f>ROUND(N6,2)</f>
        <v>1.29</v>
      </c>
      <c r="S6" s="10">
        <f>(20+C3*F3+C4*F4+C5*F5)*O6-2*D6*P6</f>
        <v>20.160000000000004</v>
      </c>
      <c r="T6" s="10">
        <f>(20+C3*F3+C4*F4+C5*F5+C6*F6)*O6-2*D6*P6</f>
        <v>40.78799999999999</v>
      </c>
      <c r="U6" s="10"/>
      <c r="V6" s="10"/>
      <c r="W6" s="11"/>
      <c r="X6" s="12"/>
      <c r="Y6" s="5">
        <f>ROUND((ABS(S6)*C6)/(ABS(S6)+ABS(T6)),2)</f>
        <v>0.6</v>
      </c>
      <c r="Z6" s="5">
        <f>ROUND((C6-Y6)*T6/2,2)</f>
        <v>24.47</v>
      </c>
      <c r="AA6" s="5">
        <f>ROUND((C6-Y6)/3,2)</f>
        <v>0.4</v>
      </c>
      <c r="AB6" s="5"/>
    </row>
    <row r="7" spans="1:28" ht="14.4" x14ac:dyDescent="0.25">
      <c r="A7" s="8" t="s">
        <v>14</v>
      </c>
      <c r="B7" s="9" t="s">
        <v>15</v>
      </c>
      <c r="C7" s="8">
        <v>4.2</v>
      </c>
      <c r="D7" s="8">
        <v>12.6</v>
      </c>
      <c r="E7" s="8">
        <v>27.4</v>
      </c>
      <c r="F7" s="8">
        <v>18.5</v>
      </c>
      <c r="G7" s="3">
        <f>RADIANS(45-E7/2)</f>
        <v>0.54628805587422513</v>
      </c>
      <c r="H7" s="3">
        <f>TAN(G7)</f>
        <v>0.60800953019440529</v>
      </c>
      <c r="I7" s="3">
        <f>POWER(H7,2)</f>
        <v>0.36967558880722146</v>
      </c>
      <c r="J7" s="3">
        <f>SQRT(I7)</f>
        <v>0.60800953019440529</v>
      </c>
      <c r="K7" s="3">
        <f>RADIANS(45+E7/2)</f>
        <v>1.0245082709206714</v>
      </c>
      <c r="L7" s="3">
        <f>TAN(K7)</f>
        <v>1.6447110618155267</v>
      </c>
      <c r="M7" s="3">
        <f>POWER(L7,2)</f>
        <v>2.7050744768583574</v>
      </c>
      <c r="N7" s="3">
        <f>SQRT(M7)</f>
        <v>1.6447110618155267</v>
      </c>
      <c r="O7" s="4">
        <f>ROUND(I7,2)</f>
        <v>0.37</v>
      </c>
      <c r="P7" s="4">
        <f>ROUND(H7,2)</f>
        <v>0.61</v>
      </c>
      <c r="Q7" s="4">
        <f>ROUND(M7,2)</f>
        <v>2.71</v>
      </c>
      <c r="R7" s="4">
        <f>ROUND(N7,2)</f>
        <v>1.64</v>
      </c>
      <c r="S7" s="10">
        <f>(20+C3*F3+C4*F4+C5*F5+C6*F6)*O7-2*D7*P7</f>
        <v>46.144199999999998</v>
      </c>
      <c r="T7" s="10">
        <f>(20+C3*F3+C4*F4+C5*F5+C6*F6+C7*F7)*O7-2*D7*P7</f>
        <v>74.893199999999993</v>
      </c>
      <c r="U7" s="10">
        <f>0*Q7+2*D7*R7</f>
        <v>41.327999999999996</v>
      </c>
      <c r="V7" s="10">
        <f>(0+C7*F7)*Q7+2*D7*R7</f>
        <v>251.89500000000001</v>
      </c>
      <c r="W7" s="11">
        <f>U7-S7</f>
        <v>-4.816200000000002</v>
      </c>
      <c r="X7" s="12">
        <f>V7-T7</f>
        <v>177.0018</v>
      </c>
      <c r="Y7" s="5">
        <f>ROUND((ABS(S7)*C7)/(ABS(S7)+ABS(T7)),2)</f>
        <v>1.6</v>
      </c>
      <c r="Z7" s="5">
        <f>ROUND((C7-Y7)*T7/2,2)</f>
        <v>97.36</v>
      </c>
      <c r="AA7" s="5">
        <f>ROUND((C7-Y7)/3,2)</f>
        <v>0.87</v>
      </c>
      <c r="AB7" s="5"/>
    </row>
    <row r="8" spans="1:28" ht="14.4" x14ac:dyDescent="0.25">
      <c r="A8" s="8" t="s">
        <v>16</v>
      </c>
      <c r="B8" s="9" t="s">
        <v>17</v>
      </c>
      <c r="C8" s="8">
        <v>5.4</v>
      </c>
      <c r="D8" s="8">
        <v>12.4</v>
      </c>
      <c r="E8" s="8">
        <v>28.8</v>
      </c>
      <c r="F8" s="8">
        <v>18.399999999999999</v>
      </c>
      <c r="G8" s="3">
        <f>RADIANS(45-E8/2)</f>
        <v>0.53407075111026492</v>
      </c>
      <c r="H8" s="3">
        <f>TAN(G8)</f>
        <v>0.59139835139947117</v>
      </c>
      <c r="I8" s="3">
        <f>POWER(H8,2)</f>
        <v>0.34975201003801237</v>
      </c>
      <c r="J8" s="3">
        <f>SQRT(I8)</f>
        <v>0.59139835139947117</v>
      </c>
      <c r="K8" s="3">
        <f>RADIANS(45+E8/2)</f>
        <v>1.0367255756846316</v>
      </c>
      <c r="L8" s="3">
        <f>TAN(K8)</f>
        <v>1.6909076557850107</v>
      </c>
      <c r="M8" s="3">
        <f>POWER(L8,2)</f>
        <v>2.85916870039236</v>
      </c>
      <c r="N8" s="3">
        <f>SQRT(M8)</f>
        <v>1.6909076557850107</v>
      </c>
      <c r="O8" s="4">
        <f>ROUND(I8,2)</f>
        <v>0.35</v>
      </c>
      <c r="P8" s="4">
        <f>ROUND(H8,2)</f>
        <v>0.59</v>
      </c>
      <c r="Q8" s="4">
        <f>ROUND(M8,2)</f>
        <v>2.86</v>
      </c>
      <c r="R8" s="4">
        <f>ROUND(N8,2)</f>
        <v>1.69</v>
      </c>
      <c r="S8" s="10">
        <f>(20+C3*F3+C4*F4+C5*F5+C6*F6+C7*F7)*O8-2*D8*P8</f>
        <v>70.753999999999976</v>
      </c>
      <c r="T8" s="10">
        <f>(20+C3*F3+C4*F4+C5*F5+C6*F6+C7*F7+C8*F8)*O8-2*D8*P8</f>
        <v>105.52999999999999</v>
      </c>
      <c r="U8" s="10">
        <f>(0+C7*F7)*Q8+2*D8*R8</f>
        <v>264.13400000000001</v>
      </c>
      <c r="V8" s="10">
        <f>(0+C7*F7+C8*F8)*Q8+2*D8*R8</f>
        <v>548.30359999999996</v>
      </c>
      <c r="W8" s="11">
        <f>U8-S8</f>
        <v>193.38000000000005</v>
      </c>
      <c r="X8" s="12">
        <f>V8-T8</f>
        <v>442.77359999999999</v>
      </c>
      <c r="Y8" s="5"/>
      <c r="Z8" s="5"/>
      <c r="AA8" s="5">
        <f>ROUND(C8*(2*W8+X8)/(W8+X8)/3,2)</f>
        <v>2.35</v>
      </c>
      <c r="AB8" s="5">
        <f>C8*(W8+X8)/2</f>
        <v>1717.6147200000003</v>
      </c>
    </row>
    <row r="9" spans="1:28" ht="14.4" x14ac:dyDescent="0.25">
      <c r="A9" s="8" t="s">
        <v>18</v>
      </c>
      <c r="B9" s="9" t="s">
        <v>19</v>
      </c>
      <c r="C9" s="8">
        <v>4.5999999999999996</v>
      </c>
      <c r="D9" s="8">
        <v>11.6</v>
      </c>
      <c r="E9" s="8">
        <v>31.2</v>
      </c>
      <c r="F9" s="8">
        <v>18.600000000000001</v>
      </c>
      <c r="G9" s="3">
        <f>RADIANS(45-E9/2)</f>
        <v>0.51312680008633282</v>
      </c>
      <c r="H9" s="3">
        <f>TAN(G9)</f>
        <v>0.56347104160796813</v>
      </c>
      <c r="I9" s="3">
        <f>POWER(H9,2)</f>
        <v>0.31749961473076854</v>
      </c>
      <c r="J9" s="3">
        <f>SQRT(I9)</f>
        <v>0.56347104160796813</v>
      </c>
      <c r="K9" s="3">
        <f>RADIANS(45+E9/2)</f>
        <v>1.0576695267085636</v>
      </c>
      <c r="L9" s="3">
        <f>TAN(K9)</f>
        <v>1.7747140955927672</v>
      </c>
      <c r="M9" s="3">
        <f>POWER(L9,2)</f>
        <v>3.1496101210956535</v>
      </c>
      <c r="N9" s="3">
        <f>SQRT(M9)</f>
        <v>1.7747140955927672</v>
      </c>
      <c r="O9" s="4">
        <f>ROUND(I9,2)</f>
        <v>0.32</v>
      </c>
      <c r="P9" s="4">
        <f>ROUND(H9,2)</f>
        <v>0.56000000000000005</v>
      </c>
      <c r="Q9" s="4">
        <f>ROUND(M9,2)</f>
        <v>3.15</v>
      </c>
      <c r="R9" s="4">
        <f>ROUND(N9,2)</f>
        <v>1.77</v>
      </c>
      <c r="S9" s="10">
        <f>(20+C3*F3+C4*F4+C5*F5+C6*F6+C7*F7+C8*F8)*O9-2*D9*P9</f>
        <v>96.870399999999989</v>
      </c>
      <c r="T9" s="10">
        <f>(20+C3*F3+C4*F4+C5*F5+C6*F6+C7*F7+C8*F8+C9*F9)*O9-2*D9*P9</f>
        <v>124.2496</v>
      </c>
      <c r="U9" s="10">
        <f>(0+C7*F7+C8*F8)*Q9+2*D9*R9</f>
        <v>598.803</v>
      </c>
      <c r="V9" s="10">
        <f>(0+C7*F7+C8*F8+C9*F9)*Q9+2*D9*R9</f>
        <v>868.31700000000001</v>
      </c>
      <c r="W9" s="11">
        <f>U9-S9</f>
        <v>501.93259999999998</v>
      </c>
      <c r="X9" s="12">
        <f>V9-T9</f>
        <v>744.06740000000002</v>
      </c>
      <c r="Y9" s="5"/>
      <c r="Z9" s="5"/>
      <c r="AA9" s="5">
        <f>ROUND(C9*(2*W9+X9)/(W9+X9)/3,2)</f>
        <v>2.15</v>
      </c>
      <c r="AB9" s="5">
        <f>C9*(W9+X9)/2</f>
        <v>2865.7999999999997</v>
      </c>
    </row>
    <row r="10" spans="1:28" ht="15" thickBot="1" x14ac:dyDescent="0.3">
      <c r="A10" s="13" t="s">
        <v>20</v>
      </c>
      <c r="B10" s="14" t="s">
        <v>11</v>
      </c>
      <c r="C10" s="13">
        <v>8.1999999999999993</v>
      </c>
      <c r="D10" s="13">
        <v>58.9</v>
      </c>
      <c r="E10" s="13">
        <v>13.4</v>
      </c>
      <c r="F10" s="13">
        <v>19.3</v>
      </c>
      <c r="G10" s="3">
        <f>RADIANS(45-E10/2)</f>
        <v>0.66846110351382815</v>
      </c>
      <c r="H10" s="3">
        <f>TAN(G10)</f>
        <v>0.78975241236447591</v>
      </c>
      <c r="I10" s="3">
        <f>POWER(H10,2)</f>
        <v>0.62370887283550924</v>
      </c>
      <c r="J10" s="3">
        <f>SQRT(I10)</f>
        <v>0.78975241236447591</v>
      </c>
      <c r="K10" s="3">
        <f>RADIANS(45+E10/2)</f>
        <v>0.90233522328106841</v>
      </c>
      <c r="L10" s="3">
        <f>TAN(K10)</f>
        <v>1.2662196206606753</v>
      </c>
      <c r="M10" s="3">
        <f>POWER(L10,2)</f>
        <v>1.6033121277460645</v>
      </c>
      <c r="N10" s="3">
        <f>SQRT(M10)</f>
        <v>1.2662196206606753</v>
      </c>
      <c r="O10" s="4">
        <f>ROUND(I10,2)</f>
        <v>0.62</v>
      </c>
      <c r="P10" s="4">
        <f>ROUND(H10,2)</f>
        <v>0.79</v>
      </c>
      <c r="Q10" s="4">
        <f>ROUND(M10,2)</f>
        <v>1.6</v>
      </c>
      <c r="R10" s="4">
        <f>ROUND(N10,2)</f>
        <v>1.27</v>
      </c>
      <c r="S10" s="10">
        <f>(20+C3*F3+C4*F4+C5*F5+C6*F6+C7*F7+C8*F8+C9*F9)*O10-2*D10*P10</f>
        <v>172.84359999999998</v>
      </c>
      <c r="T10" s="10">
        <f>(20+C3*F3+C4*F4+C5*F5+C6*F6+C7*F7+C8*F8+C9*F9+C10*F10)*O10-2*D10*P10</f>
        <v>270.96479999999997</v>
      </c>
      <c r="U10" s="10">
        <f>(0+C7*F7+C8*F8+C9*F9)*Q10+2*D10*R10</f>
        <v>569.798</v>
      </c>
      <c r="V10" s="10">
        <f>(0+C7*F7+C8*F8+C9*F9+C10*F10)*Q10+2*D10*R10</f>
        <v>823.01400000000001</v>
      </c>
      <c r="W10" s="15">
        <f>U10-S10</f>
        <v>396.95440000000002</v>
      </c>
      <c r="X10" s="16">
        <f>V10-T10</f>
        <v>552.04920000000004</v>
      </c>
      <c r="Y10" s="5"/>
      <c r="Z10" s="5"/>
      <c r="AA10" s="5">
        <f>ROUND(C10*(2*W10+X10)/(W10+X10)/3,2)</f>
        <v>3.88</v>
      </c>
      <c r="AB10" s="5">
        <f>C10*(W10+X10)/2</f>
        <v>3890.9147599999997</v>
      </c>
    </row>
    <row r="11" spans="1:28" ht="15" thickTop="1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46.8" thickTop="1" thickBot="1" x14ac:dyDescent="0.3">
      <c r="A12" s="1" t="s">
        <v>21</v>
      </c>
      <c r="B12" s="1" t="s">
        <v>1</v>
      </c>
      <c r="C12" s="1" t="s">
        <v>2</v>
      </c>
      <c r="D12" s="2" t="s">
        <v>3</v>
      </c>
      <c r="E12" s="2" t="s">
        <v>22</v>
      </c>
      <c r="F12" s="2" t="s">
        <v>5</v>
      </c>
      <c r="G12" s="17"/>
      <c r="H12" s="18" t="s">
        <v>23</v>
      </c>
      <c r="I12" s="18" t="s">
        <v>24</v>
      </c>
      <c r="J12" s="18" t="s">
        <v>23</v>
      </c>
      <c r="K12" s="17"/>
      <c r="L12" s="17" t="s">
        <v>23</v>
      </c>
      <c r="M12" s="17" t="s">
        <v>25</v>
      </c>
      <c r="N12" s="17" t="s">
        <v>23</v>
      </c>
      <c r="O12" s="19" t="s">
        <v>26</v>
      </c>
      <c r="P12" s="19" t="s">
        <v>27</v>
      </c>
      <c r="Q12" s="19" t="s">
        <v>28</v>
      </c>
      <c r="R12" s="19" t="s">
        <v>23</v>
      </c>
      <c r="S12" s="5"/>
      <c r="T12" s="5"/>
      <c r="U12" s="5"/>
      <c r="V12" s="5"/>
      <c r="W12" s="6"/>
      <c r="X12" s="7"/>
      <c r="Y12" s="5"/>
      <c r="Z12" s="5"/>
      <c r="AA12" s="5"/>
      <c r="AB12" s="5"/>
    </row>
    <row r="13" spans="1:28" ht="28.8" x14ac:dyDescent="0.25">
      <c r="A13" s="8" t="s">
        <v>6</v>
      </c>
      <c r="B13" s="9" t="s">
        <v>7</v>
      </c>
      <c r="C13" s="8">
        <v>1.2</v>
      </c>
      <c r="D13" s="8">
        <v>10.199999999999999</v>
      </c>
      <c r="E13" s="8">
        <v>10.1</v>
      </c>
      <c r="F13" s="8">
        <v>18.2</v>
      </c>
      <c r="G13" s="3">
        <f>RADIANS(45-E13/2)</f>
        <v>0.69725903617173468</v>
      </c>
      <c r="H13" s="3">
        <f>TAN(G13)</f>
        <v>0.83761362145059315</v>
      </c>
      <c r="I13" s="3">
        <f>POWER(H13,2)</f>
        <v>0.7015965788395776</v>
      </c>
      <c r="J13" s="3">
        <f>SQRT(I13)</f>
        <v>0.83761362145059315</v>
      </c>
      <c r="K13" s="3">
        <f>RADIANS(45+E13/2)</f>
        <v>0.87353729062316188</v>
      </c>
      <c r="L13" s="3">
        <f>TAN(K13)</f>
        <v>1.1938678817903932</v>
      </c>
      <c r="M13" s="3">
        <f>POWER(L13,2)</f>
        <v>1.4253205191706801</v>
      </c>
      <c r="N13" s="3">
        <f>SQRT(M13)</f>
        <v>1.1938678817903932</v>
      </c>
      <c r="O13" s="4">
        <f>ROUND(I13,2)</f>
        <v>0.7</v>
      </c>
      <c r="P13" s="4">
        <f>ROUND(H13,2)</f>
        <v>0.84</v>
      </c>
      <c r="Q13" s="4">
        <f>ROUND(M13,2)</f>
        <v>1.43</v>
      </c>
      <c r="R13" s="4">
        <f>ROUND(N13,2)</f>
        <v>1.19</v>
      </c>
      <c r="S13" s="10">
        <f>20*O13-2*D13*P13</f>
        <v>-3.1359999999999992</v>
      </c>
      <c r="T13" s="10">
        <f>(20+F13*C13)*O13-2*D13*P13</f>
        <v>12.152000000000001</v>
      </c>
      <c r="U13" s="10"/>
      <c r="V13" s="10"/>
      <c r="W13" s="11"/>
      <c r="X13" s="12"/>
      <c r="Y13" s="5">
        <f>ROUND((ABS(S13)*C13)/(ABS(S13)+ABS(T13)),2)</f>
        <v>0.25</v>
      </c>
      <c r="Z13" s="5">
        <f>ROUND((C13-Y13)*T13/2,2)</f>
        <v>5.77</v>
      </c>
      <c r="AA13" s="5">
        <f>ROUND((C13-Y13)/3,2)</f>
        <v>0.32</v>
      </c>
      <c r="AB13" s="5"/>
    </row>
    <row r="14" spans="1:28" ht="28.8" x14ac:dyDescent="0.25">
      <c r="A14" s="8" t="s">
        <v>8</v>
      </c>
      <c r="B14" s="9" t="s">
        <v>9</v>
      </c>
      <c r="C14" s="8">
        <v>4.8</v>
      </c>
      <c r="D14" s="8">
        <v>10.1</v>
      </c>
      <c r="E14" s="8">
        <v>10.199999999999999</v>
      </c>
      <c r="F14" s="8">
        <v>17.899999999999999</v>
      </c>
      <c r="G14" s="3">
        <f t="shared" ref="G14:G20" si="0">RADIANS(45-E14/2)</f>
        <v>0.69638637154573746</v>
      </c>
      <c r="H14" s="3">
        <f t="shared" ref="H14:H20" si="1">TAN(G14)</f>
        <v>0.83612978255246839</v>
      </c>
      <c r="I14" s="3">
        <f t="shared" ref="I14:I20" si="2">POWER(H14,2)</f>
        <v>0.69911301327123809</v>
      </c>
      <c r="J14" s="3">
        <f t="shared" ref="J14:J20" si="3">SQRT(I14)</f>
        <v>0.83612978255246839</v>
      </c>
      <c r="K14" s="3">
        <f t="shared" ref="K14:K20" si="4">RADIANS(45+E14/2)</f>
        <v>0.8744099552491591</v>
      </c>
      <c r="L14" s="3">
        <f t="shared" ref="L14:L20" si="5">TAN(K14)</f>
        <v>1.1959865811109873</v>
      </c>
      <c r="M14" s="3">
        <f t="shared" ref="M14:M20" si="6">POWER(L14,2)</f>
        <v>1.4303839021975482</v>
      </c>
      <c r="N14" s="3">
        <f t="shared" ref="N14:N20" si="7">SQRT(M14)</f>
        <v>1.1959865811109873</v>
      </c>
      <c r="O14" s="4">
        <f t="shared" ref="O14:O20" si="8">ROUND(I14,2)</f>
        <v>0.7</v>
      </c>
      <c r="P14" s="4">
        <f t="shared" ref="P14:P20" si="9">ROUND(H14,2)</f>
        <v>0.84</v>
      </c>
      <c r="Q14" s="4">
        <f t="shared" ref="Q14:R20" si="10">ROUND(M14,2)</f>
        <v>1.43</v>
      </c>
      <c r="R14" s="4">
        <f t="shared" si="10"/>
        <v>1.2</v>
      </c>
      <c r="S14" s="10">
        <f>(20+F13*C13)*O14-2*D14*P14</f>
        <v>12.32</v>
      </c>
      <c r="T14" s="10">
        <f>(20+F13*C13+C14*F14)*O14-2*D14*P14</f>
        <v>72.463999999999984</v>
      </c>
      <c r="U14" s="10"/>
      <c r="V14" s="10"/>
      <c r="W14" s="11"/>
      <c r="X14" s="12"/>
      <c r="Y14" s="5">
        <f t="shared" ref="Y14:Y16" si="11">ROUND((ABS(S14)*C14)/(ABS(S14)+ABS(T14)),2)</f>
        <v>0.7</v>
      </c>
      <c r="Z14" s="5">
        <f t="shared" ref="Z14:Z17" si="12">ROUND((C14-Y14)*T14/2,2)</f>
        <v>148.55000000000001</v>
      </c>
      <c r="AA14" s="5">
        <f t="shared" ref="AA14:AA17" si="13">ROUND((C14-Y14)/3,2)</f>
        <v>1.37</v>
      </c>
      <c r="AB14" s="5"/>
    </row>
    <row r="15" spans="1:28" ht="14.4" x14ac:dyDescent="0.25">
      <c r="A15" s="8" t="s">
        <v>10</v>
      </c>
      <c r="B15" s="9" t="s">
        <v>11</v>
      </c>
      <c r="C15" s="8">
        <v>1.4</v>
      </c>
      <c r="D15" s="8">
        <v>51.8</v>
      </c>
      <c r="E15" s="8">
        <v>14.8</v>
      </c>
      <c r="F15" s="8">
        <v>19.5</v>
      </c>
      <c r="G15" s="3">
        <f t="shared" si="0"/>
        <v>0.65624379874986793</v>
      </c>
      <c r="H15" s="3">
        <f t="shared" si="1"/>
        <v>0.77010367233556531</v>
      </c>
      <c r="I15" s="3">
        <f t="shared" si="2"/>
        <v>0.59305966614472372</v>
      </c>
      <c r="J15" s="3">
        <f t="shared" si="3"/>
        <v>0.77010367233556531</v>
      </c>
      <c r="K15" s="3">
        <f t="shared" si="4"/>
        <v>0.91455252804502862</v>
      </c>
      <c r="L15" s="3">
        <f t="shared" si="5"/>
        <v>1.2985264658811542</v>
      </c>
      <c r="M15" s="3">
        <f t="shared" si="6"/>
        <v>1.6861709825938003</v>
      </c>
      <c r="N15" s="3">
        <f t="shared" si="7"/>
        <v>1.2985264658811542</v>
      </c>
      <c r="O15" s="4">
        <f t="shared" si="8"/>
        <v>0.59</v>
      </c>
      <c r="P15" s="4">
        <f t="shared" si="9"/>
        <v>0.77</v>
      </c>
      <c r="Q15" s="4">
        <f t="shared" si="10"/>
        <v>1.69</v>
      </c>
      <c r="R15" s="4">
        <f t="shared" si="10"/>
        <v>1.3</v>
      </c>
      <c r="S15" s="10">
        <f>(20+F13*C13+C14*F14)*O15-2*D15*P15</f>
        <v>-4.3936000000000064</v>
      </c>
      <c r="T15" s="10">
        <f>(20+F13*C13+C14*F14+C15*F15)*O15-2*D15*P15</f>
        <v>11.713400000000007</v>
      </c>
      <c r="U15" s="10"/>
      <c r="V15" s="10"/>
      <c r="W15" s="11"/>
      <c r="X15" s="12"/>
      <c r="Y15" s="5">
        <f t="shared" si="11"/>
        <v>0.38</v>
      </c>
      <c r="Z15" s="5">
        <f t="shared" si="12"/>
        <v>5.97</v>
      </c>
      <c r="AA15" s="5">
        <f t="shared" si="13"/>
        <v>0.34</v>
      </c>
      <c r="AB15" s="5"/>
    </row>
    <row r="16" spans="1:28" ht="14.4" x14ac:dyDescent="0.25">
      <c r="A16" s="8" t="s">
        <v>12</v>
      </c>
      <c r="B16" s="9" t="s">
        <v>13</v>
      </c>
      <c r="C16" s="8">
        <v>3.4</v>
      </c>
      <c r="D16" s="8">
        <v>37.799999999999997</v>
      </c>
      <c r="E16" s="8">
        <v>14.4</v>
      </c>
      <c r="F16" s="8">
        <v>19.100000000000001</v>
      </c>
      <c r="G16" s="3">
        <f t="shared" si="0"/>
        <v>0.65973445725385649</v>
      </c>
      <c r="H16" s="3">
        <f t="shared" si="1"/>
        <v>0.77567951104961297</v>
      </c>
      <c r="I16" s="3">
        <f t="shared" si="2"/>
        <v>0.6016787038621666</v>
      </c>
      <c r="J16" s="3">
        <f t="shared" si="3"/>
        <v>0.77567951104961297</v>
      </c>
      <c r="K16" s="3">
        <f t="shared" si="4"/>
        <v>0.91106186954104007</v>
      </c>
      <c r="L16" s="3">
        <f t="shared" si="5"/>
        <v>1.2891922317850668</v>
      </c>
      <c r="M16" s="3">
        <f t="shared" si="6"/>
        <v>1.6620166104949614</v>
      </c>
      <c r="N16" s="3">
        <f t="shared" si="7"/>
        <v>1.2891922317850668</v>
      </c>
      <c r="O16" s="4">
        <f t="shared" si="8"/>
        <v>0.6</v>
      </c>
      <c r="P16" s="4">
        <f t="shared" si="9"/>
        <v>0.78</v>
      </c>
      <c r="Q16" s="4">
        <f t="shared" si="10"/>
        <v>1.66</v>
      </c>
      <c r="R16" s="4">
        <f t="shared" si="10"/>
        <v>1.29</v>
      </c>
      <c r="S16" s="10">
        <f>(20+C13*F13+C14*F14+C15*F15)*O16-2*D16*P16</f>
        <v>34.068000000000005</v>
      </c>
      <c r="T16" s="10">
        <f>(20+C13*F13+C14*F14+C15*F15+C16*F16)*O16-2*D16*P16</f>
        <v>73.032000000000011</v>
      </c>
      <c r="U16" s="10"/>
      <c r="V16" s="10"/>
      <c r="W16" s="11"/>
      <c r="X16" s="12"/>
      <c r="Y16" s="5">
        <f t="shared" si="11"/>
        <v>1.08</v>
      </c>
      <c r="Z16" s="5">
        <f t="shared" si="12"/>
        <v>84.72</v>
      </c>
      <c r="AA16" s="5">
        <f t="shared" si="13"/>
        <v>0.77</v>
      </c>
      <c r="AB16" s="5"/>
    </row>
    <row r="17" spans="1:28" ht="14.4" x14ac:dyDescent="0.25">
      <c r="A17" s="8" t="s">
        <v>14</v>
      </c>
      <c r="B17" s="9" t="s">
        <v>15</v>
      </c>
      <c r="C17" s="8">
        <v>6.2</v>
      </c>
      <c r="D17" s="8">
        <v>12.6</v>
      </c>
      <c r="E17" s="8">
        <v>27.4</v>
      </c>
      <c r="F17" s="8">
        <v>18.5</v>
      </c>
      <c r="G17" s="3">
        <f t="shared" si="0"/>
        <v>0.54628805587422513</v>
      </c>
      <c r="H17" s="3">
        <f t="shared" si="1"/>
        <v>0.60800953019440529</v>
      </c>
      <c r="I17" s="3">
        <f t="shared" si="2"/>
        <v>0.36967558880722146</v>
      </c>
      <c r="J17" s="3">
        <f t="shared" si="3"/>
        <v>0.60800953019440529</v>
      </c>
      <c r="K17" s="3">
        <f t="shared" si="4"/>
        <v>1.0245082709206714</v>
      </c>
      <c r="L17" s="3">
        <f t="shared" si="5"/>
        <v>1.6447110618155267</v>
      </c>
      <c r="M17" s="3">
        <f t="shared" si="6"/>
        <v>2.7050744768583574</v>
      </c>
      <c r="N17" s="3">
        <f t="shared" si="7"/>
        <v>1.6447110618155267</v>
      </c>
      <c r="O17" s="4">
        <f t="shared" si="8"/>
        <v>0.37</v>
      </c>
      <c r="P17" s="4">
        <f t="shared" si="9"/>
        <v>0.61</v>
      </c>
      <c r="Q17" s="4">
        <f t="shared" si="10"/>
        <v>2.71</v>
      </c>
      <c r="R17" s="4">
        <f t="shared" si="10"/>
        <v>1.64</v>
      </c>
      <c r="S17" s="10">
        <f>(20+C13*F13+C14*F14+C15*F15+C16*F16)*O17-2*D17*P17</f>
        <v>66.028000000000006</v>
      </c>
      <c r="T17" s="10">
        <f>(20+C13*F13+C14*F14+C15*F15+C16*F16+C17*F17)*O17-2*D17*P17</f>
        <v>108.467</v>
      </c>
      <c r="U17" s="10">
        <f>0*Q17+2*D17*R17</f>
        <v>41.327999999999996</v>
      </c>
      <c r="V17" s="10">
        <f>(0+C17*F17)*Q17+2*D17*R17</f>
        <v>352.16499999999996</v>
      </c>
      <c r="W17" s="11">
        <f t="shared" ref="W17:X20" si="14">U17-S17</f>
        <v>-24.70000000000001</v>
      </c>
      <c r="X17" s="12">
        <f t="shared" si="14"/>
        <v>243.69799999999998</v>
      </c>
      <c r="Y17" s="5">
        <f>ROUND((ABS(S17)*C17)/(ABS(S17)+ABS(T17)),2)</f>
        <v>2.35</v>
      </c>
      <c r="Z17" s="5">
        <f t="shared" si="12"/>
        <v>208.8</v>
      </c>
      <c r="AA17" s="5">
        <f t="shared" si="13"/>
        <v>1.28</v>
      </c>
      <c r="AB17" s="5"/>
    </row>
    <row r="18" spans="1:28" ht="14.4" x14ac:dyDescent="0.25">
      <c r="A18" s="8" t="s">
        <v>16</v>
      </c>
      <c r="B18" s="9" t="s">
        <v>17</v>
      </c>
      <c r="C18" s="8">
        <v>3.8</v>
      </c>
      <c r="D18" s="8">
        <v>12.4</v>
      </c>
      <c r="E18" s="8">
        <v>28.8</v>
      </c>
      <c r="F18" s="8">
        <v>18.399999999999999</v>
      </c>
      <c r="G18" s="3">
        <f t="shared" si="0"/>
        <v>0.53407075111026492</v>
      </c>
      <c r="H18" s="3">
        <f t="shared" si="1"/>
        <v>0.59139835139947117</v>
      </c>
      <c r="I18" s="3">
        <f t="shared" si="2"/>
        <v>0.34975201003801237</v>
      </c>
      <c r="J18" s="3">
        <f t="shared" si="3"/>
        <v>0.59139835139947117</v>
      </c>
      <c r="K18" s="3">
        <f t="shared" si="4"/>
        <v>1.0367255756846316</v>
      </c>
      <c r="L18" s="3">
        <f t="shared" si="5"/>
        <v>1.6909076557850107</v>
      </c>
      <c r="M18" s="3">
        <f t="shared" si="6"/>
        <v>2.85916870039236</v>
      </c>
      <c r="N18" s="3">
        <f t="shared" si="7"/>
        <v>1.6909076557850107</v>
      </c>
      <c r="O18" s="4">
        <f t="shared" si="8"/>
        <v>0.35</v>
      </c>
      <c r="P18" s="4">
        <f t="shared" si="9"/>
        <v>0.59</v>
      </c>
      <c r="Q18" s="4">
        <f t="shared" si="10"/>
        <v>2.86</v>
      </c>
      <c r="R18" s="4">
        <f t="shared" si="10"/>
        <v>1.69</v>
      </c>
      <c r="S18" s="10">
        <f>(20+C13*F13+C14*F14+C15*F15+C16*F16+C17*F17)*O18-2*D18*P18</f>
        <v>102.51299999999998</v>
      </c>
      <c r="T18" s="10">
        <f>(20+C13*F13+C14*F14+C15*F15+C16*F16+C17*F17+C18*F18)*O18-2*D18*P18</f>
        <v>126.98499999999999</v>
      </c>
      <c r="U18" s="10">
        <f>(0+C17*F17)*Q18+2*D18*R18</f>
        <v>369.95399999999995</v>
      </c>
      <c r="V18" s="10">
        <f>(0+C17*F17+C18*F18)*Q18+2*D18*R18</f>
        <v>569.92520000000002</v>
      </c>
      <c r="W18" s="11">
        <f t="shared" si="14"/>
        <v>267.44099999999997</v>
      </c>
      <c r="X18" s="12">
        <f t="shared" si="14"/>
        <v>442.9402</v>
      </c>
      <c r="Y18" s="5"/>
      <c r="Z18" s="5"/>
      <c r="AA18" s="5">
        <f>ROUND(C18*(2*W18+X18)/(W18+X18)/3,2)</f>
        <v>1.74</v>
      </c>
      <c r="AB18" s="5">
        <f>C18*(W18+X18)/2</f>
        <v>1349.7242799999999</v>
      </c>
    </row>
    <row r="19" spans="1:28" ht="14.4" x14ac:dyDescent="0.25">
      <c r="A19" s="8" t="s">
        <v>18</v>
      </c>
      <c r="B19" s="9" t="s">
        <v>19</v>
      </c>
      <c r="C19" s="8">
        <v>4.2</v>
      </c>
      <c r="D19" s="8">
        <v>11.6</v>
      </c>
      <c r="E19" s="8">
        <v>31.2</v>
      </c>
      <c r="F19" s="8">
        <v>18.600000000000001</v>
      </c>
      <c r="G19" s="3">
        <f t="shared" si="0"/>
        <v>0.51312680008633282</v>
      </c>
      <c r="H19" s="3">
        <f t="shared" si="1"/>
        <v>0.56347104160796813</v>
      </c>
      <c r="I19" s="3">
        <f t="shared" si="2"/>
        <v>0.31749961473076854</v>
      </c>
      <c r="J19" s="3">
        <f t="shared" si="3"/>
        <v>0.56347104160796813</v>
      </c>
      <c r="K19" s="3">
        <f t="shared" si="4"/>
        <v>1.0576695267085636</v>
      </c>
      <c r="L19" s="3">
        <f t="shared" si="5"/>
        <v>1.7747140955927672</v>
      </c>
      <c r="M19" s="3">
        <f t="shared" si="6"/>
        <v>3.1496101210956535</v>
      </c>
      <c r="N19" s="3">
        <f t="shared" si="7"/>
        <v>1.7747140955927672</v>
      </c>
      <c r="O19" s="4">
        <f t="shared" si="8"/>
        <v>0.32</v>
      </c>
      <c r="P19" s="4">
        <f t="shared" si="9"/>
        <v>0.56000000000000005</v>
      </c>
      <c r="Q19" s="4">
        <f t="shared" si="10"/>
        <v>3.15</v>
      </c>
      <c r="R19" s="4">
        <f t="shared" si="10"/>
        <v>1.77</v>
      </c>
      <c r="S19" s="10">
        <f>(20+C13*F13+C14*F14+C15*F15+C16*F16+C17*F17+C18*F18)*O19-2*D19*P19</f>
        <v>116.48639999999999</v>
      </c>
      <c r="T19" s="10">
        <f>(20+C13*F13+C14*F14+C15*F15+C16*F16+C17*F17+C18*F18+C19*F19)*O19-2*D19*P19</f>
        <v>141.48480000000001</v>
      </c>
      <c r="U19" s="10">
        <f>(0+C17*F17+C18*F18)*Q19+2*D19*R19</f>
        <v>622.61699999999996</v>
      </c>
      <c r="V19" s="10">
        <f>(0+C17*F17+C18*F18+C19*F19)*Q19+2*D19*R19</f>
        <v>868.69499999999994</v>
      </c>
      <c r="W19" s="11">
        <f t="shared" si="14"/>
        <v>506.13059999999996</v>
      </c>
      <c r="X19" s="12">
        <f t="shared" si="14"/>
        <v>727.21019999999999</v>
      </c>
      <c r="Y19" s="5"/>
      <c r="Z19" s="5"/>
      <c r="AA19" s="5">
        <f>ROUND(C19*(2*W19+X19)/(W19+X19)/3,2)</f>
        <v>1.97</v>
      </c>
      <c r="AB19" s="5">
        <f t="shared" ref="AB19" si="15">C19*(W19+X19)/2</f>
        <v>2590.01568</v>
      </c>
    </row>
    <row r="20" spans="1:28" ht="15" thickBot="1" x14ac:dyDescent="0.3">
      <c r="A20" s="13" t="s">
        <v>20</v>
      </c>
      <c r="B20" s="14" t="s">
        <v>11</v>
      </c>
      <c r="C20" s="13">
        <v>1.8</v>
      </c>
      <c r="D20" s="13">
        <v>58.9</v>
      </c>
      <c r="E20" s="13">
        <v>13.4</v>
      </c>
      <c r="F20" s="13">
        <v>19.3</v>
      </c>
      <c r="G20" s="3">
        <f t="shared" si="0"/>
        <v>0.66846110351382815</v>
      </c>
      <c r="H20" s="3">
        <f t="shared" si="1"/>
        <v>0.78975241236447591</v>
      </c>
      <c r="I20" s="3">
        <f t="shared" si="2"/>
        <v>0.62370887283550924</v>
      </c>
      <c r="J20" s="3">
        <f t="shared" si="3"/>
        <v>0.78975241236447591</v>
      </c>
      <c r="K20" s="3">
        <f t="shared" si="4"/>
        <v>0.90233522328106841</v>
      </c>
      <c r="L20" s="3">
        <f t="shared" si="5"/>
        <v>1.2662196206606753</v>
      </c>
      <c r="M20" s="3">
        <f t="shared" si="6"/>
        <v>1.6033121277460645</v>
      </c>
      <c r="N20" s="3">
        <f t="shared" si="7"/>
        <v>1.2662196206606753</v>
      </c>
      <c r="O20" s="4">
        <f t="shared" si="8"/>
        <v>0.62</v>
      </c>
      <c r="P20" s="4">
        <f t="shared" si="9"/>
        <v>0.79</v>
      </c>
      <c r="Q20" s="4">
        <f t="shared" si="10"/>
        <v>1.6</v>
      </c>
      <c r="R20" s="4">
        <f t="shared" si="10"/>
        <v>1.27</v>
      </c>
      <c r="S20" s="10">
        <f>(20+C13*F13+C14*F14+C15*F15+C16*F16+C17*F17+C18*F18+C19*F19)*O20-2*D20*P20</f>
        <v>206.23680000000002</v>
      </c>
      <c r="T20" s="10">
        <f>(20+C13*F13+C14*F14+C15*F15+C16*F16+C17*F17+C18*F18+C19*F19+C20*F20)*O20-2*D20*P20</f>
        <v>227.7756</v>
      </c>
      <c r="U20" s="10">
        <f>(0+C17*F17+C18*F18+C19*F19)*Q20+2*D20*R20</f>
        <v>569.99</v>
      </c>
      <c r="V20" s="10">
        <f>(0+C17*F17+C18*F18+C19*F19+C20*F20)*Q20+2*D20*R20</f>
        <v>625.57400000000007</v>
      </c>
      <c r="W20" s="15">
        <f t="shared" si="14"/>
        <v>363.75319999999999</v>
      </c>
      <c r="X20" s="16">
        <f t="shared" si="14"/>
        <v>397.79840000000007</v>
      </c>
      <c r="Y20" s="5"/>
      <c r="Z20" s="5"/>
      <c r="AA20" s="5">
        <f t="shared" ref="AA20" si="16">ROUND(C20*(2*W20+X20)/(W20+X20)/3,2)</f>
        <v>0.89</v>
      </c>
      <c r="AB20" s="5">
        <f>C20*(W20+X20)/2</f>
        <v>685.39643999999998</v>
      </c>
    </row>
    <row r="21" spans="1:28" ht="15" thickTop="1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46.8" thickTop="1" thickBot="1" x14ac:dyDescent="0.3">
      <c r="A22" s="1" t="s">
        <v>29</v>
      </c>
      <c r="B22" s="1" t="s">
        <v>1</v>
      </c>
      <c r="C22" s="1" t="s">
        <v>2</v>
      </c>
      <c r="D22" s="2" t="s">
        <v>3</v>
      </c>
      <c r="E22" s="2" t="s">
        <v>4</v>
      </c>
      <c r="F22" s="2" t="s">
        <v>5</v>
      </c>
      <c r="G22" s="3" t="e">
        <f t="shared" ref="G22:G30" si="17">RADIANS(45-E22/2)</f>
        <v>#VALUE!</v>
      </c>
      <c r="H22" s="3" t="e">
        <f t="shared" ref="H22:H30" si="18">TAN(G22)</f>
        <v>#VALUE!</v>
      </c>
      <c r="I22" s="3" t="e">
        <f t="shared" ref="I22:I30" si="19">POWER(H22,2)</f>
        <v>#VALUE!</v>
      </c>
      <c r="J22" s="3" t="e">
        <f t="shared" ref="J22:J30" si="20">SQRT(I22)</f>
        <v>#VALUE!</v>
      </c>
      <c r="K22" s="3" t="e">
        <f t="shared" ref="K22:K30" si="21">RADIANS(45+E22/2)</f>
        <v>#VALUE!</v>
      </c>
      <c r="L22" s="3" t="e">
        <f t="shared" ref="L22:L30" si="22">TAN(K22)</f>
        <v>#VALUE!</v>
      </c>
      <c r="M22" s="3" t="e">
        <f t="shared" ref="M22:M30" si="23">POWER(L22,2)</f>
        <v>#VALUE!</v>
      </c>
      <c r="N22" s="3" t="e">
        <f t="shared" ref="N22:N30" si="24">SQRT(M22)</f>
        <v>#VALUE!</v>
      </c>
      <c r="O22" s="4" t="e">
        <f t="shared" ref="O22:O30" si="25">ROUND(I22,2)</f>
        <v>#VALUE!</v>
      </c>
      <c r="P22" s="4" t="e">
        <f t="shared" ref="P22:P30" si="26">ROUND(H22,2)</f>
        <v>#VALUE!</v>
      </c>
      <c r="Q22" s="4" t="e">
        <f t="shared" ref="Q22:R30" si="27">ROUND(M22,2)</f>
        <v>#VALUE!</v>
      </c>
      <c r="R22" s="4" t="e">
        <f t="shared" si="27"/>
        <v>#VALUE!</v>
      </c>
      <c r="S22" s="5"/>
      <c r="T22" s="5"/>
      <c r="U22" s="5"/>
      <c r="V22" s="5"/>
      <c r="W22" s="6"/>
      <c r="X22" s="7"/>
      <c r="Y22" s="5"/>
      <c r="Z22" s="5"/>
      <c r="AA22" s="5"/>
      <c r="AB22" s="5"/>
    </row>
    <row r="23" spans="1:28" ht="28.8" x14ac:dyDescent="0.25">
      <c r="A23" s="8" t="s">
        <v>6</v>
      </c>
      <c r="B23" s="9" t="s">
        <v>7</v>
      </c>
      <c r="C23" s="8">
        <v>2</v>
      </c>
      <c r="D23" s="8">
        <v>10.199999999999999</v>
      </c>
      <c r="E23" s="8">
        <v>10.1</v>
      </c>
      <c r="F23" s="8">
        <v>18.2</v>
      </c>
      <c r="G23" s="3">
        <f t="shared" si="17"/>
        <v>0.69725903617173468</v>
      </c>
      <c r="H23" s="3">
        <f t="shared" si="18"/>
        <v>0.83761362145059315</v>
      </c>
      <c r="I23" s="3">
        <f t="shared" si="19"/>
        <v>0.7015965788395776</v>
      </c>
      <c r="J23" s="3">
        <f t="shared" si="20"/>
        <v>0.83761362145059315</v>
      </c>
      <c r="K23" s="3">
        <f t="shared" si="21"/>
        <v>0.87353729062316188</v>
      </c>
      <c r="L23" s="3">
        <f t="shared" si="22"/>
        <v>1.1938678817903932</v>
      </c>
      <c r="M23" s="3">
        <f t="shared" si="23"/>
        <v>1.4253205191706801</v>
      </c>
      <c r="N23" s="3">
        <f t="shared" si="24"/>
        <v>1.1938678817903932</v>
      </c>
      <c r="O23" s="4">
        <f t="shared" si="25"/>
        <v>0.7</v>
      </c>
      <c r="P23" s="4">
        <f t="shared" si="26"/>
        <v>0.84</v>
      </c>
      <c r="Q23" s="4">
        <f t="shared" si="27"/>
        <v>1.43</v>
      </c>
      <c r="R23" s="4">
        <f t="shared" si="27"/>
        <v>1.19</v>
      </c>
      <c r="S23" s="10">
        <f>20*O23-2*D23*P23</f>
        <v>-3.1359999999999992</v>
      </c>
      <c r="T23" s="10">
        <f>(20+F23*C23)*O23-2*D23*P23</f>
        <v>22.343999999999998</v>
      </c>
      <c r="U23" s="10"/>
      <c r="V23" s="10"/>
      <c r="W23" s="11"/>
      <c r="X23" s="12"/>
      <c r="Y23" s="5">
        <f>ROUND((ABS(S23)*C23)/(ABS(S23)+ABS(T23)),2)</f>
        <v>0.25</v>
      </c>
      <c r="Z23" s="5">
        <f>ROUND((C23-Y23)*T23/2,2)</f>
        <v>19.55</v>
      </c>
      <c r="AA23" s="5">
        <f>ROUND((C23-Y23)/3,2)</f>
        <v>0.57999999999999996</v>
      </c>
      <c r="AB23" s="5"/>
    </row>
    <row r="24" spans="1:28" ht="28.8" x14ac:dyDescent="0.25">
      <c r="A24" s="8" t="s">
        <v>8</v>
      </c>
      <c r="B24" s="9" t="s">
        <v>9</v>
      </c>
      <c r="C24" s="8">
        <v>2.6</v>
      </c>
      <c r="D24" s="8">
        <v>10.1</v>
      </c>
      <c r="E24" s="8">
        <v>10.199999999999999</v>
      </c>
      <c r="F24" s="8">
        <v>17.899999999999999</v>
      </c>
      <c r="G24" s="3">
        <f t="shared" si="17"/>
        <v>0.69638637154573746</v>
      </c>
      <c r="H24" s="3">
        <f t="shared" si="18"/>
        <v>0.83612978255246839</v>
      </c>
      <c r="I24" s="3">
        <f t="shared" si="19"/>
        <v>0.69911301327123809</v>
      </c>
      <c r="J24" s="3">
        <f t="shared" si="20"/>
        <v>0.83612978255246839</v>
      </c>
      <c r="K24" s="3">
        <f t="shared" si="21"/>
        <v>0.8744099552491591</v>
      </c>
      <c r="L24" s="3">
        <f t="shared" si="22"/>
        <v>1.1959865811109873</v>
      </c>
      <c r="M24" s="3">
        <f t="shared" si="23"/>
        <v>1.4303839021975482</v>
      </c>
      <c r="N24" s="3">
        <f t="shared" si="24"/>
        <v>1.1959865811109873</v>
      </c>
      <c r="O24" s="4">
        <f t="shared" si="25"/>
        <v>0.7</v>
      </c>
      <c r="P24" s="4">
        <f t="shared" si="26"/>
        <v>0.84</v>
      </c>
      <c r="Q24" s="4">
        <f t="shared" si="27"/>
        <v>1.43</v>
      </c>
      <c r="R24" s="4">
        <f t="shared" si="27"/>
        <v>1.2</v>
      </c>
      <c r="S24" s="10">
        <f>(20+F23*C23)*O24-2*D24*P24</f>
        <v>22.511999999999997</v>
      </c>
      <c r="T24" s="10">
        <f>(20+F23*C23+C24*F24)*O24-2*D24*P24</f>
        <v>55.089999999999989</v>
      </c>
      <c r="U24" s="10"/>
      <c r="V24" s="10"/>
      <c r="W24" s="11"/>
      <c r="X24" s="12"/>
      <c r="Y24" s="5">
        <f t="shared" ref="Y24:Y26" si="28">ROUND((ABS(S24)*C24)/(ABS(S24)+ABS(T24)),2)</f>
        <v>0.75</v>
      </c>
      <c r="Z24" s="5">
        <f t="shared" ref="Z24:Z27" si="29">ROUND((C24-Y24)*T24/2,2)</f>
        <v>50.96</v>
      </c>
      <c r="AA24" s="5">
        <f t="shared" ref="AA24:AA27" si="30">ROUND((C24-Y24)/3,2)</f>
        <v>0.62</v>
      </c>
      <c r="AB24" s="5"/>
    </row>
    <row r="25" spans="1:28" ht="14.4" x14ac:dyDescent="0.25">
      <c r="A25" s="8" t="s">
        <v>10</v>
      </c>
      <c r="B25" s="9" t="s">
        <v>11</v>
      </c>
      <c r="C25" s="8">
        <v>1.2</v>
      </c>
      <c r="D25" s="8">
        <v>51.8</v>
      </c>
      <c r="E25" s="8">
        <v>14.8</v>
      </c>
      <c r="F25" s="8">
        <v>19.5</v>
      </c>
      <c r="G25" s="3">
        <f t="shared" si="17"/>
        <v>0.65624379874986793</v>
      </c>
      <c r="H25" s="3">
        <f t="shared" si="18"/>
        <v>0.77010367233556531</v>
      </c>
      <c r="I25" s="3">
        <f t="shared" si="19"/>
        <v>0.59305966614472372</v>
      </c>
      <c r="J25" s="3">
        <f t="shared" si="20"/>
        <v>0.77010367233556531</v>
      </c>
      <c r="K25" s="3">
        <f t="shared" si="21"/>
        <v>0.91455252804502862</v>
      </c>
      <c r="L25" s="3">
        <f t="shared" si="22"/>
        <v>1.2985264658811542</v>
      </c>
      <c r="M25" s="3">
        <f t="shared" si="23"/>
        <v>1.6861709825938003</v>
      </c>
      <c r="N25" s="3">
        <f t="shared" si="24"/>
        <v>1.2985264658811542</v>
      </c>
      <c r="O25" s="4">
        <f t="shared" si="25"/>
        <v>0.59</v>
      </c>
      <c r="P25" s="4">
        <f t="shared" si="26"/>
        <v>0.77</v>
      </c>
      <c r="Q25" s="4">
        <f t="shared" si="27"/>
        <v>1.69</v>
      </c>
      <c r="R25" s="4">
        <f t="shared" si="27"/>
        <v>1.3</v>
      </c>
      <c r="S25" s="10">
        <f>(20+F23*C23+C24*F24)*O25-2*D25*P25</f>
        <v>-19.037399999999998</v>
      </c>
      <c r="T25" s="10">
        <f>(20+F23*C23+C24*F24+C25*F25)*O25-2*D25*P25</f>
        <v>-5.2313999999999936</v>
      </c>
      <c r="U25" s="10"/>
      <c r="V25" s="10"/>
      <c r="W25" s="11"/>
      <c r="X25" s="12"/>
      <c r="Y25" s="5">
        <f t="shared" si="28"/>
        <v>0.94</v>
      </c>
      <c r="Z25" s="5">
        <f t="shared" si="29"/>
        <v>-0.68</v>
      </c>
      <c r="AA25" s="5">
        <f t="shared" si="30"/>
        <v>0.09</v>
      </c>
      <c r="AB25" s="5"/>
    </row>
    <row r="26" spans="1:28" ht="14.4" x14ac:dyDescent="0.25">
      <c r="A26" s="8" t="s">
        <v>12</v>
      </c>
      <c r="B26" s="9" t="s">
        <v>13</v>
      </c>
      <c r="C26" s="8">
        <v>1.6</v>
      </c>
      <c r="D26" s="8">
        <v>37.799999999999997</v>
      </c>
      <c r="E26" s="8">
        <v>14.4</v>
      </c>
      <c r="F26" s="8">
        <v>19.100000000000001</v>
      </c>
      <c r="G26" s="3">
        <f t="shared" si="17"/>
        <v>0.65973445725385649</v>
      </c>
      <c r="H26" s="3">
        <f t="shared" si="18"/>
        <v>0.77567951104961297</v>
      </c>
      <c r="I26" s="3">
        <f t="shared" si="19"/>
        <v>0.6016787038621666</v>
      </c>
      <c r="J26" s="3">
        <f t="shared" si="20"/>
        <v>0.77567951104961297</v>
      </c>
      <c r="K26" s="3">
        <f t="shared" si="21"/>
        <v>0.91106186954104007</v>
      </c>
      <c r="L26" s="3">
        <f t="shared" si="22"/>
        <v>1.2891922317850668</v>
      </c>
      <c r="M26" s="3">
        <f t="shared" si="23"/>
        <v>1.6620166104949614</v>
      </c>
      <c r="N26" s="3">
        <f t="shared" si="24"/>
        <v>1.2891922317850668</v>
      </c>
      <c r="O26" s="4">
        <f t="shared" si="25"/>
        <v>0.6</v>
      </c>
      <c r="P26" s="4">
        <f t="shared" si="26"/>
        <v>0.78</v>
      </c>
      <c r="Q26" s="4">
        <f t="shared" si="27"/>
        <v>1.66</v>
      </c>
      <c r="R26" s="4">
        <f t="shared" si="27"/>
        <v>1.29</v>
      </c>
      <c r="S26" s="10">
        <f>(20+C23*F23+C24*F24+C25*F25)*O26-2*D26*P26</f>
        <v>16.836000000000006</v>
      </c>
      <c r="T26" s="10">
        <f>(20+C23*F23+C24*F24+C25*F25+C26*F26)*O26-2*D26*P26</f>
        <v>35.172000000000004</v>
      </c>
      <c r="U26" s="10"/>
      <c r="V26" s="10"/>
      <c r="W26" s="11"/>
      <c r="X26" s="12"/>
      <c r="Y26" s="5">
        <f t="shared" si="28"/>
        <v>0.52</v>
      </c>
      <c r="Z26" s="5">
        <f t="shared" si="29"/>
        <v>18.989999999999998</v>
      </c>
      <c r="AA26" s="5">
        <f t="shared" si="30"/>
        <v>0.36</v>
      </c>
      <c r="AB26" s="5"/>
    </row>
    <row r="27" spans="1:28" ht="14.4" x14ac:dyDescent="0.25">
      <c r="A27" s="8" t="s">
        <v>14</v>
      </c>
      <c r="B27" s="9" t="s">
        <v>15</v>
      </c>
      <c r="C27" s="8">
        <v>3.8</v>
      </c>
      <c r="D27" s="8">
        <v>12.6</v>
      </c>
      <c r="E27" s="8">
        <v>27.4</v>
      </c>
      <c r="F27" s="8">
        <v>18.5</v>
      </c>
      <c r="G27" s="3">
        <f t="shared" si="17"/>
        <v>0.54628805587422513</v>
      </c>
      <c r="H27" s="3">
        <f t="shared" si="18"/>
        <v>0.60800953019440529</v>
      </c>
      <c r="I27" s="3">
        <f t="shared" si="19"/>
        <v>0.36967558880722146</v>
      </c>
      <c r="J27" s="3">
        <f t="shared" si="20"/>
        <v>0.60800953019440529</v>
      </c>
      <c r="K27" s="3">
        <f t="shared" si="21"/>
        <v>1.0245082709206714</v>
      </c>
      <c r="L27" s="3">
        <f t="shared" si="22"/>
        <v>1.6447110618155267</v>
      </c>
      <c r="M27" s="3">
        <f t="shared" si="23"/>
        <v>2.7050744768583574</v>
      </c>
      <c r="N27" s="3">
        <f t="shared" si="24"/>
        <v>1.6447110618155267</v>
      </c>
      <c r="O27" s="4">
        <f t="shared" si="25"/>
        <v>0.37</v>
      </c>
      <c r="P27" s="4">
        <f t="shared" si="26"/>
        <v>0.61</v>
      </c>
      <c r="Q27" s="4">
        <f t="shared" si="27"/>
        <v>2.71</v>
      </c>
      <c r="R27" s="4">
        <f t="shared" si="27"/>
        <v>1.64</v>
      </c>
      <c r="S27" s="10">
        <f>(20+C23*F23+C24*F24+C25*F25+C26*F26)*O27-2*D27*P27</f>
        <v>42.681000000000004</v>
      </c>
      <c r="T27" s="10">
        <f>(20+C23*F23+C24*F24+C25*F25+C26*F26+C27*F27)*O27-2*D27*P27</f>
        <v>68.691999999999993</v>
      </c>
      <c r="U27" s="10">
        <f>0*Q27+2*D27*R27</f>
        <v>41.327999999999996</v>
      </c>
      <c r="V27" s="10">
        <f>(0+C27*F27)*Q27+2*D27*R27</f>
        <v>231.84099999999998</v>
      </c>
      <c r="W27" s="11">
        <f t="shared" ref="W27:X30" si="31">U27-S27</f>
        <v>-1.3530000000000086</v>
      </c>
      <c r="X27" s="12">
        <f t="shared" si="31"/>
        <v>163.149</v>
      </c>
      <c r="Y27" s="5">
        <f>ROUND((ABS(S27)*C27)/(ABS(S27)+ABS(T27)),2)</f>
        <v>1.46</v>
      </c>
      <c r="Z27" s="5">
        <f t="shared" si="29"/>
        <v>80.37</v>
      </c>
      <c r="AA27" s="5">
        <f t="shared" si="30"/>
        <v>0.78</v>
      </c>
      <c r="AB27" s="5"/>
    </row>
    <row r="28" spans="1:28" ht="14.4" x14ac:dyDescent="0.25">
      <c r="A28" s="8" t="s">
        <v>16</v>
      </c>
      <c r="B28" s="9" t="s">
        <v>17</v>
      </c>
      <c r="C28" s="8">
        <v>7.8</v>
      </c>
      <c r="D28" s="8">
        <v>12.4</v>
      </c>
      <c r="E28" s="8">
        <v>28.8</v>
      </c>
      <c r="F28" s="8">
        <v>18.399999999999999</v>
      </c>
      <c r="G28" s="3">
        <f t="shared" si="17"/>
        <v>0.53407075111026492</v>
      </c>
      <c r="H28" s="3">
        <f t="shared" si="18"/>
        <v>0.59139835139947117</v>
      </c>
      <c r="I28" s="3">
        <f t="shared" si="19"/>
        <v>0.34975201003801237</v>
      </c>
      <c r="J28" s="3">
        <f t="shared" si="20"/>
        <v>0.59139835139947117</v>
      </c>
      <c r="K28" s="3">
        <f t="shared" si="21"/>
        <v>1.0367255756846316</v>
      </c>
      <c r="L28" s="3">
        <f t="shared" si="22"/>
        <v>1.6909076557850107</v>
      </c>
      <c r="M28" s="3">
        <f t="shared" si="23"/>
        <v>2.85916870039236</v>
      </c>
      <c r="N28" s="3">
        <f t="shared" si="24"/>
        <v>1.6909076557850107</v>
      </c>
      <c r="O28" s="4">
        <f t="shared" si="25"/>
        <v>0.35</v>
      </c>
      <c r="P28" s="4">
        <f t="shared" si="26"/>
        <v>0.59</v>
      </c>
      <c r="Q28" s="4">
        <f t="shared" si="27"/>
        <v>2.86</v>
      </c>
      <c r="R28" s="4">
        <f t="shared" si="27"/>
        <v>1.69</v>
      </c>
      <c r="S28" s="10">
        <f>(20+C23*F23+C24*F24+C25*F25+C26*F26+C27*F27)*O28-2*D28*P28</f>
        <v>64.887999999999991</v>
      </c>
      <c r="T28" s="10">
        <f>(20+C23*F23+C24*F24+C25*F25+C26*F26+C27*F27+C28*F28)*O28-2*D28*P28</f>
        <v>115.11999999999998</v>
      </c>
      <c r="U28" s="10">
        <f>(0+C27*F27)*Q28+2*D28*R28</f>
        <v>242.97</v>
      </c>
      <c r="V28" s="10">
        <f>(0+C27*F27+C28*F28)*Q28+2*D28*R28</f>
        <v>653.43719999999996</v>
      </c>
      <c r="W28" s="11">
        <f t="shared" si="31"/>
        <v>178.08199999999999</v>
      </c>
      <c r="X28" s="12">
        <f t="shared" si="31"/>
        <v>538.31719999999996</v>
      </c>
      <c r="Y28" s="5"/>
      <c r="Z28" s="5"/>
      <c r="AA28" s="5">
        <f>ROUND(C28*(2*W28+X28)/(W28+X28)/3,2)</f>
        <v>3.25</v>
      </c>
      <c r="AB28" s="5">
        <f>C28*(W28+X28)/2</f>
        <v>2793.9568799999997</v>
      </c>
    </row>
    <row r="29" spans="1:28" ht="14.4" x14ac:dyDescent="0.25">
      <c r="A29" s="8" t="s">
        <v>18</v>
      </c>
      <c r="B29" s="9" t="s">
        <v>19</v>
      </c>
      <c r="C29" s="8">
        <v>7.2</v>
      </c>
      <c r="D29" s="8">
        <v>11.6</v>
      </c>
      <c r="E29" s="8">
        <v>31.2</v>
      </c>
      <c r="F29" s="8">
        <v>18.600000000000001</v>
      </c>
      <c r="G29" s="3">
        <f t="shared" si="17"/>
        <v>0.51312680008633282</v>
      </c>
      <c r="H29" s="3">
        <f t="shared" si="18"/>
        <v>0.56347104160796813</v>
      </c>
      <c r="I29" s="3">
        <f t="shared" si="19"/>
        <v>0.31749961473076854</v>
      </c>
      <c r="J29" s="3">
        <f t="shared" si="20"/>
        <v>0.56347104160796813</v>
      </c>
      <c r="K29" s="3">
        <f t="shared" si="21"/>
        <v>1.0576695267085636</v>
      </c>
      <c r="L29" s="3">
        <f t="shared" si="22"/>
        <v>1.7747140955927672</v>
      </c>
      <c r="M29" s="3">
        <f t="shared" si="23"/>
        <v>3.1496101210956535</v>
      </c>
      <c r="N29" s="3">
        <f t="shared" si="24"/>
        <v>1.7747140955927672</v>
      </c>
      <c r="O29" s="4">
        <f t="shared" si="25"/>
        <v>0.32</v>
      </c>
      <c r="P29" s="4">
        <f t="shared" si="26"/>
        <v>0.56000000000000005</v>
      </c>
      <c r="Q29" s="4">
        <f t="shared" si="27"/>
        <v>3.15</v>
      </c>
      <c r="R29" s="4">
        <f t="shared" si="27"/>
        <v>1.77</v>
      </c>
      <c r="S29" s="10">
        <f>(20+C23*F23+C24*F24+C25*F25+C26*F26+C27*F27+C28*F28)*O29-2*D29*P29</f>
        <v>105.63839999999999</v>
      </c>
      <c r="T29" s="10">
        <f>(20+C23*F23+C24*F24+C25*F25+C26*F26+C27*F27+C28*F28+C29*F29)*O29-2*D29*P29</f>
        <v>148.49280000000002</v>
      </c>
      <c r="U29" s="10">
        <f>(0+C27*F27+C28*F28)*Q29+2*D29*R29</f>
        <v>714.59699999999998</v>
      </c>
      <c r="V29" s="10">
        <f>(0+C27*F27+C28*F28+C29*F29)*Q29+2*D29*R29</f>
        <v>1136.4450000000002</v>
      </c>
      <c r="W29" s="11">
        <f t="shared" si="31"/>
        <v>608.95859999999993</v>
      </c>
      <c r="X29" s="12">
        <f t="shared" si="31"/>
        <v>987.95220000000018</v>
      </c>
      <c r="Y29" s="5"/>
      <c r="Z29" s="5"/>
      <c r="AA29" s="5">
        <f>ROUND(C29*(2*W29+X29)/(W29+X29)/3,2)</f>
        <v>3.32</v>
      </c>
      <c r="AB29" s="5">
        <f t="shared" ref="AB29" si="32">C29*(W29+X29)/2</f>
        <v>5748.8788800000002</v>
      </c>
    </row>
    <row r="30" spans="1:28" ht="15" thickBot="1" x14ac:dyDescent="0.3">
      <c r="A30" s="13" t="s">
        <v>20</v>
      </c>
      <c r="B30" s="14" t="s">
        <v>11</v>
      </c>
      <c r="C30" s="13">
        <v>1.9</v>
      </c>
      <c r="D30" s="13">
        <v>58.9</v>
      </c>
      <c r="E30" s="13">
        <v>13.4</v>
      </c>
      <c r="F30" s="13">
        <v>19.3</v>
      </c>
      <c r="G30" s="3">
        <f t="shared" si="17"/>
        <v>0.66846110351382815</v>
      </c>
      <c r="H30" s="3">
        <f t="shared" si="18"/>
        <v>0.78975241236447591</v>
      </c>
      <c r="I30" s="3">
        <f t="shared" si="19"/>
        <v>0.62370887283550924</v>
      </c>
      <c r="J30" s="3">
        <f t="shared" si="20"/>
        <v>0.78975241236447591</v>
      </c>
      <c r="K30" s="3">
        <f t="shared" si="21"/>
        <v>0.90233522328106841</v>
      </c>
      <c r="L30" s="3">
        <f t="shared" si="22"/>
        <v>1.2662196206606753</v>
      </c>
      <c r="M30" s="3">
        <f t="shared" si="23"/>
        <v>1.6033121277460645</v>
      </c>
      <c r="N30" s="3">
        <f t="shared" si="24"/>
        <v>1.2662196206606753</v>
      </c>
      <c r="O30" s="4">
        <f t="shared" si="25"/>
        <v>0.62</v>
      </c>
      <c r="P30" s="4">
        <f t="shared" si="26"/>
        <v>0.79</v>
      </c>
      <c r="Q30" s="4">
        <f t="shared" si="27"/>
        <v>1.6</v>
      </c>
      <c r="R30" s="4">
        <f t="shared" si="27"/>
        <v>1.27</v>
      </c>
      <c r="S30" s="10">
        <f>(20+C23*F23+C24*F24+C25*F25+C26*F26+C27*F27+C28*F28+C29*F29)*O30-2*D30*P30</f>
        <v>219.81479999999999</v>
      </c>
      <c r="T30" s="10">
        <f>(20+C23*F23+C24*F24+C25*F25+C26*F26+C27*F27+C28*F28+C29*F29+C30*F30)*O30-2*D30*P30</f>
        <v>242.55019999999996</v>
      </c>
      <c r="U30" s="10">
        <f>(0+C27*F27+C28*F28+C29*F29)*Q30+2*D30*R30</f>
        <v>705.99</v>
      </c>
      <c r="V30" s="10">
        <f>(0+C27*F27+C28*F28+C29*F29+C30*F30)*Q30+2*D30*R30</f>
        <v>764.66200000000003</v>
      </c>
      <c r="W30" s="15">
        <f t="shared" si="31"/>
        <v>486.17520000000002</v>
      </c>
      <c r="X30" s="16">
        <f t="shared" si="31"/>
        <v>522.11180000000013</v>
      </c>
      <c r="Y30" s="5"/>
      <c r="Z30" s="5"/>
      <c r="AA30" s="5">
        <f t="shared" ref="AA30" si="33">ROUND(C30*(2*W30+X30)/(W30+X30)/3,2)</f>
        <v>0.94</v>
      </c>
      <c r="AB30" s="5">
        <f>C30*(W30+X30)/2</f>
        <v>957.87265000000014</v>
      </c>
    </row>
    <row r="31" spans="1:28" ht="15" thickTop="1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46.8" thickTop="1" thickBot="1" x14ac:dyDescent="0.3">
      <c r="A32" s="1" t="s">
        <v>30</v>
      </c>
      <c r="B32" s="1" t="s">
        <v>1</v>
      </c>
      <c r="C32" s="1" t="s">
        <v>2</v>
      </c>
      <c r="D32" s="2" t="s">
        <v>3</v>
      </c>
      <c r="E32" s="2" t="s">
        <v>4</v>
      </c>
      <c r="F32" s="2" t="s">
        <v>5</v>
      </c>
      <c r="G32" s="3" t="e">
        <f t="shared" ref="G32:G40" si="34">RADIANS(45-E32/2)</f>
        <v>#VALUE!</v>
      </c>
      <c r="H32" s="3" t="e">
        <f t="shared" ref="H32:H40" si="35">TAN(G32)</f>
        <v>#VALUE!</v>
      </c>
      <c r="I32" s="3" t="e">
        <f t="shared" ref="I32:I40" si="36">POWER(H32,2)</f>
        <v>#VALUE!</v>
      </c>
      <c r="J32" s="3" t="e">
        <f t="shared" ref="J32:J40" si="37">SQRT(I32)</f>
        <v>#VALUE!</v>
      </c>
      <c r="K32" s="3" t="e">
        <f t="shared" ref="K32:K40" si="38">RADIANS(45+E32/2)</f>
        <v>#VALUE!</v>
      </c>
      <c r="L32" s="3" t="e">
        <f t="shared" ref="L32:L40" si="39">TAN(K32)</f>
        <v>#VALUE!</v>
      </c>
      <c r="M32" s="3" t="e">
        <f t="shared" ref="M32:M40" si="40">POWER(L32,2)</f>
        <v>#VALUE!</v>
      </c>
      <c r="N32" s="3" t="e">
        <f t="shared" ref="N32:N40" si="41">SQRT(M32)</f>
        <v>#VALUE!</v>
      </c>
      <c r="O32" s="4" t="e">
        <f t="shared" ref="O32:O40" si="42">ROUND(I32,2)</f>
        <v>#VALUE!</v>
      </c>
      <c r="P32" s="4" t="e">
        <f t="shared" ref="P32:P40" si="43">ROUND(H32,2)</f>
        <v>#VALUE!</v>
      </c>
      <c r="Q32" s="4" t="e">
        <f t="shared" ref="Q32:R40" si="44">ROUND(M32,2)</f>
        <v>#VALUE!</v>
      </c>
      <c r="R32" s="4" t="e">
        <f t="shared" si="44"/>
        <v>#VALUE!</v>
      </c>
      <c r="S32" s="5"/>
      <c r="T32" s="5"/>
      <c r="U32" s="5"/>
      <c r="V32" s="5"/>
      <c r="W32" s="6"/>
      <c r="X32" s="7"/>
      <c r="Y32" s="5"/>
      <c r="Z32" s="5"/>
      <c r="AA32" s="5"/>
      <c r="AB32" s="5"/>
    </row>
    <row r="33" spans="1:28" ht="28.8" x14ac:dyDescent="0.25">
      <c r="A33" s="8" t="s">
        <v>6</v>
      </c>
      <c r="B33" s="9" t="s">
        <v>7</v>
      </c>
      <c r="C33" s="8">
        <v>5.2</v>
      </c>
      <c r="D33" s="8">
        <v>10.199999999999999</v>
      </c>
      <c r="E33" s="8">
        <v>10.1</v>
      </c>
      <c r="F33" s="8">
        <v>18.2</v>
      </c>
      <c r="G33" s="3">
        <f t="shared" si="34"/>
        <v>0.69725903617173468</v>
      </c>
      <c r="H33" s="3">
        <f t="shared" si="35"/>
        <v>0.83761362145059315</v>
      </c>
      <c r="I33" s="3">
        <f t="shared" si="36"/>
        <v>0.7015965788395776</v>
      </c>
      <c r="J33" s="3">
        <f t="shared" si="37"/>
        <v>0.83761362145059315</v>
      </c>
      <c r="K33" s="3">
        <f t="shared" si="38"/>
        <v>0.87353729062316188</v>
      </c>
      <c r="L33" s="3">
        <f t="shared" si="39"/>
        <v>1.1938678817903932</v>
      </c>
      <c r="M33" s="3">
        <f t="shared" si="40"/>
        <v>1.4253205191706801</v>
      </c>
      <c r="N33" s="3">
        <f t="shared" si="41"/>
        <v>1.1938678817903932</v>
      </c>
      <c r="O33" s="4">
        <f t="shared" si="42"/>
        <v>0.7</v>
      </c>
      <c r="P33" s="4">
        <f t="shared" si="43"/>
        <v>0.84</v>
      </c>
      <c r="Q33" s="4">
        <f t="shared" si="44"/>
        <v>1.43</v>
      </c>
      <c r="R33" s="4">
        <f t="shared" si="44"/>
        <v>1.19</v>
      </c>
      <c r="S33" s="10">
        <f>20*O33-2*D33*P33</f>
        <v>-3.1359999999999992</v>
      </c>
      <c r="T33" s="10">
        <f>(20+F33*C33)*O33-2*D33*P33</f>
        <v>63.111999999999995</v>
      </c>
      <c r="U33" s="10"/>
      <c r="V33" s="10"/>
      <c r="W33" s="11"/>
      <c r="X33" s="12"/>
      <c r="Y33" s="5">
        <f>ROUND((ABS(S33)*C33)/(ABS(S33)+ABS(T33)),2)</f>
        <v>0.25</v>
      </c>
      <c r="Z33" s="5">
        <f>ROUND((C33-Y33)*T33/2,2)</f>
        <v>156.19999999999999</v>
      </c>
      <c r="AA33" s="5">
        <f>ROUND((C33-Y33)/3,2)</f>
        <v>1.65</v>
      </c>
      <c r="AB33" s="5"/>
    </row>
    <row r="34" spans="1:28" ht="28.8" x14ac:dyDescent="0.25">
      <c r="A34" s="8" t="s">
        <v>8</v>
      </c>
      <c r="B34" s="9" t="s">
        <v>9</v>
      </c>
      <c r="C34" s="8">
        <v>0.8</v>
      </c>
      <c r="D34" s="8">
        <v>10.1</v>
      </c>
      <c r="E34" s="8">
        <v>10.199999999999999</v>
      </c>
      <c r="F34" s="8">
        <v>17.899999999999999</v>
      </c>
      <c r="G34" s="3">
        <f t="shared" si="34"/>
        <v>0.69638637154573746</v>
      </c>
      <c r="H34" s="3">
        <f t="shared" si="35"/>
        <v>0.83612978255246839</v>
      </c>
      <c r="I34" s="3">
        <f t="shared" si="36"/>
        <v>0.69911301327123809</v>
      </c>
      <c r="J34" s="3">
        <f t="shared" si="37"/>
        <v>0.83612978255246839</v>
      </c>
      <c r="K34" s="3">
        <f t="shared" si="38"/>
        <v>0.8744099552491591</v>
      </c>
      <c r="L34" s="3">
        <f t="shared" si="39"/>
        <v>1.1959865811109873</v>
      </c>
      <c r="M34" s="3">
        <f t="shared" si="40"/>
        <v>1.4303839021975482</v>
      </c>
      <c r="N34" s="3">
        <f t="shared" si="41"/>
        <v>1.1959865811109873</v>
      </c>
      <c r="O34" s="4">
        <f t="shared" si="42"/>
        <v>0.7</v>
      </c>
      <c r="P34" s="4">
        <f t="shared" si="43"/>
        <v>0.84</v>
      </c>
      <c r="Q34" s="4">
        <f t="shared" si="44"/>
        <v>1.43</v>
      </c>
      <c r="R34" s="4">
        <f t="shared" si="44"/>
        <v>1.2</v>
      </c>
      <c r="S34" s="10">
        <f>(20+F33*C33)*O34-2*D34*P34</f>
        <v>63.279999999999987</v>
      </c>
      <c r="T34" s="10">
        <f>(20+F33*C33+C34*F34)*O34-2*D34*P34</f>
        <v>73.304000000000002</v>
      </c>
      <c r="U34" s="10"/>
      <c r="V34" s="10"/>
      <c r="W34" s="11"/>
      <c r="X34" s="12"/>
      <c r="Y34" s="5">
        <f t="shared" ref="Y34:Y36" si="45">ROUND((ABS(S34)*C34)/(ABS(S34)+ABS(T34)),2)</f>
        <v>0.37</v>
      </c>
      <c r="Z34" s="5">
        <f t="shared" ref="Z34:Z37" si="46">ROUND((C34-Y34)*T34/2,2)</f>
        <v>15.76</v>
      </c>
      <c r="AA34" s="5">
        <f t="shared" ref="AA34:AA37" si="47">ROUND((C34-Y34)/3,2)</f>
        <v>0.14000000000000001</v>
      </c>
      <c r="AB34" s="5"/>
    </row>
    <row r="35" spans="1:28" ht="14.4" x14ac:dyDescent="0.25">
      <c r="A35" s="8" t="s">
        <v>10</v>
      </c>
      <c r="B35" s="9" t="s">
        <v>11</v>
      </c>
      <c r="C35" s="8">
        <v>0.8</v>
      </c>
      <c r="D35" s="8">
        <v>51.8</v>
      </c>
      <c r="E35" s="8">
        <v>14.8</v>
      </c>
      <c r="F35" s="8">
        <v>19.5</v>
      </c>
      <c r="G35" s="3">
        <f t="shared" si="34"/>
        <v>0.65624379874986793</v>
      </c>
      <c r="H35" s="3">
        <f t="shared" si="35"/>
        <v>0.77010367233556531</v>
      </c>
      <c r="I35" s="3">
        <f t="shared" si="36"/>
        <v>0.59305966614472372</v>
      </c>
      <c r="J35" s="3">
        <f t="shared" si="37"/>
        <v>0.77010367233556531</v>
      </c>
      <c r="K35" s="3">
        <f t="shared" si="38"/>
        <v>0.91455252804502862</v>
      </c>
      <c r="L35" s="3">
        <f t="shared" si="39"/>
        <v>1.2985264658811542</v>
      </c>
      <c r="M35" s="3">
        <f t="shared" si="40"/>
        <v>1.6861709825938003</v>
      </c>
      <c r="N35" s="3">
        <f t="shared" si="41"/>
        <v>1.2985264658811542</v>
      </c>
      <c r="O35" s="4">
        <f t="shared" si="42"/>
        <v>0.59</v>
      </c>
      <c r="P35" s="4">
        <f t="shared" si="43"/>
        <v>0.77</v>
      </c>
      <c r="Q35" s="4">
        <f t="shared" si="44"/>
        <v>1.69</v>
      </c>
      <c r="R35" s="4">
        <f t="shared" si="44"/>
        <v>1.3</v>
      </c>
      <c r="S35" s="10">
        <f>(20+F33*C33+C34*F34)*O35-2*D35*P35</f>
        <v>-3.6855999999999938</v>
      </c>
      <c r="T35" s="10">
        <f>(20+F33*C33+C34*F34+C35*F35)*O35-2*D35*P35</f>
        <v>5.5183999999999997</v>
      </c>
      <c r="U35" s="10"/>
      <c r="V35" s="10"/>
      <c r="W35" s="11"/>
      <c r="X35" s="12"/>
      <c r="Y35" s="5">
        <f t="shared" si="45"/>
        <v>0.32</v>
      </c>
      <c r="Z35" s="5">
        <f t="shared" si="46"/>
        <v>1.32</v>
      </c>
      <c r="AA35" s="5">
        <f t="shared" si="47"/>
        <v>0.16</v>
      </c>
      <c r="AB35" s="5"/>
    </row>
    <row r="36" spans="1:28" ht="14.4" x14ac:dyDescent="0.25">
      <c r="A36" s="8" t="s">
        <v>12</v>
      </c>
      <c r="B36" s="9" t="s">
        <v>13</v>
      </c>
      <c r="C36" s="8">
        <v>3.8</v>
      </c>
      <c r="D36" s="8">
        <v>37.799999999999997</v>
      </c>
      <c r="E36" s="8">
        <v>14.4</v>
      </c>
      <c r="F36" s="8">
        <v>19.100000000000001</v>
      </c>
      <c r="G36" s="3">
        <f t="shared" si="34"/>
        <v>0.65973445725385649</v>
      </c>
      <c r="H36" s="3">
        <f t="shared" si="35"/>
        <v>0.77567951104961297</v>
      </c>
      <c r="I36" s="3">
        <f t="shared" si="36"/>
        <v>0.6016787038621666</v>
      </c>
      <c r="J36" s="3">
        <f t="shared" si="37"/>
        <v>0.77567951104961297</v>
      </c>
      <c r="K36" s="3">
        <f t="shared" si="38"/>
        <v>0.91106186954104007</v>
      </c>
      <c r="L36" s="3">
        <f t="shared" si="39"/>
        <v>1.2891922317850668</v>
      </c>
      <c r="M36" s="3">
        <f t="shared" si="40"/>
        <v>1.6620166104949614</v>
      </c>
      <c r="N36" s="3">
        <f t="shared" si="41"/>
        <v>1.2891922317850668</v>
      </c>
      <c r="O36" s="4">
        <f t="shared" si="42"/>
        <v>0.6</v>
      </c>
      <c r="P36" s="4">
        <f t="shared" si="43"/>
        <v>0.78</v>
      </c>
      <c r="Q36" s="4">
        <f t="shared" si="44"/>
        <v>1.66</v>
      </c>
      <c r="R36" s="4">
        <f t="shared" si="44"/>
        <v>1.29</v>
      </c>
      <c r="S36" s="10">
        <f>(20+C33*F33+C34*F34+C35*F35)*O36-2*D36*P36</f>
        <v>27.768000000000008</v>
      </c>
      <c r="T36" s="10">
        <f>(20+C33*F33+C34*F34+C35*F35+C36*F36)*O36-2*D36*P36</f>
        <v>71.316000000000003</v>
      </c>
      <c r="U36" s="10"/>
      <c r="V36" s="10"/>
      <c r="W36" s="11"/>
      <c r="X36" s="12"/>
      <c r="Y36" s="5">
        <f t="shared" si="45"/>
        <v>1.06</v>
      </c>
      <c r="Z36" s="5">
        <f t="shared" si="46"/>
        <v>97.7</v>
      </c>
      <c r="AA36" s="5">
        <f t="shared" si="47"/>
        <v>0.91</v>
      </c>
      <c r="AB36" s="5"/>
    </row>
    <row r="37" spans="1:28" ht="14.4" x14ac:dyDescent="0.25">
      <c r="A37" s="8" t="s">
        <v>14</v>
      </c>
      <c r="B37" s="9" t="s">
        <v>15</v>
      </c>
      <c r="C37" s="8">
        <v>5.6</v>
      </c>
      <c r="D37" s="8">
        <v>12.6</v>
      </c>
      <c r="E37" s="8">
        <v>27.4</v>
      </c>
      <c r="F37" s="8">
        <v>18.5</v>
      </c>
      <c r="G37" s="3">
        <f t="shared" si="34"/>
        <v>0.54628805587422513</v>
      </c>
      <c r="H37" s="3">
        <f t="shared" si="35"/>
        <v>0.60800953019440529</v>
      </c>
      <c r="I37" s="3">
        <f t="shared" si="36"/>
        <v>0.36967558880722146</v>
      </c>
      <c r="J37" s="3">
        <f t="shared" si="37"/>
        <v>0.60800953019440529</v>
      </c>
      <c r="K37" s="3">
        <f t="shared" si="38"/>
        <v>1.0245082709206714</v>
      </c>
      <c r="L37" s="3">
        <f t="shared" si="39"/>
        <v>1.6447110618155267</v>
      </c>
      <c r="M37" s="3">
        <f t="shared" si="40"/>
        <v>2.7050744768583574</v>
      </c>
      <c r="N37" s="3">
        <f t="shared" si="41"/>
        <v>1.6447110618155267</v>
      </c>
      <c r="O37" s="4">
        <f t="shared" si="42"/>
        <v>0.37</v>
      </c>
      <c r="P37" s="4">
        <f t="shared" si="43"/>
        <v>0.61</v>
      </c>
      <c r="Q37" s="4">
        <f t="shared" si="44"/>
        <v>2.71</v>
      </c>
      <c r="R37" s="4">
        <f t="shared" si="44"/>
        <v>1.64</v>
      </c>
      <c r="S37" s="10">
        <f>(20+C33*F33+C34*F34+C35*F35+C36*F36)*O37-2*D37*P37</f>
        <v>64.969799999999992</v>
      </c>
      <c r="T37" s="10">
        <f>(20+C33*F33+C34*F34+C35*F35+C36*F36+C37*F37)*O37-2*D37*P37</f>
        <v>103.3018</v>
      </c>
      <c r="U37" s="10">
        <f>0*Q37+2*D37*R37</f>
        <v>41.327999999999996</v>
      </c>
      <c r="V37" s="10">
        <f>(0+C37*F37)*Q37+2*D37*R37</f>
        <v>322.08399999999995</v>
      </c>
      <c r="W37" s="11">
        <f t="shared" ref="W37:X40" si="48">U37-S37</f>
        <v>-23.641799999999996</v>
      </c>
      <c r="X37" s="12">
        <f t="shared" si="48"/>
        <v>218.78219999999993</v>
      </c>
      <c r="Y37" s="5">
        <f>ROUND((ABS(S37)*C37)/(ABS(S37)+ABS(T37)),2)</f>
        <v>2.16</v>
      </c>
      <c r="Z37" s="5">
        <f t="shared" si="46"/>
        <v>177.68</v>
      </c>
      <c r="AA37" s="5">
        <f t="shared" si="47"/>
        <v>1.1499999999999999</v>
      </c>
      <c r="AB37" s="5"/>
    </row>
    <row r="38" spans="1:28" ht="14.4" x14ac:dyDescent="0.25">
      <c r="A38" s="8" t="s">
        <v>16</v>
      </c>
      <c r="B38" s="9" t="s">
        <v>17</v>
      </c>
      <c r="C38" s="8">
        <v>4.2</v>
      </c>
      <c r="D38" s="8">
        <v>12.4</v>
      </c>
      <c r="E38" s="8">
        <v>28.8</v>
      </c>
      <c r="F38" s="8">
        <v>18.399999999999999</v>
      </c>
      <c r="G38" s="3">
        <f t="shared" si="34"/>
        <v>0.53407075111026492</v>
      </c>
      <c r="H38" s="3">
        <f t="shared" si="35"/>
        <v>0.59139835139947117</v>
      </c>
      <c r="I38" s="3">
        <f t="shared" si="36"/>
        <v>0.34975201003801237</v>
      </c>
      <c r="J38" s="3">
        <f t="shared" si="37"/>
        <v>0.59139835139947117</v>
      </c>
      <c r="K38" s="3">
        <f t="shared" si="38"/>
        <v>1.0367255756846316</v>
      </c>
      <c r="L38" s="3">
        <f t="shared" si="39"/>
        <v>1.6909076557850107</v>
      </c>
      <c r="M38" s="3">
        <f t="shared" si="40"/>
        <v>2.85916870039236</v>
      </c>
      <c r="N38" s="3">
        <f t="shared" si="41"/>
        <v>1.6909076557850107</v>
      </c>
      <c r="O38" s="4">
        <f t="shared" si="42"/>
        <v>0.35</v>
      </c>
      <c r="P38" s="4">
        <f t="shared" si="43"/>
        <v>0.59</v>
      </c>
      <c r="Q38" s="4">
        <f t="shared" si="44"/>
        <v>2.86</v>
      </c>
      <c r="R38" s="4">
        <f t="shared" si="44"/>
        <v>1.69</v>
      </c>
      <c r="S38" s="10">
        <f>(20+C33*F33+C34*F34+C35*F35+C36*F36+C37*F37)*O38-2*D38*P38</f>
        <v>97.626999999999995</v>
      </c>
      <c r="T38" s="10">
        <f>(20+C33*F33+C34*F34+C35*F35+C36*F36+C37*F37+C38*F38)*O38-2*D38*P38</f>
        <v>124.67499999999998</v>
      </c>
      <c r="U38" s="10">
        <f>(0+C37*F37)*Q38+2*D38*R38</f>
        <v>338.20799999999997</v>
      </c>
      <c r="V38" s="10">
        <f>(0+C37*F37+C38*F38)*Q38+2*D38*R38</f>
        <v>559.22879999999998</v>
      </c>
      <c r="W38" s="11">
        <f t="shared" si="48"/>
        <v>240.58099999999996</v>
      </c>
      <c r="X38" s="12">
        <f t="shared" si="48"/>
        <v>434.55380000000002</v>
      </c>
      <c r="Y38" s="5"/>
      <c r="Z38" s="5"/>
      <c r="AA38" s="5">
        <f>ROUND(C38*(2*W38+X38)/(W38+X38)/3,2)</f>
        <v>1.9</v>
      </c>
      <c r="AB38" s="5">
        <f>C38*(W38+X38)/2</f>
        <v>1417.7830800000002</v>
      </c>
    </row>
    <row r="39" spans="1:28" ht="14.4" x14ac:dyDescent="0.25">
      <c r="A39" s="8" t="s">
        <v>18</v>
      </c>
      <c r="B39" s="9" t="s">
        <v>19</v>
      </c>
      <c r="C39" s="8">
        <v>4</v>
      </c>
      <c r="D39" s="8">
        <v>11.6</v>
      </c>
      <c r="E39" s="8">
        <v>31.2</v>
      </c>
      <c r="F39" s="8">
        <v>18.600000000000001</v>
      </c>
      <c r="G39" s="3">
        <f t="shared" si="34"/>
        <v>0.51312680008633282</v>
      </c>
      <c r="H39" s="3">
        <f t="shared" si="35"/>
        <v>0.56347104160796813</v>
      </c>
      <c r="I39" s="3">
        <f t="shared" si="36"/>
        <v>0.31749961473076854</v>
      </c>
      <c r="J39" s="3">
        <f t="shared" si="37"/>
        <v>0.56347104160796813</v>
      </c>
      <c r="K39" s="3">
        <f t="shared" si="38"/>
        <v>1.0576695267085636</v>
      </c>
      <c r="L39" s="3">
        <f t="shared" si="39"/>
        <v>1.7747140955927672</v>
      </c>
      <c r="M39" s="3">
        <f t="shared" si="40"/>
        <v>3.1496101210956535</v>
      </c>
      <c r="N39" s="3">
        <f t="shared" si="41"/>
        <v>1.7747140955927672</v>
      </c>
      <c r="O39" s="4">
        <f t="shared" si="42"/>
        <v>0.32</v>
      </c>
      <c r="P39" s="4">
        <f t="shared" si="43"/>
        <v>0.56000000000000005</v>
      </c>
      <c r="Q39" s="4">
        <f t="shared" si="44"/>
        <v>3.15</v>
      </c>
      <c r="R39" s="4">
        <f t="shared" si="44"/>
        <v>1.77</v>
      </c>
      <c r="S39" s="10">
        <f>(20+C33*F33+C34*F34+C35*F35+C36*F36+C37*F37+C38*F38)*O39-2*D39*P39</f>
        <v>114.37439999999999</v>
      </c>
      <c r="T39" s="10">
        <f>(20+C33*F33+C34*F34+C35*F35+C36*F36+C37*F37+C38*F38+C39*F39)*O39-2*D39*P39</f>
        <v>138.1824</v>
      </c>
      <c r="U39" s="10">
        <f>(0+C37*F37+C38*F38)*Q39+2*D39*R39</f>
        <v>610.8359999999999</v>
      </c>
      <c r="V39" s="10">
        <f>(0+C37*F37+C38*F38+C39*F39)*Q39+2*D39*R39</f>
        <v>845.19599999999991</v>
      </c>
      <c r="W39" s="11">
        <f t="shared" si="48"/>
        <v>496.46159999999992</v>
      </c>
      <c r="X39" s="12">
        <f t="shared" si="48"/>
        <v>707.01359999999988</v>
      </c>
      <c r="Y39" s="5"/>
      <c r="Z39" s="5"/>
      <c r="AA39" s="5">
        <f>ROUND(C39*(2*W39+X39)/(W39+X39)/3,2)</f>
        <v>1.88</v>
      </c>
      <c r="AB39" s="5">
        <f t="shared" ref="AB39" si="49">C39*(W39+X39)/2</f>
        <v>2406.9503999999997</v>
      </c>
    </row>
    <row r="40" spans="1:28" ht="15" thickBot="1" x14ac:dyDescent="0.3">
      <c r="A40" s="13" t="s">
        <v>20</v>
      </c>
      <c r="B40" s="14" t="s">
        <v>11</v>
      </c>
      <c r="C40" s="13">
        <v>5.2</v>
      </c>
      <c r="D40" s="13">
        <v>58.9</v>
      </c>
      <c r="E40" s="13">
        <v>13.4</v>
      </c>
      <c r="F40" s="13">
        <v>19.3</v>
      </c>
      <c r="G40" s="3">
        <f t="shared" si="34"/>
        <v>0.66846110351382815</v>
      </c>
      <c r="H40" s="3">
        <f t="shared" si="35"/>
        <v>0.78975241236447591</v>
      </c>
      <c r="I40" s="3">
        <f t="shared" si="36"/>
        <v>0.62370887283550924</v>
      </c>
      <c r="J40" s="3">
        <f t="shared" si="37"/>
        <v>0.78975241236447591</v>
      </c>
      <c r="K40" s="3">
        <f t="shared" si="38"/>
        <v>0.90233522328106841</v>
      </c>
      <c r="L40" s="3">
        <f t="shared" si="39"/>
        <v>1.2662196206606753</v>
      </c>
      <c r="M40" s="3">
        <f t="shared" si="40"/>
        <v>1.6033121277460645</v>
      </c>
      <c r="N40" s="3">
        <f t="shared" si="41"/>
        <v>1.2662196206606753</v>
      </c>
      <c r="O40" s="4">
        <f t="shared" si="42"/>
        <v>0.62</v>
      </c>
      <c r="P40" s="4">
        <f t="shared" si="43"/>
        <v>0.79</v>
      </c>
      <c r="Q40" s="4">
        <f t="shared" si="44"/>
        <v>1.6</v>
      </c>
      <c r="R40" s="4">
        <f t="shared" si="44"/>
        <v>1.27</v>
      </c>
      <c r="S40" s="10">
        <f>(20+C33*F33+C34*F34+C35*F35+C36*F36+C37*F37+C38*F38+C39*F39)*O40-2*D40*P40</f>
        <v>199.83839999999998</v>
      </c>
      <c r="T40" s="10">
        <f>(20+C33*F33+C34*F34+C35*F35+C36*F36+C37*F37+C38*F38+C39*F39+C40*F40)*O40-2*D40*P40</f>
        <v>262.06159999999994</v>
      </c>
      <c r="U40" s="10">
        <f>(0+C37*F37+C38*F38+C39*F39)*Q40+2*D40*R40</f>
        <v>558.05400000000009</v>
      </c>
      <c r="V40" s="10">
        <f>(0+C37*F37+C38*F38+C39*F39+C40*F40)*Q40+2*D40*R40</f>
        <v>718.63</v>
      </c>
      <c r="W40" s="15">
        <f t="shared" si="48"/>
        <v>358.21560000000011</v>
      </c>
      <c r="X40" s="16">
        <f t="shared" si="48"/>
        <v>456.56840000000005</v>
      </c>
      <c r="Y40" s="5"/>
      <c r="Z40" s="5"/>
      <c r="AA40" s="5">
        <f t="shared" ref="AA40" si="50">ROUND(C40*(2*W40+X40)/(W40+X40)/3,2)</f>
        <v>2.5</v>
      </c>
      <c r="AB40" s="5">
        <f>C40*(W40+X40)/2</f>
        <v>2118.4384000000005</v>
      </c>
    </row>
    <row r="41" spans="1:28" ht="14.4" thickTop="1" x14ac:dyDescent="0.25"/>
  </sheetData>
  <phoneticPr fontId="3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55681BEA-CB94-49B2-B8A8-AF55B4017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张子昂</dc:creator>
  <cp:lastModifiedBy>张子昂</cp:lastModifiedBy>
  <dcterms:modified xsi:type="dcterms:W3CDTF">2023-03-25T10:21:51Z</dcterms:modified>
</cp:coreProperties>
</file>