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ddf5216acb62b/Skrivebord/Internship_2022/repport/"/>
    </mc:Choice>
  </mc:AlternateContent>
  <xr:revisionPtr revIDLastSave="47" documentId="8_{D5ECAA04-3117-4F09-9C49-127D9EF183DE}" xr6:coauthVersionLast="47" xr6:coauthVersionMax="47" xr10:uidLastSave="{FCF52BE8-1B21-451C-9576-D1ABDFD9537F}"/>
  <bookViews>
    <workbookView xWindow="-93" yWindow="-93" windowWidth="25786" windowHeight="14586" activeTab="3" xr2:uid="{ADBBECF6-D13C-4E70-BCA5-2EAB053AD7D6}"/>
  </bookViews>
  <sheets>
    <sheet name="References" sheetId="1" r:id="rId1"/>
    <sheet name="Sampels" sheetId="4" r:id="rId2"/>
    <sheet name="report" sheetId="10" r:id="rId3"/>
    <sheet name="Hour_count" sheetId="2" r:id="rId4"/>
    <sheet name="datatreatment" sheetId="7" r:id="rId5"/>
    <sheet name="edx" sheetId="6" r:id="rId6"/>
    <sheet name="Sheet3" sheetId="11" r:id="rId7"/>
    <sheet name="different spo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D35" i="7"/>
  <c r="D36" i="7"/>
  <c r="F10" i="2"/>
  <c r="E10" i="2"/>
  <c r="F15" i="6"/>
  <c r="G3" i="6"/>
  <c r="F17" i="6"/>
  <c r="F13" i="6"/>
  <c r="F11" i="6"/>
  <c r="F9" i="6"/>
  <c r="F7" i="6"/>
  <c r="F5" i="6"/>
  <c r="F3" i="6"/>
  <c r="G13" i="6"/>
  <c r="D10" i="2"/>
  <c r="C10" i="2"/>
  <c r="F43" i="7"/>
  <c r="F42" i="7"/>
  <c r="F40" i="7"/>
  <c r="F39" i="7"/>
  <c r="F41" i="7"/>
  <c r="F38" i="7"/>
  <c r="B10" i="2"/>
  <c r="L9" i="2"/>
  <c r="G9" i="2"/>
  <c r="F9" i="2"/>
  <c r="D31" i="7"/>
  <c r="D30" i="7"/>
  <c r="D29" i="7"/>
  <c r="D28" i="7"/>
  <c r="D27" i="7"/>
  <c r="D26" i="7"/>
  <c r="D43" i="7"/>
  <c r="D42" i="7"/>
  <c r="D41" i="7"/>
  <c r="D40" i="7"/>
  <c r="D39" i="7"/>
  <c r="D38" i="7"/>
  <c r="G21" i="7"/>
  <c r="G15" i="7"/>
  <c r="G4" i="7"/>
  <c r="G28" i="7"/>
  <c r="G72" i="7"/>
  <c r="G36" i="7"/>
  <c r="G35" i="7"/>
  <c r="G33" i="7"/>
  <c r="D34" i="7"/>
  <c r="D33" i="7"/>
  <c r="E9" i="2"/>
  <c r="G15" i="6"/>
  <c r="G11" i="6"/>
  <c r="G17" i="6"/>
  <c r="G9" i="6"/>
  <c r="G7" i="6"/>
  <c r="G5" i="6"/>
  <c r="D9" i="2"/>
  <c r="F8" i="2"/>
  <c r="E8" i="2"/>
  <c r="D8" i="2"/>
  <c r="B8" i="2"/>
  <c r="C8" i="2"/>
  <c r="G7" i="2"/>
  <c r="H7" i="2"/>
  <c r="F7" i="2"/>
  <c r="E7" i="2"/>
  <c r="D7" i="2"/>
  <c r="C7" i="2"/>
  <c r="E12" i="2"/>
  <c r="B7" i="2"/>
  <c r="B6" i="2"/>
  <c r="L5" i="2"/>
  <c r="L4" i="2"/>
  <c r="L3" i="2"/>
  <c r="J15" i="2"/>
  <c r="F11" i="2"/>
  <c r="F12" i="2"/>
  <c r="F13" i="2"/>
  <c r="E11" i="2"/>
  <c r="E13" i="2"/>
  <c r="D11" i="2"/>
  <c r="D12" i="2"/>
  <c r="D13" i="2"/>
  <c r="C11" i="2"/>
  <c r="C12" i="2"/>
  <c r="C13" i="2"/>
  <c r="B11" i="2"/>
  <c r="B12" i="2"/>
  <c r="B13" i="2"/>
  <c r="F6" i="2"/>
  <c r="E6" i="2"/>
  <c r="D6" i="2"/>
  <c r="C6" i="2"/>
  <c r="H5" i="2"/>
  <c r="F5" i="2"/>
  <c r="E5" i="2"/>
  <c r="C5" i="2"/>
  <c r="B5" i="2"/>
  <c r="D5" i="2"/>
  <c r="F4" i="2"/>
  <c r="E4" i="2"/>
  <c r="K3" i="2"/>
  <c r="J4" i="2"/>
  <c r="J5" i="2"/>
  <c r="J6" i="2"/>
  <c r="J7" i="2"/>
  <c r="J8" i="2"/>
  <c r="J9" i="2"/>
  <c r="J10" i="2"/>
  <c r="J11" i="2"/>
  <c r="J12" i="2"/>
  <c r="J13" i="2"/>
  <c r="J14" i="2"/>
  <c r="D4" i="2"/>
  <c r="C4" i="2"/>
  <c r="F3" i="2"/>
  <c r="I3" i="2" s="1"/>
  <c r="B4" i="2"/>
  <c r="I16" i="2"/>
  <c r="H14" i="2"/>
  <c r="G14" i="2"/>
  <c r="H13" i="2"/>
  <c r="G13" i="2"/>
  <c r="I13" i="2" s="1"/>
  <c r="K13" i="2" s="1"/>
  <c r="H12" i="2"/>
  <c r="G12" i="2"/>
  <c r="H8" i="2"/>
  <c r="G8" i="2"/>
  <c r="H6" i="2"/>
  <c r="G6" i="2"/>
  <c r="G5" i="2"/>
  <c r="H4" i="2"/>
  <c r="G4" i="2"/>
  <c r="J3" i="2"/>
  <c r="H3" i="2"/>
  <c r="G3" i="2"/>
  <c r="E3" i="2"/>
  <c r="D3" i="2"/>
  <c r="C3" i="2"/>
  <c r="B3" i="2"/>
  <c r="I9" i="2" l="1"/>
  <c r="K9" i="2" s="1"/>
  <c r="I8" i="2"/>
  <c r="K8" i="2" s="1"/>
  <c r="I12" i="2"/>
  <c r="K12" i="2" s="1"/>
  <c r="I10" i="2"/>
  <c r="K10" i="2" s="1"/>
  <c r="I11" i="2"/>
  <c r="K11" i="2" s="1"/>
  <c r="I14" i="2"/>
  <c r="K14" i="2" s="1"/>
  <c r="I7" i="2"/>
  <c r="K7" i="2" s="1"/>
  <c r="I6" i="2"/>
  <c r="K6" i="2" s="1"/>
  <c r="L6" i="2" s="1"/>
  <c r="I5" i="2"/>
  <c r="K5" i="2" s="1"/>
  <c r="I4" i="2"/>
  <c r="L8" i="2" l="1"/>
  <c r="L7" i="2"/>
  <c r="L14" i="2"/>
  <c r="L12" i="2"/>
  <c r="L11" i="2"/>
  <c r="L10" i="2"/>
  <c r="L13" i="2"/>
  <c r="I15" i="2"/>
  <c r="I17" i="2" s="1"/>
  <c r="K4" i="2"/>
  <c r="K15" i="2" l="1"/>
</calcChain>
</file>

<file path=xl/sharedStrings.xml><?xml version="1.0" encoding="utf-8"?>
<sst xmlns="http://schemas.openxmlformats.org/spreadsheetml/2006/main" count="872" uniqueCount="343">
  <si>
    <t>Article</t>
  </si>
  <si>
    <t>Chardonnet2021a</t>
  </si>
  <si>
    <t>Jal2017a</t>
  </si>
  <si>
    <t>Lau2011a</t>
  </si>
  <si>
    <t>Vaz2008a</t>
  </si>
  <si>
    <t>vonKorffSchmising2020a</t>
  </si>
  <si>
    <t>Blundell2011b</t>
  </si>
  <si>
    <t>Johnson1996a</t>
  </si>
  <si>
    <t>Kelly2000a</t>
  </si>
  <si>
    <t>Kirilyuk2010a</t>
  </si>
  <si>
    <t>Maciasa</t>
  </si>
  <si>
    <t>Polisetty2008a</t>
  </si>
  <si>
    <t>TremoletdeLacheisserie2002a</t>
  </si>
  <si>
    <t>MOKE</t>
  </si>
  <si>
    <t xml:space="preserve">using ultrafast laser pulses to excite magnetic materials obtains properties much faster than if traditional thermal magnetic methods was used. </t>
  </si>
  <si>
    <t>LCPMR - laboratoire chimie phyisque-matiére et rayonnement.</t>
  </si>
  <si>
    <t xml:space="preserve">Electric field of light couples to magnetization(spin orbit coupling) of sample </t>
  </si>
  <si>
    <t>MOKE can give information about the orientation, the uniformity and the size of the magnetization in thin films</t>
  </si>
  <si>
    <t>when light interacts with a magnetic (ferro) surface the polarization and intensity can be changed according to the magnetic field of the surface</t>
  </si>
  <si>
    <t xml:space="preserve">Lorentz drude model of magnetic thin films. </t>
  </si>
  <si>
    <t>Week</t>
  </si>
  <si>
    <t>Lundi</t>
  </si>
  <si>
    <t xml:space="preserve">Mardi </t>
  </si>
  <si>
    <t xml:space="preserve">Marcredi </t>
  </si>
  <si>
    <t>Jeudi</t>
  </si>
  <si>
    <t>Vendredi</t>
  </si>
  <si>
    <t>Samedi</t>
  </si>
  <si>
    <t>Dimanche</t>
  </si>
  <si>
    <t>TOTAL</t>
  </si>
  <si>
    <t>Mandatory</t>
  </si>
  <si>
    <t>Difference</t>
  </si>
  <si>
    <t>Controlling magnetism at ultrafast times</t>
  </si>
  <si>
    <t>Plane of polarization = the plane made up of the electric field and direction of propagation of the light</t>
  </si>
  <si>
    <t xml:space="preserve">plane of incidence = Scattering plane = plane made up of the direction of incident light beam and reflected light beam. </t>
  </si>
  <si>
    <t>Kerr ellipticity and Kerr rotation effect</t>
  </si>
  <si>
    <t>The Lab</t>
  </si>
  <si>
    <t xml:space="preserve">Total in week: </t>
  </si>
  <si>
    <t>20220426_APRD1</t>
  </si>
  <si>
    <t>20220426_APRD2</t>
  </si>
  <si>
    <t>20220426_APRD3</t>
  </si>
  <si>
    <t>What thinfilms can be used for</t>
  </si>
  <si>
    <t xml:space="preserve">High sensitivity of the magnetisation even for very thin multilayers. </t>
  </si>
  <si>
    <t>Sampels</t>
  </si>
  <si>
    <t>Date</t>
  </si>
  <si>
    <t>X</t>
  </si>
  <si>
    <t>name</t>
  </si>
  <si>
    <t>20220525_APEJ1</t>
  </si>
  <si>
    <t>20220525_APEJ2</t>
  </si>
  <si>
    <t>20220525_APEJ3</t>
  </si>
  <si>
    <t>20nm</t>
  </si>
  <si>
    <t>50nm</t>
  </si>
  <si>
    <t>75nm</t>
  </si>
  <si>
    <t>100nm</t>
  </si>
  <si>
    <t>150nm</t>
  </si>
  <si>
    <t>200nm</t>
  </si>
  <si>
    <t>20220523_APEJ1</t>
  </si>
  <si>
    <t>20220523_APEJ2</t>
  </si>
  <si>
    <t>20220523_APEJ3</t>
  </si>
  <si>
    <t>20220523_APEJ4</t>
  </si>
  <si>
    <t>20220523_APEJ5</t>
  </si>
  <si>
    <t>20220523_APEJ6</t>
  </si>
  <si>
    <t>changing thickness</t>
  </si>
  <si>
    <t>Changing composition</t>
  </si>
  <si>
    <t>Ta3/(Co88Tb12)X/Pt3</t>
  </si>
  <si>
    <t>83nm</t>
  </si>
  <si>
    <t>105nm</t>
  </si>
  <si>
    <t>125nm</t>
  </si>
  <si>
    <t>146nm</t>
  </si>
  <si>
    <t>166nm</t>
  </si>
  <si>
    <t>250nm</t>
  </si>
  <si>
    <t>20220511_APEJ1</t>
  </si>
  <si>
    <t>20220511_APEJ2</t>
  </si>
  <si>
    <t>20220511_APEJ3</t>
  </si>
  <si>
    <t>20220511_APEJ4</t>
  </si>
  <si>
    <t>20220511_APEJ5</t>
  </si>
  <si>
    <t>20220511_APEJ6</t>
  </si>
  <si>
    <t xml:space="preserve">Changing thickness </t>
  </si>
  <si>
    <t>Pt3/(Co88Tb12)X/Pt3</t>
  </si>
  <si>
    <t>Changing thickness</t>
  </si>
  <si>
    <t>20220518_APEJ1</t>
  </si>
  <si>
    <t>20220518_APEJ2</t>
  </si>
  <si>
    <t>20220518_APEJ3</t>
  </si>
  <si>
    <t>20220518_APEJ4</t>
  </si>
  <si>
    <t>20220518_APEJ5</t>
  </si>
  <si>
    <t>20220518_APEJ6</t>
  </si>
  <si>
    <t>20220518_APEJ7</t>
  </si>
  <si>
    <t>20220518_APEJ8</t>
  </si>
  <si>
    <t>Ta3/(Co1-XTbX)75nm/Pt3</t>
  </si>
  <si>
    <t>Sampels made by cathy</t>
  </si>
  <si>
    <t>Mks (mbar)</t>
  </si>
  <si>
    <t xml:space="preserve">Mks = </t>
  </si>
  <si>
    <t xml:space="preserve">Initial = </t>
  </si>
  <si>
    <t>Initial = 8*10^-7</t>
  </si>
  <si>
    <t>P(Co)= 90</t>
  </si>
  <si>
    <t>P(Co)= 60</t>
  </si>
  <si>
    <t>Initial = 3*10^-7</t>
  </si>
  <si>
    <t>Massflow</t>
  </si>
  <si>
    <t>6sccm</t>
  </si>
  <si>
    <t>Initial (mbar)</t>
  </si>
  <si>
    <t>P(Co) (W)</t>
  </si>
  <si>
    <t>CG1(mbar)</t>
  </si>
  <si>
    <t>CG1 = 8.2*10^-3</t>
  </si>
  <si>
    <t>CG1 = 8,2*10^-3</t>
  </si>
  <si>
    <t>Initial = 6.3*10^-7</t>
  </si>
  <si>
    <t>Initial = 2,4*10^-7</t>
  </si>
  <si>
    <t>CG1= 4.5*10^-3</t>
  </si>
  <si>
    <t>P(Co)= 30</t>
  </si>
  <si>
    <t>3sccm</t>
  </si>
  <si>
    <t>2sccm</t>
  </si>
  <si>
    <t>Changing pressure</t>
  </si>
  <si>
    <t>20210514_CVMH1</t>
  </si>
  <si>
    <t>20210514_CVMH2</t>
  </si>
  <si>
    <t>20210514_CVMH3</t>
  </si>
  <si>
    <t>Pt3/(Co88Tb12)450/Pt3</t>
  </si>
  <si>
    <t>20210519_CVEJ1</t>
  </si>
  <si>
    <t>20210519_CVEJ2</t>
  </si>
  <si>
    <t>20210519_CVEJ3</t>
  </si>
  <si>
    <t>20210519_CVEJ4</t>
  </si>
  <si>
    <t>20210519_CVEJ5</t>
  </si>
  <si>
    <t>20210519_CVEJ6</t>
  </si>
  <si>
    <t>20210526_CVEJ1</t>
  </si>
  <si>
    <t>20210526_CVEJ2</t>
  </si>
  <si>
    <t>20210526_CVEJ3</t>
  </si>
  <si>
    <t>20210526_CVEJ4</t>
  </si>
  <si>
    <t>20210526_CVEJ5</t>
  </si>
  <si>
    <t>20210526_CVEJ6</t>
  </si>
  <si>
    <t>20210526_CVEJ7</t>
  </si>
  <si>
    <t>20210531_CVMH1</t>
  </si>
  <si>
    <t>20210531_CVMH2</t>
  </si>
  <si>
    <t>20210531_CVMH3</t>
  </si>
  <si>
    <t>20210531_CVMH4</t>
  </si>
  <si>
    <t>X= 12</t>
  </si>
  <si>
    <t>X= 15</t>
  </si>
  <si>
    <t>X=10</t>
  </si>
  <si>
    <t>P(Co)= 150W</t>
  </si>
  <si>
    <t>P(Co)= 90W</t>
  </si>
  <si>
    <t>Cleaning</t>
  </si>
  <si>
    <t>nothing</t>
  </si>
  <si>
    <t>ethanol</t>
  </si>
  <si>
    <t>acetone</t>
  </si>
  <si>
    <t xml:space="preserve">Don’t remember but I think nothing </t>
  </si>
  <si>
    <t xml:space="preserve">Behind? </t>
  </si>
  <si>
    <t>Ta3/(Co90Tb10)Xnm/Pt3</t>
  </si>
  <si>
    <t>CG1= 3*10^-3</t>
  </si>
  <si>
    <t>Acetone</t>
  </si>
  <si>
    <t>20220531_APEJ1</t>
  </si>
  <si>
    <t>20220531_APEJ2</t>
  </si>
  <si>
    <t>20220531_APEJ3</t>
  </si>
  <si>
    <t>20220531_APEJ4</t>
  </si>
  <si>
    <t>20220531_APEJ5</t>
  </si>
  <si>
    <t>20220531_APEJ6</t>
  </si>
  <si>
    <t>Abstract</t>
  </si>
  <si>
    <t>Abe1984</t>
  </si>
  <si>
    <t>Bierbrauer2015</t>
  </si>
  <si>
    <t>Bigot2015</t>
  </si>
  <si>
    <t>Callister2007</t>
  </si>
  <si>
    <t>Ferte2017</t>
  </si>
  <si>
    <t>Griffiths2013</t>
  </si>
  <si>
    <t>Hellwig2003</t>
  </si>
  <si>
    <t>Hellwig2007</t>
  </si>
  <si>
    <t>Hennes2020</t>
  </si>
  <si>
    <t>Kittel2005</t>
  </si>
  <si>
    <t>lcpmr2022</t>
  </si>
  <si>
    <t>Merhe</t>
  </si>
  <si>
    <t>park2022</t>
  </si>
  <si>
    <t>Pham2018</t>
  </si>
  <si>
    <t>MOKE, derivation of dielectric tensor: 2</t>
  </si>
  <si>
    <t xml:space="preserve">Investigation of optical switching in TbCo alloys - only present when Tb concentration is small:2 </t>
  </si>
  <si>
    <t>BOOK: part 2: ultrafast magnetization in metals. P56: 2</t>
  </si>
  <si>
    <t>BOOK: CMP2</t>
  </si>
  <si>
    <t xml:space="preserve">BOOK: material science for engineering </t>
  </si>
  <si>
    <t>Jal + Hennes, ultrafast quenching + demagnetization: 3</t>
  </si>
  <si>
    <t>Ultrafast quenching of Co74Tb26 alloys -  femotoseclaser pulse: 3</t>
  </si>
  <si>
    <t>BOOK: griffith electrodynamics</t>
  </si>
  <si>
    <t>CoPt stripe domain investigation at room temperature, in plane moke: 1</t>
  </si>
  <si>
    <t>Co/Pt field reversal behavoir in antiferromagnetic materials, their domains:2</t>
  </si>
  <si>
    <t>CoTb: the edges of amorphous, Co and Tb alloys to study ultrafast demagnetization: 1</t>
  </si>
  <si>
    <t>Ultrafast demagnetization: 4</t>
  </si>
  <si>
    <t>Magnetic anisotropy, and the origin, techniques, Co anisotropy: 1</t>
  </si>
  <si>
    <t>Magnetron sputtering, explanation, and what it is good for: 1</t>
  </si>
  <si>
    <t xml:space="preserve">MOKE and general a lot of different techniques using laserpulses: </t>
  </si>
  <si>
    <t>BOOK: kittel - introduction to solid state physics</t>
  </si>
  <si>
    <t>General about magnetic nanostructures + application, harddrive, maybe it will give us an answer o the cleaning???</t>
  </si>
  <si>
    <t>The website</t>
  </si>
  <si>
    <t xml:space="preserve">Time resolved MOKE a good description + formulas. </t>
  </si>
  <si>
    <t>!! CoTb alloys, domains, different interactions + energy</t>
  </si>
  <si>
    <t xml:space="preserve">Website: </t>
  </si>
  <si>
    <t>Production of CoTb alloys with different composition, characterized using MOKE</t>
  </si>
  <si>
    <t xml:space="preserve">MOKE </t>
  </si>
  <si>
    <t xml:space="preserve">Magnetism in localised and delocalised metals p. 7-8, magnetooptic effect p. 13, </t>
  </si>
  <si>
    <t xml:space="preserve">concepts of thin films using Co, Fe, Ni, Magnetic moment in 3d transition metals!! , magnetic anisotropy, </t>
  </si>
  <si>
    <t xml:space="preserve">CoTb alloys, everything </t>
  </si>
  <si>
    <t>Domains</t>
  </si>
  <si>
    <t>Gottwald</t>
  </si>
  <si>
    <t>Transition metal quenching of orbital angular momentum</t>
  </si>
  <si>
    <t>Allenspach2022</t>
  </si>
  <si>
    <t>Gottwald2011</t>
  </si>
  <si>
    <t>Manuscript_MOKE - Légare2022</t>
  </si>
  <si>
    <t xml:space="preserve">zeeman interaction </t>
  </si>
  <si>
    <t xml:space="preserve">exchange interaction </t>
  </si>
  <si>
    <t>Initial = 4,7*10^-7</t>
  </si>
  <si>
    <t>450nm</t>
  </si>
  <si>
    <t>CG1= 2,6*10^-3</t>
  </si>
  <si>
    <t>P(Tb)=25W</t>
  </si>
  <si>
    <t>CG1= 4,5*10^-3</t>
  </si>
  <si>
    <t>P(Tb)=30W</t>
  </si>
  <si>
    <t>CG1= 6,7*10^-3</t>
  </si>
  <si>
    <t xml:space="preserve">P(Tb)=different pressures?? </t>
  </si>
  <si>
    <t>6 sccm = 20%</t>
  </si>
  <si>
    <t>5% = 1,5 sccm</t>
  </si>
  <si>
    <t xml:space="preserve">5%=1,5Sccm </t>
  </si>
  <si>
    <t xml:space="preserve">5%=1,5sccm </t>
  </si>
  <si>
    <t xml:space="preserve">Avec rotation = 5000pr ts? </t>
  </si>
  <si>
    <t>CG1= 8,5*10^-3</t>
  </si>
  <si>
    <t>CG1= 1.07*10^-2</t>
  </si>
  <si>
    <t>CG1= 1.24*10^-3</t>
  </si>
  <si>
    <t>CG1= 2,19*10^-2</t>
  </si>
  <si>
    <t>Initial = 2,6*10^-7</t>
  </si>
  <si>
    <t>??</t>
  </si>
  <si>
    <t>Initial = 1,8*10^-7</t>
  </si>
  <si>
    <t>CG1= 6,3*10^-3</t>
  </si>
  <si>
    <t>CG1= 2,5*10^-3</t>
  </si>
  <si>
    <t>CG1=6,5 *10^-3</t>
  </si>
  <si>
    <t>CG1=1,04 *10^-2</t>
  </si>
  <si>
    <t>CG1=1,25 *10^-2</t>
  </si>
  <si>
    <t>CG1=2,16 *10^-2</t>
  </si>
  <si>
    <t>CG1= 1,45*10^-2</t>
  </si>
  <si>
    <t>CG1= 1.62*10^-2</t>
  </si>
  <si>
    <t>CG1= 1.83*10^-2</t>
  </si>
  <si>
    <t>Initial = 1.2*10^-6</t>
  </si>
  <si>
    <t>CG1= 1,23*10^-2</t>
  </si>
  <si>
    <t>20210602_CVMH1</t>
  </si>
  <si>
    <t>20210602_CVMH2</t>
  </si>
  <si>
    <t>20210602_CVMH3</t>
  </si>
  <si>
    <t>20210602_CVMH4</t>
  </si>
  <si>
    <t>20210602_CVMH5</t>
  </si>
  <si>
    <t>20210602_CVMH6</t>
  </si>
  <si>
    <t>35nm</t>
  </si>
  <si>
    <t>45nm</t>
  </si>
  <si>
    <t>55nm</t>
  </si>
  <si>
    <t>65nm</t>
  </si>
  <si>
    <t>25nm</t>
  </si>
  <si>
    <t>Mks = 1*10^-3</t>
  </si>
  <si>
    <t>Mks = 1,6*10^-3</t>
  </si>
  <si>
    <t>Mks = 1,5-2*10^-3</t>
  </si>
  <si>
    <t>Mks = 4*10^-3</t>
  </si>
  <si>
    <t>Mks = 7,5*10^-3</t>
  </si>
  <si>
    <t>Mks = 6,3*10^-3</t>
  </si>
  <si>
    <t>Mks = 10*10^-3</t>
  </si>
  <si>
    <t>Mks = 10,34*10^-3</t>
  </si>
  <si>
    <t>Mks = 16,2*10^-3</t>
  </si>
  <si>
    <t>Mks =  15*10^-3</t>
  </si>
  <si>
    <t>Mks = 4,4-5,1*10^-3</t>
  </si>
  <si>
    <t>Mks = 2,2*10^-3</t>
  </si>
  <si>
    <t>Mks = 2*10^-3</t>
  </si>
  <si>
    <t>Mks = 1,2*10^-3</t>
  </si>
  <si>
    <t>Mks = 7*10^-3</t>
  </si>
  <si>
    <t>Mks = 1,29*10^-2</t>
  </si>
  <si>
    <t>Mks = 1.62*10^-2</t>
  </si>
  <si>
    <t>Mks = 3.1*10^-2</t>
  </si>
  <si>
    <t>Mks = 1.64*10^-2</t>
  </si>
  <si>
    <t>Mks = 1.9*10^-2</t>
  </si>
  <si>
    <t>Mks=2.204*10^-2</t>
  </si>
  <si>
    <t>Mks = 2.514*10^-2</t>
  </si>
  <si>
    <t>Initial = 4,4*10^-7</t>
  </si>
  <si>
    <t>Mks = 2,4*10^-3</t>
  </si>
  <si>
    <t>Mks = 15,5*10^-2</t>
  </si>
  <si>
    <t>Mks = 15,6*10^-3</t>
  </si>
  <si>
    <t>CG1= 12,5*10^-3</t>
  </si>
  <si>
    <t>CG1= 1,2*10^-2</t>
  </si>
  <si>
    <t>EDX</t>
  </si>
  <si>
    <t>Samplename</t>
  </si>
  <si>
    <t>Co88Tb12</t>
  </si>
  <si>
    <t>Median</t>
  </si>
  <si>
    <t xml:space="preserve"> </t>
  </si>
  <si>
    <t>20220518APEJ1</t>
  </si>
  <si>
    <t>Found in EDX p(Co)</t>
  </si>
  <si>
    <t>Expected composition p(Co)</t>
  </si>
  <si>
    <t>Number</t>
  </si>
  <si>
    <t>Co85Tb15</t>
  </si>
  <si>
    <t>Co90Tb10</t>
  </si>
  <si>
    <t>Coarcitive field</t>
  </si>
  <si>
    <t>in gauss</t>
  </si>
  <si>
    <t>X=12 -ethanol</t>
  </si>
  <si>
    <t>measured</t>
  </si>
  <si>
    <t>Sample</t>
  </si>
  <si>
    <t>Varying field</t>
  </si>
  <si>
    <t>measuring how much th field varies when changing the spot</t>
  </si>
  <si>
    <t>400 Gauss</t>
  </si>
  <si>
    <t xml:space="preserve">this - but it is different from last year. </t>
  </si>
  <si>
    <t>deposition rate</t>
  </si>
  <si>
    <t>6 sccm</t>
  </si>
  <si>
    <t>90 W</t>
  </si>
  <si>
    <t>2.6 Å/s</t>
  </si>
  <si>
    <t>2.5 Å/s</t>
  </si>
  <si>
    <t>2.2 Å/s</t>
  </si>
  <si>
    <t>1 Å/s</t>
  </si>
  <si>
    <t>2.1Å/s</t>
  </si>
  <si>
    <t>1.9Å/s</t>
  </si>
  <si>
    <t xml:space="preserve">nr. </t>
  </si>
  <si>
    <t>Sample name</t>
  </si>
  <si>
    <t>Changing cleaning</t>
  </si>
  <si>
    <t>Changing buffer</t>
  </si>
  <si>
    <t>60 W</t>
  </si>
  <si>
    <t>30 W</t>
  </si>
  <si>
    <t>12,5*10^-3 mbar</t>
  </si>
  <si>
    <t>4.5*10^-3mbar</t>
  </si>
  <si>
    <t>3*10^-3mbar</t>
  </si>
  <si>
    <t>12,5*10^-3mbar</t>
  </si>
  <si>
    <t>Buffer</t>
  </si>
  <si>
    <t>Pt</t>
  </si>
  <si>
    <t>Ta</t>
  </si>
  <si>
    <t>X=0.12</t>
  </si>
  <si>
    <t>X=0.12 -ethanol</t>
  </si>
  <si>
    <t>X= 0.15</t>
  </si>
  <si>
    <t>X=0.10</t>
  </si>
  <si>
    <t>Composition(X)</t>
  </si>
  <si>
    <t>Thickness(Y)</t>
  </si>
  <si>
    <t>pressure Ar</t>
  </si>
  <si>
    <t>Power Co</t>
  </si>
  <si>
    <t>Changing the thickness</t>
  </si>
  <si>
    <t>Deposition rate</t>
  </si>
  <si>
    <t>X=0.1</t>
  </si>
  <si>
    <t>Changing the composition</t>
  </si>
  <si>
    <t>Scanrate = how much time to take one line</t>
  </si>
  <si>
    <t>how many pixels</t>
  </si>
  <si>
    <t>0.75Hz</t>
  </si>
  <si>
    <t>size of image</t>
  </si>
  <si>
    <t xml:space="preserve">lift height </t>
  </si>
  <si>
    <t xml:space="preserve">30nm </t>
  </si>
  <si>
    <t>256 pixel</t>
  </si>
  <si>
    <t>5 micronx5micron</t>
  </si>
  <si>
    <t>Scan name</t>
  </si>
  <si>
    <t>20220531_APEJ6_002</t>
  </si>
  <si>
    <t>20220531_APEJ6_004</t>
  </si>
  <si>
    <t>keep in mind, that we magnetized horizontally compared to the picture while in the other sample, we magnetized in the other direction (vertical)</t>
  </si>
  <si>
    <t>20220531_APEJ5_000</t>
  </si>
  <si>
    <t xml:space="preserve">keep in mind that we have magnetized vertically so we will see the stripes vertically. </t>
  </si>
  <si>
    <t>nucleation</t>
  </si>
  <si>
    <t>Serie</t>
  </si>
  <si>
    <t>Series</t>
  </si>
  <si>
    <t>CG1= 2.9*10^-3</t>
  </si>
  <si>
    <t>2.9*10^-3mbar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</si>
</sst>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rgb="FF3F3F3F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rgb="FF3F3F3F"/>
      </left>
      <right/>
      <top/>
      <bottom/>
      <diagonal/>
    </border>
  </borders>
  <cellStyleXfs count="6">
    <xf numFmtId="0" fontId="0" fillId="0" borderId="0"/>
    <xf numFmtId="0" fontId="4" fillId="2" borderId="2" applyNumberFormat="0" applyAlignment="0" applyProtection="0"/>
    <xf numFmtId="0" fontId="5" fillId="3" borderId="3" applyNumberFormat="0" applyAlignment="0" applyProtection="0"/>
    <xf numFmtId="0" fontId="7" fillId="4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5" fillId="3" borderId="3" xfId="2"/>
    <xf numFmtId="0" fontId="4" fillId="2" borderId="2" xfId="1"/>
    <xf numFmtId="0" fontId="5" fillId="3" borderId="4" xfId="2" applyBorder="1"/>
    <xf numFmtId="0" fontId="4" fillId="2" borderId="5" xfId="1" applyBorder="1"/>
    <xf numFmtId="14" fontId="0" fillId="0" borderId="0" xfId="0" applyNumberFormat="1"/>
    <xf numFmtId="0" fontId="7" fillId="4" borderId="1" xfId="3" applyBorder="1" applyAlignment="1">
      <alignment wrapText="1"/>
    </xf>
    <xf numFmtId="0" fontId="7" fillId="4" borderId="0" xfId="3"/>
    <xf numFmtId="0" fontId="8" fillId="0" borderId="6" xfId="0" applyFont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7" fillId="4" borderId="6" xfId="3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10" fontId="0" fillId="0" borderId="0" xfId="0" applyNumberFormat="1"/>
    <xf numFmtId="9" fontId="0" fillId="0" borderId="0" xfId="0" applyNumberFormat="1"/>
    <xf numFmtId="0" fontId="9" fillId="6" borderId="0" xfId="4"/>
    <xf numFmtId="10" fontId="9" fillId="6" borderId="0" xfId="4" applyNumberFormat="1"/>
    <xf numFmtId="9" fontId="9" fillId="6" borderId="0" xfId="4" applyNumberFormat="1"/>
    <xf numFmtId="0" fontId="4" fillId="2" borderId="8" xfId="1" applyBorder="1"/>
    <xf numFmtId="0" fontId="10" fillId="0" borderId="0" xfId="0" applyFont="1"/>
    <xf numFmtId="0" fontId="11" fillId="3" borderId="3" xfId="2" applyFont="1"/>
    <xf numFmtId="0" fontId="12" fillId="2" borderId="2" xfId="1" applyFont="1"/>
    <xf numFmtId="16" fontId="10" fillId="0" borderId="0" xfId="0" applyNumberFormat="1" applyFont="1"/>
    <xf numFmtId="164" fontId="10" fillId="0" borderId="0" xfId="0" applyNumberFormat="1" applyFont="1"/>
    <xf numFmtId="14" fontId="10" fillId="0" borderId="0" xfId="0" applyNumberFormat="1" applyFont="1"/>
    <xf numFmtId="0" fontId="13" fillId="5" borderId="0" xfId="5" applyFont="1" applyFill="1"/>
    <xf numFmtId="0" fontId="14" fillId="0" borderId="0" xfId="0" applyFont="1"/>
    <xf numFmtId="16" fontId="14" fillId="0" borderId="0" xfId="0" applyNumberFormat="1" applyFont="1"/>
    <xf numFmtId="164" fontId="14" fillId="0" borderId="0" xfId="0" applyNumberFormat="1" applyFont="1"/>
    <xf numFmtId="14" fontId="14" fillId="0" borderId="0" xfId="0" applyNumberFormat="1" applyFont="1"/>
  </cellXfs>
  <cellStyles count="6">
    <cellStyle name="20% - Accent3" xfId="4" builtinId="38"/>
    <cellStyle name="Accent2" xfId="5" builtinId="33"/>
    <cellStyle name="Accent5" xfId="3" builtinId="45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5D6-F4B2-4CDC-B500-BAA7E0DE5BEF}">
  <dimension ref="A1:AD48"/>
  <sheetViews>
    <sheetView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5" sqref="Q15"/>
    </sheetView>
  </sheetViews>
  <sheetFormatPr defaultRowHeight="14.35" x14ac:dyDescent="0.5"/>
  <cols>
    <col min="1" max="1" width="48.9375" style="1" bestFit="1" customWidth="1"/>
    <col min="2" max="2" width="8.234375" bestFit="1" customWidth="1"/>
    <col min="3" max="3" width="13.87890625" bestFit="1" customWidth="1"/>
    <col min="4" max="4" width="9.29296875" bestFit="1" customWidth="1"/>
    <col min="5" max="5" width="12.8203125" bestFit="1" customWidth="1"/>
    <col min="6" max="6" width="11.76171875" bestFit="1" customWidth="1"/>
    <col min="7" max="7" width="15.87890625" bestFit="1" customWidth="1"/>
    <col min="8" max="8" width="9.3515625" bestFit="1" customWidth="1"/>
    <col min="9" max="9" width="11.8203125" bestFit="1" customWidth="1"/>
    <col min="10" max="11" width="11.1171875" bestFit="1" customWidth="1"/>
    <col min="12" max="12" width="11.234375" bestFit="1" customWidth="1"/>
    <col min="13" max="13" width="8.1171875" bestFit="1" customWidth="1"/>
    <col min="14" max="14" width="12.8203125" bestFit="1" customWidth="1"/>
    <col min="15" max="15" width="9.9375" bestFit="1" customWidth="1"/>
    <col min="16" max="16" width="12.1171875" bestFit="1" customWidth="1"/>
    <col min="17" max="17" width="9.41015625" bestFit="1" customWidth="1"/>
    <col min="19" max="19" width="9.76171875" bestFit="1" customWidth="1"/>
    <col min="20" max="20" width="7.703125" bestFit="1" customWidth="1"/>
    <col min="21" max="21" width="9.52734375" customWidth="1"/>
    <col min="22" max="22" width="8.703125" bestFit="1" customWidth="1"/>
    <col min="23" max="23" width="9.76171875" bestFit="1" customWidth="1"/>
    <col min="24" max="24" width="13.29296875" bestFit="1" customWidth="1"/>
    <col min="25" max="25" width="26" bestFit="1" customWidth="1"/>
    <col min="26" max="26" width="9" bestFit="1" customWidth="1"/>
    <col min="27" max="27" width="21.64453125" bestFit="1" customWidth="1"/>
    <col min="28" max="28" width="26.52734375" bestFit="1" customWidth="1"/>
    <col min="29" max="29" width="12.1171875" bestFit="1" customWidth="1"/>
    <col min="30" max="30" width="13.3515625" bestFit="1" customWidth="1"/>
  </cols>
  <sheetData>
    <row r="1" spans="1:30" s="13" customFormat="1" ht="14.7" thickBot="1" x14ac:dyDescent="0.55000000000000004">
      <c r="A1" s="12" t="s">
        <v>0</v>
      </c>
      <c r="B1" s="17" t="s">
        <v>152</v>
      </c>
      <c r="C1" s="17" t="s">
        <v>153</v>
      </c>
      <c r="D1" s="17" t="s">
        <v>154</v>
      </c>
      <c r="E1" s="17" t="s">
        <v>6</v>
      </c>
      <c r="F1" s="17" t="s">
        <v>155</v>
      </c>
      <c r="G1" s="17" t="s">
        <v>1</v>
      </c>
      <c r="H1" s="17" t="s">
        <v>156</v>
      </c>
      <c r="I1" s="17" t="s">
        <v>157</v>
      </c>
      <c r="J1" s="17" t="s">
        <v>158</v>
      </c>
      <c r="K1" s="17" t="s">
        <v>159</v>
      </c>
      <c r="L1" s="17" t="s">
        <v>160</v>
      </c>
      <c r="M1" s="17" t="s">
        <v>2</v>
      </c>
      <c r="N1" s="17" t="s">
        <v>7</v>
      </c>
      <c r="O1" s="17" t="s">
        <v>8</v>
      </c>
      <c r="P1" s="17" t="s">
        <v>9</v>
      </c>
      <c r="Q1" s="17" t="s">
        <v>161</v>
      </c>
      <c r="R1" s="17" t="s">
        <v>3</v>
      </c>
      <c r="S1" s="17" t="s">
        <v>162</v>
      </c>
      <c r="T1" s="17" t="s">
        <v>10</v>
      </c>
      <c r="U1" s="17" t="s">
        <v>163</v>
      </c>
      <c r="V1" s="17" t="s">
        <v>164</v>
      </c>
      <c r="W1" s="17" t="s">
        <v>165</v>
      </c>
      <c r="X1" s="17" t="s">
        <v>11</v>
      </c>
      <c r="Y1" s="17" t="s">
        <v>12</v>
      </c>
      <c r="Z1" s="17" t="s">
        <v>4</v>
      </c>
      <c r="AA1" s="17" t="s">
        <v>5</v>
      </c>
      <c r="AB1" s="17" t="s">
        <v>197</v>
      </c>
      <c r="AC1" s="13" t="s">
        <v>196</v>
      </c>
      <c r="AD1" s="13" t="s">
        <v>195</v>
      </c>
    </row>
    <row r="2" spans="1:30" ht="148" customHeight="1" thickBot="1" x14ac:dyDescent="0.55000000000000004">
      <c r="A2" s="1" t="s">
        <v>151</v>
      </c>
      <c r="B2" s="14" t="s">
        <v>166</v>
      </c>
      <c r="C2" s="14" t="s">
        <v>167</v>
      </c>
      <c r="D2" s="14" t="s">
        <v>168</v>
      </c>
      <c r="E2" s="14" t="s">
        <v>169</v>
      </c>
      <c r="F2" s="14" t="s">
        <v>170</v>
      </c>
      <c r="G2" s="14" t="s">
        <v>171</v>
      </c>
      <c r="H2" s="14" t="s">
        <v>172</v>
      </c>
      <c r="I2" s="14" t="s">
        <v>173</v>
      </c>
      <c r="J2" s="14" t="s">
        <v>174</v>
      </c>
      <c r="K2" s="14" t="s">
        <v>175</v>
      </c>
      <c r="L2" s="14" t="s">
        <v>176</v>
      </c>
      <c r="M2" s="14" t="s">
        <v>177</v>
      </c>
      <c r="N2" s="14" t="s">
        <v>178</v>
      </c>
      <c r="O2" s="14" t="s">
        <v>179</v>
      </c>
      <c r="P2" s="14" t="s">
        <v>180</v>
      </c>
      <c r="Q2" s="14" t="s">
        <v>181</v>
      </c>
      <c r="R2" s="14" t="s">
        <v>182</v>
      </c>
      <c r="S2" s="14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18" t="s">
        <v>190</v>
      </c>
      <c r="AA2" s="18" t="s">
        <v>188</v>
      </c>
      <c r="AB2" s="18" t="s">
        <v>13</v>
      </c>
      <c r="AC2" s="18" t="s">
        <v>191</v>
      </c>
    </row>
    <row r="3" spans="1:30" s="16" customFormat="1" ht="3.35" customHeight="1" x14ac:dyDescent="0.5">
      <c r="A3" s="15"/>
    </row>
    <row r="4" spans="1:30" x14ac:dyDescent="0.5">
      <c r="A4" s="2" t="s">
        <v>192</v>
      </c>
      <c r="AC4" t="s">
        <v>193</v>
      </c>
    </row>
    <row r="5" spans="1:30" x14ac:dyDescent="0.5">
      <c r="A5" s="1" t="s">
        <v>194</v>
      </c>
      <c r="AC5" t="s">
        <v>193</v>
      </c>
    </row>
    <row r="6" spans="1:30" x14ac:dyDescent="0.5">
      <c r="A6" s="1" t="s">
        <v>198</v>
      </c>
      <c r="AC6" t="s">
        <v>193</v>
      </c>
    </row>
    <row r="7" spans="1:30" x14ac:dyDescent="0.5">
      <c r="A7" s="1" t="s">
        <v>199</v>
      </c>
      <c r="AC7" t="s">
        <v>193</v>
      </c>
    </row>
    <row r="10" spans="1:30" x14ac:dyDescent="0.5">
      <c r="A10" s="2" t="s">
        <v>13</v>
      </c>
      <c r="T10" t="s">
        <v>10</v>
      </c>
    </row>
    <row r="11" spans="1:30" x14ac:dyDescent="0.5">
      <c r="A11" s="1" t="s">
        <v>31</v>
      </c>
      <c r="T11" t="s">
        <v>10</v>
      </c>
    </row>
    <row r="12" spans="1:30" ht="43" x14ac:dyDescent="0.5">
      <c r="A12" s="1" t="s">
        <v>14</v>
      </c>
      <c r="T12" t="s">
        <v>10</v>
      </c>
    </row>
    <row r="14" spans="1:30" ht="28.7" x14ac:dyDescent="0.5">
      <c r="A14" s="1" t="s">
        <v>16</v>
      </c>
      <c r="T14" t="s">
        <v>10</v>
      </c>
    </row>
    <row r="15" spans="1:30" ht="28.7" x14ac:dyDescent="0.5">
      <c r="A15" s="1" t="s">
        <v>17</v>
      </c>
      <c r="T15" t="s">
        <v>10</v>
      </c>
    </row>
    <row r="16" spans="1:30" ht="43" x14ac:dyDescent="0.5">
      <c r="A16" s="1" t="s">
        <v>18</v>
      </c>
      <c r="T16" t="s">
        <v>10</v>
      </c>
    </row>
    <row r="17" spans="1:24" x14ac:dyDescent="0.5">
      <c r="A17" s="1" t="s">
        <v>19</v>
      </c>
      <c r="T17" t="s">
        <v>10</v>
      </c>
    </row>
    <row r="18" spans="1:24" ht="28.7" x14ac:dyDescent="0.5">
      <c r="A18" s="1" t="s">
        <v>32</v>
      </c>
      <c r="T18" t="s">
        <v>10</v>
      </c>
    </row>
    <row r="19" spans="1:24" ht="28.7" x14ac:dyDescent="0.5">
      <c r="A19" s="1" t="s">
        <v>33</v>
      </c>
      <c r="T19" t="s">
        <v>10</v>
      </c>
    </row>
    <row r="20" spans="1:24" x14ac:dyDescent="0.5">
      <c r="A20" s="1" t="s">
        <v>34</v>
      </c>
      <c r="T20" t="s">
        <v>10</v>
      </c>
    </row>
    <row r="21" spans="1:24" ht="28.7" x14ac:dyDescent="0.5">
      <c r="A21" s="1" t="s">
        <v>41</v>
      </c>
      <c r="X21" t="s">
        <v>11</v>
      </c>
    </row>
    <row r="26" spans="1:24" x14ac:dyDescent="0.5">
      <c r="A26" s="2" t="s">
        <v>35</v>
      </c>
    </row>
    <row r="27" spans="1:24" ht="28.7" x14ac:dyDescent="0.5">
      <c r="A27" s="1" t="s">
        <v>15</v>
      </c>
      <c r="T27" t="s">
        <v>10</v>
      </c>
    </row>
    <row r="32" spans="1:24" x14ac:dyDescent="0.5">
      <c r="A32" s="2" t="s">
        <v>40</v>
      </c>
    </row>
    <row r="48" spans="1:1" x14ac:dyDescent="0.5">
      <c r="A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26A6-8823-4B20-8D7A-034065D99A1F}">
  <dimension ref="A1:K8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defaultRowHeight="14.35" x14ac:dyDescent="0.5"/>
  <cols>
    <col min="1" max="1" width="19.87890625" bestFit="1" customWidth="1"/>
    <col min="2" max="2" width="11.46875" customWidth="1"/>
    <col min="3" max="3" width="15.8203125" bestFit="1" customWidth="1"/>
    <col min="4" max="4" width="15" bestFit="1" customWidth="1"/>
    <col min="5" max="5" width="17.17578125" bestFit="1" customWidth="1"/>
    <col min="6" max="6" width="14.41015625" bestFit="1" customWidth="1"/>
    <col min="7" max="7" width="11.17578125" bestFit="1" customWidth="1"/>
    <col min="8" max="8" width="10.703125" customWidth="1"/>
    <col min="9" max="9" width="9.5859375" customWidth="1"/>
    <col min="10" max="10" width="13.17578125" bestFit="1" customWidth="1"/>
  </cols>
  <sheetData>
    <row r="1" spans="1:11" ht="14.7" thickBot="1" x14ac:dyDescent="0.55000000000000004">
      <c r="A1" t="s">
        <v>42</v>
      </c>
    </row>
    <row r="2" spans="1:11" ht="15" thickTop="1" thickBot="1" x14ac:dyDescent="0.55000000000000004">
      <c r="A2" s="7" t="s">
        <v>43</v>
      </c>
      <c r="B2" s="7" t="s">
        <v>44</v>
      </c>
      <c r="C2" s="7" t="s">
        <v>45</v>
      </c>
      <c r="D2" s="7" t="s">
        <v>98</v>
      </c>
      <c r="E2" s="7" t="s">
        <v>89</v>
      </c>
      <c r="F2" s="7" t="s">
        <v>100</v>
      </c>
      <c r="G2" s="7" t="s">
        <v>99</v>
      </c>
      <c r="H2" s="7" t="s">
        <v>96</v>
      </c>
      <c r="I2" s="7" t="s">
        <v>136</v>
      </c>
      <c r="J2" s="7" t="s">
        <v>290</v>
      </c>
    </row>
    <row r="3" spans="1:11" ht="14.7" thickTop="1" x14ac:dyDescent="0.5">
      <c r="A3" s="8" t="s">
        <v>61</v>
      </c>
      <c r="B3" s="8" t="s">
        <v>77</v>
      </c>
      <c r="C3" s="8"/>
      <c r="D3" s="8" t="s">
        <v>92</v>
      </c>
      <c r="E3" s="8" t="s">
        <v>266</v>
      </c>
      <c r="F3" s="8" t="s">
        <v>101</v>
      </c>
      <c r="G3" s="8" t="s">
        <v>93</v>
      </c>
      <c r="H3" s="8" t="s">
        <v>97</v>
      </c>
      <c r="I3" s="8" t="s">
        <v>137</v>
      </c>
      <c r="J3" s="8" t="s">
        <v>293</v>
      </c>
    </row>
    <row r="4" spans="1:11" x14ac:dyDescent="0.5">
      <c r="A4" s="3">
        <v>44677</v>
      </c>
      <c r="B4" t="s">
        <v>51</v>
      </c>
      <c r="C4" t="s">
        <v>37</v>
      </c>
      <c r="H4" t="s">
        <v>291</v>
      </c>
    </row>
    <row r="5" spans="1:11" x14ac:dyDescent="0.5">
      <c r="A5" s="3">
        <v>44677</v>
      </c>
      <c r="B5" t="s">
        <v>52</v>
      </c>
      <c r="C5" t="s">
        <v>38</v>
      </c>
    </row>
    <row r="6" spans="1:11" x14ac:dyDescent="0.5">
      <c r="A6" s="3">
        <v>44677</v>
      </c>
      <c r="B6" t="s">
        <v>53</v>
      </c>
      <c r="C6" t="s">
        <v>39</v>
      </c>
    </row>
    <row r="7" spans="1:11" x14ac:dyDescent="0.5">
      <c r="A7" s="8" t="s">
        <v>78</v>
      </c>
      <c r="B7" s="8" t="s">
        <v>63</v>
      </c>
      <c r="C7" s="8"/>
      <c r="D7" s="8" t="s">
        <v>95</v>
      </c>
      <c r="E7" s="8" t="s">
        <v>251</v>
      </c>
      <c r="F7" s="8" t="s">
        <v>102</v>
      </c>
      <c r="G7" s="8" t="s">
        <v>93</v>
      </c>
      <c r="H7" s="8" t="s">
        <v>97</v>
      </c>
      <c r="I7" s="8" t="s">
        <v>137</v>
      </c>
      <c r="J7" s="8" t="s">
        <v>294</v>
      </c>
    </row>
    <row r="8" spans="1:11" x14ac:dyDescent="0.5">
      <c r="A8" s="3">
        <v>44692</v>
      </c>
      <c r="B8" t="s">
        <v>64</v>
      </c>
      <c r="C8" t="s">
        <v>70</v>
      </c>
    </row>
    <row r="9" spans="1:11" x14ac:dyDescent="0.5">
      <c r="A9" s="3">
        <v>44692</v>
      </c>
      <c r="B9" t="s">
        <v>65</v>
      </c>
      <c r="C9" t="s">
        <v>71</v>
      </c>
    </row>
    <row r="10" spans="1:11" x14ac:dyDescent="0.5">
      <c r="A10" s="3">
        <v>44692</v>
      </c>
      <c r="B10" t="s">
        <v>66</v>
      </c>
      <c r="C10" t="s">
        <v>72</v>
      </c>
    </row>
    <row r="11" spans="1:11" x14ac:dyDescent="0.5">
      <c r="A11" s="3">
        <v>44692</v>
      </c>
      <c r="B11" t="s">
        <v>67</v>
      </c>
      <c r="C11" t="s">
        <v>73</v>
      </c>
    </row>
    <row r="12" spans="1:11" x14ac:dyDescent="0.5">
      <c r="A12" s="3">
        <v>44692</v>
      </c>
      <c r="B12" t="s">
        <v>68</v>
      </c>
      <c r="C12" t="s">
        <v>74</v>
      </c>
    </row>
    <row r="13" spans="1:11" x14ac:dyDescent="0.5">
      <c r="A13" s="3">
        <v>44692</v>
      </c>
      <c r="B13" t="s">
        <v>69</v>
      </c>
      <c r="C13" t="s">
        <v>75</v>
      </c>
    </row>
    <row r="14" spans="1:11" x14ac:dyDescent="0.5">
      <c r="A14" s="8" t="s">
        <v>76</v>
      </c>
      <c r="B14" s="8" t="s">
        <v>77</v>
      </c>
      <c r="C14" s="8"/>
      <c r="D14" s="8" t="s">
        <v>103</v>
      </c>
      <c r="E14" s="8" t="s">
        <v>267</v>
      </c>
      <c r="F14" s="8" t="s">
        <v>268</v>
      </c>
      <c r="G14" s="8" t="s">
        <v>93</v>
      </c>
      <c r="H14" s="8" t="s">
        <v>97</v>
      </c>
      <c r="I14" s="8" t="s">
        <v>138</v>
      </c>
      <c r="J14" s="8" t="s">
        <v>295</v>
      </c>
      <c r="K14" s="24" t="s">
        <v>289</v>
      </c>
    </row>
    <row r="15" spans="1:11" x14ac:dyDescent="0.5">
      <c r="A15" s="3">
        <v>44699</v>
      </c>
      <c r="B15" t="s">
        <v>51</v>
      </c>
      <c r="C15" t="s">
        <v>79</v>
      </c>
    </row>
    <row r="16" spans="1:11" x14ac:dyDescent="0.5">
      <c r="A16" s="3">
        <v>44699</v>
      </c>
      <c r="B16" t="s">
        <v>52</v>
      </c>
      <c r="C16" t="s">
        <v>80</v>
      </c>
    </row>
    <row r="17" spans="1:10" x14ac:dyDescent="0.5">
      <c r="A17" s="3">
        <v>44699</v>
      </c>
      <c r="B17" t="s">
        <v>53</v>
      </c>
      <c r="C17" t="s">
        <v>81</v>
      </c>
    </row>
    <row r="18" spans="1:10" x14ac:dyDescent="0.5">
      <c r="A18" s="3">
        <v>44699</v>
      </c>
      <c r="B18" t="s">
        <v>50</v>
      </c>
      <c r="C18" t="s">
        <v>82</v>
      </c>
    </row>
    <row r="19" spans="1:10" x14ac:dyDescent="0.5">
      <c r="A19" s="8" t="s">
        <v>78</v>
      </c>
      <c r="B19" s="8" t="s">
        <v>63</v>
      </c>
      <c r="C19" s="8"/>
      <c r="D19" s="8" t="s">
        <v>103</v>
      </c>
      <c r="E19" s="8" t="s">
        <v>267</v>
      </c>
      <c r="F19" s="8" t="s">
        <v>268</v>
      </c>
      <c r="G19" s="8" t="s">
        <v>93</v>
      </c>
      <c r="H19" s="8" t="s">
        <v>97</v>
      </c>
      <c r="I19" s="8" t="s">
        <v>138</v>
      </c>
      <c r="J19" s="8" t="s">
        <v>295</v>
      </c>
    </row>
    <row r="20" spans="1:10" x14ac:dyDescent="0.5">
      <c r="A20" s="3">
        <v>44699</v>
      </c>
      <c r="B20" t="s">
        <v>50</v>
      </c>
      <c r="C20" t="s">
        <v>83</v>
      </c>
    </row>
    <row r="21" spans="1:10" x14ac:dyDescent="0.5">
      <c r="A21" s="3">
        <v>44699</v>
      </c>
      <c r="B21" t="s">
        <v>51</v>
      </c>
      <c r="C21" t="s">
        <v>84</v>
      </c>
    </row>
    <row r="22" spans="1:10" x14ac:dyDescent="0.5">
      <c r="A22" s="3">
        <v>44699</v>
      </c>
      <c r="B22" t="s">
        <v>52</v>
      </c>
      <c r="C22" t="s">
        <v>85</v>
      </c>
    </row>
    <row r="23" spans="1:10" x14ac:dyDescent="0.5">
      <c r="A23" s="3">
        <v>44699</v>
      </c>
      <c r="B23" t="s">
        <v>53</v>
      </c>
      <c r="C23" t="s">
        <v>86</v>
      </c>
    </row>
    <row r="24" spans="1:10" x14ac:dyDescent="0.5">
      <c r="A24" s="8" t="s">
        <v>78</v>
      </c>
      <c r="B24" s="8" t="s">
        <v>63</v>
      </c>
      <c r="C24" s="8"/>
      <c r="D24" s="8" t="s">
        <v>104</v>
      </c>
      <c r="E24" s="8" t="s">
        <v>252</v>
      </c>
      <c r="F24" s="8" t="s">
        <v>105</v>
      </c>
      <c r="G24" s="8" t="s">
        <v>106</v>
      </c>
      <c r="H24" s="8" t="s">
        <v>107</v>
      </c>
      <c r="I24" s="8" t="s">
        <v>138</v>
      </c>
      <c r="J24" s="8" t="s">
        <v>296</v>
      </c>
    </row>
    <row r="25" spans="1:10" x14ac:dyDescent="0.5">
      <c r="A25" s="3">
        <v>44704</v>
      </c>
      <c r="B25" t="s">
        <v>49</v>
      </c>
      <c r="C25" t="s">
        <v>55</v>
      </c>
      <c r="H25" t="s">
        <v>274</v>
      </c>
    </row>
    <row r="26" spans="1:10" x14ac:dyDescent="0.5">
      <c r="A26" s="3">
        <v>44704</v>
      </c>
      <c r="B26" t="s">
        <v>50</v>
      </c>
      <c r="C26" t="s">
        <v>56</v>
      </c>
    </row>
    <row r="27" spans="1:10" x14ac:dyDescent="0.5">
      <c r="A27" s="3">
        <v>44704</v>
      </c>
      <c r="B27" t="s">
        <v>51</v>
      </c>
      <c r="C27" t="s">
        <v>57</v>
      </c>
    </row>
    <row r="28" spans="1:10" x14ac:dyDescent="0.5">
      <c r="A28" s="3">
        <v>44704</v>
      </c>
      <c r="B28" t="s">
        <v>52</v>
      </c>
      <c r="C28" t="s">
        <v>58</v>
      </c>
    </row>
    <row r="29" spans="1:10" x14ac:dyDescent="0.5">
      <c r="A29" s="3">
        <v>44704</v>
      </c>
      <c r="B29" t="s">
        <v>53</v>
      </c>
      <c r="C29" t="s">
        <v>59</v>
      </c>
    </row>
    <row r="30" spans="1:10" x14ac:dyDescent="0.5">
      <c r="A30" s="3">
        <v>44704</v>
      </c>
      <c r="B30" t="s">
        <v>54</v>
      </c>
      <c r="C30" t="s">
        <v>60</v>
      </c>
    </row>
    <row r="31" spans="1:10" x14ac:dyDescent="0.5">
      <c r="A31" s="8" t="s">
        <v>62</v>
      </c>
      <c r="B31" s="8" t="s">
        <v>87</v>
      </c>
      <c r="C31" s="8"/>
      <c r="D31" s="8" t="s">
        <v>92</v>
      </c>
      <c r="E31" s="8" t="s">
        <v>253</v>
      </c>
      <c r="F31" s="8" t="s">
        <v>341</v>
      </c>
      <c r="G31" s="8" t="s">
        <v>94</v>
      </c>
      <c r="H31" s="8" t="s">
        <v>108</v>
      </c>
      <c r="I31" s="8" t="s">
        <v>139</v>
      </c>
      <c r="J31" s="8" t="s">
        <v>297</v>
      </c>
    </row>
    <row r="32" spans="1:10" x14ac:dyDescent="0.5">
      <c r="A32" s="3">
        <v>44706</v>
      </c>
      <c r="B32" t="s">
        <v>131</v>
      </c>
      <c r="C32" t="s">
        <v>46</v>
      </c>
    </row>
    <row r="33" spans="1:10" x14ac:dyDescent="0.5">
      <c r="A33" s="3">
        <v>44706</v>
      </c>
      <c r="B33" t="s">
        <v>283</v>
      </c>
      <c r="C33" t="s">
        <v>46</v>
      </c>
      <c r="I33" t="s">
        <v>138</v>
      </c>
    </row>
    <row r="34" spans="1:10" x14ac:dyDescent="0.5">
      <c r="A34" s="3">
        <v>44706</v>
      </c>
      <c r="B34" t="s">
        <v>132</v>
      </c>
      <c r="C34" t="s">
        <v>47</v>
      </c>
    </row>
    <row r="35" spans="1:10" x14ac:dyDescent="0.5">
      <c r="A35" s="3">
        <v>44706</v>
      </c>
      <c r="B35" t="s">
        <v>133</v>
      </c>
      <c r="C35" t="s">
        <v>48</v>
      </c>
    </row>
    <row r="36" spans="1:10" x14ac:dyDescent="0.5">
      <c r="A36" s="8" t="s">
        <v>78</v>
      </c>
      <c r="B36" s="8" t="s">
        <v>142</v>
      </c>
      <c r="C36" s="8"/>
      <c r="D36" s="8" t="s">
        <v>92</v>
      </c>
      <c r="E36" s="8" t="s">
        <v>254</v>
      </c>
      <c r="F36" s="8" t="s">
        <v>143</v>
      </c>
      <c r="G36" s="8" t="s">
        <v>94</v>
      </c>
      <c r="H36" s="8" t="s">
        <v>108</v>
      </c>
      <c r="I36" s="8" t="s">
        <v>144</v>
      </c>
      <c r="J36" s="8" t="s">
        <v>298</v>
      </c>
    </row>
    <row r="37" spans="1:10" x14ac:dyDescent="0.5">
      <c r="A37" s="11">
        <v>44712</v>
      </c>
      <c r="B37" t="s">
        <v>49</v>
      </c>
      <c r="C37" t="s">
        <v>145</v>
      </c>
    </row>
    <row r="38" spans="1:10" x14ac:dyDescent="0.5">
      <c r="A38" s="11">
        <v>44712</v>
      </c>
      <c r="B38" t="s">
        <v>50</v>
      </c>
      <c r="C38" t="s">
        <v>146</v>
      </c>
    </row>
    <row r="39" spans="1:10" x14ac:dyDescent="0.5">
      <c r="A39" s="11">
        <v>44712</v>
      </c>
      <c r="B39" t="s">
        <v>51</v>
      </c>
      <c r="C39" t="s">
        <v>147</v>
      </c>
    </row>
    <row r="40" spans="1:10" x14ac:dyDescent="0.5">
      <c r="A40" s="11">
        <v>44712</v>
      </c>
      <c r="B40" t="s">
        <v>52</v>
      </c>
      <c r="C40" t="s">
        <v>148</v>
      </c>
    </row>
    <row r="41" spans="1:10" x14ac:dyDescent="0.5">
      <c r="A41" s="11">
        <v>44712</v>
      </c>
      <c r="B41" t="s">
        <v>53</v>
      </c>
      <c r="C41" t="s">
        <v>149</v>
      </c>
    </row>
    <row r="42" spans="1:10" x14ac:dyDescent="0.5">
      <c r="A42" s="11">
        <v>44712</v>
      </c>
      <c r="B42" t="s">
        <v>54</v>
      </c>
      <c r="C42" t="s">
        <v>150</v>
      </c>
    </row>
    <row r="43" spans="1:10" x14ac:dyDescent="0.5">
      <c r="A43" s="8" t="s">
        <v>78</v>
      </c>
      <c r="B43" s="8" t="s">
        <v>142</v>
      </c>
      <c r="C43" s="8"/>
      <c r="D43" s="8" t="s">
        <v>264</v>
      </c>
      <c r="E43" s="8" t="s">
        <v>265</v>
      </c>
      <c r="F43" s="8" t="s">
        <v>143</v>
      </c>
      <c r="G43" s="8" t="s">
        <v>94</v>
      </c>
      <c r="H43" s="8" t="s">
        <v>108</v>
      </c>
      <c r="I43" s="8" t="s">
        <v>144</v>
      </c>
      <c r="J43" s="8"/>
    </row>
    <row r="44" spans="1:10" x14ac:dyDescent="0.5">
      <c r="A44" s="11">
        <v>44720</v>
      </c>
      <c r="B44" t="s">
        <v>52</v>
      </c>
    </row>
    <row r="45" spans="1:10" x14ac:dyDescent="0.5">
      <c r="A45" s="11">
        <v>44720</v>
      </c>
      <c r="B45" t="s">
        <v>53</v>
      </c>
    </row>
    <row r="46" spans="1:10" x14ac:dyDescent="0.5">
      <c r="A46" s="11">
        <v>44720</v>
      </c>
      <c r="B46" t="s">
        <v>54</v>
      </c>
    </row>
    <row r="47" spans="1:10" x14ac:dyDescent="0.5">
      <c r="A47" s="11">
        <v>44720</v>
      </c>
    </row>
    <row r="48" spans="1:10" x14ac:dyDescent="0.5">
      <c r="A48" s="11">
        <v>44720</v>
      </c>
    </row>
    <row r="49" spans="1:9" x14ac:dyDescent="0.5">
      <c r="A49" s="11">
        <v>44720</v>
      </c>
    </row>
    <row r="50" spans="1:9" x14ac:dyDescent="0.5">
      <c r="A50" s="8" t="s">
        <v>88</v>
      </c>
      <c r="B50" s="8"/>
      <c r="C50" s="8"/>
      <c r="D50" s="8"/>
      <c r="E50" s="8"/>
      <c r="F50" s="8"/>
      <c r="G50" s="8"/>
      <c r="H50" s="8"/>
    </row>
    <row r="51" spans="1:9" x14ac:dyDescent="0.5">
      <c r="A51" s="8" t="s">
        <v>109</v>
      </c>
      <c r="B51" s="8" t="s">
        <v>113</v>
      </c>
      <c r="C51" s="8"/>
      <c r="D51" s="8" t="s">
        <v>200</v>
      </c>
      <c r="E51" s="8"/>
      <c r="F51" s="8"/>
      <c r="G51" s="8" t="s">
        <v>135</v>
      </c>
      <c r="H51" s="8" t="s">
        <v>210</v>
      </c>
      <c r="I51" s="8"/>
    </row>
    <row r="52" spans="1:9" x14ac:dyDescent="0.5">
      <c r="A52" s="3">
        <v>44330</v>
      </c>
      <c r="B52" t="s">
        <v>201</v>
      </c>
      <c r="C52" t="s">
        <v>110</v>
      </c>
      <c r="E52" t="s">
        <v>244</v>
      </c>
      <c r="F52" t="s">
        <v>202</v>
      </c>
      <c r="H52" t="s">
        <v>203</v>
      </c>
    </row>
    <row r="53" spans="1:9" x14ac:dyDescent="0.5">
      <c r="A53" s="3">
        <v>44330</v>
      </c>
      <c r="B53" t="s">
        <v>201</v>
      </c>
      <c r="C53" t="s">
        <v>111</v>
      </c>
      <c r="E53" t="s">
        <v>245</v>
      </c>
      <c r="F53" t="s">
        <v>204</v>
      </c>
      <c r="H53" t="s">
        <v>205</v>
      </c>
    </row>
    <row r="54" spans="1:9" x14ac:dyDescent="0.5">
      <c r="A54" s="3">
        <v>44330</v>
      </c>
      <c r="B54" t="s">
        <v>201</v>
      </c>
      <c r="C54" t="s">
        <v>112</v>
      </c>
      <c r="E54" t="s">
        <v>246</v>
      </c>
      <c r="F54" t="s">
        <v>206</v>
      </c>
      <c r="H54" t="s">
        <v>207</v>
      </c>
    </row>
    <row r="55" spans="1:9" x14ac:dyDescent="0.5">
      <c r="A55" s="8" t="s">
        <v>109</v>
      </c>
      <c r="B55" s="8" t="s">
        <v>113</v>
      </c>
      <c r="C55" s="8"/>
      <c r="D55" s="8" t="s">
        <v>91</v>
      </c>
      <c r="E55" s="8"/>
      <c r="F55" s="8"/>
      <c r="G55" s="8" t="s">
        <v>135</v>
      </c>
      <c r="H55" s="8" t="s">
        <v>211</v>
      </c>
      <c r="I55" t="s">
        <v>212</v>
      </c>
    </row>
    <row r="56" spans="1:9" x14ac:dyDescent="0.5">
      <c r="A56" s="3">
        <v>44335</v>
      </c>
      <c r="B56" t="s">
        <v>201</v>
      </c>
      <c r="C56" t="s">
        <v>114</v>
      </c>
      <c r="E56" t="s">
        <v>247</v>
      </c>
      <c r="F56" t="s">
        <v>220</v>
      </c>
    </row>
    <row r="57" spans="1:9" x14ac:dyDescent="0.5">
      <c r="A57" s="3">
        <v>44335</v>
      </c>
      <c r="B57" t="s">
        <v>201</v>
      </c>
      <c r="C57" t="s">
        <v>115</v>
      </c>
      <c r="E57" t="s">
        <v>247</v>
      </c>
      <c r="F57" t="s">
        <v>220</v>
      </c>
    </row>
    <row r="58" spans="1:9" x14ac:dyDescent="0.5">
      <c r="A58" s="3">
        <v>44335</v>
      </c>
      <c r="B58" t="s">
        <v>201</v>
      </c>
      <c r="C58" t="s">
        <v>116</v>
      </c>
      <c r="E58" t="s">
        <v>248</v>
      </c>
      <c r="F58" t="s">
        <v>213</v>
      </c>
    </row>
    <row r="59" spans="1:9" x14ac:dyDescent="0.5">
      <c r="A59" s="3">
        <v>44335</v>
      </c>
      <c r="B59" t="s">
        <v>201</v>
      </c>
      <c r="C59" t="s">
        <v>117</v>
      </c>
      <c r="E59" t="s">
        <v>249</v>
      </c>
      <c r="F59" t="s">
        <v>214</v>
      </c>
    </row>
    <row r="60" spans="1:9" x14ac:dyDescent="0.5">
      <c r="A60" s="3">
        <v>44335</v>
      </c>
      <c r="B60" t="s">
        <v>201</v>
      </c>
      <c r="C60" t="s">
        <v>118</v>
      </c>
      <c r="E60" t="s">
        <v>250</v>
      </c>
      <c r="F60" t="s">
        <v>215</v>
      </c>
    </row>
    <row r="61" spans="1:9" x14ac:dyDescent="0.5">
      <c r="A61" s="3">
        <v>44335</v>
      </c>
      <c r="B61" t="s">
        <v>201</v>
      </c>
      <c r="C61" t="s">
        <v>119</v>
      </c>
      <c r="E61" t="s">
        <v>90</v>
      </c>
      <c r="F61" t="s">
        <v>216</v>
      </c>
    </row>
    <row r="62" spans="1:9" x14ac:dyDescent="0.5">
      <c r="A62" s="8" t="s">
        <v>109</v>
      </c>
      <c r="B62" s="8" t="s">
        <v>113</v>
      </c>
      <c r="C62" s="8"/>
      <c r="D62" s="8" t="s">
        <v>217</v>
      </c>
      <c r="E62" s="8"/>
      <c r="F62" s="8"/>
      <c r="G62" s="8" t="s">
        <v>134</v>
      </c>
      <c r="H62" s="8" t="s">
        <v>209</v>
      </c>
      <c r="I62" s="10" t="s">
        <v>218</v>
      </c>
    </row>
    <row r="63" spans="1:9" x14ac:dyDescent="0.5">
      <c r="A63" s="3">
        <v>44342</v>
      </c>
      <c r="B63" t="s">
        <v>201</v>
      </c>
      <c r="C63" t="s">
        <v>120</v>
      </c>
      <c r="E63" t="s">
        <v>255</v>
      </c>
      <c r="F63" t="s">
        <v>221</v>
      </c>
      <c r="G63" s="3"/>
    </row>
    <row r="64" spans="1:9" x14ac:dyDescent="0.5">
      <c r="A64" s="3">
        <v>44342</v>
      </c>
      <c r="B64" t="s">
        <v>201</v>
      </c>
      <c r="C64" t="s">
        <v>121</v>
      </c>
      <c r="E64" t="s">
        <v>245</v>
      </c>
      <c r="F64" t="s">
        <v>204</v>
      </c>
      <c r="G64" s="3"/>
    </row>
    <row r="65" spans="1:8" x14ac:dyDescent="0.5">
      <c r="A65" s="3">
        <v>44342</v>
      </c>
      <c r="B65" t="s">
        <v>201</v>
      </c>
      <c r="C65" t="s">
        <v>122</v>
      </c>
      <c r="E65" t="s">
        <v>256</v>
      </c>
      <c r="F65" t="s">
        <v>222</v>
      </c>
      <c r="G65" s="3"/>
    </row>
    <row r="66" spans="1:8" x14ac:dyDescent="0.5">
      <c r="A66" s="3">
        <v>44342</v>
      </c>
      <c r="B66" t="s">
        <v>201</v>
      </c>
      <c r="C66" t="s">
        <v>123</v>
      </c>
      <c r="E66" t="s">
        <v>242</v>
      </c>
      <c r="F66" t="s">
        <v>213</v>
      </c>
      <c r="G66" s="3"/>
    </row>
    <row r="67" spans="1:8" x14ac:dyDescent="0.5">
      <c r="A67" s="3">
        <v>44342</v>
      </c>
      <c r="B67" t="s">
        <v>201</v>
      </c>
      <c r="C67" t="s">
        <v>124</v>
      </c>
      <c r="E67" t="s">
        <v>257</v>
      </c>
      <c r="F67" t="s">
        <v>223</v>
      </c>
      <c r="G67" s="3"/>
    </row>
    <row r="68" spans="1:8" x14ac:dyDescent="0.5">
      <c r="A68" s="3">
        <v>44342</v>
      </c>
      <c r="B68" t="s">
        <v>201</v>
      </c>
      <c r="C68" t="s">
        <v>125</v>
      </c>
      <c r="E68" t="s">
        <v>258</v>
      </c>
      <c r="F68" t="s">
        <v>224</v>
      </c>
      <c r="G68" s="3"/>
    </row>
    <row r="69" spans="1:8" x14ac:dyDescent="0.5">
      <c r="A69" s="3">
        <v>44342</v>
      </c>
      <c r="B69" t="s">
        <v>201</v>
      </c>
      <c r="C69" t="s">
        <v>126</v>
      </c>
      <c r="E69" t="s">
        <v>259</v>
      </c>
      <c r="F69" t="s">
        <v>225</v>
      </c>
      <c r="G69" s="3"/>
    </row>
    <row r="70" spans="1:8" x14ac:dyDescent="0.5">
      <c r="A70" s="8" t="s">
        <v>109</v>
      </c>
      <c r="B70" s="8" t="s">
        <v>113</v>
      </c>
      <c r="C70" s="8"/>
      <c r="D70" s="8" t="s">
        <v>219</v>
      </c>
      <c r="E70" s="8"/>
      <c r="F70" s="8"/>
      <c r="G70" s="8" t="s">
        <v>135</v>
      </c>
      <c r="H70" s="8"/>
    </row>
    <row r="71" spans="1:8" x14ac:dyDescent="0.5">
      <c r="A71" s="3">
        <v>44347</v>
      </c>
      <c r="C71" t="s">
        <v>127</v>
      </c>
      <c r="E71" t="s">
        <v>260</v>
      </c>
      <c r="F71" t="s">
        <v>269</v>
      </c>
      <c r="G71" s="3"/>
    </row>
    <row r="72" spans="1:8" x14ac:dyDescent="0.5">
      <c r="A72" s="3">
        <v>44347</v>
      </c>
      <c r="C72" t="s">
        <v>128</v>
      </c>
      <c r="E72" t="s">
        <v>261</v>
      </c>
      <c r="F72" t="s">
        <v>226</v>
      </c>
      <c r="G72" s="3"/>
    </row>
    <row r="73" spans="1:8" x14ac:dyDescent="0.5">
      <c r="A73" s="3">
        <v>44347</v>
      </c>
      <c r="C73" t="s">
        <v>129</v>
      </c>
      <c r="E73" t="s">
        <v>262</v>
      </c>
      <c r="F73" t="s">
        <v>227</v>
      </c>
      <c r="G73" s="3"/>
    </row>
    <row r="74" spans="1:8" x14ac:dyDescent="0.5">
      <c r="A74" s="3">
        <v>44347</v>
      </c>
      <c r="C74" t="s">
        <v>130</v>
      </c>
      <c r="E74" t="s">
        <v>263</v>
      </c>
      <c r="F74" t="s">
        <v>228</v>
      </c>
      <c r="G74" s="3"/>
    </row>
    <row r="75" spans="1:8" x14ac:dyDescent="0.5">
      <c r="A75" s="8" t="s">
        <v>78</v>
      </c>
      <c r="B75" s="8" t="s">
        <v>77</v>
      </c>
      <c r="C75" s="8"/>
      <c r="D75" s="8" t="s">
        <v>229</v>
      </c>
      <c r="E75" s="8" t="s">
        <v>243</v>
      </c>
      <c r="F75" s="8" t="s">
        <v>230</v>
      </c>
      <c r="G75" s="8" t="s">
        <v>135</v>
      </c>
      <c r="H75" s="8"/>
    </row>
    <row r="76" spans="1:8" x14ac:dyDescent="0.5">
      <c r="A76" s="3">
        <v>44349</v>
      </c>
      <c r="C76" t="s">
        <v>231</v>
      </c>
      <c r="D76" t="s">
        <v>237</v>
      </c>
      <c r="G76" s="3"/>
    </row>
    <row r="77" spans="1:8" x14ac:dyDescent="0.5">
      <c r="A77" s="3">
        <v>44349</v>
      </c>
      <c r="C77" t="s">
        <v>232</v>
      </c>
      <c r="D77" t="s">
        <v>238</v>
      </c>
      <c r="G77" s="3"/>
    </row>
    <row r="78" spans="1:8" x14ac:dyDescent="0.5">
      <c r="A78" s="3">
        <v>44349</v>
      </c>
      <c r="C78" t="s">
        <v>233</v>
      </c>
      <c r="D78" t="s">
        <v>239</v>
      </c>
      <c r="G78" s="3"/>
    </row>
    <row r="79" spans="1:8" x14ac:dyDescent="0.5">
      <c r="A79" s="3">
        <v>44349</v>
      </c>
      <c r="C79" t="s">
        <v>234</v>
      </c>
      <c r="D79" t="s">
        <v>240</v>
      </c>
      <c r="G79" s="3"/>
    </row>
    <row r="80" spans="1:8" x14ac:dyDescent="0.5">
      <c r="A80" s="3">
        <v>44349</v>
      </c>
      <c r="C80" t="s">
        <v>235</v>
      </c>
      <c r="D80" t="s">
        <v>51</v>
      </c>
      <c r="G80" s="3"/>
    </row>
    <row r="81" spans="1:7" x14ac:dyDescent="0.5">
      <c r="A81" s="3">
        <v>44349</v>
      </c>
      <c r="C81" t="s">
        <v>236</v>
      </c>
      <c r="D81" t="s">
        <v>241</v>
      </c>
      <c r="G81" s="3"/>
    </row>
  </sheetData>
  <phoneticPr fontId="6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D57D-C5CD-4428-BD9E-CD508BE94E38}">
  <dimension ref="A1:L58"/>
  <sheetViews>
    <sheetView topLeftCell="A29" zoomScale="40" zoomScaleNormal="40" workbookViewId="0">
      <selection activeCell="D37" sqref="D37"/>
    </sheetView>
  </sheetViews>
  <sheetFormatPr defaultRowHeight="33.35" x14ac:dyDescent="1.1000000000000001"/>
  <cols>
    <col min="1" max="1" width="53" style="25" bestFit="1" customWidth="1"/>
    <col min="2" max="2" width="13" style="25" bestFit="1" customWidth="1"/>
    <col min="3" max="3" width="7.87890625" style="25" bestFit="1" customWidth="1"/>
    <col min="4" max="4" width="34.64453125" style="25" bestFit="1" customWidth="1"/>
    <col min="5" max="5" width="19.76171875" style="25" customWidth="1"/>
    <col min="6" max="6" width="14.9375" style="25" customWidth="1"/>
    <col min="7" max="7" width="32" style="25" bestFit="1" customWidth="1"/>
    <col min="8" max="8" width="25.64453125" style="25" bestFit="1" customWidth="1"/>
    <col min="9" max="9" width="31.703125" style="25" customWidth="1"/>
    <col min="10" max="10" width="20.05859375" style="25" bestFit="1" customWidth="1"/>
    <col min="11" max="11" width="32.1171875" style="25" bestFit="1" customWidth="1"/>
    <col min="12" max="16384" width="8.9375" style="25"/>
  </cols>
  <sheetData>
    <row r="1" spans="1:11" ht="33.700000000000003" thickBot="1" x14ac:dyDescent="1.1499999999999999">
      <c r="A1" s="25" t="s">
        <v>42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</row>
    <row r="2" spans="1:11" ht="34" thickTop="1" thickBot="1" x14ac:dyDescent="1.1499999999999999">
      <c r="A2" s="26" t="s">
        <v>43</v>
      </c>
      <c r="B2" s="26" t="s">
        <v>339</v>
      </c>
      <c r="C2" s="26" t="s">
        <v>299</v>
      </c>
      <c r="D2" s="26" t="s">
        <v>300</v>
      </c>
      <c r="E2" s="26" t="s">
        <v>136</v>
      </c>
      <c r="F2" s="26" t="s">
        <v>309</v>
      </c>
      <c r="G2" s="26" t="s">
        <v>316</v>
      </c>
      <c r="H2" s="26" t="s">
        <v>317</v>
      </c>
      <c r="I2" s="26" t="s">
        <v>318</v>
      </c>
      <c r="J2" s="26" t="s">
        <v>319</v>
      </c>
      <c r="K2" s="26" t="s">
        <v>321</v>
      </c>
    </row>
    <row r="3" spans="1:11" ht="33.700000000000003" thickTop="1" x14ac:dyDescent="1.1000000000000001">
      <c r="A3" s="27"/>
      <c r="B3" s="27"/>
      <c r="C3" s="27"/>
      <c r="D3" s="27"/>
      <c r="E3" s="27" t="s">
        <v>138</v>
      </c>
      <c r="F3" s="27" t="s">
        <v>310</v>
      </c>
      <c r="G3" s="27" t="s">
        <v>312</v>
      </c>
      <c r="H3" s="27"/>
      <c r="I3" s="27" t="s">
        <v>305</v>
      </c>
      <c r="J3" s="27" t="s">
        <v>292</v>
      </c>
      <c r="K3" s="27" t="s">
        <v>295</v>
      </c>
    </row>
    <row r="4" spans="1:11" x14ac:dyDescent="1.1000000000000001">
      <c r="A4" s="28">
        <v>44699</v>
      </c>
      <c r="B4" s="28"/>
      <c r="C4" s="29">
        <v>1.1000000000000001</v>
      </c>
      <c r="D4" s="25" t="s">
        <v>79</v>
      </c>
      <c r="F4" s="29"/>
      <c r="H4" s="25" t="s">
        <v>51</v>
      </c>
    </row>
    <row r="5" spans="1:11" x14ac:dyDescent="1.1000000000000001">
      <c r="A5" s="28">
        <v>44699</v>
      </c>
      <c r="B5" s="28"/>
      <c r="C5" s="29">
        <v>1.1000000000000001</v>
      </c>
      <c r="D5" s="25" t="s">
        <v>80</v>
      </c>
      <c r="F5" s="29"/>
      <c r="H5" s="25" t="s">
        <v>52</v>
      </c>
    </row>
    <row r="6" spans="1:11" x14ac:dyDescent="1.1000000000000001">
      <c r="A6" s="28">
        <v>44699</v>
      </c>
      <c r="B6" s="28"/>
      <c r="C6" s="29">
        <v>1.1000000000000001</v>
      </c>
      <c r="D6" s="25" t="s">
        <v>81</v>
      </c>
      <c r="F6" s="29"/>
      <c r="H6" s="25" t="s">
        <v>53</v>
      </c>
    </row>
    <row r="7" spans="1:11" x14ac:dyDescent="1.1000000000000001">
      <c r="A7" s="28">
        <v>44699</v>
      </c>
      <c r="B7" s="28"/>
      <c r="C7" s="29">
        <v>1.1000000000000001</v>
      </c>
      <c r="D7" s="25" t="s">
        <v>82</v>
      </c>
      <c r="F7" s="29"/>
      <c r="H7" s="25" t="s">
        <v>50</v>
      </c>
    </row>
    <row r="8" spans="1:11" x14ac:dyDescent="1.1000000000000001">
      <c r="A8" s="27"/>
      <c r="B8" s="27"/>
      <c r="C8" s="27"/>
      <c r="D8" s="27"/>
      <c r="E8" s="27" t="s">
        <v>138</v>
      </c>
      <c r="F8" s="27" t="s">
        <v>311</v>
      </c>
      <c r="G8" s="27" t="s">
        <v>312</v>
      </c>
      <c r="H8" s="27"/>
      <c r="I8" s="27" t="s">
        <v>305</v>
      </c>
      <c r="J8" s="27" t="s">
        <v>292</v>
      </c>
      <c r="K8" s="27" t="s">
        <v>295</v>
      </c>
    </row>
    <row r="9" spans="1:11" x14ac:dyDescent="1.1000000000000001">
      <c r="A9" s="28">
        <v>44699</v>
      </c>
      <c r="B9" s="28"/>
      <c r="C9" s="29">
        <v>2.1</v>
      </c>
      <c r="D9" s="25" t="s">
        <v>83</v>
      </c>
      <c r="F9" s="29"/>
      <c r="H9" s="25" t="s">
        <v>50</v>
      </c>
    </row>
    <row r="10" spans="1:11" x14ac:dyDescent="1.1000000000000001">
      <c r="A10" s="28">
        <v>44699</v>
      </c>
      <c r="B10" s="28"/>
      <c r="C10" s="29">
        <v>2.1</v>
      </c>
      <c r="D10" s="25" t="s">
        <v>84</v>
      </c>
      <c r="F10" s="29"/>
      <c r="H10" s="25" t="s">
        <v>51</v>
      </c>
    </row>
    <row r="11" spans="1:11" x14ac:dyDescent="1.1000000000000001">
      <c r="A11" s="28">
        <v>44699</v>
      </c>
      <c r="B11" s="28"/>
      <c r="C11" s="29">
        <v>2.1</v>
      </c>
      <c r="D11" s="25" t="s">
        <v>85</v>
      </c>
      <c r="F11" s="29"/>
      <c r="H11" s="25" t="s">
        <v>52</v>
      </c>
    </row>
    <row r="12" spans="1:11" x14ac:dyDescent="1.1000000000000001">
      <c r="A12" s="28">
        <v>44699</v>
      </c>
      <c r="B12" s="28"/>
      <c r="C12" s="29">
        <v>2.1</v>
      </c>
      <c r="D12" s="25" t="s">
        <v>86</v>
      </c>
      <c r="F12" s="29"/>
      <c r="H12" s="25" t="s">
        <v>53</v>
      </c>
    </row>
    <row r="13" spans="1:11" x14ac:dyDescent="1.1000000000000001">
      <c r="A13" s="27"/>
      <c r="B13" s="27"/>
      <c r="C13" s="27"/>
      <c r="D13" s="27"/>
      <c r="E13" s="27" t="s">
        <v>138</v>
      </c>
      <c r="F13" s="27" t="s">
        <v>311</v>
      </c>
      <c r="G13" s="27" t="s">
        <v>312</v>
      </c>
      <c r="H13" s="27"/>
      <c r="I13" s="27" t="s">
        <v>306</v>
      </c>
      <c r="J13" s="27" t="s">
        <v>304</v>
      </c>
      <c r="K13" s="27" t="s">
        <v>296</v>
      </c>
    </row>
    <row r="14" spans="1:11" x14ac:dyDescent="1.1000000000000001">
      <c r="A14" s="28">
        <v>44704</v>
      </c>
      <c r="B14" s="28"/>
      <c r="C14" s="29">
        <v>3.1</v>
      </c>
      <c r="D14" s="25" t="s">
        <v>55</v>
      </c>
      <c r="F14" s="29"/>
      <c r="H14" s="25" t="s">
        <v>49</v>
      </c>
    </row>
    <row r="15" spans="1:11" x14ac:dyDescent="1.1000000000000001">
      <c r="A15" s="28">
        <v>44704</v>
      </c>
      <c r="B15" s="28"/>
      <c r="C15" s="29">
        <v>3.1</v>
      </c>
      <c r="D15" s="25" t="s">
        <v>56</v>
      </c>
      <c r="F15" s="29"/>
      <c r="H15" s="25" t="s">
        <v>50</v>
      </c>
    </row>
    <row r="16" spans="1:11" x14ac:dyDescent="1.1000000000000001">
      <c r="A16" s="28">
        <v>44704</v>
      </c>
      <c r="B16" s="28"/>
      <c r="C16" s="29">
        <v>3.1</v>
      </c>
      <c r="D16" s="25" t="s">
        <v>57</v>
      </c>
      <c r="F16" s="29"/>
      <c r="H16" s="25" t="s">
        <v>51</v>
      </c>
    </row>
    <row r="17" spans="1:12" x14ac:dyDescent="1.1000000000000001">
      <c r="A17" s="28">
        <v>44704</v>
      </c>
      <c r="B17" s="28"/>
      <c r="C17" s="29">
        <v>3.1</v>
      </c>
      <c r="D17" s="25" t="s">
        <v>58</v>
      </c>
      <c r="F17" s="29"/>
      <c r="H17" s="25" t="s">
        <v>52</v>
      </c>
    </row>
    <row r="18" spans="1:12" x14ac:dyDescent="1.1000000000000001">
      <c r="A18" s="28">
        <v>44704</v>
      </c>
      <c r="B18" s="28"/>
      <c r="C18" s="29">
        <v>3.1</v>
      </c>
      <c r="D18" s="25" t="s">
        <v>59</v>
      </c>
      <c r="F18" s="29"/>
      <c r="H18" s="25" t="s">
        <v>53</v>
      </c>
    </row>
    <row r="19" spans="1:12" x14ac:dyDescent="1.1000000000000001">
      <c r="A19" s="28">
        <v>44704</v>
      </c>
      <c r="B19" s="28"/>
      <c r="C19" s="29">
        <v>3.1</v>
      </c>
      <c r="D19" s="25" t="s">
        <v>60</v>
      </c>
      <c r="F19" s="29"/>
      <c r="H19" s="25" t="s">
        <v>54</v>
      </c>
    </row>
    <row r="20" spans="1:12" x14ac:dyDescent="1.1000000000000001">
      <c r="A20" s="27"/>
      <c r="B20" s="27"/>
      <c r="C20" s="27"/>
      <c r="D20" s="27"/>
      <c r="E20" s="27" t="s">
        <v>139</v>
      </c>
      <c r="F20" s="27" t="s">
        <v>311</v>
      </c>
      <c r="G20" s="27"/>
      <c r="H20" s="27"/>
      <c r="I20" s="27" t="s">
        <v>342</v>
      </c>
      <c r="J20" s="27" t="s">
        <v>303</v>
      </c>
      <c r="K20" s="27" t="s">
        <v>297</v>
      </c>
    </row>
    <row r="21" spans="1:12" x14ac:dyDescent="1.1000000000000001">
      <c r="A21" s="28">
        <v>44706</v>
      </c>
      <c r="B21" s="28"/>
      <c r="C21" s="29">
        <v>4.0999999999999996</v>
      </c>
      <c r="D21" s="25" t="s">
        <v>46</v>
      </c>
      <c r="F21" s="29"/>
      <c r="G21" s="25" t="s">
        <v>312</v>
      </c>
      <c r="H21" s="25" t="s">
        <v>51</v>
      </c>
    </row>
    <row r="22" spans="1:12" x14ac:dyDescent="1.1000000000000001">
      <c r="A22" s="28">
        <v>44706</v>
      </c>
      <c r="B22" s="28"/>
      <c r="C22" s="29">
        <v>4.0999999999999996</v>
      </c>
      <c r="D22" s="25" t="s">
        <v>46</v>
      </c>
      <c r="E22" s="25" t="s">
        <v>138</v>
      </c>
      <c r="F22" s="29"/>
      <c r="G22" s="25" t="s">
        <v>313</v>
      </c>
      <c r="H22" s="25" t="s">
        <v>51</v>
      </c>
    </row>
    <row r="23" spans="1:12" x14ac:dyDescent="1.1000000000000001">
      <c r="A23" s="28">
        <v>44706</v>
      </c>
      <c r="B23" s="28"/>
      <c r="C23" s="29">
        <v>4.0999999999999996</v>
      </c>
      <c r="D23" s="25" t="s">
        <v>47</v>
      </c>
      <c r="F23" s="29"/>
      <c r="G23" s="25" t="s">
        <v>314</v>
      </c>
      <c r="H23" s="25" t="s">
        <v>51</v>
      </c>
    </row>
    <row r="24" spans="1:12" x14ac:dyDescent="1.1000000000000001">
      <c r="A24" s="28">
        <v>44706</v>
      </c>
      <c r="B24" s="28"/>
      <c r="C24" s="29">
        <v>4.0999999999999996</v>
      </c>
      <c r="D24" s="25" t="s">
        <v>48</v>
      </c>
      <c r="F24" s="29"/>
      <c r="G24" s="25" t="s">
        <v>315</v>
      </c>
      <c r="H24" s="25" t="s">
        <v>51</v>
      </c>
    </row>
    <row r="25" spans="1:12" x14ac:dyDescent="1.1000000000000001">
      <c r="A25" s="27"/>
      <c r="B25" s="27"/>
      <c r="C25" s="27"/>
      <c r="D25" s="27"/>
      <c r="E25" s="27" t="s">
        <v>144</v>
      </c>
      <c r="F25" s="27" t="s">
        <v>311</v>
      </c>
      <c r="G25" s="27" t="s">
        <v>322</v>
      </c>
      <c r="H25" s="27"/>
      <c r="I25" s="27" t="s">
        <v>307</v>
      </c>
      <c r="J25" s="27" t="s">
        <v>303</v>
      </c>
      <c r="K25" s="27" t="s">
        <v>298</v>
      </c>
    </row>
    <row r="26" spans="1:12" x14ac:dyDescent="1.1000000000000001">
      <c r="A26" s="30">
        <v>44712</v>
      </c>
      <c r="B26" s="30"/>
      <c r="C26" s="29">
        <v>5.0999999999999996</v>
      </c>
      <c r="D26" s="25" t="s">
        <v>145</v>
      </c>
      <c r="F26" s="29"/>
      <c r="H26" s="25" t="s">
        <v>49</v>
      </c>
    </row>
    <row r="27" spans="1:12" x14ac:dyDescent="1.1000000000000001">
      <c r="A27" s="30">
        <v>44712</v>
      </c>
      <c r="B27" s="30"/>
      <c r="C27" s="29">
        <v>5.0999999999999996</v>
      </c>
      <c r="D27" s="25" t="s">
        <v>146</v>
      </c>
      <c r="F27" s="29"/>
      <c r="H27" s="25" t="s">
        <v>50</v>
      </c>
    </row>
    <row r="28" spans="1:12" x14ac:dyDescent="1.1000000000000001">
      <c r="A28" s="30">
        <v>44712</v>
      </c>
      <c r="B28" s="30"/>
      <c r="C28" s="29">
        <v>5.0999999999999996</v>
      </c>
      <c r="D28" s="25" t="s">
        <v>147</v>
      </c>
      <c r="F28" s="29"/>
      <c r="H28" s="25" t="s">
        <v>51</v>
      </c>
    </row>
    <row r="29" spans="1:12" x14ac:dyDescent="1.1000000000000001">
      <c r="A29" s="30">
        <v>44712</v>
      </c>
      <c r="B29" s="30"/>
      <c r="C29" s="29">
        <v>5.0999999999999996</v>
      </c>
      <c r="D29" s="25" t="s">
        <v>148</v>
      </c>
      <c r="F29" s="29"/>
      <c r="H29" s="25" t="s">
        <v>52</v>
      </c>
    </row>
    <row r="30" spans="1:12" x14ac:dyDescent="1.1000000000000001">
      <c r="A30" s="30">
        <v>44712</v>
      </c>
      <c r="B30" s="30"/>
      <c r="C30" s="29">
        <v>5.0999999999999996</v>
      </c>
      <c r="D30" s="25" t="s">
        <v>149</v>
      </c>
      <c r="F30" s="29"/>
      <c r="H30" s="25" t="s">
        <v>53</v>
      </c>
    </row>
    <row r="31" spans="1:12" x14ac:dyDescent="1.1000000000000001">
      <c r="A31" s="30">
        <v>44712</v>
      </c>
      <c r="B31" s="30"/>
      <c r="C31" s="29">
        <v>5.0999999999999996</v>
      </c>
      <c r="D31" s="25" t="s">
        <v>150</v>
      </c>
      <c r="F31" s="29"/>
      <c r="H31" s="25" t="s">
        <v>54</v>
      </c>
    </row>
    <row r="32" spans="1:12" x14ac:dyDescent="1.100000000000000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1:12" ht="33.700000000000003" thickBot="1" x14ac:dyDescent="1.1499999999999999">
      <c r="A33" s="31"/>
      <c r="B33" s="32">
        <v>0</v>
      </c>
      <c r="C33" s="32">
        <v>1</v>
      </c>
      <c r="D33" s="32">
        <v>2</v>
      </c>
      <c r="E33" s="32">
        <v>3</v>
      </c>
      <c r="F33" s="32">
        <v>4</v>
      </c>
      <c r="G33" s="32">
        <v>5</v>
      </c>
      <c r="H33" s="32">
        <v>6</v>
      </c>
      <c r="I33" s="32">
        <v>7</v>
      </c>
      <c r="J33" s="32">
        <v>8</v>
      </c>
      <c r="K33" s="32">
        <v>9</v>
      </c>
      <c r="L33" s="31"/>
    </row>
    <row r="34" spans="1:12" ht="34" thickTop="1" thickBot="1" x14ac:dyDescent="1.1499999999999999">
      <c r="A34" s="31"/>
      <c r="B34" s="26" t="s">
        <v>340</v>
      </c>
      <c r="C34" s="26" t="s">
        <v>299</v>
      </c>
      <c r="D34" s="26" t="s">
        <v>300</v>
      </c>
      <c r="E34" s="26" t="s">
        <v>136</v>
      </c>
      <c r="F34" s="26" t="s">
        <v>309</v>
      </c>
      <c r="G34" s="26" t="s">
        <v>316</v>
      </c>
      <c r="H34" s="26" t="s">
        <v>317</v>
      </c>
      <c r="I34" s="26" t="s">
        <v>318</v>
      </c>
      <c r="J34" s="26" t="s">
        <v>319</v>
      </c>
      <c r="K34" s="26" t="s">
        <v>321</v>
      </c>
      <c r="L34" s="31"/>
    </row>
    <row r="35" spans="1:12" ht="33.700000000000003" thickTop="1" x14ac:dyDescent="1.1000000000000001">
      <c r="A35" s="27" t="s">
        <v>301</v>
      </c>
      <c r="B35" s="27">
        <v>1</v>
      </c>
      <c r="C35" s="27"/>
      <c r="D35" s="27"/>
      <c r="E35" s="27"/>
      <c r="F35" s="27" t="s">
        <v>311</v>
      </c>
      <c r="G35" s="27" t="s">
        <v>312</v>
      </c>
      <c r="H35" s="27" t="s">
        <v>51</v>
      </c>
      <c r="I35" s="27" t="s">
        <v>342</v>
      </c>
      <c r="J35" s="27" t="s">
        <v>303</v>
      </c>
      <c r="K35" s="27" t="s">
        <v>297</v>
      </c>
    </row>
    <row r="36" spans="1:12" x14ac:dyDescent="1.1000000000000001">
      <c r="A36" s="28"/>
      <c r="B36" s="33"/>
      <c r="C36" s="34">
        <v>1.1000000000000001</v>
      </c>
      <c r="D36" s="32" t="s">
        <v>46</v>
      </c>
      <c r="E36" s="32" t="s">
        <v>139</v>
      </c>
      <c r="F36" s="34"/>
      <c r="G36" s="32"/>
      <c r="H36" s="32"/>
      <c r="I36" s="32"/>
      <c r="J36" s="32"/>
      <c r="K36" s="32"/>
    </row>
    <row r="37" spans="1:12" x14ac:dyDescent="1.1000000000000001">
      <c r="A37" s="28"/>
      <c r="B37" s="33"/>
      <c r="C37" s="34">
        <v>1.2</v>
      </c>
      <c r="D37" s="32" t="s">
        <v>46</v>
      </c>
      <c r="E37" s="32" t="s">
        <v>138</v>
      </c>
      <c r="F37" s="34"/>
      <c r="G37" s="32"/>
      <c r="H37" s="32"/>
      <c r="I37" s="32"/>
      <c r="J37" s="32"/>
      <c r="K37" s="32"/>
    </row>
    <row r="38" spans="1:12" x14ac:dyDescent="1.1000000000000001">
      <c r="A38" s="27" t="s">
        <v>302</v>
      </c>
      <c r="B38" s="27">
        <v>2</v>
      </c>
      <c r="C38" s="27"/>
      <c r="D38" s="27"/>
      <c r="E38" s="27" t="s">
        <v>138</v>
      </c>
      <c r="F38" s="27"/>
      <c r="G38" s="27" t="s">
        <v>312</v>
      </c>
      <c r="H38" s="27" t="s">
        <v>51</v>
      </c>
      <c r="I38" s="27" t="s">
        <v>308</v>
      </c>
      <c r="J38" s="27" t="s">
        <v>292</v>
      </c>
      <c r="K38" s="27" t="s">
        <v>295</v>
      </c>
    </row>
    <row r="39" spans="1:12" x14ac:dyDescent="1.1000000000000001">
      <c r="A39" s="28"/>
      <c r="B39" s="33"/>
      <c r="C39" s="34">
        <v>2.1</v>
      </c>
      <c r="D39" s="32" t="s">
        <v>79</v>
      </c>
      <c r="E39" s="32"/>
      <c r="F39" s="34" t="s">
        <v>310</v>
      </c>
      <c r="G39" s="32"/>
      <c r="H39" s="32"/>
      <c r="I39" s="32"/>
      <c r="J39" s="32"/>
      <c r="K39" s="32"/>
    </row>
    <row r="40" spans="1:12" x14ac:dyDescent="1.1000000000000001">
      <c r="A40" s="28"/>
      <c r="B40" s="33"/>
      <c r="C40" s="34">
        <v>2.2000000000000002</v>
      </c>
      <c r="D40" s="32" t="s">
        <v>84</v>
      </c>
      <c r="E40" s="32"/>
      <c r="F40" s="34" t="s">
        <v>311</v>
      </c>
      <c r="G40" s="32"/>
      <c r="H40" s="32"/>
      <c r="I40" s="32"/>
      <c r="J40" s="32"/>
      <c r="K40" s="32"/>
    </row>
    <row r="41" spans="1:12" x14ac:dyDescent="1.1000000000000001">
      <c r="A41" s="27" t="s">
        <v>320</v>
      </c>
      <c r="B41" s="27">
        <v>3</v>
      </c>
      <c r="C41" s="27"/>
      <c r="D41" s="27"/>
      <c r="E41" s="27" t="s">
        <v>138</v>
      </c>
      <c r="F41" s="27" t="s">
        <v>311</v>
      </c>
      <c r="G41" s="27" t="s">
        <v>312</v>
      </c>
      <c r="H41" s="27"/>
      <c r="I41" s="27" t="s">
        <v>306</v>
      </c>
      <c r="J41" s="27" t="s">
        <v>304</v>
      </c>
      <c r="K41" s="27" t="s">
        <v>296</v>
      </c>
    </row>
    <row r="42" spans="1:12" x14ac:dyDescent="1.1000000000000001">
      <c r="A42" s="28">
        <v>44704</v>
      </c>
      <c r="B42" s="33"/>
      <c r="C42" s="34">
        <v>3.1</v>
      </c>
      <c r="D42" s="32" t="s">
        <v>55</v>
      </c>
      <c r="E42" s="32"/>
      <c r="F42" s="34"/>
      <c r="G42" s="32"/>
      <c r="H42" s="32" t="s">
        <v>49</v>
      </c>
      <c r="I42" s="32"/>
      <c r="J42" s="32"/>
      <c r="K42" s="32"/>
    </row>
    <row r="43" spans="1:12" x14ac:dyDescent="1.1000000000000001">
      <c r="A43" s="28">
        <v>44704</v>
      </c>
      <c r="B43" s="33"/>
      <c r="C43" s="34">
        <v>3.2</v>
      </c>
      <c r="D43" s="32" t="s">
        <v>56</v>
      </c>
      <c r="E43" s="32"/>
      <c r="F43" s="34"/>
      <c r="G43" s="32"/>
      <c r="H43" s="32" t="s">
        <v>50</v>
      </c>
      <c r="I43" s="32"/>
      <c r="J43" s="32"/>
      <c r="K43" s="32"/>
    </row>
    <row r="44" spans="1:12" x14ac:dyDescent="1.1000000000000001">
      <c r="A44" s="28">
        <v>44704</v>
      </c>
      <c r="B44" s="33"/>
      <c r="C44" s="34">
        <v>3.3</v>
      </c>
      <c r="D44" s="32" t="s">
        <v>57</v>
      </c>
      <c r="E44" s="32"/>
      <c r="F44" s="34"/>
      <c r="G44" s="32"/>
      <c r="H44" s="32" t="s">
        <v>51</v>
      </c>
      <c r="I44" s="32"/>
      <c r="J44" s="32"/>
      <c r="K44" s="32"/>
    </row>
    <row r="45" spans="1:12" x14ac:dyDescent="1.1000000000000001">
      <c r="A45" s="28">
        <v>44704</v>
      </c>
      <c r="B45" s="33"/>
      <c r="C45" s="34">
        <v>3.4</v>
      </c>
      <c r="D45" s="32" t="s">
        <v>58</v>
      </c>
      <c r="E45" s="32"/>
      <c r="F45" s="34"/>
      <c r="G45" s="32"/>
      <c r="H45" s="32" t="s">
        <v>52</v>
      </c>
      <c r="I45" s="32"/>
      <c r="J45" s="32"/>
      <c r="K45" s="32"/>
    </row>
    <row r="46" spans="1:12" x14ac:dyDescent="1.1000000000000001">
      <c r="A46" s="28">
        <v>44704</v>
      </c>
      <c r="B46" s="33"/>
      <c r="C46" s="34">
        <v>3.5</v>
      </c>
      <c r="D46" s="32" t="s">
        <v>59</v>
      </c>
      <c r="E46" s="32"/>
      <c r="F46" s="34"/>
      <c r="G46" s="32"/>
      <c r="H46" s="32" t="s">
        <v>53</v>
      </c>
      <c r="I46" s="32"/>
      <c r="J46" s="32"/>
      <c r="K46" s="32"/>
    </row>
    <row r="47" spans="1:12" x14ac:dyDescent="1.1000000000000001">
      <c r="A47" s="28">
        <v>44704</v>
      </c>
      <c r="B47" s="33"/>
      <c r="C47" s="34">
        <v>3.6</v>
      </c>
      <c r="D47" s="32" t="s">
        <v>60</v>
      </c>
      <c r="E47" s="32"/>
      <c r="F47" s="34"/>
      <c r="G47" s="32"/>
      <c r="H47" s="32" t="s">
        <v>54</v>
      </c>
      <c r="I47" s="32"/>
      <c r="J47" s="32"/>
      <c r="K47" s="32"/>
    </row>
    <row r="48" spans="1:12" x14ac:dyDescent="1.1000000000000001">
      <c r="A48" s="27" t="s">
        <v>323</v>
      </c>
      <c r="B48" s="27">
        <v>4</v>
      </c>
      <c r="C48" s="27"/>
      <c r="D48" s="27"/>
      <c r="E48" s="27" t="s">
        <v>139</v>
      </c>
      <c r="F48" s="27" t="s">
        <v>311</v>
      </c>
      <c r="G48" s="27"/>
      <c r="H48" s="27"/>
      <c r="I48" s="27" t="s">
        <v>342</v>
      </c>
      <c r="J48" s="27" t="s">
        <v>303</v>
      </c>
      <c r="K48" s="27" t="s">
        <v>297</v>
      </c>
    </row>
    <row r="49" spans="1:11" x14ac:dyDescent="1.1000000000000001">
      <c r="A49" s="28">
        <v>44706</v>
      </c>
      <c r="B49" s="33"/>
      <c r="C49" s="34">
        <v>4.0999999999999996</v>
      </c>
      <c r="D49" s="32" t="s">
        <v>46</v>
      </c>
      <c r="E49" s="32"/>
      <c r="F49" s="34"/>
      <c r="G49" s="32" t="s">
        <v>312</v>
      </c>
      <c r="H49" s="32" t="s">
        <v>51</v>
      </c>
      <c r="I49" s="32"/>
      <c r="J49" s="32"/>
      <c r="K49" s="32"/>
    </row>
    <row r="50" spans="1:11" x14ac:dyDescent="1.1000000000000001">
      <c r="A50" s="28">
        <v>44706</v>
      </c>
      <c r="B50" s="33"/>
      <c r="C50" s="34">
        <v>4.2</v>
      </c>
      <c r="D50" s="32" t="s">
        <v>47</v>
      </c>
      <c r="E50" s="32"/>
      <c r="F50" s="34"/>
      <c r="G50" s="32" t="s">
        <v>314</v>
      </c>
      <c r="H50" s="32" t="s">
        <v>51</v>
      </c>
      <c r="I50" s="32"/>
      <c r="J50" s="32"/>
      <c r="K50" s="32"/>
    </row>
    <row r="51" spans="1:11" x14ac:dyDescent="1.1000000000000001">
      <c r="A51" s="28">
        <v>44706</v>
      </c>
      <c r="B51" s="33"/>
      <c r="C51" s="34">
        <v>4.3</v>
      </c>
      <c r="D51" s="32" t="s">
        <v>48</v>
      </c>
      <c r="E51" s="32"/>
      <c r="F51" s="34"/>
      <c r="G51" s="32" t="s">
        <v>315</v>
      </c>
      <c r="H51" s="32" t="s">
        <v>51</v>
      </c>
      <c r="I51" s="32"/>
      <c r="J51" s="32"/>
      <c r="K51" s="32"/>
    </row>
    <row r="52" spans="1:11" x14ac:dyDescent="1.1000000000000001">
      <c r="A52" s="27" t="s">
        <v>320</v>
      </c>
      <c r="B52" s="27">
        <v>5</v>
      </c>
      <c r="C52" s="27"/>
      <c r="D52" s="27"/>
      <c r="E52" s="27" t="s">
        <v>144</v>
      </c>
      <c r="F52" s="27" t="s">
        <v>311</v>
      </c>
      <c r="G52" s="27" t="s">
        <v>322</v>
      </c>
      <c r="H52" s="27"/>
      <c r="I52" s="27" t="s">
        <v>307</v>
      </c>
      <c r="J52" s="27" t="s">
        <v>303</v>
      </c>
      <c r="K52" s="27" t="s">
        <v>298</v>
      </c>
    </row>
    <row r="53" spans="1:11" x14ac:dyDescent="1.1000000000000001">
      <c r="A53" s="30">
        <v>44712</v>
      </c>
      <c r="B53" s="35"/>
      <c r="C53" s="34">
        <v>5.0999999999999996</v>
      </c>
      <c r="D53" s="32" t="s">
        <v>145</v>
      </c>
      <c r="E53" s="32"/>
      <c r="F53" s="34"/>
      <c r="G53" s="32"/>
      <c r="H53" s="32" t="s">
        <v>49</v>
      </c>
      <c r="I53" s="32"/>
      <c r="J53" s="32"/>
      <c r="K53" s="32"/>
    </row>
    <row r="54" spans="1:11" x14ac:dyDescent="1.1000000000000001">
      <c r="A54" s="30">
        <v>44712</v>
      </c>
      <c r="B54" s="35"/>
      <c r="C54" s="34">
        <v>5.2</v>
      </c>
      <c r="D54" s="32" t="s">
        <v>146</v>
      </c>
      <c r="E54" s="32"/>
      <c r="F54" s="34"/>
      <c r="G54" s="32"/>
      <c r="H54" s="32" t="s">
        <v>50</v>
      </c>
      <c r="I54" s="32"/>
      <c r="J54" s="32"/>
      <c r="K54" s="32"/>
    </row>
    <row r="55" spans="1:11" x14ac:dyDescent="1.1000000000000001">
      <c r="A55" s="30">
        <v>44712</v>
      </c>
      <c r="B55" s="35"/>
      <c r="C55" s="34">
        <v>5.3</v>
      </c>
      <c r="D55" s="32" t="s">
        <v>147</v>
      </c>
      <c r="E55" s="32"/>
      <c r="F55" s="34"/>
      <c r="G55" s="32"/>
      <c r="H55" s="32" t="s">
        <v>51</v>
      </c>
      <c r="I55" s="32"/>
      <c r="J55" s="32"/>
      <c r="K55" s="32"/>
    </row>
    <row r="56" spans="1:11" x14ac:dyDescent="1.1000000000000001">
      <c r="A56" s="30">
        <v>44712</v>
      </c>
      <c r="B56" s="35"/>
      <c r="C56" s="34">
        <v>5.4</v>
      </c>
      <c r="D56" s="32" t="s">
        <v>148</v>
      </c>
      <c r="E56" s="32"/>
      <c r="F56" s="34"/>
      <c r="G56" s="32"/>
      <c r="H56" s="32" t="s">
        <v>52</v>
      </c>
      <c r="I56" s="32"/>
      <c r="J56" s="32"/>
      <c r="K56" s="32"/>
    </row>
    <row r="57" spans="1:11" x14ac:dyDescent="1.1000000000000001">
      <c r="A57" s="30">
        <v>44712</v>
      </c>
      <c r="B57" s="35"/>
      <c r="C57" s="34">
        <v>5.5</v>
      </c>
      <c r="D57" s="32" t="s">
        <v>149</v>
      </c>
      <c r="E57" s="32"/>
      <c r="F57" s="34"/>
      <c r="G57" s="32"/>
      <c r="H57" s="32" t="s">
        <v>53</v>
      </c>
      <c r="I57" s="32"/>
      <c r="J57" s="32"/>
      <c r="K57" s="32"/>
    </row>
    <row r="58" spans="1:11" x14ac:dyDescent="1.1000000000000001">
      <c r="A58" s="30">
        <v>44712</v>
      </c>
      <c r="B58" s="35"/>
      <c r="C58" s="34">
        <v>5.6</v>
      </c>
      <c r="D58" s="32" t="s">
        <v>150</v>
      </c>
      <c r="E58" s="32"/>
      <c r="F58" s="34"/>
      <c r="G58" s="32"/>
      <c r="H58" s="32" t="s">
        <v>54</v>
      </c>
      <c r="I58" s="32"/>
      <c r="J58" s="32"/>
      <c r="K58" s="3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2589-54B7-4392-9E1D-A794053666B3}">
  <dimension ref="A2:L17"/>
  <sheetViews>
    <sheetView tabSelected="1" workbookViewId="0">
      <selection activeCell="H10" sqref="H10"/>
    </sheetView>
  </sheetViews>
  <sheetFormatPr defaultRowHeight="14.35" x14ac:dyDescent="0.5"/>
  <cols>
    <col min="10" max="10" width="11.703125" bestFit="1" customWidth="1"/>
  </cols>
  <sheetData>
    <row r="2" spans="1:12" x14ac:dyDescent="0.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J2" t="s">
        <v>36</v>
      </c>
      <c r="K2" t="s">
        <v>30</v>
      </c>
      <c r="L2" t="s">
        <v>141</v>
      </c>
    </row>
    <row r="3" spans="1:12" x14ac:dyDescent="0.5">
      <c r="A3">
        <v>17</v>
      </c>
      <c r="B3">
        <f>17.5-9.5-2</f>
        <v>6</v>
      </c>
      <c r="C3">
        <f>18.5-9.5-1.5</f>
        <v>7.5</v>
      </c>
      <c r="D3">
        <f>18-9-1</f>
        <v>8</v>
      </c>
      <c r="E3">
        <f>17-9-1</f>
        <v>7</v>
      </c>
      <c r="F3">
        <f>16-8-0.5</f>
        <v>7.5</v>
      </c>
      <c r="G3">
        <f>0</f>
        <v>0</v>
      </c>
      <c r="H3">
        <f>0</f>
        <v>0</v>
      </c>
      <c r="I3">
        <f>SUM(B3:H3)</f>
        <v>36</v>
      </c>
      <c r="J3">
        <f>5*7</f>
        <v>35</v>
      </c>
      <c r="K3">
        <f>J3-I3</f>
        <v>-1</v>
      </c>
      <c r="L3">
        <f>SUM(K3)</f>
        <v>-1</v>
      </c>
    </row>
    <row r="4" spans="1:12" x14ac:dyDescent="0.5">
      <c r="A4">
        <v>18</v>
      </c>
      <c r="B4">
        <f>19-10-1.5</f>
        <v>7.5</v>
      </c>
      <c r="C4">
        <f>18-9.5-1.5-0.5</f>
        <v>6.5</v>
      </c>
      <c r="D4">
        <f>18-9.5-1.5</f>
        <v>7</v>
      </c>
      <c r="E4">
        <f>19-9.5-0.5</f>
        <v>9</v>
      </c>
      <c r="F4" s="4">
        <f>18-9.5-1</f>
        <v>7.5</v>
      </c>
      <c r="G4">
        <f>0</f>
        <v>0</v>
      </c>
      <c r="H4">
        <f>0</f>
        <v>0</v>
      </c>
      <c r="I4">
        <f t="shared" ref="I4:I14" si="0">SUM(B4:H4)</f>
        <v>37.5</v>
      </c>
      <c r="J4">
        <f t="shared" ref="J4:J14" si="1">5*7</f>
        <v>35</v>
      </c>
      <c r="K4">
        <f t="shared" ref="K4:K15" si="2">J4-I4</f>
        <v>-2.5</v>
      </c>
      <c r="L4">
        <f>SUM(K3:K4)</f>
        <v>-3.5</v>
      </c>
    </row>
    <row r="5" spans="1:12" x14ac:dyDescent="0.5">
      <c r="A5">
        <v>19</v>
      </c>
      <c r="B5">
        <f>18.5-9.5-0.5</f>
        <v>8.5</v>
      </c>
      <c r="C5">
        <f>18-9-1.5</f>
        <v>7.5</v>
      </c>
      <c r="D5">
        <f>18-9-1</f>
        <v>8</v>
      </c>
      <c r="E5">
        <f>18-16.5</f>
        <v>1.5</v>
      </c>
      <c r="F5">
        <f>10-9</f>
        <v>1</v>
      </c>
      <c r="G5">
        <f>0</f>
        <v>0</v>
      </c>
      <c r="H5">
        <f>16-13</f>
        <v>3</v>
      </c>
      <c r="I5">
        <f t="shared" si="0"/>
        <v>29.5</v>
      </c>
      <c r="J5">
        <f t="shared" si="1"/>
        <v>35</v>
      </c>
      <c r="K5">
        <f t="shared" si="2"/>
        <v>5.5</v>
      </c>
      <c r="L5">
        <f>SUM(K3:K5)</f>
        <v>2</v>
      </c>
    </row>
    <row r="6" spans="1:12" x14ac:dyDescent="0.5">
      <c r="A6">
        <v>20</v>
      </c>
      <c r="B6">
        <f>19-9-1.5</f>
        <v>8.5</v>
      </c>
      <c r="C6">
        <f>17.5-9-1.5</f>
        <v>7</v>
      </c>
      <c r="D6">
        <f>17.5-8.5-0.5</f>
        <v>8.5</v>
      </c>
      <c r="E6">
        <f>18.5-9.5-0.5</f>
        <v>8.5</v>
      </c>
      <c r="F6">
        <f>16-9-1</f>
        <v>6</v>
      </c>
      <c r="G6">
        <f>0</f>
        <v>0</v>
      </c>
      <c r="H6">
        <f>0</f>
        <v>0</v>
      </c>
      <c r="I6">
        <f t="shared" si="0"/>
        <v>38.5</v>
      </c>
      <c r="J6">
        <f t="shared" si="1"/>
        <v>35</v>
      </c>
      <c r="K6">
        <f t="shared" si="2"/>
        <v>-3.5</v>
      </c>
      <c r="L6">
        <f>SUM(K3:K6)</f>
        <v>-1.5</v>
      </c>
    </row>
    <row r="7" spans="1:12" x14ac:dyDescent="0.5">
      <c r="A7">
        <v>21</v>
      </c>
      <c r="B7">
        <f>17-9.5-1.5</f>
        <v>6</v>
      </c>
      <c r="C7">
        <f>18-9-1</f>
        <v>8</v>
      </c>
      <c r="D7">
        <f>18.5-9-1.5+21.5-20</f>
        <v>9.5</v>
      </c>
      <c r="E7">
        <f>15.5-12</f>
        <v>3.5</v>
      </c>
      <c r="F7">
        <f>18-12</f>
        <v>6</v>
      </c>
      <c r="G7">
        <f>18-17</f>
        <v>1</v>
      </c>
      <c r="H7">
        <f>17-14</f>
        <v>3</v>
      </c>
      <c r="I7">
        <f t="shared" si="0"/>
        <v>37</v>
      </c>
      <c r="J7">
        <f t="shared" si="1"/>
        <v>35</v>
      </c>
      <c r="K7">
        <f t="shared" si="2"/>
        <v>-2</v>
      </c>
      <c r="L7">
        <f>SUM(K3:K7)</f>
        <v>-3.5</v>
      </c>
    </row>
    <row r="8" spans="1:12" x14ac:dyDescent="0.5">
      <c r="A8">
        <v>22</v>
      </c>
      <c r="B8">
        <f>19.5-9.5-1.5</f>
        <v>8.5</v>
      </c>
      <c r="C8">
        <f>20-9.5-1.5</f>
        <v>9</v>
      </c>
      <c r="D8">
        <f>17.5-10.5-2</f>
        <v>5</v>
      </c>
      <c r="E8">
        <f>18-9.5</f>
        <v>8.5</v>
      </c>
      <c r="F8">
        <f>15.5-10-0.5</f>
        <v>5</v>
      </c>
      <c r="G8">
        <f>0</f>
        <v>0</v>
      </c>
      <c r="H8">
        <f>0</f>
        <v>0</v>
      </c>
      <c r="I8">
        <f t="shared" si="0"/>
        <v>36</v>
      </c>
      <c r="J8">
        <f t="shared" si="1"/>
        <v>35</v>
      </c>
      <c r="K8">
        <f t="shared" si="2"/>
        <v>-1</v>
      </c>
      <c r="L8">
        <f>SUM(K3:K8)</f>
        <v>-4.5</v>
      </c>
    </row>
    <row r="9" spans="1:12" x14ac:dyDescent="0.5">
      <c r="A9">
        <v>23</v>
      </c>
      <c r="B9">
        <v>0</v>
      </c>
      <c r="C9">
        <v>0</v>
      </c>
      <c r="D9">
        <f>18-10-0.5</f>
        <v>7.5</v>
      </c>
      <c r="E9">
        <f>19-10-1</f>
        <v>8</v>
      </c>
      <c r="F9" s="5">
        <f>18-10-1</f>
        <v>7</v>
      </c>
      <c r="G9">
        <f>14.5-10.5-0.5</f>
        <v>3.5</v>
      </c>
      <c r="H9">
        <v>0</v>
      </c>
      <c r="I9">
        <f t="shared" si="0"/>
        <v>26</v>
      </c>
      <c r="J9">
        <f t="shared" si="1"/>
        <v>35</v>
      </c>
      <c r="K9">
        <f t="shared" si="2"/>
        <v>9</v>
      </c>
      <c r="L9">
        <f>SUM(K3:K9)</f>
        <v>4.5</v>
      </c>
    </row>
    <row r="10" spans="1:12" x14ac:dyDescent="0.5">
      <c r="A10">
        <v>24</v>
      </c>
      <c r="B10">
        <f>19-10.5-1.5</f>
        <v>7</v>
      </c>
      <c r="C10">
        <f>23-10-0.5</f>
        <v>12.5</v>
      </c>
      <c r="D10">
        <f>19-10.5-1.5</f>
        <v>7</v>
      </c>
      <c r="E10">
        <f>18-9.5-1.5</f>
        <v>7</v>
      </c>
      <c r="F10">
        <f>20-10-0.5</f>
        <v>9.5</v>
      </c>
      <c r="G10" s="6">
        <f>19.5-14.5</f>
        <v>5</v>
      </c>
      <c r="H10" s="6">
        <v>5</v>
      </c>
      <c r="I10">
        <f t="shared" si="0"/>
        <v>53</v>
      </c>
      <c r="J10">
        <f t="shared" si="1"/>
        <v>35</v>
      </c>
      <c r="K10">
        <f t="shared" si="2"/>
        <v>-18</v>
      </c>
      <c r="L10">
        <f>SUM(K3:K10)</f>
        <v>-13.5</v>
      </c>
    </row>
    <row r="11" spans="1:12" x14ac:dyDescent="0.5">
      <c r="A11">
        <v>25</v>
      </c>
      <c r="B11" s="5">
        <f>18-9.5-1.5</f>
        <v>7</v>
      </c>
      <c r="C11">
        <f t="shared" ref="C11:F13" si="3">18-9.5-1.5</f>
        <v>7</v>
      </c>
      <c r="D11">
        <f t="shared" si="3"/>
        <v>7</v>
      </c>
      <c r="E11">
        <f t="shared" si="3"/>
        <v>7</v>
      </c>
      <c r="F11">
        <f t="shared" si="3"/>
        <v>7</v>
      </c>
      <c r="G11" s="6">
        <v>0</v>
      </c>
      <c r="H11" s="6">
        <v>0</v>
      </c>
      <c r="I11">
        <f t="shared" si="0"/>
        <v>35</v>
      </c>
      <c r="J11">
        <f t="shared" si="1"/>
        <v>35</v>
      </c>
      <c r="K11">
        <f t="shared" si="2"/>
        <v>0</v>
      </c>
      <c r="L11">
        <f>SUM(K3:K11)</f>
        <v>-13.5</v>
      </c>
    </row>
    <row r="12" spans="1:12" x14ac:dyDescent="0.5">
      <c r="A12">
        <v>26</v>
      </c>
      <c r="B12">
        <f>18-9.5-1.5</f>
        <v>7</v>
      </c>
      <c r="C12">
        <f t="shared" si="3"/>
        <v>7</v>
      </c>
      <c r="D12">
        <f t="shared" si="3"/>
        <v>7</v>
      </c>
      <c r="E12" s="5">
        <f t="shared" si="3"/>
        <v>7</v>
      </c>
      <c r="F12" s="5">
        <f t="shared" si="3"/>
        <v>7</v>
      </c>
      <c r="G12">
        <f>0</f>
        <v>0</v>
      </c>
      <c r="H12">
        <f>0</f>
        <v>0</v>
      </c>
      <c r="I12">
        <f t="shared" si="0"/>
        <v>35</v>
      </c>
      <c r="J12">
        <f t="shared" si="1"/>
        <v>35</v>
      </c>
      <c r="K12">
        <f t="shared" si="2"/>
        <v>0</v>
      </c>
      <c r="L12">
        <f>SUM(K3:K12)</f>
        <v>-13.5</v>
      </c>
    </row>
    <row r="13" spans="1:12" x14ac:dyDescent="0.5">
      <c r="A13">
        <v>27</v>
      </c>
      <c r="B13">
        <f>18-9.5-1.5</f>
        <v>7</v>
      </c>
      <c r="C13">
        <f t="shared" si="3"/>
        <v>7</v>
      </c>
      <c r="D13">
        <f t="shared" si="3"/>
        <v>7</v>
      </c>
      <c r="E13">
        <f t="shared" si="3"/>
        <v>7</v>
      </c>
      <c r="F13">
        <f t="shared" si="3"/>
        <v>7</v>
      </c>
      <c r="G13">
        <f>0</f>
        <v>0</v>
      </c>
      <c r="H13">
        <f>0</f>
        <v>0</v>
      </c>
      <c r="I13">
        <f t="shared" si="0"/>
        <v>35</v>
      </c>
      <c r="J13">
        <f t="shared" si="1"/>
        <v>35</v>
      </c>
      <c r="K13">
        <f t="shared" si="2"/>
        <v>0</v>
      </c>
      <c r="L13">
        <f>SUM(K3:K13)</f>
        <v>-13.5</v>
      </c>
    </row>
    <row r="14" spans="1:12" x14ac:dyDescent="0.5">
      <c r="A14">
        <v>28</v>
      </c>
      <c r="B14">
        <v>7</v>
      </c>
      <c r="C14">
        <v>7</v>
      </c>
      <c r="D14">
        <v>7</v>
      </c>
      <c r="E14">
        <v>7</v>
      </c>
      <c r="F14">
        <v>7</v>
      </c>
      <c r="G14">
        <f>0</f>
        <v>0</v>
      </c>
      <c r="H14">
        <f>0</f>
        <v>0</v>
      </c>
      <c r="I14">
        <f t="shared" si="0"/>
        <v>35</v>
      </c>
      <c r="J14">
        <f t="shared" si="1"/>
        <v>35</v>
      </c>
      <c r="K14">
        <f t="shared" si="2"/>
        <v>0</v>
      </c>
      <c r="L14">
        <f>SUM(K3:K14)</f>
        <v>-13.5</v>
      </c>
    </row>
    <row r="15" spans="1:12" x14ac:dyDescent="0.5">
      <c r="H15" t="s">
        <v>28</v>
      </c>
      <c r="I15">
        <f>SUM(I3:I14)</f>
        <v>433.5</v>
      </c>
      <c r="J15">
        <f>SUM(J3:J14)</f>
        <v>420</v>
      </c>
      <c r="K15">
        <f t="shared" si="2"/>
        <v>-13.5</v>
      </c>
    </row>
    <row r="16" spans="1:12" x14ac:dyDescent="0.5">
      <c r="H16" t="s">
        <v>29</v>
      </c>
      <c r="I16">
        <f>399</f>
        <v>399</v>
      </c>
    </row>
    <row r="17" spans="8:9" x14ac:dyDescent="0.5">
      <c r="H17" t="s">
        <v>30</v>
      </c>
      <c r="I17">
        <f>I15-I16</f>
        <v>34.5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D264-D71B-4858-AA9D-15EA4ED80AEF}">
  <dimension ref="A1:T82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RowHeight="14.35" x14ac:dyDescent="0.5"/>
  <cols>
    <col min="1" max="1" width="19.87890625" bestFit="1" customWidth="1"/>
    <col min="2" max="2" width="11.46875" customWidth="1"/>
    <col min="3" max="3" width="15.8203125" bestFit="1" customWidth="1"/>
    <col min="4" max="4" width="12.87890625" bestFit="1" customWidth="1"/>
    <col min="5" max="6" width="12.87890625" customWidth="1"/>
    <col min="8" max="8" width="15" bestFit="1" customWidth="1"/>
    <col min="9" max="9" width="14.41015625" bestFit="1" customWidth="1"/>
    <col min="10" max="10" width="11.17578125" bestFit="1" customWidth="1"/>
    <col min="11" max="11" width="10.3515625" customWidth="1"/>
    <col min="16" max="16" width="15.8203125" bestFit="1" customWidth="1"/>
  </cols>
  <sheetData>
    <row r="1" spans="1:20" ht="14.7" thickBot="1" x14ac:dyDescent="0.55000000000000004">
      <c r="A1" t="s">
        <v>42</v>
      </c>
    </row>
    <row r="2" spans="1:20" ht="15" thickTop="1" thickBot="1" x14ac:dyDescent="0.55000000000000004">
      <c r="A2" s="7" t="s">
        <v>43</v>
      </c>
      <c r="B2" s="7" t="s">
        <v>44</v>
      </c>
      <c r="C2" s="7" t="s">
        <v>45</v>
      </c>
      <c r="D2" s="9" t="s">
        <v>281</v>
      </c>
      <c r="E2" s="9"/>
      <c r="F2" s="9" t="s">
        <v>338</v>
      </c>
      <c r="G2" s="9" t="s">
        <v>284</v>
      </c>
      <c r="H2" s="7" t="s">
        <v>98</v>
      </c>
      <c r="I2" s="7" t="s">
        <v>89</v>
      </c>
      <c r="J2" s="7" t="s">
        <v>100</v>
      </c>
      <c r="K2" s="7" t="s">
        <v>99</v>
      </c>
      <c r="L2" s="9" t="s">
        <v>96</v>
      </c>
      <c r="M2" s="9" t="s">
        <v>136</v>
      </c>
    </row>
    <row r="3" spans="1:20" ht="14.7" thickTop="1" x14ac:dyDescent="0.5">
      <c r="A3" s="8" t="s">
        <v>61</v>
      </c>
      <c r="B3" s="8" t="s">
        <v>77</v>
      </c>
      <c r="C3" s="8"/>
      <c r="D3" t="s">
        <v>282</v>
      </c>
      <c r="H3" s="8" t="s">
        <v>92</v>
      </c>
      <c r="I3" s="8" t="s">
        <v>266</v>
      </c>
      <c r="J3" s="8" t="s">
        <v>101</v>
      </c>
      <c r="K3" s="8" t="s">
        <v>93</v>
      </c>
      <c r="L3" s="10" t="s">
        <v>97</v>
      </c>
      <c r="M3" s="10" t="s">
        <v>137</v>
      </c>
    </row>
    <row r="4" spans="1:20" x14ac:dyDescent="0.5">
      <c r="A4" s="3">
        <v>44677</v>
      </c>
      <c r="B4" t="s">
        <v>51</v>
      </c>
      <c r="C4" t="s">
        <v>37</v>
      </c>
      <c r="G4">
        <f>1-0.851</f>
        <v>0.14900000000000002</v>
      </c>
      <c r="L4" t="s">
        <v>208</v>
      </c>
    </row>
    <row r="5" spans="1:20" x14ac:dyDescent="0.5">
      <c r="A5" s="3">
        <v>44677</v>
      </c>
      <c r="B5" t="s">
        <v>52</v>
      </c>
      <c r="C5" t="s">
        <v>38</v>
      </c>
    </row>
    <row r="6" spans="1:20" x14ac:dyDescent="0.5">
      <c r="A6" s="3">
        <v>44677</v>
      </c>
      <c r="B6" t="s">
        <v>53</v>
      </c>
      <c r="C6" t="s">
        <v>39</v>
      </c>
    </row>
    <row r="7" spans="1:20" x14ac:dyDescent="0.5">
      <c r="A7" s="8" t="s">
        <v>78</v>
      </c>
      <c r="B7" s="8" t="s">
        <v>63</v>
      </c>
      <c r="C7" s="8"/>
      <c r="H7" s="8" t="s">
        <v>95</v>
      </c>
      <c r="I7" s="8" t="s">
        <v>251</v>
      </c>
      <c r="J7" s="8" t="s">
        <v>102</v>
      </c>
      <c r="K7" s="8" t="s">
        <v>93</v>
      </c>
      <c r="L7" s="10" t="s">
        <v>97</v>
      </c>
      <c r="M7" s="10" t="s">
        <v>140</v>
      </c>
    </row>
    <row r="8" spans="1:20" x14ac:dyDescent="0.5">
      <c r="A8" s="3">
        <v>44692</v>
      </c>
      <c r="B8" t="s">
        <v>64</v>
      </c>
      <c r="C8" t="s">
        <v>70</v>
      </c>
    </row>
    <row r="9" spans="1:20" x14ac:dyDescent="0.5">
      <c r="A9" s="3">
        <v>44692</v>
      </c>
      <c r="B9" t="s">
        <v>65</v>
      </c>
      <c r="C9" t="s">
        <v>71</v>
      </c>
    </row>
    <row r="10" spans="1:20" x14ac:dyDescent="0.5">
      <c r="A10" s="3">
        <v>44692</v>
      </c>
      <c r="B10" t="s">
        <v>66</v>
      </c>
      <c r="C10" t="s">
        <v>72</v>
      </c>
    </row>
    <row r="11" spans="1:20" x14ac:dyDescent="0.5">
      <c r="A11" s="3">
        <v>44692</v>
      </c>
      <c r="B11" t="s">
        <v>67</v>
      </c>
      <c r="C11" t="s">
        <v>73</v>
      </c>
    </row>
    <row r="12" spans="1:20" x14ac:dyDescent="0.5">
      <c r="A12" s="3">
        <v>44692</v>
      </c>
      <c r="B12" t="s">
        <v>68</v>
      </c>
      <c r="C12" t="s">
        <v>74</v>
      </c>
    </row>
    <row r="13" spans="1:20" ht="14.7" thickBot="1" x14ac:dyDescent="0.55000000000000004">
      <c r="A13" s="3">
        <v>44692</v>
      </c>
      <c r="B13" t="s">
        <v>69</v>
      </c>
      <c r="C13" t="s">
        <v>75</v>
      </c>
    </row>
    <row r="14" spans="1:20" ht="15" thickTop="1" thickBot="1" x14ac:dyDescent="0.55000000000000004">
      <c r="A14" s="8" t="s">
        <v>76</v>
      </c>
      <c r="B14" s="8" t="s">
        <v>77</v>
      </c>
      <c r="C14" s="8"/>
      <c r="H14" s="8" t="s">
        <v>103</v>
      </c>
      <c r="I14" s="8" t="s">
        <v>267</v>
      </c>
      <c r="J14" s="8" t="s">
        <v>268</v>
      </c>
      <c r="K14" s="8" t="s">
        <v>93</v>
      </c>
      <c r="L14" s="10" t="s">
        <v>97</v>
      </c>
      <c r="M14" s="10" t="s">
        <v>138</v>
      </c>
      <c r="O14" s="7"/>
      <c r="P14" s="7"/>
      <c r="Q14" s="7"/>
      <c r="R14" s="7"/>
      <c r="S14" s="7"/>
      <c r="T14" s="7"/>
    </row>
    <row r="15" spans="1:20" ht="15" thickTop="1" thickBot="1" x14ac:dyDescent="0.55000000000000004">
      <c r="A15" s="3">
        <v>44699</v>
      </c>
      <c r="B15" t="s">
        <v>51</v>
      </c>
      <c r="C15" t="s">
        <v>79</v>
      </c>
      <c r="G15">
        <f>1-0.8495</f>
        <v>0.15049999999999997</v>
      </c>
      <c r="O15" s="7"/>
      <c r="P15" s="7"/>
      <c r="Q15" s="7"/>
      <c r="R15" s="7"/>
      <c r="S15" s="7"/>
      <c r="T15" s="7"/>
    </row>
    <row r="16" spans="1:20" ht="14.7" thickTop="1" x14ac:dyDescent="0.5">
      <c r="A16" s="3">
        <v>44699</v>
      </c>
      <c r="B16" t="s">
        <v>52</v>
      </c>
      <c r="C16" t="s">
        <v>80</v>
      </c>
      <c r="R16" s="19"/>
      <c r="T16" s="19"/>
    </row>
    <row r="17" spans="1:20" x14ac:dyDescent="0.5">
      <c r="A17" s="3">
        <v>44699</v>
      </c>
      <c r="B17" t="s">
        <v>53</v>
      </c>
      <c r="C17" t="s">
        <v>81</v>
      </c>
      <c r="Q17" s="20"/>
      <c r="R17" s="19"/>
      <c r="T17" s="19"/>
    </row>
    <row r="18" spans="1:20" x14ac:dyDescent="0.5">
      <c r="A18" s="3">
        <v>44699</v>
      </c>
      <c r="B18" t="s">
        <v>50</v>
      </c>
      <c r="C18" t="s">
        <v>82</v>
      </c>
      <c r="O18" s="21"/>
      <c r="P18" s="21"/>
      <c r="Q18" s="21"/>
      <c r="R18" s="22"/>
      <c r="S18" s="21"/>
      <c r="T18" s="22"/>
    </row>
    <row r="19" spans="1:20" x14ac:dyDescent="0.5">
      <c r="A19" s="8" t="s">
        <v>78</v>
      </c>
      <c r="B19" s="8" t="s">
        <v>63</v>
      </c>
      <c r="C19" s="8"/>
      <c r="H19" s="8" t="s">
        <v>103</v>
      </c>
      <c r="I19" s="8" t="s">
        <v>267</v>
      </c>
      <c r="J19" s="8" t="s">
        <v>268</v>
      </c>
      <c r="K19" s="8" t="s">
        <v>93</v>
      </c>
      <c r="L19" s="10" t="s">
        <v>97</v>
      </c>
      <c r="M19" s="10" t="s">
        <v>138</v>
      </c>
      <c r="O19" s="21"/>
      <c r="P19" s="21"/>
      <c r="Q19" s="23"/>
      <c r="R19" s="22"/>
      <c r="S19" s="21"/>
      <c r="T19" s="22"/>
    </row>
    <row r="20" spans="1:20" x14ac:dyDescent="0.5">
      <c r="A20" s="3">
        <v>44699</v>
      </c>
      <c r="B20" t="s">
        <v>50</v>
      </c>
      <c r="C20" t="s">
        <v>83</v>
      </c>
      <c r="R20" s="19"/>
      <c r="T20" s="19"/>
    </row>
    <row r="21" spans="1:20" x14ac:dyDescent="0.5">
      <c r="A21" s="3">
        <v>44699</v>
      </c>
      <c r="B21" t="s">
        <v>51</v>
      </c>
      <c r="C21" t="s">
        <v>84</v>
      </c>
      <c r="G21">
        <f>1-0.827</f>
        <v>0.17300000000000004</v>
      </c>
      <c r="Q21" s="20"/>
      <c r="R21" s="19"/>
      <c r="T21" s="19"/>
    </row>
    <row r="22" spans="1:20" x14ac:dyDescent="0.5">
      <c r="A22" s="3">
        <v>44699</v>
      </c>
      <c r="B22" t="s">
        <v>52</v>
      </c>
      <c r="C22" t="s">
        <v>85</v>
      </c>
      <c r="O22" s="21"/>
      <c r="P22" s="21"/>
      <c r="Q22" s="21"/>
      <c r="R22" s="22"/>
      <c r="S22" s="21"/>
      <c r="T22" s="22"/>
    </row>
    <row r="23" spans="1:20" x14ac:dyDescent="0.5">
      <c r="A23" s="3">
        <v>44699</v>
      </c>
      <c r="B23" t="s">
        <v>53</v>
      </c>
      <c r="C23" t="s">
        <v>86</v>
      </c>
      <c r="O23" s="21"/>
      <c r="P23" s="21"/>
      <c r="Q23" s="23"/>
      <c r="R23" s="22"/>
      <c r="S23" s="21"/>
      <c r="T23" s="22"/>
    </row>
    <row r="24" spans="1:20" x14ac:dyDescent="0.5">
      <c r="R24" s="19"/>
      <c r="T24" s="19"/>
    </row>
    <row r="25" spans="1:20" x14ac:dyDescent="0.5">
      <c r="A25" s="8" t="s">
        <v>78</v>
      </c>
      <c r="B25" s="8" t="s">
        <v>63</v>
      </c>
      <c r="C25" s="8"/>
      <c r="H25" s="8" t="s">
        <v>104</v>
      </c>
      <c r="I25" s="8" t="s">
        <v>252</v>
      </c>
      <c r="J25" s="8" t="s">
        <v>105</v>
      </c>
      <c r="K25" s="8" t="s">
        <v>106</v>
      </c>
      <c r="L25" s="10" t="s">
        <v>107</v>
      </c>
      <c r="M25" s="10" t="s">
        <v>138</v>
      </c>
      <c r="Q25" s="20"/>
      <c r="R25" s="19"/>
      <c r="T25" s="19"/>
    </row>
    <row r="26" spans="1:20" x14ac:dyDescent="0.5">
      <c r="A26" s="3">
        <v>44704</v>
      </c>
      <c r="B26" t="s">
        <v>49</v>
      </c>
      <c r="C26" t="s">
        <v>55</v>
      </c>
      <c r="D26">
        <f>(1598+1543)/2</f>
        <v>1570.5</v>
      </c>
      <c r="O26" s="21"/>
      <c r="P26" s="21"/>
      <c r="Q26" s="21"/>
      <c r="R26" s="22"/>
      <c r="S26" s="21"/>
      <c r="T26" s="22"/>
    </row>
    <row r="27" spans="1:20" x14ac:dyDescent="0.5">
      <c r="A27" s="3">
        <v>44704</v>
      </c>
      <c r="B27" t="s">
        <v>50</v>
      </c>
      <c r="C27" t="s">
        <v>56</v>
      </c>
      <c r="D27">
        <f>(2735+2697)/2</f>
        <v>2716</v>
      </c>
      <c r="O27" s="21"/>
      <c r="P27" s="21"/>
      <c r="Q27" s="23"/>
      <c r="R27" s="22"/>
      <c r="S27" s="21"/>
      <c r="T27" s="22"/>
    </row>
    <row r="28" spans="1:20" x14ac:dyDescent="0.5">
      <c r="A28" s="3">
        <v>44704</v>
      </c>
      <c r="B28" t="s">
        <v>51</v>
      </c>
      <c r="C28" t="s">
        <v>57</v>
      </c>
      <c r="D28">
        <f>(3072+3085)/2</f>
        <v>3078.5</v>
      </c>
      <c r="G28">
        <f>1-0.865</f>
        <v>0.13500000000000001</v>
      </c>
      <c r="R28" s="19"/>
      <c r="T28" s="19"/>
    </row>
    <row r="29" spans="1:20" x14ac:dyDescent="0.5">
      <c r="A29" s="3">
        <v>44704</v>
      </c>
      <c r="B29" t="s">
        <v>52</v>
      </c>
      <c r="C29" t="s">
        <v>58</v>
      </c>
      <c r="D29">
        <f>(3177+3147)/2</f>
        <v>3162</v>
      </c>
      <c r="Q29" s="20"/>
      <c r="R29" s="19"/>
      <c r="T29" s="19"/>
    </row>
    <row r="30" spans="1:20" x14ac:dyDescent="0.5">
      <c r="A30" s="3">
        <v>44704</v>
      </c>
      <c r="B30" t="s">
        <v>53</v>
      </c>
      <c r="C30" t="s">
        <v>59</v>
      </c>
      <c r="D30">
        <f>(5842+5700)/2</f>
        <v>5771</v>
      </c>
      <c r="O30" s="21"/>
      <c r="P30" s="21"/>
      <c r="Q30" s="21"/>
      <c r="R30" s="22"/>
      <c r="S30" s="21"/>
      <c r="T30" s="22"/>
    </row>
    <row r="31" spans="1:20" x14ac:dyDescent="0.5">
      <c r="A31" s="3">
        <v>44704</v>
      </c>
      <c r="B31" t="s">
        <v>54</v>
      </c>
      <c r="C31" t="s">
        <v>60</v>
      </c>
      <c r="D31">
        <f>(3939+3938)/2</f>
        <v>3938.5</v>
      </c>
      <c r="O31" s="21"/>
      <c r="P31" s="21"/>
      <c r="Q31" s="23"/>
      <c r="R31" s="22"/>
      <c r="S31" s="21"/>
      <c r="T31" s="21"/>
    </row>
    <row r="32" spans="1:20" x14ac:dyDescent="0.5">
      <c r="A32" s="8" t="s">
        <v>62</v>
      </c>
      <c r="B32" s="8" t="s">
        <v>87</v>
      </c>
      <c r="C32" s="8"/>
      <c r="H32" s="8" t="s">
        <v>92</v>
      </c>
      <c r="I32" s="8" t="s">
        <v>253</v>
      </c>
      <c r="J32" s="8" t="s">
        <v>341</v>
      </c>
      <c r="K32" s="8" t="s">
        <v>94</v>
      </c>
      <c r="L32" s="10" t="s">
        <v>108</v>
      </c>
      <c r="M32" s="10" t="s">
        <v>139</v>
      </c>
    </row>
    <row r="33" spans="1:13" x14ac:dyDescent="0.5">
      <c r="A33" s="3">
        <v>44706</v>
      </c>
      <c r="B33" t="s">
        <v>131</v>
      </c>
      <c r="C33" t="s">
        <v>46</v>
      </c>
      <c r="D33">
        <f>3100</f>
        <v>3100</v>
      </c>
      <c r="G33">
        <f>1-0.855</f>
        <v>0.14500000000000002</v>
      </c>
    </row>
    <row r="34" spans="1:13" x14ac:dyDescent="0.5">
      <c r="A34" s="3">
        <v>44706</v>
      </c>
      <c r="B34" t="s">
        <v>283</v>
      </c>
      <c r="C34" t="s">
        <v>46</v>
      </c>
      <c r="D34">
        <f>(4810+4690)/2</f>
        <v>4750</v>
      </c>
      <c r="M34" t="s">
        <v>138</v>
      </c>
    </row>
    <row r="35" spans="1:13" x14ac:dyDescent="0.5">
      <c r="A35" s="3">
        <v>44706</v>
      </c>
      <c r="B35" t="s">
        <v>132</v>
      </c>
      <c r="C35" t="s">
        <v>47</v>
      </c>
      <c r="D35">
        <f>((6867+6964)/2 + (6900+7089)/2 + (6810+7390)/2 + (6146+7400)/2)/4</f>
        <v>6945.75</v>
      </c>
      <c r="G35">
        <f>1-0.8255</f>
        <v>0.17449999999999999</v>
      </c>
    </row>
    <row r="36" spans="1:13" x14ac:dyDescent="0.5">
      <c r="A36" s="3">
        <v>44706</v>
      </c>
      <c r="B36" t="s">
        <v>133</v>
      </c>
      <c r="C36" t="s">
        <v>48</v>
      </c>
      <c r="D36">
        <f>(1092+1145)/2</f>
        <v>1118.5</v>
      </c>
      <c r="G36">
        <f>1-0.878</f>
        <v>0.122</v>
      </c>
    </row>
    <row r="37" spans="1:13" x14ac:dyDescent="0.5">
      <c r="A37" s="8" t="s">
        <v>78</v>
      </c>
      <c r="B37" s="8" t="s">
        <v>142</v>
      </c>
      <c r="C37" s="8"/>
      <c r="H37" s="8" t="s">
        <v>92</v>
      </c>
      <c r="I37" s="8" t="s">
        <v>254</v>
      </c>
      <c r="J37" s="8" t="s">
        <v>143</v>
      </c>
      <c r="K37" s="8" t="s">
        <v>94</v>
      </c>
      <c r="L37" s="10" t="s">
        <v>108</v>
      </c>
      <c r="M37" s="10" t="s">
        <v>144</v>
      </c>
    </row>
    <row r="38" spans="1:13" x14ac:dyDescent="0.5">
      <c r="A38" s="11">
        <v>44712</v>
      </c>
      <c r="B38" t="s">
        <v>49</v>
      </c>
      <c r="C38" t="s">
        <v>145</v>
      </c>
      <c r="D38">
        <f>(547+476)/2</f>
        <v>511.5</v>
      </c>
      <c r="E38">
        <v>445</v>
      </c>
      <c r="F38">
        <f>(451+354)/2</f>
        <v>402.5</v>
      </c>
    </row>
    <row r="39" spans="1:13" x14ac:dyDescent="0.5">
      <c r="A39" s="11">
        <v>44712</v>
      </c>
      <c r="B39" t="s">
        <v>50</v>
      </c>
      <c r="C39" t="s">
        <v>146</v>
      </c>
      <c r="D39">
        <f>(417+390)/2</f>
        <v>403.5</v>
      </c>
      <c r="E39">
        <v>126</v>
      </c>
      <c r="F39">
        <f>(123+39)/2</f>
        <v>81</v>
      </c>
    </row>
    <row r="40" spans="1:13" x14ac:dyDescent="0.5">
      <c r="A40" s="11">
        <v>44712</v>
      </c>
      <c r="B40" t="s">
        <v>51</v>
      </c>
      <c r="C40" t="s">
        <v>147</v>
      </c>
      <c r="D40">
        <f>(434+415)/2</f>
        <v>424.5</v>
      </c>
      <c r="E40">
        <v>126</v>
      </c>
      <c r="F40">
        <f>(123+194)/2</f>
        <v>158.5</v>
      </c>
    </row>
    <row r="41" spans="1:13" x14ac:dyDescent="0.5">
      <c r="A41" s="11">
        <v>44712</v>
      </c>
      <c r="B41" t="s">
        <v>52</v>
      </c>
      <c r="C41" t="s">
        <v>148</v>
      </c>
      <c r="D41">
        <f>(596+540)/2</f>
        <v>568</v>
      </c>
      <c r="E41">
        <v>447</v>
      </c>
      <c r="F41">
        <f>(451+354)/2</f>
        <v>402.5</v>
      </c>
    </row>
    <row r="42" spans="1:13" x14ac:dyDescent="0.5">
      <c r="A42" s="11">
        <v>44712</v>
      </c>
      <c r="B42" t="s">
        <v>53</v>
      </c>
      <c r="C42" t="s">
        <v>149</v>
      </c>
      <c r="D42">
        <f>(376+360)/2</f>
        <v>368</v>
      </c>
      <c r="E42">
        <v>39</v>
      </c>
      <c r="F42">
        <f>(34+128)/2</f>
        <v>81</v>
      </c>
    </row>
    <row r="43" spans="1:13" x14ac:dyDescent="0.5">
      <c r="A43" s="11">
        <v>44712</v>
      </c>
      <c r="B43" t="s">
        <v>54</v>
      </c>
      <c r="C43" t="s">
        <v>150</v>
      </c>
      <c r="D43">
        <f>(180+170)/2</f>
        <v>175</v>
      </c>
      <c r="E43">
        <v>842</v>
      </c>
      <c r="F43">
        <f>(841+921)/2</f>
        <v>881</v>
      </c>
    </row>
    <row r="44" spans="1:13" x14ac:dyDescent="0.5">
      <c r="A44" s="8" t="s">
        <v>78</v>
      </c>
      <c r="B44" s="8" t="s">
        <v>142</v>
      </c>
      <c r="C44" s="8"/>
      <c r="H44" s="8" t="s">
        <v>264</v>
      </c>
      <c r="I44" s="8" t="s">
        <v>265</v>
      </c>
      <c r="J44" s="8" t="s">
        <v>143</v>
      </c>
      <c r="K44" s="8" t="s">
        <v>94</v>
      </c>
      <c r="L44" s="10" t="s">
        <v>108</v>
      </c>
      <c r="M44" s="10" t="s">
        <v>144</v>
      </c>
    </row>
    <row r="45" spans="1:13" x14ac:dyDescent="0.5">
      <c r="A45" s="11">
        <v>44720</v>
      </c>
      <c r="B45" t="s">
        <v>52</v>
      </c>
    </row>
    <row r="46" spans="1:13" x14ac:dyDescent="0.5">
      <c r="A46" s="11">
        <v>44720</v>
      </c>
      <c r="B46" t="s">
        <v>53</v>
      </c>
    </row>
    <row r="47" spans="1:13" x14ac:dyDescent="0.5">
      <c r="A47" s="11">
        <v>44720</v>
      </c>
      <c r="B47" t="s">
        <v>54</v>
      </c>
    </row>
    <row r="48" spans="1:13" x14ac:dyDescent="0.5">
      <c r="A48" s="11">
        <v>44720</v>
      </c>
    </row>
    <row r="49" spans="1:13" x14ac:dyDescent="0.5">
      <c r="A49" s="11">
        <v>44720</v>
      </c>
    </row>
    <row r="50" spans="1:13" x14ac:dyDescent="0.5">
      <c r="A50" s="11">
        <v>44720</v>
      </c>
    </row>
    <row r="51" spans="1:13" x14ac:dyDescent="0.5">
      <c r="A51" s="8" t="s">
        <v>88</v>
      </c>
      <c r="B51" s="8"/>
      <c r="C51" s="8"/>
      <c r="H51" s="8"/>
      <c r="I51" s="8"/>
      <c r="J51" s="8"/>
      <c r="K51" s="8"/>
      <c r="L51" s="8"/>
    </row>
    <row r="52" spans="1:13" x14ac:dyDescent="0.5">
      <c r="A52" s="8" t="s">
        <v>109</v>
      </c>
      <c r="B52" s="8" t="s">
        <v>113</v>
      </c>
      <c r="C52" s="8"/>
      <c r="H52" s="8" t="s">
        <v>200</v>
      </c>
      <c r="I52" s="8"/>
      <c r="J52" s="8"/>
      <c r="K52" s="8" t="s">
        <v>135</v>
      </c>
      <c r="L52" s="8" t="s">
        <v>210</v>
      </c>
      <c r="M52" s="8"/>
    </row>
    <row r="53" spans="1:13" x14ac:dyDescent="0.5">
      <c r="A53" s="3">
        <v>44330</v>
      </c>
      <c r="B53" t="s">
        <v>201</v>
      </c>
      <c r="C53" t="s">
        <v>110</v>
      </c>
      <c r="I53" t="s">
        <v>244</v>
      </c>
      <c r="J53" t="s">
        <v>202</v>
      </c>
      <c r="L53" t="s">
        <v>203</v>
      </c>
    </row>
    <row r="54" spans="1:13" x14ac:dyDescent="0.5">
      <c r="A54" s="3">
        <v>44330</v>
      </c>
      <c r="B54" t="s">
        <v>201</v>
      </c>
      <c r="C54" t="s">
        <v>111</v>
      </c>
      <c r="I54" t="s">
        <v>245</v>
      </c>
      <c r="J54" t="s">
        <v>204</v>
      </c>
      <c r="L54" t="s">
        <v>205</v>
      </c>
    </row>
    <row r="55" spans="1:13" x14ac:dyDescent="0.5">
      <c r="A55" s="3">
        <v>44330</v>
      </c>
      <c r="B55" t="s">
        <v>201</v>
      </c>
      <c r="C55" t="s">
        <v>112</v>
      </c>
      <c r="I55" t="s">
        <v>246</v>
      </c>
      <c r="J55" t="s">
        <v>206</v>
      </c>
      <c r="L55" t="s">
        <v>207</v>
      </c>
    </row>
    <row r="56" spans="1:13" x14ac:dyDescent="0.5">
      <c r="A56" s="8" t="s">
        <v>109</v>
      </c>
      <c r="B56" s="8" t="s">
        <v>113</v>
      </c>
      <c r="C56" s="8"/>
      <c r="H56" s="8" t="s">
        <v>91</v>
      </c>
      <c r="I56" s="8"/>
      <c r="J56" s="8"/>
      <c r="K56" s="8" t="s">
        <v>135</v>
      </c>
      <c r="L56" s="8" t="s">
        <v>211</v>
      </c>
      <c r="M56" t="s">
        <v>212</v>
      </c>
    </row>
    <row r="57" spans="1:13" x14ac:dyDescent="0.5">
      <c r="A57" s="3">
        <v>44335</v>
      </c>
      <c r="B57" t="s">
        <v>201</v>
      </c>
      <c r="C57" t="s">
        <v>114</v>
      </c>
      <c r="I57" t="s">
        <v>247</v>
      </c>
      <c r="J57" t="s">
        <v>220</v>
      </c>
    </row>
    <row r="58" spans="1:13" x14ac:dyDescent="0.5">
      <c r="A58" s="3">
        <v>44335</v>
      </c>
      <c r="B58" t="s">
        <v>201</v>
      </c>
      <c r="C58" t="s">
        <v>115</v>
      </c>
      <c r="I58" t="s">
        <v>247</v>
      </c>
      <c r="J58" t="s">
        <v>220</v>
      </c>
    </row>
    <row r="59" spans="1:13" x14ac:dyDescent="0.5">
      <c r="A59" s="3">
        <v>44335</v>
      </c>
      <c r="B59" t="s">
        <v>201</v>
      </c>
      <c r="C59" t="s">
        <v>116</v>
      </c>
      <c r="I59" t="s">
        <v>248</v>
      </c>
      <c r="J59" t="s">
        <v>213</v>
      </c>
    </row>
    <row r="60" spans="1:13" x14ac:dyDescent="0.5">
      <c r="A60" s="3">
        <v>44335</v>
      </c>
      <c r="B60" t="s">
        <v>201</v>
      </c>
      <c r="C60" t="s">
        <v>117</v>
      </c>
      <c r="I60" t="s">
        <v>249</v>
      </c>
      <c r="J60" t="s">
        <v>214</v>
      </c>
    </row>
    <row r="61" spans="1:13" x14ac:dyDescent="0.5">
      <c r="A61" s="3">
        <v>44335</v>
      </c>
      <c r="B61" t="s">
        <v>201</v>
      </c>
      <c r="C61" t="s">
        <v>118</v>
      </c>
      <c r="I61" t="s">
        <v>250</v>
      </c>
      <c r="J61" t="s">
        <v>215</v>
      </c>
    </row>
    <row r="62" spans="1:13" x14ac:dyDescent="0.5">
      <c r="A62" s="3">
        <v>44335</v>
      </c>
      <c r="B62" t="s">
        <v>201</v>
      </c>
      <c r="C62" t="s">
        <v>119</v>
      </c>
      <c r="I62" t="s">
        <v>90</v>
      </c>
      <c r="J62" t="s">
        <v>216</v>
      </c>
    </row>
    <row r="63" spans="1:13" x14ac:dyDescent="0.5">
      <c r="A63" s="8" t="s">
        <v>109</v>
      </c>
      <c r="B63" s="8" t="s">
        <v>113</v>
      </c>
      <c r="C63" s="8"/>
      <c r="H63" s="8" t="s">
        <v>217</v>
      </c>
      <c r="I63" s="8"/>
      <c r="J63" s="8"/>
      <c r="K63" s="8" t="s">
        <v>134</v>
      </c>
      <c r="L63" s="8" t="s">
        <v>209</v>
      </c>
      <c r="M63" s="10" t="s">
        <v>218</v>
      </c>
    </row>
    <row r="64" spans="1:13" x14ac:dyDescent="0.5">
      <c r="A64" s="3">
        <v>44342</v>
      </c>
      <c r="B64" t="s">
        <v>201</v>
      </c>
      <c r="C64" t="s">
        <v>120</v>
      </c>
      <c r="I64" t="s">
        <v>255</v>
      </c>
      <c r="J64" t="s">
        <v>221</v>
      </c>
      <c r="K64" s="3"/>
    </row>
    <row r="65" spans="1:12" x14ac:dyDescent="0.5">
      <c r="A65" s="3">
        <v>44342</v>
      </c>
      <c r="B65" t="s">
        <v>201</v>
      </c>
      <c r="C65" t="s">
        <v>121</v>
      </c>
      <c r="I65" t="s">
        <v>245</v>
      </c>
      <c r="J65" t="s">
        <v>204</v>
      </c>
      <c r="K65" s="3"/>
    </row>
    <row r="66" spans="1:12" x14ac:dyDescent="0.5">
      <c r="A66" s="3">
        <v>44342</v>
      </c>
      <c r="B66" t="s">
        <v>201</v>
      </c>
      <c r="C66" t="s">
        <v>122</v>
      </c>
      <c r="I66" t="s">
        <v>256</v>
      </c>
      <c r="J66" t="s">
        <v>222</v>
      </c>
      <c r="K66" s="3"/>
    </row>
    <row r="67" spans="1:12" x14ac:dyDescent="0.5">
      <c r="A67" s="3">
        <v>44342</v>
      </c>
      <c r="B67" t="s">
        <v>201</v>
      </c>
      <c r="C67" t="s">
        <v>123</v>
      </c>
      <c r="I67" t="s">
        <v>242</v>
      </c>
      <c r="J67" t="s">
        <v>213</v>
      </c>
      <c r="K67" s="3"/>
    </row>
    <row r="68" spans="1:12" x14ac:dyDescent="0.5">
      <c r="A68" s="3">
        <v>44342</v>
      </c>
      <c r="B68" t="s">
        <v>201</v>
      </c>
      <c r="C68" t="s">
        <v>124</v>
      </c>
      <c r="I68" t="s">
        <v>257</v>
      </c>
      <c r="J68" t="s">
        <v>223</v>
      </c>
      <c r="K68" s="3"/>
    </row>
    <row r="69" spans="1:12" x14ac:dyDescent="0.5">
      <c r="A69" s="3">
        <v>44342</v>
      </c>
      <c r="B69" t="s">
        <v>201</v>
      </c>
      <c r="C69" t="s">
        <v>125</v>
      </c>
      <c r="I69" t="s">
        <v>258</v>
      </c>
      <c r="J69" t="s">
        <v>224</v>
      </c>
      <c r="K69" s="3"/>
    </row>
    <row r="70" spans="1:12" x14ac:dyDescent="0.5">
      <c r="A70" s="3">
        <v>44342</v>
      </c>
      <c r="B70" t="s">
        <v>201</v>
      </c>
      <c r="C70" t="s">
        <v>126</v>
      </c>
      <c r="I70" t="s">
        <v>259</v>
      </c>
      <c r="J70" t="s">
        <v>225</v>
      </c>
      <c r="K70" s="3"/>
    </row>
    <row r="71" spans="1:12" x14ac:dyDescent="0.5">
      <c r="A71" s="8" t="s">
        <v>109</v>
      </c>
      <c r="B71" s="8" t="s">
        <v>113</v>
      </c>
      <c r="C71" s="8"/>
      <c r="H71" s="8" t="s">
        <v>219</v>
      </c>
      <c r="I71" s="8"/>
      <c r="J71" s="8"/>
      <c r="K71" s="8" t="s">
        <v>135</v>
      </c>
      <c r="L71" s="8"/>
    </row>
    <row r="72" spans="1:12" x14ac:dyDescent="0.5">
      <c r="A72" s="3">
        <v>44347</v>
      </c>
      <c r="C72" t="s">
        <v>127</v>
      </c>
      <c r="G72">
        <f>1-0.871</f>
        <v>0.129</v>
      </c>
      <c r="I72" t="s">
        <v>260</v>
      </c>
      <c r="J72" t="s">
        <v>269</v>
      </c>
      <c r="K72" s="3"/>
    </row>
    <row r="73" spans="1:12" x14ac:dyDescent="0.5">
      <c r="A73" s="3">
        <v>44347</v>
      </c>
      <c r="C73" t="s">
        <v>128</v>
      </c>
      <c r="I73" t="s">
        <v>261</v>
      </c>
      <c r="J73" t="s">
        <v>226</v>
      </c>
      <c r="K73" s="3"/>
    </row>
    <row r="74" spans="1:12" x14ac:dyDescent="0.5">
      <c r="A74" s="3">
        <v>44347</v>
      </c>
      <c r="C74" t="s">
        <v>129</v>
      </c>
      <c r="I74" t="s">
        <v>262</v>
      </c>
      <c r="J74" t="s">
        <v>227</v>
      </c>
      <c r="K74" s="3"/>
    </row>
    <row r="75" spans="1:12" x14ac:dyDescent="0.5">
      <c r="A75" s="3">
        <v>44347</v>
      </c>
      <c r="C75" t="s">
        <v>130</v>
      </c>
      <c r="I75" t="s">
        <v>263</v>
      </c>
      <c r="J75" t="s">
        <v>228</v>
      </c>
      <c r="K75" s="3"/>
    </row>
    <row r="76" spans="1:12" x14ac:dyDescent="0.5">
      <c r="A76" s="8" t="s">
        <v>78</v>
      </c>
      <c r="B76" s="8" t="s">
        <v>77</v>
      </c>
      <c r="C76" s="8"/>
      <c r="H76" s="8" t="s">
        <v>229</v>
      </c>
      <c r="I76" s="8" t="s">
        <v>243</v>
      </c>
      <c r="J76" s="8" t="s">
        <v>230</v>
      </c>
      <c r="K76" s="8" t="s">
        <v>135</v>
      </c>
      <c r="L76" s="8"/>
    </row>
    <row r="77" spans="1:12" x14ac:dyDescent="0.5">
      <c r="A77" s="3">
        <v>44349</v>
      </c>
      <c r="C77" t="s">
        <v>231</v>
      </c>
      <c r="H77" t="s">
        <v>237</v>
      </c>
      <c r="K77" s="3"/>
    </row>
    <row r="78" spans="1:12" x14ac:dyDescent="0.5">
      <c r="A78" s="3">
        <v>44349</v>
      </c>
      <c r="C78" t="s">
        <v>232</v>
      </c>
      <c r="H78" t="s">
        <v>238</v>
      </c>
      <c r="K78" s="3"/>
    </row>
    <row r="79" spans="1:12" x14ac:dyDescent="0.5">
      <c r="A79" s="3">
        <v>44349</v>
      </c>
      <c r="C79" t="s">
        <v>233</v>
      </c>
      <c r="H79" t="s">
        <v>239</v>
      </c>
      <c r="K79" s="3"/>
    </row>
    <row r="80" spans="1:12" x14ac:dyDescent="0.5">
      <c r="A80" s="3">
        <v>44349</v>
      </c>
      <c r="C80" t="s">
        <v>234</v>
      </c>
      <c r="H80" t="s">
        <v>240</v>
      </c>
      <c r="K80" s="3"/>
    </row>
    <row r="81" spans="1:11" x14ac:dyDescent="0.5">
      <c r="A81" s="3">
        <v>44349</v>
      </c>
      <c r="C81" t="s">
        <v>235</v>
      </c>
      <c r="H81" t="s">
        <v>51</v>
      </c>
      <c r="K81" s="3"/>
    </row>
    <row r="82" spans="1:11" x14ac:dyDescent="0.5">
      <c r="A82" s="3">
        <v>44349</v>
      </c>
      <c r="C82" t="s">
        <v>236</v>
      </c>
      <c r="H82" t="s">
        <v>241</v>
      </c>
      <c r="K82" s="3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642D-A8CF-4516-91FC-80E923783C30}">
  <dimension ref="A1:G18"/>
  <sheetViews>
    <sheetView workbookViewId="0">
      <selection activeCell="D35" sqref="D35"/>
    </sheetView>
  </sheetViews>
  <sheetFormatPr defaultRowHeight="14.35" x14ac:dyDescent="0.5"/>
  <cols>
    <col min="1" max="1" width="7.46875" bestFit="1" customWidth="1"/>
    <col min="2" max="2" width="7.46875" customWidth="1"/>
    <col min="3" max="3" width="15.1171875" bestFit="1" customWidth="1"/>
    <col min="4" max="4" width="23.52734375" bestFit="1" customWidth="1"/>
    <col min="5" max="5" width="16.234375" bestFit="1" customWidth="1"/>
    <col min="6" max="6" width="7" bestFit="1" customWidth="1"/>
    <col min="7" max="7" width="9.234375" bestFit="1" customWidth="1"/>
  </cols>
  <sheetData>
    <row r="1" spans="1:7" ht="15" thickTop="1" thickBot="1" x14ac:dyDescent="0.55000000000000004">
      <c r="A1" s="7" t="s">
        <v>270</v>
      </c>
      <c r="B1" s="7"/>
      <c r="C1" s="7"/>
      <c r="D1" s="7"/>
      <c r="E1" s="7" t="s">
        <v>274</v>
      </c>
      <c r="F1" s="7"/>
      <c r="G1" s="7"/>
    </row>
    <row r="2" spans="1:7" ht="15" thickTop="1" thickBot="1" x14ac:dyDescent="0.55000000000000004">
      <c r="A2" s="7" t="s">
        <v>278</v>
      </c>
      <c r="B2" s="7" t="s">
        <v>299</v>
      </c>
      <c r="C2" s="7" t="s">
        <v>271</v>
      </c>
      <c r="D2" s="7" t="s">
        <v>277</v>
      </c>
      <c r="E2" s="7" t="s">
        <v>276</v>
      </c>
      <c r="F2" s="7" t="s">
        <v>273</v>
      </c>
      <c r="G2" s="7" t="s">
        <v>30</v>
      </c>
    </row>
    <row r="3" spans="1:7" ht="14.7" thickTop="1" x14ac:dyDescent="0.5">
      <c r="A3">
        <v>1</v>
      </c>
      <c r="B3">
        <v>2.2000000000000002</v>
      </c>
      <c r="C3" t="s">
        <v>84</v>
      </c>
      <c r="D3" t="s">
        <v>272</v>
      </c>
      <c r="E3" s="19">
        <v>0.82299999999999995</v>
      </c>
      <c r="F3">
        <f>(E3+E4)/2</f>
        <v>0.82699999999999996</v>
      </c>
      <c r="G3" s="19">
        <f>F3-D4</f>
        <v>-5.3000000000000047E-2</v>
      </c>
    </row>
    <row r="4" spans="1:7" x14ac:dyDescent="0.5">
      <c r="D4" s="20">
        <v>0.88</v>
      </c>
      <c r="E4" s="19">
        <v>0.83099999999999996</v>
      </c>
      <c r="G4" s="19"/>
    </row>
    <row r="5" spans="1:7" x14ac:dyDescent="0.5">
      <c r="A5" s="21">
        <v>2</v>
      </c>
      <c r="B5" s="21"/>
      <c r="C5" s="21" t="s">
        <v>37</v>
      </c>
      <c r="D5" s="21" t="s">
        <v>272</v>
      </c>
      <c r="E5" s="22">
        <v>0.85299999999999998</v>
      </c>
      <c r="F5" s="21">
        <f>(E5+E6)/2</f>
        <v>0.85099999999999998</v>
      </c>
      <c r="G5" s="22">
        <f>F5-D6</f>
        <v>-2.9000000000000026E-2</v>
      </c>
    </row>
    <row r="6" spans="1:7" x14ac:dyDescent="0.5">
      <c r="A6" s="21"/>
      <c r="B6" s="21"/>
      <c r="C6" s="21"/>
      <c r="D6" s="23">
        <v>0.88</v>
      </c>
      <c r="E6" s="22">
        <v>0.84899999999999998</v>
      </c>
      <c r="F6" s="21"/>
      <c r="G6" s="22"/>
    </row>
    <row r="7" spans="1:7" x14ac:dyDescent="0.5">
      <c r="A7">
        <v>3</v>
      </c>
      <c r="B7">
        <v>2.1</v>
      </c>
      <c r="C7" t="s">
        <v>275</v>
      </c>
      <c r="D7" t="s">
        <v>272</v>
      </c>
      <c r="E7" s="19">
        <v>0.84899999999999998</v>
      </c>
      <c r="F7">
        <f>(E7+E8)/2</f>
        <v>0.84949999999999992</v>
      </c>
      <c r="G7" s="19">
        <f>F7-D8</f>
        <v>-3.0500000000000083E-2</v>
      </c>
    </row>
    <row r="8" spans="1:7" x14ac:dyDescent="0.5">
      <c r="D8" s="20">
        <v>0.88</v>
      </c>
      <c r="E8" s="19">
        <v>0.85</v>
      </c>
      <c r="G8" s="19"/>
    </row>
    <row r="9" spans="1:7" x14ac:dyDescent="0.5">
      <c r="A9" s="21">
        <v>4</v>
      </c>
      <c r="B9" s="21">
        <v>4.2</v>
      </c>
      <c r="C9" s="21" t="s">
        <v>47</v>
      </c>
      <c r="D9" s="21" t="s">
        <v>279</v>
      </c>
      <c r="E9" s="22">
        <v>0.83</v>
      </c>
      <c r="F9" s="21">
        <f>(E9+E10)/2</f>
        <v>0.8254999999999999</v>
      </c>
      <c r="G9" s="22">
        <f>F9-D10</f>
        <v>-2.4500000000000077E-2</v>
      </c>
    </row>
    <row r="10" spans="1:7" x14ac:dyDescent="0.5">
      <c r="A10" s="21"/>
      <c r="B10" s="21"/>
      <c r="C10" s="21"/>
      <c r="D10" s="23">
        <v>0.85</v>
      </c>
      <c r="E10" s="22">
        <v>0.82099999999999995</v>
      </c>
      <c r="F10" s="21"/>
      <c r="G10" s="22"/>
    </row>
    <row r="11" spans="1:7" x14ac:dyDescent="0.5">
      <c r="A11">
        <v>5</v>
      </c>
      <c r="B11">
        <v>4.0999999999999996</v>
      </c>
      <c r="C11" t="s">
        <v>46</v>
      </c>
      <c r="D11" t="s">
        <v>272</v>
      </c>
      <c r="E11" s="19">
        <v>0.85599999999999998</v>
      </c>
      <c r="F11">
        <f>(E11+E12)/2</f>
        <v>0.85499999999999998</v>
      </c>
      <c r="G11" s="19">
        <f>F11-D12</f>
        <v>-2.5000000000000022E-2</v>
      </c>
    </row>
    <row r="12" spans="1:7" x14ac:dyDescent="0.5">
      <c r="D12" s="20">
        <v>0.88</v>
      </c>
      <c r="E12" s="19">
        <v>0.85399999999999998</v>
      </c>
      <c r="G12" s="19"/>
    </row>
    <row r="13" spans="1:7" x14ac:dyDescent="0.5">
      <c r="A13" s="21">
        <v>6</v>
      </c>
      <c r="B13" s="21">
        <v>4.3</v>
      </c>
      <c r="C13" s="21" t="s">
        <v>48</v>
      </c>
      <c r="D13" s="21" t="s">
        <v>280</v>
      </c>
      <c r="E13" s="22">
        <v>0.878</v>
      </c>
      <c r="F13" s="21">
        <f>(E13+E14)/2</f>
        <v>0.878</v>
      </c>
      <c r="G13" s="22">
        <f>F13-D14</f>
        <v>-2.200000000000002E-2</v>
      </c>
    </row>
    <row r="14" spans="1:7" x14ac:dyDescent="0.5">
      <c r="A14" s="21"/>
      <c r="B14" s="21"/>
      <c r="C14" s="21"/>
      <c r="D14" s="23">
        <v>0.9</v>
      </c>
      <c r="E14" s="22">
        <v>0.878</v>
      </c>
      <c r="F14" s="21"/>
      <c r="G14" s="22"/>
    </row>
    <row r="15" spans="1:7" x14ac:dyDescent="0.5">
      <c r="A15">
        <v>7</v>
      </c>
      <c r="B15">
        <v>3.3</v>
      </c>
      <c r="C15" t="s">
        <v>57</v>
      </c>
      <c r="D15" t="s">
        <v>272</v>
      </c>
      <c r="E15" s="19">
        <v>0.86699999999999999</v>
      </c>
      <c r="F15">
        <f>(E15+E16)/2</f>
        <v>0.86499999999999999</v>
      </c>
      <c r="G15" s="19">
        <f>F15-D16</f>
        <v>-1.5000000000000013E-2</v>
      </c>
    </row>
    <row r="16" spans="1:7" x14ac:dyDescent="0.5">
      <c r="D16" s="20">
        <v>0.88</v>
      </c>
      <c r="E16" s="19">
        <v>0.86299999999999999</v>
      </c>
      <c r="G16" s="19"/>
    </row>
    <row r="17" spans="1:7" x14ac:dyDescent="0.5">
      <c r="A17" s="21">
        <v>8</v>
      </c>
      <c r="B17" s="21"/>
      <c r="C17" s="21" t="s">
        <v>127</v>
      </c>
      <c r="D17" s="21" t="s">
        <v>272</v>
      </c>
      <c r="E17" s="22">
        <v>0.872</v>
      </c>
      <c r="F17" s="21">
        <f>(E17+E18)/2</f>
        <v>0.871</v>
      </c>
      <c r="G17" s="22">
        <f>F17-D18</f>
        <v>-9.000000000000008E-3</v>
      </c>
    </row>
    <row r="18" spans="1:7" x14ac:dyDescent="0.5">
      <c r="A18" s="21"/>
      <c r="B18" s="21"/>
      <c r="C18" s="21"/>
      <c r="D18" s="23">
        <v>0.88</v>
      </c>
      <c r="E18" s="22">
        <v>0.87</v>
      </c>
      <c r="F18" s="21"/>
      <c r="G18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E2DB-64A0-421B-A03D-A13EEA99FBC6}">
  <dimension ref="A1:E4"/>
  <sheetViews>
    <sheetView workbookViewId="0">
      <selection activeCell="C2" sqref="C2"/>
    </sheetView>
  </sheetViews>
  <sheetFormatPr defaultRowHeight="14.35" x14ac:dyDescent="0.5"/>
  <cols>
    <col min="1" max="1" width="21.05859375" customWidth="1"/>
    <col min="2" max="2" width="34.46875" bestFit="1" customWidth="1"/>
    <col min="3" max="3" width="13.87890625" bestFit="1" customWidth="1"/>
    <col min="4" max="4" width="15.1171875" bestFit="1" customWidth="1"/>
    <col min="5" max="5" width="8.76171875" bestFit="1" customWidth="1"/>
  </cols>
  <sheetData>
    <row r="1" spans="1:5" x14ac:dyDescent="0.5">
      <c r="A1" t="s">
        <v>332</v>
      </c>
      <c r="B1" t="s">
        <v>324</v>
      </c>
      <c r="C1" t="s">
        <v>325</v>
      </c>
      <c r="D1" t="s">
        <v>327</v>
      </c>
      <c r="E1" t="s">
        <v>328</v>
      </c>
    </row>
    <row r="2" spans="1:5" x14ac:dyDescent="0.5">
      <c r="A2" t="s">
        <v>333</v>
      </c>
      <c r="B2" t="s">
        <v>326</v>
      </c>
      <c r="C2" t="s">
        <v>330</v>
      </c>
      <c r="D2" t="s">
        <v>331</v>
      </c>
      <c r="E2" t="s">
        <v>329</v>
      </c>
    </row>
    <row r="3" spans="1:5" x14ac:dyDescent="0.5">
      <c r="A3" t="s">
        <v>334</v>
      </c>
      <c r="B3" t="s">
        <v>335</v>
      </c>
    </row>
    <row r="4" spans="1:5" x14ac:dyDescent="0.5">
      <c r="A4" t="s">
        <v>336</v>
      </c>
      <c r="B4" t="s">
        <v>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123E-2254-44AF-AD46-1787D4F7894A}">
  <dimension ref="A1:B3"/>
  <sheetViews>
    <sheetView workbookViewId="0">
      <selection activeCell="G5" sqref="G5"/>
    </sheetView>
  </sheetViews>
  <sheetFormatPr defaultRowHeight="14.35" x14ac:dyDescent="0.5"/>
  <cols>
    <col min="1" max="1" width="14.46875" bestFit="1" customWidth="1"/>
    <col min="2" max="2" width="10.703125" bestFit="1" customWidth="1"/>
  </cols>
  <sheetData>
    <row r="1" spans="1:2" x14ac:dyDescent="0.5">
      <c r="A1" t="s">
        <v>287</v>
      </c>
    </row>
    <row r="2" spans="1:2" x14ac:dyDescent="0.5">
      <c r="A2" t="s">
        <v>285</v>
      </c>
      <c r="B2" t="s">
        <v>286</v>
      </c>
    </row>
    <row r="3" spans="1:2" x14ac:dyDescent="0.5">
      <c r="A3" t="s">
        <v>79</v>
      </c>
      <c r="B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Sampels</vt:lpstr>
      <vt:lpstr>report</vt:lpstr>
      <vt:lpstr>Hour_count</vt:lpstr>
      <vt:lpstr>datatreatment</vt:lpstr>
      <vt:lpstr>edx</vt:lpstr>
      <vt:lpstr>Sheet3</vt:lpstr>
      <vt:lpstr>different 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Paulsen</dc:creator>
  <cp:lastModifiedBy>Amalie Paulsen</cp:lastModifiedBy>
  <cp:lastPrinted>2022-05-26T12:47:48Z</cp:lastPrinted>
  <dcterms:created xsi:type="dcterms:W3CDTF">2022-04-29T10:33:07Z</dcterms:created>
  <dcterms:modified xsi:type="dcterms:W3CDTF">2022-06-18T17:37:23Z</dcterms:modified>
</cp:coreProperties>
</file>