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Учеба\MDS (Аналитик данных)\Excel\Занятия (архив)\"/>
    </mc:Choice>
  </mc:AlternateContent>
  <xr:revisionPtr revIDLastSave="0" documentId="13_ncr:1_{0488F6F0-7025-4011-BBA4-A3AB8B57C7E7}" xr6:coauthVersionLast="47" xr6:coauthVersionMax="47" xr10:uidLastSave="{00000000-0000-0000-0000-000000000000}"/>
  <bookViews>
    <workbookView xWindow="-108" yWindow="-108" windowWidth="30936" windowHeight="16896" tabRatio="803" activeTab="8" xr2:uid="{00000000-000D-0000-FFFF-FFFF00000000}"/>
  </bookViews>
  <sheets>
    <sheet name="1. Аргументы" sheetId="54" r:id="rId1"/>
    <sheet name="2. Копирование формул" sheetId="18" r:id="rId2"/>
    <sheet name="3. Типы ошибок" sheetId="55" r:id="rId3"/>
    <sheet name="4. Чистка данных" sheetId="20" r:id="rId4"/>
    <sheet name="5. СУММ, СЧЁТ, СРЗНАЧ " sheetId="56" r:id="rId5"/>
    <sheet name="6. СУММЕСЛИ(МН)" sheetId="15" r:id="rId6"/>
    <sheet name="7. МАКС, МИН, НАИБ, НАИМ, РАНГ" sheetId="57" r:id="rId7"/>
    <sheet name="8. Округление" sheetId="13" r:id="rId8"/>
    <sheet name="9. Работа с датами" sheetId="58" r:id="rId9"/>
  </sheets>
  <definedNames>
    <definedName name="_xlnm._FilterDatabase" localSheetId="1" hidden="1">'2. Копирование формул'!$A$3:$J$152</definedName>
    <definedName name="_xlnm._FilterDatabase" localSheetId="4" hidden="1">'5. СУММ, СЧЁТ, СРЗНАЧ '!$A$9:$B$39</definedName>
    <definedName name="_xlnm._FilterDatabase" localSheetId="5" hidden="1">'6. СУММЕСЛИ(МН)'!$A$1:$E$49</definedName>
    <definedName name="Продажи">'1. Аргументы'!$A$3:$A$7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58" l="1"/>
  <c r="J29" i="58"/>
  <c r="J28" i="58"/>
  <c r="J27" i="58"/>
  <c r="J26" i="58"/>
  <c r="I20" i="58"/>
  <c r="L15" i="55"/>
  <c r="L14" i="55"/>
  <c r="I3" i="58"/>
  <c r="K7" i="58" s="1"/>
  <c r="H4" i="57"/>
  <c r="H5" i="57"/>
  <c r="H6" i="57"/>
  <c r="H7" i="57"/>
  <c r="H8" i="57"/>
  <c r="H9" i="57"/>
  <c r="H10" i="57"/>
  <c r="H11" i="57"/>
  <c r="H12" i="57"/>
  <c r="H13" i="57"/>
  <c r="H18" i="57"/>
  <c r="H19" i="57"/>
  <c r="H20" i="57"/>
  <c r="H21" i="57"/>
  <c r="H22" i="57"/>
  <c r="H23" i="57"/>
  <c r="H24" i="57"/>
  <c r="H16" i="57"/>
  <c r="H17" i="57"/>
  <c r="H3" i="57"/>
  <c r="B6" i="56"/>
  <c r="A28" i="54"/>
  <c r="A20" i="54"/>
  <c r="A16" i="54"/>
  <c r="L7" i="58" l="1"/>
  <c r="H15" i="57" l="1"/>
  <c r="M2" i="15" l="1"/>
  <c r="M6" i="15"/>
  <c r="H2" i="15"/>
  <c r="J2" i="58" l="1"/>
  <c r="I2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3" i="58"/>
  <c r="G2" i="58"/>
  <c r="F29" i="58"/>
  <c r="F13" i="58"/>
  <c r="E5" i="58"/>
  <c r="F5" i="58" s="1"/>
  <c r="E6" i="58"/>
  <c r="F6" i="58" s="1"/>
  <c r="E13" i="58"/>
  <c r="E16" i="58"/>
  <c r="F16" i="58" s="1"/>
  <c r="E21" i="58"/>
  <c r="F21" i="58" s="1"/>
  <c r="E29" i="58"/>
  <c r="C3" i="58"/>
  <c r="D3" i="58"/>
  <c r="E3" i="58" s="1"/>
  <c r="F3" i="58" s="1"/>
  <c r="C4" i="58"/>
  <c r="D4" i="58"/>
  <c r="C5" i="58"/>
  <c r="D5" i="58"/>
  <c r="C6" i="58"/>
  <c r="D6" i="58"/>
  <c r="C7" i="58"/>
  <c r="E7" i="58" s="1"/>
  <c r="F7" i="58" s="1"/>
  <c r="D7" i="58"/>
  <c r="C8" i="58"/>
  <c r="D8" i="58"/>
  <c r="C9" i="58"/>
  <c r="D9" i="58"/>
  <c r="E9" i="58" s="1"/>
  <c r="F9" i="58" s="1"/>
  <c r="C10" i="58"/>
  <c r="D10" i="58"/>
  <c r="E10" i="58" s="1"/>
  <c r="F10" i="58" s="1"/>
  <c r="C11" i="58"/>
  <c r="D11" i="58"/>
  <c r="E11" i="58" s="1"/>
  <c r="F11" i="58" s="1"/>
  <c r="C12" i="58"/>
  <c r="D12" i="58"/>
  <c r="C13" i="58"/>
  <c r="D13" i="58"/>
  <c r="C14" i="58"/>
  <c r="D14" i="58"/>
  <c r="E14" i="58" s="1"/>
  <c r="F14" i="58" s="1"/>
  <c r="C15" i="58"/>
  <c r="D15" i="58"/>
  <c r="E15" i="58" s="1"/>
  <c r="F15" i="58" s="1"/>
  <c r="C16" i="58"/>
  <c r="D16" i="58"/>
  <c r="C17" i="58"/>
  <c r="D17" i="58"/>
  <c r="E17" i="58" s="1"/>
  <c r="F17" i="58" s="1"/>
  <c r="C18" i="58"/>
  <c r="D18" i="58"/>
  <c r="E18" i="58" s="1"/>
  <c r="F18" i="58" s="1"/>
  <c r="C19" i="58"/>
  <c r="D19" i="58"/>
  <c r="E19" i="58" s="1"/>
  <c r="F19" i="58" s="1"/>
  <c r="C20" i="58"/>
  <c r="D20" i="58"/>
  <c r="C21" i="58"/>
  <c r="D21" i="58"/>
  <c r="C22" i="58"/>
  <c r="D22" i="58"/>
  <c r="E22" i="58" s="1"/>
  <c r="F22" i="58" s="1"/>
  <c r="C23" i="58"/>
  <c r="E23" i="58" s="1"/>
  <c r="F23" i="58" s="1"/>
  <c r="D23" i="58"/>
  <c r="C24" i="58"/>
  <c r="D24" i="58"/>
  <c r="C25" i="58"/>
  <c r="D25" i="58"/>
  <c r="E25" i="58" s="1"/>
  <c r="F25" i="58" s="1"/>
  <c r="C26" i="58"/>
  <c r="D26" i="58"/>
  <c r="E26" i="58" s="1"/>
  <c r="F26" i="58" s="1"/>
  <c r="C27" i="58"/>
  <c r="D27" i="58"/>
  <c r="E27" i="58" s="1"/>
  <c r="F27" i="58" s="1"/>
  <c r="C28" i="58"/>
  <c r="D28" i="58"/>
  <c r="C29" i="58"/>
  <c r="D29" i="58"/>
  <c r="D2" i="58"/>
  <c r="E2" i="58" s="1"/>
  <c r="F2" i="58" s="1"/>
  <c r="C2" i="58"/>
  <c r="B3" i="58"/>
  <c r="B4" i="58"/>
  <c r="E4" i="58" s="1"/>
  <c r="F4" i="58" s="1"/>
  <c r="B5" i="58"/>
  <c r="B6" i="58"/>
  <c r="B7" i="58"/>
  <c r="B8" i="58"/>
  <c r="E8" i="58" s="1"/>
  <c r="F8" i="58" s="1"/>
  <c r="B9" i="58"/>
  <c r="B10" i="58"/>
  <c r="B11" i="58"/>
  <c r="B12" i="58"/>
  <c r="E12" i="58" s="1"/>
  <c r="F12" i="58" s="1"/>
  <c r="B13" i="58"/>
  <c r="B14" i="58"/>
  <c r="B15" i="58"/>
  <c r="B16" i="58"/>
  <c r="B17" i="58"/>
  <c r="B18" i="58"/>
  <c r="B19" i="58"/>
  <c r="B20" i="58"/>
  <c r="E20" i="58" s="1"/>
  <c r="F20" i="58" s="1"/>
  <c r="B21" i="58"/>
  <c r="B22" i="58"/>
  <c r="B23" i="58"/>
  <c r="B24" i="58"/>
  <c r="E24" i="58" s="1"/>
  <c r="F24" i="58" s="1"/>
  <c r="B25" i="58"/>
  <c r="B26" i="58"/>
  <c r="B27" i="58"/>
  <c r="B28" i="58"/>
  <c r="E28" i="58" s="1"/>
  <c r="F28" i="58" s="1"/>
  <c r="B29" i="58"/>
  <c r="B2" i="58"/>
  <c r="C7" i="13"/>
  <c r="J2" i="13"/>
  <c r="C4" i="13"/>
  <c r="C3" i="13"/>
  <c r="C2" i="13"/>
  <c r="H2" i="57"/>
  <c r="M3" i="15"/>
  <c r="M4" i="15"/>
  <c r="M5" i="15"/>
  <c r="M7" i="15"/>
  <c r="H3" i="15"/>
  <c r="H9" i="15"/>
  <c r="H8" i="15"/>
  <c r="B5" i="56"/>
  <c r="B3" i="56"/>
  <c r="B4" i="56"/>
  <c r="A16" i="20"/>
  <c r="B16" i="20" s="1"/>
  <c r="B15" i="20"/>
  <c r="F1" i="20"/>
  <c r="C3" i="20"/>
  <c r="D3" i="20" s="1"/>
  <c r="C4" i="20"/>
  <c r="D4" i="20" s="1"/>
  <c r="C5" i="20"/>
  <c r="D5" i="20" s="1"/>
  <c r="C6" i="20"/>
  <c r="D6" i="20" s="1"/>
  <c r="C7" i="20"/>
  <c r="D7" i="20" s="1"/>
  <c r="C8" i="20"/>
  <c r="D8" i="20" s="1"/>
  <c r="C9" i="20"/>
  <c r="D9" i="20" s="1"/>
  <c r="C10" i="20"/>
  <c r="D10" i="20" s="1"/>
  <c r="C11" i="20"/>
  <c r="D11" i="20" s="1"/>
  <c r="C2" i="20"/>
  <c r="D2" i="20" s="1"/>
  <c r="K18" i="55"/>
  <c r="K17" i="55"/>
  <c r="K15" i="55"/>
  <c r="K14" i="55"/>
  <c r="K5" i="18"/>
  <c r="L5" i="18"/>
  <c r="M5" i="18"/>
  <c r="N5" i="18"/>
  <c r="O5" i="18"/>
  <c r="P5" i="18"/>
  <c r="K6" i="18"/>
  <c r="L6" i="18"/>
  <c r="M6" i="18"/>
  <c r="N6" i="18"/>
  <c r="O6" i="18"/>
  <c r="P6" i="18"/>
  <c r="K7" i="18"/>
  <c r="L7" i="18"/>
  <c r="M7" i="18"/>
  <c r="N7" i="18"/>
  <c r="O7" i="18"/>
  <c r="P7" i="18"/>
  <c r="K8" i="18"/>
  <c r="L8" i="18"/>
  <c r="M8" i="18"/>
  <c r="N8" i="18"/>
  <c r="O8" i="18"/>
  <c r="P8" i="18"/>
  <c r="K9" i="18"/>
  <c r="L9" i="18"/>
  <c r="M9" i="18"/>
  <c r="N9" i="18"/>
  <c r="O9" i="18"/>
  <c r="P9" i="18"/>
  <c r="K10" i="18"/>
  <c r="L10" i="18"/>
  <c r="M10" i="18"/>
  <c r="N10" i="18"/>
  <c r="O10" i="18"/>
  <c r="P10" i="18"/>
  <c r="K11" i="18"/>
  <c r="L11" i="18"/>
  <c r="M11" i="18"/>
  <c r="N11" i="18"/>
  <c r="O11" i="18"/>
  <c r="P11" i="18"/>
  <c r="K12" i="18"/>
  <c r="L12" i="18"/>
  <c r="M12" i="18"/>
  <c r="N12" i="18"/>
  <c r="O12" i="18"/>
  <c r="P12" i="18"/>
  <c r="K13" i="18"/>
  <c r="L13" i="18"/>
  <c r="M13" i="18"/>
  <c r="N13" i="18"/>
  <c r="O13" i="18"/>
  <c r="P13" i="18"/>
  <c r="K14" i="18"/>
  <c r="L14" i="18"/>
  <c r="M14" i="18"/>
  <c r="N14" i="18"/>
  <c r="O14" i="18"/>
  <c r="P14" i="18"/>
  <c r="K15" i="18"/>
  <c r="L15" i="18"/>
  <c r="M15" i="18"/>
  <c r="N15" i="18"/>
  <c r="O15" i="18"/>
  <c r="P15" i="18"/>
  <c r="K16" i="18"/>
  <c r="L16" i="18"/>
  <c r="M16" i="18"/>
  <c r="N16" i="18"/>
  <c r="O16" i="18"/>
  <c r="P16" i="18"/>
  <c r="K17" i="18"/>
  <c r="L17" i="18"/>
  <c r="M17" i="18"/>
  <c r="N17" i="18"/>
  <c r="O17" i="18"/>
  <c r="P17" i="18"/>
  <c r="K18" i="18"/>
  <c r="L18" i="18"/>
  <c r="M18" i="18"/>
  <c r="N18" i="18"/>
  <c r="O18" i="18"/>
  <c r="P18" i="18"/>
  <c r="K19" i="18"/>
  <c r="L19" i="18"/>
  <c r="M19" i="18"/>
  <c r="N19" i="18"/>
  <c r="O19" i="18"/>
  <c r="P19" i="18"/>
  <c r="K20" i="18"/>
  <c r="L20" i="18"/>
  <c r="M20" i="18"/>
  <c r="N20" i="18"/>
  <c r="O20" i="18"/>
  <c r="P20" i="18"/>
  <c r="K21" i="18"/>
  <c r="L21" i="18"/>
  <c r="M21" i="18"/>
  <c r="N21" i="18"/>
  <c r="O21" i="18"/>
  <c r="P21" i="18"/>
  <c r="K22" i="18"/>
  <c r="L22" i="18"/>
  <c r="M22" i="18"/>
  <c r="N22" i="18"/>
  <c r="O22" i="18"/>
  <c r="P22" i="18"/>
  <c r="K23" i="18"/>
  <c r="L23" i="18"/>
  <c r="M23" i="18"/>
  <c r="N23" i="18"/>
  <c r="O23" i="18"/>
  <c r="P23" i="18"/>
  <c r="K24" i="18"/>
  <c r="L24" i="18"/>
  <c r="M24" i="18"/>
  <c r="N24" i="18"/>
  <c r="O24" i="18"/>
  <c r="P24" i="18"/>
  <c r="K25" i="18"/>
  <c r="L25" i="18"/>
  <c r="M25" i="18"/>
  <c r="N25" i="18"/>
  <c r="O25" i="18"/>
  <c r="P25" i="18"/>
  <c r="K26" i="18"/>
  <c r="L26" i="18"/>
  <c r="M26" i="18"/>
  <c r="N26" i="18"/>
  <c r="O26" i="18"/>
  <c r="P26" i="18"/>
  <c r="K27" i="18"/>
  <c r="L27" i="18"/>
  <c r="M27" i="18"/>
  <c r="N27" i="18"/>
  <c r="O27" i="18"/>
  <c r="P27" i="18"/>
  <c r="K28" i="18"/>
  <c r="L28" i="18"/>
  <c r="M28" i="18"/>
  <c r="N28" i="18"/>
  <c r="O28" i="18"/>
  <c r="P28" i="18"/>
  <c r="K29" i="18"/>
  <c r="L29" i="18"/>
  <c r="M29" i="18"/>
  <c r="N29" i="18"/>
  <c r="O29" i="18"/>
  <c r="P29" i="18"/>
  <c r="K30" i="18"/>
  <c r="L30" i="18"/>
  <c r="M30" i="18"/>
  <c r="N30" i="18"/>
  <c r="O30" i="18"/>
  <c r="P30" i="18"/>
  <c r="K31" i="18"/>
  <c r="L31" i="18"/>
  <c r="M31" i="18"/>
  <c r="N31" i="18"/>
  <c r="O31" i="18"/>
  <c r="P31" i="18"/>
  <c r="K32" i="18"/>
  <c r="L32" i="18"/>
  <c r="M32" i="18"/>
  <c r="N32" i="18"/>
  <c r="O32" i="18"/>
  <c r="P32" i="18"/>
  <c r="K33" i="18"/>
  <c r="L33" i="18"/>
  <c r="M33" i="18"/>
  <c r="N33" i="18"/>
  <c r="O33" i="18"/>
  <c r="P33" i="18"/>
  <c r="K34" i="18"/>
  <c r="L34" i="18"/>
  <c r="M34" i="18"/>
  <c r="N34" i="18"/>
  <c r="O34" i="18"/>
  <c r="P34" i="18"/>
  <c r="K35" i="18"/>
  <c r="L35" i="18"/>
  <c r="M35" i="18"/>
  <c r="N35" i="18"/>
  <c r="O35" i="18"/>
  <c r="P35" i="18"/>
  <c r="K36" i="18"/>
  <c r="L36" i="18"/>
  <c r="M36" i="18"/>
  <c r="N36" i="18"/>
  <c r="O36" i="18"/>
  <c r="P36" i="18"/>
  <c r="K37" i="18"/>
  <c r="L37" i="18"/>
  <c r="M37" i="18"/>
  <c r="N37" i="18"/>
  <c r="O37" i="18"/>
  <c r="P37" i="18"/>
  <c r="K38" i="18"/>
  <c r="L38" i="18"/>
  <c r="M38" i="18"/>
  <c r="N38" i="18"/>
  <c r="O38" i="18"/>
  <c r="P38" i="18"/>
  <c r="K39" i="18"/>
  <c r="L39" i="18"/>
  <c r="M39" i="18"/>
  <c r="N39" i="18"/>
  <c r="O39" i="18"/>
  <c r="P39" i="18"/>
  <c r="K40" i="18"/>
  <c r="L40" i="18"/>
  <c r="M40" i="18"/>
  <c r="N40" i="18"/>
  <c r="O40" i="18"/>
  <c r="P40" i="18"/>
  <c r="K41" i="18"/>
  <c r="L41" i="18"/>
  <c r="M41" i="18"/>
  <c r="N41" i="18"/>
  <c r="O41" i="18"/>
  <c r="P41" i="18"/>
  <c r="K42" i="18"/>
  <c r="L42" i="18"/>
  <c r="M42" i="18"/>
  <c r="N42" i="18"/>
  <c r="O42" i="18"/>
  <c r="P42" i="18"/>
  <c r="K43" i="18"/>
  <c r="L43" i="18"/>
  <c r="M43" i="18"/>
  <c r="N43" i="18"/>
  <c r="O43" i="18"/>
  <c r="P43" i="18"/>
  <c r="K44" i="18"/>
  <c r="L44" i="18"/>
  <c r="M44" i="18"/>
  <c r="N44" i="18"/>
  <c r="O44" i="18"/>
  <c r="P44" i="18"/>
  <c r="K45" i="18"/>
  <c r="L45" i="18"/>
  <c r="M45" i="18"/>
  <c r="N45" i="18"/>
  <c r="O45" i="18"/>
  <c r="P45" i="18"/>
  <c r="K46" i="18"/>
  <c r="L46" i="18"/>
  <c r="M46" i="18"/>
  <c r="N46" i="18"/>
  <c r="O46" i="18"/>
  <c r="P46" i="18"/>
  <c r="K47" i="18"/>
  <c r="L47" i="18"/>
  <c r="M47" i="18"/>
  <c r="N47" i="18"/>
  <c r="O47" i="18"/>
  <c r="P47" i="18"/>
  <c r="K48" i="18"/>
  <c r="L48" i="18"/>
  <c r="M48" i="18"/>
  <c r="N48" i="18"/>
  <c r="O48" i="18"/>
  <c r="P48" i="18"/>
  <c r="K49" i="18"/>
  <c r="L49" i="18"/>
  <c r="M49" i="18"/>
  <c r="N49" i="18"/>
  <c r="O49" i="18"/>
  <c r="P49" i="18"/>
  <c r="K50" i="18"/>
  <c r="L50" i="18"/>
  <c r="M50" i="18"/>
  <c r="N50" i="18"/>
  <c r="O50" i="18"/>
  <c r="P50" i="18"/>
  <c r="K51" i="18"/>
  <c r="L51" i="18"/>
  <c r="M51" i="18"/>
  <c r="N51" i="18"/>
  <c r="O51" i="18"/>
  <c r="P51" i="18"/>
  <c r="K52" i="18"/>
  <c r="L52" i="18"/>
  <c r="M52" i="18"/>
  <c r="N52" i="18"/>
  <c r="O52" i="18"/>
  <c r="P52" i="18"/>
  <c r="K53" i="18"/>
  <c r="L53" i="18"/>
  <c r="M53" i="18"/>
  <c r="N53" i="18"/>
  <c r="O53" i="18"/>
  <c r="P53" i="18"/>
  <c r="K54" i="18"/>
  <c r="L54" i="18"/>
  <c r="M54" i="18"/>
  <c r="N54" i="18"/>
  <c r="O54" i="18"/>
  <c r="P54" i="18"/>
  <c r="K55" i="18"/>
  <c r="L55" i="18"/>
  <c r="M55" i="18"/>
  <c r="N55" i="18"/>
  <c r="O55" i="18"/>
  <c r="P55" i="18"/>
  <c r="K56" i="18"/>
  <c r="L56" i="18"/>
  <c r="M56" i="18"/>
  <c r="N56" i="18"/>
  <c r="O56" i="18"/>
  <c r="P56" i="18"/>
  <c r="K57" i="18"/>
  <c r="L57" i="18"/>
  <c r="M57" i="18"/>
  <c r="N57" i="18"/>
  <c r="O57" i="18"/>
  <c r="P57" i="18"/>
  <c r="K58" i="18"/>
  <c r="L58" i="18"/>
  <c r="M58" i="18"/>
  <c r="N58" i="18"/>
  <c r="O58" i="18"/>
  <c r="P58" i="18"/>
  <c r="K59" i="18"/>
  <c r="L59" i="18"/>
  <c r="M59" i="18"/>
  <c r="N59" i="18"/>
  <c r="O59" i="18"/>
  <c r="P59" i="18"/>
  <c r="K60" i="18"/>
  <c r="L60" i="18"/>
  <c r="M60" i="18"/>
  <c r="N60" i="18"/>
  <c r="O60" i="18"/>
  <c r="P60" i="18"/>
  <c r="K61" i="18"/>
  <c r="L61" i="18"/>
  <c r="M61" i="18"/>
  <c r="N61" i="18"/>
  <c r="O61" i="18"/>
  <c r="P61" i="18"/>
  <c r="K62" i="18"/>
  <c r="L62" i="18"/>
  <c r="M62" i="18"/>
  <c r="N62" i="18"/>
  <c r="O62" i="18"/>
  <c r="P62" i="18"/>
  <c r="K63" i="18"/>
  <c r="L63" i="18"/>
  <c r="M63" i="18"/>
  <c r="N63" i="18"/>
  <c r="O63" i="18"/>
  <c r="P63" i="18"/>
  <c r="K64" i="18"/>
  <c r="L64" i="18"/>
  <c r="M64" i="18"/>
  <c r="N64" i="18"/>
  <c r="O64" i="18"/>
  <c r="P64" i="18"/>
  <c r="K65" i="18"/>
  <c r="L65" i="18"/>
  <c r="M65" i="18"/>
  <c r="N65" i="18"/>
  <c r="O65" i="18"/>
  <c r="P65" i="18"/>
  <c r="K66" i="18"/>
  <c r="L66" i="18"/>
  <c r="M66" i="18"/>
  <c r="N66" i="18"/>
  <c r="O66" i="18"/>
  <c r="P66" i="18"/>
  <c r="K67" i="18"/>
  <c r="L67" i="18"/>
  <c r="M67" i="18"/>
  <c r="N67" i="18"/>
  <c r="O67" i="18"/>
  <c r="P67" i="18"/>
  <c r="K68" i="18"/>
  <c r="L68" i="18"/>
  <c r="M68" i="18"/>
  <c r="N68" i="18"/>
  <c r="O68" i="18"/>
  <c r="P68" i="18"/>
  <c r="K69" i="18"/>
  <c r="L69" i="18"/>
  <c r="M69" i="18"/>
  <c r="N69" i="18"/>
  <c r="O69" i="18"/>
  <c r="P69" i="18"/>
  <c r="K70" i="18"/>
  <c r="L70" i="18"/>
  <c r="M70" i="18"/>
  <c r="N70" i="18"/>
  <c r="O70" i="18"/>
  <c r="P70" i="18"/>
  <c r="K71" i="18"/>
  <c r="L71" i="18"/>
  <c r="M71" i="18"/>
  <c r="N71" i="18"/>
  <c r="O71" i="18"/>
  <c r="P71" i="18"/>
  <c r="K72" i="18"/>
  <c r="L72" i="18"/>
  <c r="M72" i="18"/>
  <c r="N72" i="18"/>
  <c r="O72" i="18"/>
  <c r="P72" i="18"/>
  <c r="K73" i="18"/>
  <c r="L73" i="18"/>
  <c r="M73" i="18"/>
  <c r="N73" i="18"/>
  <c r="O73" i="18"/>
  <c r="P73" i="18"/>
  <c r="K74" i="18"/>
  <c r="L74" i="18"/>
  <c r="M74" i="18"/>
  <c r="N74" i="18"/>
  <c r="O74" i="18"/>
  <c r="P74" i="18"/>
  <c r="K75" i="18"/>
  <c r="L75" i="18"/>
  <c r="M75" i="18"/>
  <c r="N75" i="18"/>
  <c r="O75" i="18"/>
  <c r="P75" i="18"/>
  <c r="K76" i="18"/>
  <c r="L76" i="18"/>
  <c r="M76" i="18"/>
  <c r="N76" i="18"/>
  <c r="O76" i="18"/>
  <c r="P76" i="18"/>
  <c r="K77" i="18"/>
  <c r="L77" i="18"/>
  <c r="M77" i="18"/>
  <c r="N77" i="18"/>
  <c r="O77" i="18"/>
  <c r="P77" i="18"/>
  <c r="K78" i="18"/>
  <c r="L78" i="18"/>
  <c r="M78" i="18"/>
  <c r="N78" i="18"/>
  <c r="O78" i="18"/>
  <c r="P78" i="18"/>
  <c r="K79" i="18"/>
  <c r="L79" i="18"/>
  <c r="M79" i="18"/>
  <c r="N79" i="18"/>
  <c r="O79" i="18"/>
  <c r="P79" i="18"/>
  <c r="K80" i="18"/>
  <c r="L80" i="18"/>
  <c r="M80" i="18"/>
  <c r="N80" i="18"/>
  <c r="O80" i="18"/>
  <c r="P80" i="18"/>
  <c r="K81" i="18"/>
  <c r="L81" i="18"/>
  <c r="M81" i="18"/>
  <c r="N81" i="18"/>
  <c r="O81" i="18"/>
  <c r="P81" i="18"/>
  <c r="K82" i="18"/>
  <c r="L82" i="18"/>
  <c r="M82" i="18"/>
  <c r="N82" i="18"/>
  <c r="O82" i="18"/>
  <c r="P82" i="18"/>
  <c r="K83" i="18"/>
  <c r="L83" i="18"/>
  <c r="M83" i="18"/>
  <c r="N83" i="18"/>
  <c r="O83" i="18"/>
  <c r="P83" i="18"/>
  <c r="K84" i="18"/>
  <c r="L84" i="18"/>
  <c r="M84" i="18"/>
  <c r="N84" i="18"/>
  <c r="O84" i="18"/>
  <c r="P84" i="18"/>
  <c r="K85" i="18"/>
  <c r="L85" i="18"/>
  <c r="M85" i="18"/>
  <c r="N85" i="18"/>
  <c r="O85" i="18"/>
  <c r="P85" i="18"/>
  <c r="K86" i="18"/>
  <c r="L86" i="18"/>
  <c r="M86" i="18"/>
  <c r="N86" i="18"/>
  <c r="O86" i="18"/>
  <c r="P86" i="18"/>
  <c r="K87" i="18"/>
  <c r="L87" i="18"/>
  <c r="M87" i="18"/>
  <c r="N87" i="18"/>
  <c r="O87" i="18"/>
  <c r="P87" i="18"/>
  <c r="K88" i="18"/>
  <c r="L88" i="18"/>
  <c r="M88" i="18"/>
  <c r="N88" i="18"/>
  <c r="O88" i="18"/>
  <c r="P88" i="18"/>
  <c r="K89" i="18"/>
  <c r="L89" i="18"/>
  <c r="M89" i="18"/>
  <c r="N89" i="18"/>
  <c r="O89" i="18"/>
  <c r="P89" i="18"/>
  <c r="K90" i="18"/>
  <c r="L90" i="18"/>
  <c r="M90" i="18"/>
  <c r="N90" i="18"/>
  <c r="O90" i="18"/>
  <c r="P90" i="18"/>
  <c r="K91" i="18"/>
  <c r="L91" i="18"/>
  <c r="M91" i="18"/>
  <c r="N91" i="18"/>
  <c r="O91" i="18"/>
  <c r="P91" i="18"/>
  <c r="K92" i="18"/>
  <c r="L92" i="18"/>
  <c r="M92" i="18"/>
  <c r="N92" i="18"/>
  <c r="O92" i="18"/>
  <c r="P92" i="18"/>
  <c r="K93" i="18"/>
  <c r="L93" i="18"/>
  <c r="M93" i="18"/>
  <c r="N93" i="18"/>
  <c r="O93" i="18"/>
  <c r="P93" i="18"/>
  <c r="K94" i="18"/>
  <c r="L94" i="18"/>
  <c r="M94" i="18"/>
  <c r="N94" i="18"/>
  <c r="O94" i="18"/>
  <c r="P94" i="18"/>
  <c r="K95" i="18"/>
  <c r="L95" i="18"/>
  <c r="M95" i="18"/>
  <c r="N95" i="18"/>
  <c r="O95" i="18"/>
  <c r="P95" i="18"/>
  <c r="K96" i="18"/>
  <c r="L96" i="18"/>
  <c r="M96" i="18"/>
  <c r="N96" i="18"/>
  <c r="O96" i="18"/>
  <c r="P96" i="18"/>
  <c r="K97" i="18"/>
  <c r="L97" i="18"/>
  <c r="M97" i="18"/>
  <c r="N97" i="18"/>
  <c r="O97" i="18"/>
  <c r="P97" i="18"/>
  <c r="K98" i="18"/>
  <c r="L98" i="18"/>
  <c r="M98" i="18"/>
  <c r="N98" i="18"/>
  <c r="O98" i="18"/>
  <c r="P98" i="18"/>
  <c r="K99" i="18"/>
  <c r="L99" i="18"/>
  <c r="M99" i="18"/>
  <c r="N99" i="18"/>
  <c r="O99" i="18"/>
  <c r="P99" i="18"/>
  <c r="K100" i="18"/>
  <c r="L100" i="18"/>
  <c r="M100" i="18"/>
  <c r="N100" i="18"/>
  <c r="O100" i="18"/>
  <c r="P100" i="18"/>
  <c r="K101" i="18"/>
  <c r="L101" i="18"/>
  <c r="M101" i="18"/>
  <c r="N101" i="18"/>
  <c r="O101" i="18"/>
  <c r="P101" i="18"/>
  <c r="K102" i="18"/>
  <c r="L102" i="18"/>
  <c r="M102" i="18"/>
  <c r="N102" i="18"/>
  <c r="O102" i="18"/>
  <c r="P102" i="18"/>
  <c r="K103" i="18"/>
  <c r="L103" i="18"/>
  <c r="M103" i="18"/>
  <c r="N103" i="18"/>
  <c r="O103" i="18"/>
  <c r="P103" i="18"/>
  <c r="K104" i="18"/>
  <c r="L104" i="18"/>
  <c r="M104" i="18"/>
  <c r="N104" i="18"/>
  <c r="O104" i="18"/>
  <c r="P104" i="18"/>
  <c r="K105" i="18"/>
  <c r="L105" i="18"/>
  <c r="M105" i="18"/>
  <c r="N105" i="18"/>
  <c r="O105" i="18"/>
  <c r="P105" i="18"/>
  <c r="K106" i="18"/>
  <c r="L106" i="18"/>
  <c r="M106" i="18"/>
  <c r="N106" i="18"/>
  <c r="O106" i="18"/>
  <c r="P106" i="18"/>
  <c r="K107" i="18"/>
  <c r="L107" i="18"/>
  <c r="M107" i="18"/>
  <c r="N107" i="18"/>
  <c r="O107" i="18"/>
  <c r="P107" i="18"/>
  <c r="K108" i="18"/>
  <c r="L108" i="18"/>
  <c r="M108" i="18"/>
  <c r="N108" i="18"/>
  <c r="O108" i="18"/>
  <c r="P108" i="18"/>
  <c r="K109" i="18"/>
  <c r="L109" i="18"/>
  <c r="M109" i="18"/>
  <c r="N109" i="18"/>
  <c r="O109" i="18"/>
  <c r="P109" i="18"/>
  <c r="K110" i="18"/>
  <c r="L110" i="18"/>
  <c r="M110" i="18"/>
  <c r="N110" i="18"/>
  <c r="O110" i="18"/>
  <c r="P110" i="18"/>
  <c r="K111" i="18"/>
  <c r="L111" i="18"/>
  <c r="M111" i="18"/>
  <c r="N111" i="18"/>
  <c r="O111" i="18"/>
  <c r="P111" i="18"/>
  <c r="K112" i="18"/>
  <c r="L112" i="18"/>
  <c r="M112" i="18"/>
  <c r="N112" i="18"/>
  <c r="O112" i="18"/>
  <c r="P112" i="18"/>
  <c r="K113" i="18"/>
  <c r="L113" i="18"/>
  <c r="M113" i="18"/>
  <c r="N113" i="18"/>
  <c r="O113" i="18"/>
  <c r="P113" i="18"/>
  <c r="K114" i="18"/>
  <c r="L114" i="18"/>
  <c r="M114" i="18"/>
  <c r="N114" i="18"/>
  <c r="O114" i="18"/>
  <c r="P114" i="18"/>
  <c r="K115" i="18"/>
  <c r="L115" i="18"/>
  <c r="M115" i="18"/>
  <c r="N115" i="18"/>
  <c r="O115" i="18"/>
  <c r="P115" i="18"/>
  <c r="K116" i="18"/>
  <c r="L116" i="18"/>
  <c r="M116" i="18"/>
  <c r="N116" i="18"/>
  <c r="O116" i="18"/>
  <c r="P116" i="18"/>
  <c r="K117" i="18"/>
  <c r="L117" i="18"/>
  <c r="M117" i="18"/>
  <c r="N117" i="18"/>
  <c r="O117" i="18"/>
  <c r="P117" i="18"/>
  <c r="K118" i="18"/>
  <c r="L118" i="18"/>
  <c r="M118" i="18"/>
  <c r="N118" i="18"/>
  <c r="O118" i="18"/>
  <c r="P118" i="18"/>
  <c r="K119" i="18"/>
  <c r="L119" i="18"/>
  <c r="M119" i="18"/>
  <c r="N119" i="18"/>
  <c r="O119" i="18"/>
  <c r="P119" i="18"/>
  <c r="K120" i="18"/>
  <c r="L120" i="18"/>
  <c r="M120" i="18"/>
  <c r="N120" i="18"/>
  <c r="O120" i="18"/>
  <c r="P120" i="18"/>
  <c r="K121" i="18"/>
  <c r="L121" i="18"/>
  <c r="M121" i="18"/>
  <c r="N121" i="18"/>
  <c r="O121" i="18"/>
  <c r="P121" i="18"/>
  <c r="K122" i="18"/>
  <c r="L122" i="18"/>
  <c r="M122" i="18"/>
  <c r="N122" i="18"/>
  <c r="O122" i="18"/>
  <c r="P122" i="18"/>
  <c r="K123" i="18"/>
  <c r="L123" i="18"/>
  <c r="M123" i="18"/>
  <c r="N123" i="18"/>
  <c r="O123" i="18"/>
  <c r="P123" i="18"/>
  <c r="K124" i="18"/>
  <c r="L124" i="18"/>
  <c r="M124" i="18"/>
  <c r="N124" i="18"/>
  <c r="O124" i="18"/>
  <c r="P124" i="18"/>
  <c r="K125" i="18"/>
  <c r="L125" i="18"/>
  <c r="M125" i="18"/>
  <c r="N125" i="18"/>
  <c r="O125" i="18"/>
  <c r="P125" i="18"/>
  <c r="K126" i="18"/>
  <c r="L126" i="18"/>
  <c r="M126" i="18"/>
  <c r="N126" i="18"/>
  <c r="O126" i="18"/>
  <c r="P126" i="18"/>
  <c r="K127" i="18"/>
  <c r="L127" i="18"/>
  <c r="M127" i="18"/>
  <c r="N127" i="18"/>
  <c r="O127" i="18"/>
  <c r="P127" i="18"/>
  <c r="K128" i="18"/>
  <c r="L128" i="18"/>
  <c r="M128" i="18"/>
  <c r="N128" i="18"/>
  <c r="O128" i="18"/>
  <c r="P128" i="18"/>
  <c r="K129" i="18"/>
  <c r="L129" i="18"/>
  <c r="M129" i="18"/>
  <c r="N129" i="18"/>
  <c r="O129" i="18"/>
  <c r="P129" i="18"/>
  <c r="K130" i="18"/>
  <c r="L130" i="18"/>
  <c r="M130" i="18"/>
  <c r="N130" i="18"/>
  <c r="O130" i="18"/>
  <c r="P130" i="18"/>
  <c r="K131" i="18"/>
  <c r="L131" i="18"/>
  <c r="M131" i="18"/>
  <c r="N131" i="18"/>
  <c r="O131" i="18"/>
  <c r="P131" i="18"/>
  <c r="K132" i="18"/>
  <c r="L132" i="18"/>
  <c r="M132" i="18"/>
  <c r="N132" i="18"/>
  <c r="O132" i="18"/>
  <c r="P132" i="18"/>
  <c r="K133" i="18"/>
  <c r="L133" i="18"/>
  <c r="M133" i="18"/>
  <c r="N133" i="18"/>
  <c r="O133" i="18"/>
  <c r="P133" i="18"/>
  <c r="K134" i="18"/>
  <c r="L134" i="18"/>
  <c r="M134" i="18"/>
  <c r="N134" i="18"/>
  <c r="O134" i="18"/>
  <c r="P134" i="18"/>
  <c r="K135" i="18"/>
  <c r="L135" i="18"/>
  <c r="M135" i="18"/>
  <c r="N135" i="18"/>
  <c r="O135" i="18"/>
  <c r="P135" i="18"/>
  <c r="K136" i="18"/>
  <c r="L136" i="18"/>
  <c r="M136" i="18"/>
  <c r="N136" i="18"/>
  <c r="O136" i="18"/>
  <c r="P136" i="18"/>
  <c r="K137" i="18"/>
  <c r="L137" i="18"/>
  <c r="M137" i="18"/>
  <c r="N137" i="18"/>
  <c r="O137" i="18"/>
  <c r="P137" i="18"/>
  <c r="K138" i="18"/>
  <c r="L138" i="18"/>
  <c r="M138" i="18"/>
  <c r="N138" i="18"/>
  <c r="O138" i="18"/>
  <c r="P138" i="18"/>
  <c r="K139" i="18"/>
  <c r="L139" i="18"/>
  <c r="M139" i="18"/>
  <c r="N139" i="18"/>
  <c r="O139" i="18"/>
  <c r="P139" i="18"/>
  <c r="K140" i="18"/>
  <c r="L140" i="18"/>
  <c r="M140" i="18"/>
  <c r="N140" i="18"/>
  <c r="O140" i="18"/>
  <c r="P140" i="18"/>
  <c r="K141" i="18"/>
  <c r="L141" i="18"/>
  <c r="M141" i="18"/>
  <c r="N141" i="18"/>
  <c r="O141" i="18"/>
  <c r="P141" i="18"/>
  <c r="K142" i="18"/>
  <c r="L142" i="18"/>
  <c r="M142" i="18"/>
  <c r="N142" i="18"/>
  <c r="O142" i="18"/>
  <c r="P142" i="18"/>
  <c r="K143" i="18"/>
  <c r="L143" i="18"/>
  <c r="M143" i="18"/>
  <c r="N143" i="18"/>
  <c r="O143" i="18"/>
  <c r="P143" i="18"/>
  <c r="K144" i="18"/>
  <c r="L144" i="18"/>
  <c r="M144" i="18"/>
  <c r="N144" i="18"/>
  <c r="O144" i="18"/>
  <c r="P144" i="18"/>
  <c r="K145" i="18"/>
  <c r="L145" i="18"/>
  <c r="M145" i="18"/>
  <c r="N145" i="18"/>
  <c r="O145" i="18"/>
  <c r="P145" i="18"/>
  <c r="K146" i="18"/>
  <c r="L146" i="18"/>
  <c r="M146" i="18"/>
  <c r="N146" i="18"/>
  <c r="O146" i="18"/>
  <c r="P146" i="18"/>
  <c r="K147" i="18"/>
  <c r="L147" i="18"/>
  <c r="M147" i="18"/>
  <c r="N147" i="18"/>
  <c r="O147" i="18"/>
  <c r="P147" i="18"/>
  <c r="K148" i="18"/>
  <c r="L148" i="18"/>
  <c r="M148" i="18"/>
  <c r="N148" i="18"/>
  <c r="O148" i="18"/>
  <c r="P148" i="18"/>
  <c r="K149" i="18"/>
  <c r="L149" i="18"/>
  <c r="M149" i="18"/>
  <c r="N149" i="18"/>
  <c r="O149" i="18"/>
  <c r="P149" i="18"/>
  <c r="K150" i="18"/>
  <c r="L150" i="18"/>
  <c r="M150" i="18"/>
  <c r="N150" i="18"/>
  <c r="O150" i="18"/>
  <c r="P150" i="18"/>
  <c r="K151" i="18"/>
  <c r="L151" i="18"/>
  <c r="M151" i="18"/>
  <c r="N151" i="18"/>
  <c r="O151" i="18"/>
  <c r="P151" i="18"/>
  <c r="K152" i="18"/>
  <c r="L152" i="18"/>
  <c r="M152" i="18"/>
  <c r="N152" i="18"/>
  <c r="O152" i="18"/>
  <c r="P152" i="18"/>
  <c r="L4" i="18"/>
  <c r="M4" i="18"/>
  <c r="N4" i="18"/>
  <c r="O4" i="18"/>
  <c r="P4" i="18"/>
  <c r="K4" i="18"/>
  <c r="N7" i="54"/>
  <c r="N6" i="54"/>
  <c r="J5" i="54"/>
  <c r="C28" i="54" s="1"/>
  <c r="F4" i="54"/>
  <c r="B10" i="56"/>
  <c r="B2" i="56" s="1"/>
  <c r="M1" i="15"/>
  <c r="K6" i="58" l="1"/>
  <c r="L6" i="58"/>
  <c r="H33" i="58"/>
  <c r="B1" i="56"/>
  <c r="G1" i="20"/>
  <c r="A43" i="55"/>
  <c r="A39" i="55"/>
  <c r="B29" i="55"/>
  <c r="B30" i="55"/>
  <c r="B28" i="55"/>
  <c r="C9" i="55"/>
  <c r="A9" i="55" s="1"/>
  <c r="A14" i="55"/>
  <c r="A5" i="55"/>
  <c r="A18" i="55"/>
  <c r="A34" i="54" l="1"/>
  <c r="A54" i="54"/>
  <c r="A46" i="54"/>
  <c r="A50" i="54" s="1"/>
  <c r="A42" i="54"/>
  <c r="B38" i="54"/>
  <c r="H5" i="54"/>
  <c r="A24" i="54"/>
  <c r="A12" i="54"/>
  <c r="D4" i="54"/>
  <c r="C4" i="54"/>
  <c r="L45" i="5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kshikalova\Documents\Мои источники данных\bidb.o3.ru zzzTemp ksh_ozon_masters.odc" keepAlive="1" name="bidb.o3.ru zzzTemp ksh_ozon_masters" type="5" refreshedVersion="6">
    <dbPr connection="Provider=SQLOLEDB.1;Integrated Security=SSPI;Persist Security Info=True;Initial Catalog=zzzTemp;Data Source=bidb.o3.ru;Use Procedure for Prepare=1;Auto Translate=True;Packet Size=4096;Workstation ID=ANALYTIC42NBMSK;Use Encryption for Data=False;Tag with column collation when possible=False" command="&quot;zzzTemp&quot;.&quot;dbo&quot;.&quot;ksh_ozon_masters&quot;" commandType="3"/>
  </connection>
  <connection id="2" xr16:uid="{00000000-0015-0000-FFFF-FFFF01000000}" odcFile="C:\Users\kshikalova\Documents\Мои источники данных\bissas01z20.o3.ru BeeEye IPS by Fact Date.odc" keepAlive="1" name="bissas01z20.o3.ru BeeEye IPS by Fact Date" type="5" refreshedVersion="6" background="1">
    <dbPr connection="Provider=MSOLAP.8;Integrated Security=SSPI;Persist Security Info=True;Initial Catalog=BeeEye;Data Source=bissas01z20.o3.ru;MDX Compatibility=1;Safety Options=2;MDX Missing Member Mode=Error;Update Isolation Level=2" command="IPS by Fact Date" commandType="1"/>
    <olapPr sendLocale="1" rowDrillCount="1000"/>
  </connection>
  <connection id="3" xr16:uid="{00000000-0015-0000-FFFF-FFFF02000000}" odcFile="C:\Users\kshikalova\Documents\Мои источники данных\bissas01z20.o3.ru BeeEye OrderItemEventNew.odc" keepAlive="1" name="bissas01z20.o3.ru BeeEye OrderItemEventNew" type="5" refreshedVersion="6" background="1">
    <dbPr connection="Provider=MSOLAP.8;Integrated Security=SSPI;Persist Security Info=True;Initial Catalog=BeeEye;Data Source=bissas01z20.o3.ru;MDX Compatibility=1;Safety Options=2;MDX Missing Member Mode=Error;Update Isolation Level=2" command="OrderItemEventNew" commandType="1"/>
    <olapPr sendLocale="1" rowDrillCount="1000"/>
  </connection>
  <connection id="4" xr16:uid="{00000000-0015-0000-FFFF-FFFF03000000}" odcFile="C:\Users\kshikalova\Documents\Мои источники данных\bissas01z20.o3.ru BeeEye OrderItemEventNew.odc" keepAlive="1" name="bissas01z20.o3.ru BeeEye OrderItemEventNew1" type="5" refreshedVersion="6" background="1">
    <dbPr connection="Provider=MSOLAP.8;Integrated Security=SSPI;Persist Security Info=True;Initial Catalog=BeeEye;Data Source=bissas01z20.o3.ru;MDX Compatibility=1;Safety Options=2;MDX Missing Member Mode=Error;Update Isolation Level=2" command="OrderItemEventNew" commandType="1"/>
    <olapPr sendLocale="1" rowDrillCount="1000"/>
  </connection>
  <connection id="5" xr16:uid="{00000000-0015-0000-FFFF-FFFF04000000}" odcFile="C:\Users\kshikalova\Documents\Мои источники данных\bissas01z20.o3.ru BeeEye OrderItemEventNew.odc" keepAlive="1" name="bissas01z20.o3.ru BeeEye OrderItemEventNew2" type="5" refreshedVersion="6" background="1">
    <dbPr connection="Provider=MSOLAP.8;Integrated Security=SSPI;Persist Security Info=True;Initial Catalog=BeeEye;Data Source=bissas01z20.o3.ru;MDX Compatibility=1;Safety Options=2;MDX Missing Member Mode=Error;Update Isolation Level=2" command="OrderItemEventNew" commandType="1"/>
    <olapPr sendLocale="1" rowDrillCount="1000"/>
  </connection>
  <connection id="6" xr16:uid="{00000000-0015-0000-FFFF-FFFF05000000}" odcFile="C:\Users\kshikalova\Documents\Мои источники данных\bissas01z20.o3.ru BeeEye Куб товарных движений.odc" keepAlive="1" name="bissas01z20.o3.ru BeeEye Куб товарных движений" type="5" refreshedVersion="6" background="1">
    <dbPr connection="Provider=MSOLAP.8;Integrated Security=SSPI;Persist Security Info=True;Initial Catalog=BeeEye;Data Source=bissas01z20.o3.ru;MDX Compatibility=1;Safety Options=2;MDX Missing Member Mode=Error;Update Isolation Level=2" command="Куб товарных движений" commandType="1"/>
    <olapPr sendLocale="1" rowDrillCount="1000"/>
  </connection>
  <connection id="7" xr16:uid="{00000000-0015-0000-FFFF-FFFF06000000}" odcFile="C:\Users\kshikalova\Documents\Мои источники данных\bissas01z20.o3.ru BeeEye Куб товарных движений.odc" keepAlive="1" name="bissas01z20.o3.ru BeeEye Куб товарных движений1" type="5" refreshedVersion="6" background="1">
    <dbPr connection="Provider=MSOLAP.8;Integrated Security=SSPI;Persist Security Info=True;Initial Catalog=BeeEye;Data Source=bissas01z20.o3.ru;MDX Compatibility=1;Safety Options=2;MDX Missing Member Mode=Error;Update Isolation Level=2" command="Куб товарных движений" commandType="1"/>
    <olapPr sendLocale="1" rowDrillCount="1000"/>
  </connection>
  <connection id="8" xr16:uid="{00000000-0015-0000-FFFF-FFFF07000000}" odcFile="C:\Users\kshikalova\Documents\Мои источники данных\bissas02z1.o3.ru StudentCUBE OrderItemEventNew.odc" keepAlive="1" name="bissas02z1.o3.ru StudentCUBE OrderItemEventNew" type="5" refreshedVersion="6" background="1">
    <dbPr connection="Provider=MSOLAP.8;Integrated Security=SSPI;Persist Security Info=True;Initial Catalog=StudentCUBE;Data Source=bissas02z1.o3.ru;MDX Compatibility=1;Safety Options=2;MDX Missing Member Mode=Error;Update Isolation Level=2" command="OrderItemEventNew" commandType="1"/>
    <olapPr sendLocale="1" rowDrillCount="1000"/>
  </connection>
  <connection id="9" xr16:uid="{00000000-0015-0000-FFFF-FFFF08000000}" odcFile="C:\Users\kshikalova\Documents\Мои источники данных\bissas02z1.o3.ru StudentCUBE OrderItemEventNew.odc" keepAlive="1" name="bissas02z1.o3.ru StudentCUBE OrderItemEventNew1" type="5" refreshedVersion="6" background="1">
    <dbPr connection="Provider=MSOLAP.8;Integrated Security=SSPI;Persist Security Info=True;Initial Catalog=StudentCUBE;Data Source=bissas02z1.o3.ru;MDX Compatibility=1;Safety Options=2;MDX Missing Member Mode=Error;Update Isolation Level=2" command="OrderItemEventNew" commandType="1"/>
    <olapPr sendLocale="1" rowDrillCount="1000"/>
  </connection>
</connections>
</file>

<file path=xl/sharedStrings.xml><?xml version="1.0" encoding="utf-8"?>
<sst xmlns="http://schemas.openxmlformats.org/spreadsheetml/2006/main" count="754" uniqueCount="355">
  <si>
    <t>Функция</t>
  </si>
  <si>
    <t>Пример</t>
  </si>
  <si>
    <t>Товар</t>
  </si>
  <si>
    <t>Sen Soy Соевый соус Классический, 250 мл</t>
  </si>
  <si>
    <t>Мистраль Чечевица красная колотая Персидская, 450 г</t>
  </si>
  <si>
    <t>Лукашинские варенье клубничное, 450 г</t>
  </si>
  <si>
    <t>Сладкие моменты Крылья фигурный сахар в тубе, 130 г</t>
  </si>
  <si>
    <t>Активиа Биойогурт густой Черника-5 Злаков-Льняное семя 2,9%, 150 г</t>
  </si>
  <si>
    <t>Чай "Трудоголику" пирамидка, 50 гр.</t>
  </si>
  <si>
    <t>UFEELGOOD Granola детокс очищение, 40 г</t>
  </si>
  <si>
    <t>ФЭГ Огурцы соленые по-старорусски, 800 г</t>
  </si>
  <si>
    <t>Hortex Брокколи и Цветная капуста, 400 г</t>
  </si>
  <si>
    <t>Стебель Бамбука соус чили острый, 280 г</t>
  </si>
  <si>
    <t>Chco Giant Chocbar 40% молочный шоколад, 800 г</t>
  </si>
  <si>
    <t>Barinoff Сироп Дыня, 1 л</t>
  </si>
  <si>
    <t>Идеальный гарнир Лечо, 700 г</t>
  </si>
  <si>
    <t>Савушкин Йогурт Греческий Натуральный 2%, 140 г</t>
  </si>
  <si>
    <t>Сладкий новогодний подарок Зимняя сказка голубая, 500 г</t>
  </si>
  <si>
    <t>Шоколад молочный Сhoco Toffee "Baron Новогодний календарь", 75 г</t>
  </si>
  <si>
    <t>Кофе в капсулах Tassimo Jacobs Caffe Crema, 16 порций</t>
  </si>
  <si>
    <t>Food</t>
  </si>
  <si>
    <t>FreshFood</t>
  </si>
  <si>
    <t>Замороженные продукты</t>
  </si>
  <si>
    <t>Молочная продукция и яйца Fresh</t>
  </si>
  <si>
    <t>Овощи, фрукты, зелень свежие</t>
  </si>
  <si>
    <t>Коммерческая категория 1</t>
  </si>
  <si>
    <t>Коммерческая категория 2</t>
  </si>
  <si>
    <t>Коммерческая категория 3</t>
  </si>
  <si>
    <t>Замороженные овощи, фрукты</t>
  </si>
  <si>
    <t>Йогурты густые</t>
  </si>
  <si>
    <t>Соленья, квашенья</t>
  </si>
  <si>
    <t>Бакалея</t>
  </si>
  <si>
    <t>Макаронные изделия, крупы</t>
  </si>
  <si>
    <t>Сахар, соль</t>
  </si>
  <si>
    <t>Снэки, чипсы, готовые завтраки</t>
  </si>
  <si>
    <t>Консервы</t>
  </si>
  <si>
    <t>Масла, соусы, уксус</t>
  </si>
  <si>
    <t>Кондитерские изделия</t>
  </si>
  <si>
    <t>Конфеты</t>
  </si>
  <si>
    <t>Напитки</t>
  </si>
  <si>
    <t>Кофе</t>
  </si>
  <si>
    <t>Чай</t>
  </si>
  <si>
    <t>Сироп, топпинг</t>
  </si>
  <si>
    <t>Списания, шт</t>
  </si>
  <si>
    <t>Sport</t>
  </si>
  <si>
    <t>Товары для рыбалки</t>
  </si>
  <si>
    <t>Катушка безынерционная Daiwa "Ninja" 1003A, цвет: черный, красный</t>
  </si>
  <si>
    <t>Лодка надувная Intex "Challeneger 2", цвет: желтый, синий. 68367NP</t>
  </si>
  <si>
    <t>Эхолот Deeper Smart Sonar pro+, Wi-Fi &amp; GPS</t>
  </si>
  <si>
    <t>Монтаж карповый "Onlitop", готовый, #2, 30 г</t>
  </si>
  <si>
    <t>Катушка безынерционная Onlitop "СВ240 2ВВ; 0,25/200; 5,0:1", цвет: черный, 2 подшипника</t>
  </si>
  <si>
    <t>Катушка безынерционная Onlitop "СВ440", цвет: серый, 4 подшипника</t>
  </si>
  <si>
    <t>Леска Onlitop "Pike", цвет: белый, 100 м, 0,14 мм, 2,85 кг</t>
  </si>
  <si>
    <t>Леска Onlitop "Pike", цвет: белый, 100 м, 0,16 мм, 3,1 кг</t>
  </si>
  <si>
    <t>Спиннинг Onlitop "Master", телескопический, 2,4 м, 10-30 г</t>
  </si>
  <si>
    <t>Удилище телескопическое Onlitop "Tele Pike", 3,5 м, 50-150 г</t>
  </si>
  <si>
    <t>Спиннинг штекерный Onlitop "Privilege", 2,7 м, 10-30 г</t>
  </si>
  <si>
    <t>Удилище фидерное Onlitop "Reviseo Power Jeeder", 3,9 м, 50-100 г</t>
  </si>
  <si>
    <t>Плетеный шнур Onlitop "Easy Cast", цвет: зеленый, 125 м, 0,12 мм, 9,4 кг</t>
  </si>
  <si>
    <t>Шнур плетеный Onlitop "Easy Cast", цвет: оранжевый, толщина 0,14 мм, длина 125 м</t>
  </si>
  <si>
    <t>Шнур плетеный Onlitop "Easy Cast", цвет: оранжевый, толщина 0,16 мм, длина 125 м</t>
  </si>
  <si>
    <t>Шнур плетеный Onlitop "Easy Cast", цвет: зеленый, толщина 0,18 мм, длина 125 м</t>
  </si>
  <si>
    <t>Шнур плетеный Onlitop "Easy Cast", цвет: оранжевый, толщина 0,18 мм, длина 125 м</t>
  </si>
  <si>
    <t>Плетеный шнур Onlitop "Easy Cast", толщина 0,20 мм, длина 125 м, цвет: оранжевый</t>
  </si>
  <si>
    <t>Шнур плетеный Onlitop "Easy Cast", цвет: зеленый, толщина 0,22 мм, длина 125 м</t>
  </si>
  <si>
    <t>Шнур плетеный Onlitop "Easy Cast", цвет: зеленый, толщина 0,24 мм, длина 125 м</t>
  </si>
  <si>
    <t>Шнур плетеный "Onlitop", толщина 0,14 мм, длина 150 м</t>
  </si>
  <si>
    <t>Твистер Daiwa "Hydro Hand", 10 см, цвет: Pro Blue, 10 шт</t>
  </si>
  <si>
    <t>Добавка ароматическая жидкая Allvega "Меласса карп", 460 мл</t>
  </si>
  <si>
    <t>Прикормка Allvega "Лещ", 1 кг</t>
  </si>
  <si>
    <t>Прикормка Allvega "Универсальная", 1 кг</t>
  </si>
  <si>
    <t>Держатель смартфона Deeper "Phone Holder" на удочку для эхолота</t>
  </si>
  <si>
    <t>Катушка безынерционная Salmo "Diamond FEEDER 6 30FD"</t>
  </si>
  <si>
    <t>Катушка мультипликаторная Salmo "Diamond TROLL 2 M6400"</t>
  </si>
  <si>
    <t>Удилище спинниговое Salmo "Kraft MICROJIG", 0,6-6 г, 6,80 м</t>
  </si>
  <si>
    <t>Удилище спинниговое Salmo "Kraft MICROJIG", 0,6-6 г, 2,18 м</t>
  </si>
  <si>
    <t>Эхолот Lucky FF1108-1</t>
  </si>
  <si>
    <t>Сапоги женские Polyver Low, цвет: черный. 12ВА-F. Размер 39</t>
  </si>
  <si>
    <t>Сапоги мужские Polyver Low, цвет: черный. 12ВА-F. Размер 50/51</t>
  </si>
  <si>
    <t>Сапоги для рыбалки, черный 37 размер</t>
  </si>
  <si>
    <t>Сапоги для рыбалки, черный 40 размер</t>
  </si>
  <si>
    <t>Сапоги для рыбалки, черный 43 размер</t>
  </si>
  <si>
    <t>Сапоги мужские Polyver Premium+, цвет: черный. 17BA-F. Размер 41</t>
  </si>
  <si>
    <t>Сапоги мужские Polyver Premium+, цвет: черный. 17BA-F. Размер 46/47</t>
  </si>
  <si>
    <t>Сапоги охотничьи мужские Bekina Litefield, цвет: темно-зеленый. S010/5170. Размер 47</t>
  </si>
  <si>
    <t>Сапоги мужские Bekina Steplite X, цвет: темно-зеленый. Х010/9180. Размер 44</t>
  </si>
  <si>
    <t>Сапоги для рыбалки, темно-зеленый 39 размер</t>
  </si>
  <si>
    <t>Сапоги для рыбалки, темно-зеленый 50 размер</t>
  </si>
  <si>
    <t>Катушка безынерционная Daiwa "Ninja" 4000A, цвет: черный, красный</t>
  </si>
  <si>
    <t>Сумка для лодочного мотора AG-brand "Premium" 2 т, 6 л.с., цвет: черный</t>
  </si>
  <si>
    <t>Сумка AG-brand "Эконом" для лодочного мотора 2 т, 10 л.с., цвет: черный. AG-Uni-OM-Eco-2T/10hp</t>
  </si>
  <si>
    <t>Лодка Intex Intex Challenger 1, цвет: желтый с синим. 68365NP</t>
  </si>
  <si>
    <t>Жилет рыболовный FisherMan Nova Tour Вестер, цвет: хаки. 95734-530. Размер M (50)</t>
  </si>
  <si>
    <t>Жилет рыболовный FisherMan Nova Tour Вестер, цвет: хаки. 95734-530. Размер XXL (56)</t>
  </si>
  <si>
    <t>Жилет рыболовный FisherMan Nova Tour Профи Лайт, цвет: хаки. 95733-530. Размер XXL (56)</t>
  </si>
  <si>
    <t>Жилет рыболовный FisherMan Nova Tour Профи, цвет: хаки. 95437-530. Размер M (52)</t>
  </si>
  <si>
    <t>Жилет для рыбалки и охоты FisherMan Nova Tour Тарга PRO, цвет: графит. 95735-924. Размер XL (54)</t>
  </si>
  <si>
    <t>Жилет для рыбалки и охоты FisherMan Nova Tour Тарга PRO, цвет: графит. 95735-924. Размер XXL (56)</t>
  </si>
  <si>
    <t>Костюм рыболовный FisherMan Nova Tour Москит V2, противоэнцефалитный, цвет: хаки. 95276-513. Размер XL (56)</t>
  </si>
  <si>
    <t>Костюм рыболовный FisherMan Nova Tour Москит V2, противоэнцефалитный, цвет: хаки. 95276-513. Размер S (50)</t>
  </si>
  <si>
    <t>Костюм рыболовный мужской FisherMan Nova Tour Шелтер PRO, цвет: графит. 95426-924. Размер M (52)</t>
  </si>
  <si>
    <t>Костюм рыболовный мужской FisherMan Nova Tour Шелтер PRO, цвет: графит. 95426-924. Размер XXL (58)</t>
  </si>
  <si>
    <t>Костюм рыболовный мужской FisherMan Nova Tour Шелтер PRO, цвет: графит. 95426-924. Размер S (50)</t>
  </si>
  <si>
    <t>Куртка мужская FisherMan Nova Tour Грейлинг PRO, цвет: графит. 95430-924. Размер L (54)</t>
  </si>
  <si>
    <t>Сапоги для рыбалки мужские FisherMan Nova Tour Рабер, цвет: хаки. 95445-530. Размер 43</t>
  </si>
  <si>
    <t>Штаны рыболовные мужские FisherMan Nova Tour Баклер PRO, цвет: графит. 95566-924. Размер L (54)</t>
  </si>
  <si>
    <t>Штаны рыболовные мужские FisherMan Nova Tour Баклер PRO, цвет: графит. 95566-924. Размер M (52)</t>
  </si>
  <si>
    <t>Полусапоги резиновые мужские Дюна, цвет: черный. 140У(НТП). Размер 41</t>
  </si>
  <si>
    <t>Полусапоги резиновые мужские Дюна, цвет: черный. 140У(НТП). Размер 42</t>
  </si>
  <si>
    <t>Лодка надувная Jilong "Cruiser Boat CB1000", 185 х 98 х 28 см, цвет: серый</t>
  </si>
  <si>
    <t>Лодка надувная Jilong "Cruiser Boat CB2000", 218 х 110 х 36 см, цвет: серый</t>
  </si>
  <si>
    <t>Эхолот Deeper Smart Sonar pro, Wi-Fi</t>
  </si>
  <si>
    <t>Крепление для эхолота Deeper ITGAM0065</t>
  </si>
  <si>
    <t>Монтаж карповый "Onlitop", готовый, #1, 30 г</t>
  </si>
  <si>
    <t>Спиннинг Onlitop "Master", телескопический, 3 м, 10-30 г</t>
  </si>
  <si>
    <t>Удилище телескопическое Onlitop "Tele Little Boat", 2,4 м, 40-120 г</t>
  </si>
  <si>
    <t>Спиннинг штекерный Onlitop "Challenge Х1", 2,4 м, 50-150 г</t>
  </si>
  <si>
    <t>Спиннинг штекерный Onlitop "Challenge Х1", 2,7 м, 10-30 г</t>
  </si>
  <si>
    <t>Спиннинг штекерный Onlitop "Matrix", 2,7 м, 40-80 г</t>
  </si>
  <si>
    <t>Спиннинг штекерный Onlitop "Privilege", 2,4 м, 10-30 г</t>
  </si>
  <si>
    <t>Спиннинг штекерный Onlitop "Public", 2,7 м</t>
  </si>
  <si>
    <t>Удилище спиннинговое Волжанка "Джиг", 2,1 м, 8-30 г</t>
  </si>
  <si>
    <t>Спиннинг Волжанка "Спин", 2-8 г, 1,98 м</t>
  </si>
  <si>
    <t>Удилище фидерное Onlitop "Reviseo Power Jeeder", 3,6 м, 50-100 г</t>
  </si>
  <si>
    <t>Удилище фидерное Onlitop "Reviseo", 3,9 м, 50-100 г</t>
  </si>
  <si>
    <t>Плетеный шнур Onlitop "Easy Cast", цвет: зеленый, 125 м, 0,10 мм, 8 кг</t>
  </si>
  <si>
    <t>Коробка для насадок "Onlitop", двухсекционная, цвет: коричневый, 17 х 27 х 4,5 см</t>
  </si>
  <si>
    <t>Коробка для крючков и насадок "Trivol", двухъярусная , цвет: черный, прозрачный, 24 х 15 х 6,5 см</t>
  </si>
  <si>
    <t>Коробка для крючков и насадок "Три кита", цвет: зеленый, 13 х 9 х 3 см</t>
  </si>
  <si>
    <t>Подставка под удочку "Onlitop", U-образная форма, высота 1,2 м</t>
  </si>
  <si>
    <t>Подставка для удилища "Onlitop", высота 66 см, 2 шт</t>
  </si>
  <si>
    <t>Стойка для удилищ "Onlitop", телескопическая, V-образная форма, высота 1,5 м</t>
  </si>
  <si>
    <t>Костюм мужской противоэнцефалитный Тайга Север Штурм-Цифра, цвет: коричневый. 55801. Размер 48/50-170/176</t>
  </si>
  <si>
    <t>Костюм мужской противоэнцефалитный Тайга Север Штурм-Цифра, цвет: коричневый. 55803. Размер 52/54-170/176</t>
  </si>
  <si>
    <t>Костюм мужской противоэнцефалитный Тайга Север Штурм-Цифра, цвет: коричневый. 55336. Размер 52/54-182/188</t>
  </si>
  <si>
    <t>Костюм мужской противоэнцефалитный Тайга Север Штурм-Цифра, цвет: коричневый. 55804. Размер 56/58-170/176</t>
  </si>
  <si>
    <t>Костюм мужской противоэнцефалитный Тайга Север Штурм-Цифра, цвет: коричневый. 55805. Размер 56/58-182/188</t>
  </si>
  <si>
    <t>Костюм мужской Тоджа-флис, цвет: коричневый. 0055812. Размер 56/58-182/188</t>
  </si>
  <si>
    <t>Костюм мужской Тоджа-флис, цвет: коричневый. 0055813. Размер 60/62-170/176</t>
  </si>
  <si>
    <t>Виброхвост Daiwa "TN D Swim", цвет: Pro Green, 14 см, 4 шт</t>
  </si>
  <si>
    <t>Виброхвост Daiwa "TN D Swim", цвет: Pumpkin, 14 см, 4 шт</t>
  </si>
  <si>
    <t>Твистер Daiwa "Hydro Hand", 10 см, цвет: Summer Craw, 10 шт</t>
  </si>
  <si>
    <t>Поводок Win "AFW", тест 9 кг, 15 см, 3 шт</t>
  </si>
  <si>
    <t>Поводок Win "AFW 1х7", тест 9 кг, 20 см, 5 шт</t>
  </si>
  <si>
    <t>Поводок Win "AFW", тест 5,5 кг, 15 см, 3 шт</t>
  </si>
  <si>
    <t>Поводок Win "AFW 7х7", тест 8 кг, 25 см, 3 шт</t>
  </si>
  <si>
    <t>Поводок Win "Soft Mirror", мягкий, тест 4 кг, 12,5 см, 2 шт</t>
  </si>
  <si>
    <t>Поводок Win "Soft Mirror", мягкий, тест 9 кг, 30 см, 2 шт</t>
  </si>
  <si>
    <t>Поводок Win "Soft", мягкий, тест 4 кг, 10 см, 2 шт</t>
  </si>
  <si>
    <t>Поводок Win "Soft", мягкий, тест 4 кг, 17,5 см, 2 шт</t>
  </si>
  <si>
    <t>Поводок Win "Soft", мягкий, тест 6 кг, 12,5 см, 2 шт</t>
  </si>
  <si>
    <t>Поводок Win "Soft", мягкий, тест 9 кг, 20 см, 2 шт</t>
  </si>
  <si>
    <t>Катушка безынерционная Daiwa "Megaforce" 3050 X"</t>
  </si>
  <si>
    <t>Костюм мужской Стоик Горка, цвет: хаки. 55700. Размер 48/50, 170-176</t>
  </si>
  <si>
    <t>Костюм мужской Стоик Горка, цвет: хаки. 55703. Размер 52/54, 182-188</t>
  </si>
  <si>
    <t>Костюм мужской Стоик Горка, цвет: хаки. 55704. Размер 56/58, 170-176</t>
  </si>
  <si>
    <t>Жилет спасательный Плавсервис "Baby", цвет: оранжевый. Размер 40, вес до 40 кг</t>
  </si>
  <si>
    <t>Жилет спасательный Плавсервис "Hunter", цвет: оранжевый. Размер 52-56, вес до 100 кг</t>
  </si>
  <si>
    <t>Жилет спасательный Плавсервис "Hunter", цвет: оранжевый. Размер 58-64, вес до 120 кг</t>
  </si>
  <si>
    <t>Жилет спасательный Плавсервис "Hunter", цвет: оранжевый. Размер 48-52, вес до 80 кг</t>
  </si>
  <si>
    <t>Жилет спасательный Плавсервис "Regatta", цвет: оранжевый. Размер 52-56, вес до 100 кг</t>
  </si>
  <si>
    <t>Спрей VAN DAF "Сладкая кукуруза", 50 мл</t>
  </si>
  <si>
    <t>Спрей VAN DAF "Слива", 50 мл</t>
  </si>
  <si>
    <t>Спрей VAN DAF "Супер-спайс", 50 мл</t>
  </si>
  <si>
    <t>Спрей VAN DAF "Фиш-мил", 50 мл</t>
  </si>
  <si>
    <t>Бойлы VAN DAF "Чеснок Робин", цвет: красный, диаметр 15 мм, 100 г</t>
  </si>
  <si>
    <t>Бойлы VAN DAF "Монстр краб", цвет: розовый, диаметр 15 мм, 100 г</t>
  </si>
  <si>
    <t>Бойлы VAN DAF "Кальмар-осьминог", цвет: фиолетовый, диаметр 15 мм, 100 г</t>
  </si>
  <si>
    <t>Бойлы VAN DAF "Скопекс", цвет: розовый, диаметр 15 мм, 100 г</t>
  </si>
  <si>
    <t>Бойлы VAN DAF "Сладкая кукуруза", 15 мм, желтый, 100 г. 57282</t>
  </si>
  <si>
    <t>Бойлы VAN DAF "Тутти-фрутти", цвет: оранжевый, диаметр 15 мм, 100 г</t>
  </si>
  <si>
    <t>Бойлы VAN DAF "Фишмил рыбный", цвет: коричневый, диаметр 15 мм, 100 г</t>
  </si>
  <si>
    <t>Поп-апы VAN DAF "Клубника", цвет: красный, диаметр 12 мм, 25 шт</t>
  </si>
  <si>
    <t>Поп-апы VAN DAF "Монстр-краб", цвет: розовый, диаметр 12 мм, 25 шт</t>
  </si>
  <si>
    <t>Поп-апы VAN DAF "Тутти-фрутти", цвет: оранжевый, диаметр 12 мм, 25 шт</t>
  </si>
  <si>
    <t>Ароматизатор жидкий Allvega "Лещ бельгийский", 460 мл</t>
  </si>
  <si>
    <t>Ароматизатор жидкий Allvega "Большая плотва", 460 мл</t>
  </si>
  <si>
    <t>Ароматизатор-спрей Allvega "Dip-X Carassins", 50 мл</t>
  </si>
  <si>
    <t>Ароматизатор-спрей Allvega "Dip-X Kolendra", 50 мл</t>
  </si>
  <si>
    <t>Ароматизатор-спрей Allvega "Dip-X Strawberry", 50 мл</t>
  </si>
  <si>
    <t>Ароматизатор жидкий Allvega "Лещ. Меласса", 460 мл</t>
  </si>
  <si>
    <t>Прикормка "Allvega", карп, карась, 1 кг</t>
  </si>
  <si>
    <t>Прикормка Allvega "Фидер река", 1 кг</t>
  </si>
  <si>
    <t>Прикормка Allvega "Плотва", 1 кг</t>
  </si>
  <si>
    <t>Катушка мультипликаторная Salmo "Diamond TROLL 5", со счетчиком</t>
  </si>
  <si>
    <t>Удилище поплавочное Salmo "Sniper POLE MEDIUM", телескопическая, без колец, 2-15 г, 5 м</t>
  </si>
  <si>
    <t>Спиннинг Salmo "Sniper", 2,4 м, 5-20 г</t>
  </si>
  <si>
    <t>Спиннинг Salmo "Sniper", 2,7 м, 10-30 г</t>
  </si>
  <si>
    <t>Оснастка донная Dixxon "Лиман 2", кормушка 35 г, 2 крючка №8, тест 3 кг</t>
  </si>
  <si>
    <t>Рыбочистка Sure Catch "Fish Scaler"</t>
  </si>
  <si>
    <t>Эхолот Lucky FF718</t>
  </si>
  <si>
    <t>Эхолот Lucky FF718LiC</t>
  </si>
  <si>
    <t>Леска плетеная Daiwa "J-Braid X8", цвет: салатовый, 150 м, 0,06 мм, 4 кг</t>
  </si>
  <si>
    <t>Леска плетеная Allvega "Ultimate", цвет: темно-зеленый, 92 м, 0,14 мм, 7,8 кг</t>
  </si>
  <si>
    <t>Леска плетеная Allvega "Ultimate", цвет: светло-зеленый, 92 м, 0,16 мм, 9,5 кг</t>
  </si>
  <si>
    <t>НДС</t>
  </si>
  <si>
    <t>Остаток, шт</t>
  </si>
  <si>
    <t>Остаток, руб</t>
  </si>
  <si>
    <t>Часы мужские SOKOLOV Pulse, серебро 925, 101.30.00.000.02.01.3</t>
  </si>
  <si>
    <t>Часы женские SOKOLOV Enigma, серебро 925, фианит, 103.30.00.000.05.01.2</t>
  </si>
  <si>
    <t>Часы женские SOKOLOV Perfection, серебро 925, 105.30.00.000.01.02.2</t>
  </si>
  <si>
    <t>Часы женские SOKOLOV Favorite Game, серебро 925, 120.30.00.000.02.01.2</t>
  </si>
  <si>
    <t>Часы женские SOKOLOV Why not, серебро 925, фианит, 123.30.00.001.04.02.2</t>
  </si>
  <si>
    <t>Часы мужские SOKOLOV Motion, серебро 925, 125.30.00.000.02.01.3</t>
  </si>
  <si>
    <t>Часы мужские SOKOLOV Motion, серебро 925, 125.30.00.000.05.03.3</t>
  </si>
  <si>
    <t>Часы женские SOKOLOV Feel Free, серебро 925, 126.30.00.000.01.03.2</t>
  </si>
  <si>
    <t>Часы мужские SOKOLOV Drive, серебро 925, 134.30.00.000.01.01.3</t>
  </si>
  <si>
    <t>Часы мужские SOKOLOV Freedom, серебро 925, 135.30.00.000.08.03.3</t>
  </si>
  <si>
    <t>Продажи, шт</t>
  </si>
  <si>
    <t>100</t>
  </si>
  <si>
    <t>Всего</t>
  </si>
  <si>
    <t>Округление</t>
  </si>
  <si>
    <t>ОКРУГЛ</t>
  </si>
  <si>
    <t>ОКРУГЛВВЕРХ</t>
  </si>
  <si>
    <t>ОКРУГЛВНИЗ</t>
  </si>
  <si>
    <t>Формула</t>
  </si>
  <si>
    <t>1. Функция vs Формула</t>
  </si>
  <si>
    <t>Один аргумент</t>
  </si>
  <si>
    <t>Несколько аргументов</t>
  </si>
  <si>
    <t>пт</t>
  </si>
  <si>
    <t>сб</t>
  </si>
  <si>
    <t>вс</t>
  </si>
  <si>
    <t>пн</t>
  </si>
  <si>
    <t>вт</t>
  </si>
  <si>
    <t>2. Аргументы функции</t>
  </si>
  <si>
    <t>Аргумент - ссылка на ячейку</t>
  </si>
  <si>
    <t>Аргумент - ссылка на диапазон</t>
  </si>
  <si>
    <t>Аргумент - именованный диапазон</t>
  </si>
  <si>
    <t>Аргумент - математическое выражение</t>
  </si>
  <si>
    <t>Аргумент - вложенная функция</t>
  </si>
  <si>
    <t>Аргумент - массив констант</t>
  </si>
  <si>
    <t>Пустой аргумент</t>
  </si>
  <si>
    <t>Аргумент - ссылка на столбцы</t>
  </si>
  <si>
    <t>Ошибка #####</t>
  </si>
  <si>
    <t>1. Типы ошибок</t>
  </si>
  <si>
    <t>Ошибка #ЗНАЧ!</t>
  </si>
  <si>
    <t>Ошибка #ДЕЛ/0!</t>
  </si>
  <si>
    <t>Ошибка #ИМЯ?</t>
  </si>
  <si>
    <t>5 мая 2020</t>
  </si>
  <si>
    <t>Ошибка  #Н/Д</t>
  </si>
  <si>
    <t>Том</t>
  </si>
  <si>
    <t>Круз</t>
  </si>
  <si>
    <t>Бред</t>
  </si>
  <si>
    <t>Питт</t>
  </si>
  <si>
    <t>Джонни</t>
  </si>
  <si>
    <t>Депп</t>
  </si>
  <si>
    <t>Уилл</t>
  </si>
  <si>
    <t>Смит</t>
  </si>
  <si>
    <t>Брэдли</t>
  </si>
  <si>
    <t>Купер</t>
  </si>
  <si>
    <t>Имя</t>
  </si>
  <si>
    <t>Фамилия</t>
  </si>
  <si>
    <t>Мэтт</t>
  </si>
  <si>
    <r>
      <t xml:space="preserve">Ошибка </t>
    </r>
    <r>
      <rPr>
        <b/>
        <sz val="12"/>
        <color rgb="FF000000"/>
        <rFont val="Calibri"/>
        <family val="2"/>
        <charset val="204"/>
        <scheme val="minor"/>
      </rPr>
      <t>#ССЫЛКА!</t>
    </r>
  </si>
  <si>
    <r>
      <t xml:space="preserve">Ошибка </t>
    </r>
    <r>
      <rPr>
        <b/>
        <sz val="12"/>
        <color rgb="FF000000"/>
        <rFont val="Calibri"/>
        <family val="2"/>
        <charset val="204"/>
        <scheme val="minor"/>
      </rPr>
      <t>#ЧИСЛО!</t>
    </r>
  </si>
  <si>
    <t>Дата</t>
  </si>
  <si>
    <t>Кол-во заказов</t>
  </si>
  <si>
    <t>СУММ</t>
  </si>
  <si>
    <t>СРЗНАЧ</t>
  </si>
  <si>
    <t>СЧЁТ</t>
  </si>
  <si>
    <t>СЧЁТЗ</t>
  </si>
  <si>
    <t>Стул барный Bomba T-100</t>
  </si>
  <si>
    <t>Стул дизайнерский STOOL GROUP Eames Wood Белый</t>
  </si>
  <si>
    <t>Барный стул STOOL GROUP Бомба Оранжевый</t>
  </si>
  <si>
    <t>Стол раскладной Siena (SA-T4EX)</t>
  </si>
  <si>
    <t>Стул Medea</t>
  </si>
  <si>
    <t>Стул "Айва", САкр, красный</t>
  </si>
  <si>
    <t>Табурет  Классика 3 квадрат  4 ножки серый</t>
  </si>
  <si>
    <t>Табурет Фабрик -3 квадрат  светло серый</t>
  </si>
  <si>
    <t>Табурет Фабрик-3  квадрат слоновая кость</t>
  </si>
  <si>
    <t>Табурет прямая нога массив вишня</t>
  </si>
  <si>
    <t>Барный стул</t>
  </si>
  <si>
    <t>Стульчик-подставка зеленый 40х30х32</t>
  </si>
  <si>
    <t>Стол круглый EAMES DSW D90, белый на дер. ножках</t>
  </si>
  <si>
    <t>Стул EAMES DSW, бежево-серый, деревянные ножки</t>
  </si>
  <si>
    <t>Стул EAMES DSW, черный, деревянные ножки</t>
  </si>
  <si>
    <t>Стул для кухни Стул Массив</t>
  </si>
  <si>
    <t>Стул-кресло DAW  белый</t>
  </si>
  <si>
    <t>Стул DSW черный</t>
  </si>
  <si>
    <t>Стул Jerry Soft белый</t>
  </si>
  <si>
    <t>Стол DSW 70 см</t>
  </si>
  <si>
    <t>Стул Chamberi серый</t>
  </si>
  <si>
    <t>Стул барный Бомба белый Уцененный товар (№1)</t>
  </si>
  <si>
    <t>Стул Оскар велюр серый</t>
  </si>
  <si>
    <t>Табурет Боровичи Табурет прямая нога Вишня</t>
  </si>
  <si>
    <t>Табурет складной "Idea", цвет: бежевый</t>
  </si>
  <si>
    <t>Название товара</t>
  </si>
  <si>
    <t>Стул венский металлический мягкий</t>
  </si>
  <si>
    <t>Табурет складной на металлокаркасе светлый</t>
  </si>
  <si>
    <t>Стул деревянный раскладной выбеленный</t>
  </si>
  <si>
    <t>Табурет-лестница без отделки, береза</t>
  </si>
  <si>
    <t>Табурет металлический мягкий пуф</t>
  </si>
  <si>
    <t>Табурет мягкий барный металлический</t>
  </si>
  <si>
    <t>Раскладной стул мягкий металлический</t>
  </si>
  <si>
    <t>Стул Волна черный</t>
  </si>
  <si>
    <t>Стул деревянный прямой мягкий</t>
  </si>
  <si>
    <t>Стул складной сосновый без отделки</t>
  </si>
  <si>
    <t>Венский стул деревянный без отделки</t>
  </si>
  <si>
    <t>Стол письменный Рино</t>
  </si>
  <si>
    <t>МАКС</t>
  </si>
  <si>
    <t>МИН</t>
  </si>
  <si>
    <t>НАИБОЛЬШИЙ</t>
  </si>
  <si>
    <t>НАИМЕНЬШИЙ</t>
  </si>
  <si>
    <t>РАНГ.РВ</t>
  </si>
  <si>
    <t>РАНГ.СР</t>
  </si>
  <si>
    <t>ДЕНЬ</t>
  </si>
  <si>
    <t>МЕСЯЦ</t>
  </si>
  <si>
    <t>ГОД</t>
  </si>
  <si>
    <t>ДЕНЬНЕД</t>
  </si>
  <si>
    <t>НОМНЕДЕЛИ</t>
  </si>
  <si>
    <t>Себестоимость c НДС</t>
  </si>
  <si>
    <t>СЖПРОБЕЛЫ</t>
  </si>
  <si>
    <t>ПРОМЕЖУТОЧНЫЕ.ИТОГИ</t>
  </si>
  <si>
    <t>АГРЕГАТ</t>
  </si>
  <si>
    <t>ТЕКУЩАЯ ДАТА</t>
  </si>
  <si>
    <t>ДАТА И ВРЕМЯ</t>
  </si>
  <si>
    <t>ДНЕЙ ДО КОНЦА МЕСЯЦА</t>
  </si>
  <si>
    <t>КОЛ-ВО ДНЕЙ В МЕСЯЦЕ</t>
  </si>
  <si>
    <t>ДАТА</t>
  </si>
  <si>
    <t>сл.число:</t>
  </si>
  <si>
    <t>Сумм:</t>
  </si>
  <si>
    <t>Сумм(СУММ):</t>
  </si>
  <si>
    <t>Контр знач:</t>
  </si>
  <si>
    <t>(за рамками экрана)</t>
  </si>
  <si>
    <t>(какому то диапазону можно присвоить постоянное имя для последующего выбора например в формулы)</t>
  </si>
  <si>
    <r>
      <t xml:space="preserve">Условный диапазон </t>
    </r>
    <r>
      <rPr>
        <sz val="8"/>
        <color theme="1"/>
        <rFont val="Calibri"/>
        <family val="2"/>
        <charset val="204"/>
        <scheme val="minor"/>
      </rPr>
      <t>(задается в: Формулы =&gt; Диспетчер имен)</t>
    </r>
  </si>
  <si>
    <t>Plan</t>
  </si>
  <si>
    <t>Fact</t>
  </si>
  <si>
    <t>ЕСЛИОШИБКА()</t>
  </si>
  <si>
    <t xml:space="preserve">Функция: </t>
  </si>
  <si>
    <t>Фун: ЗНАЧЕН()</t>
  </si>
  <si>
    <t xml:space="preserve">     Часы      мужские SOKOLOV     Pulse, серебро    925, 101.30.00.000.02.01.3</t>
  </si>
  <si>
    <t>кол-во ячеек с цифрами</t>
  </si>
  <si>
    <t>кол-во непустых ячеек</t>
  </si>
  <si>
    <t>ТЕКСТ</t>
  </si>
  <si>
    <t>сумма меняется в зависимости от применения фильров</t>
  </si>
  <si>
    <t>тоже, что и промежуточные итоги, но добавляет условия, удобно например игнорировать ошибки</t>
  </si>
  <si>
    <t>УМНЫЕ ТАБЛИЦЫ</t>
  </si>
  <si>
    <t>(можно добавлять строки и столбцы = автопересчет)</t>
  </si>
  <si>
    <t>СУММЕСЛИ</t>
  </si>
  <si>
    <t>СУМЕСЛИМН</t>
  </si>
  <si>
    <r>
      <t xml:space="preserve">Сочетание клавиш </t>
    </r>
    <r>
      <rPr>
        <b/>
        <sz val="11"/>
        <rFont val="Calibri"/>
        <family val="2"/>
        <charset val="204"/>
        <scheme val="minor"/>
      </rPr>
      <t>CTRL + H</t>
    </r>
    <r>
      <rPr>
        <sz val="11"/>
        <rFont val="Calibri"/>
        <family val="2"/>
        <charset val="204"/>
        <scheme val="minor"/>
      </rPr>
      <t xml:space="preserve"> - вызов окна </t>
    </r>
    <r>
      <rPr>
        <b/>
        <sz val="11"/>
        <rFont val="Calibri"/>
        <family val="2"/>
        <charset val="204"/>
        <scheme val="minor"/>
      </rPr>
      <t>"Найти и заменить"</t>
    </r>
  </si>
  <si>
    <t>хотя по правилам математики 0,432 округлется вниз и наоборот</t>
  </si>
  <si>
    <t>можно округлять и до сотен и до тысяч и т.д. например:</t>
  </si>
  <si>
    <t>целое</t>
  </si>
  <si>
    <t>ФУНКЦИИ:</t>
  </si>
  <si>
    <t>в функциях дат можно производить вычесления +/- не только дни, месяцы, годы но и время</t>
  </si>
  <si>
    <t>пример:</t>
  </si>
  <si>
    <t>Круто! (формула расчета)</t>
  </si>
  <si>
    <r>
      <t>Аргумент - конст</t>
    </r>
    <r>
      <rPr>
        <b/>
        <sz val="11"/>
        <color rgb="FFFF0000"/>
        <rFont val="Calibri"/>
        <family val="2"/>
        <charset val="204"/>
        <scheme val="minor"/>
      </rPr>
      <t>анта</t>
    </r>
  </si>
  <si>
    <r>
      <t xml:space="preserve">65 + </t>
    </r>
    <r>
      <rPr>
        <sz val="11"/>
        <color rgb="FFFF0000"/>
        <rFont val="Calibri"/>
        <family val="2"/>
        <charset val="204"/>
        <scheme val="minor"/>
      </rPr>
      <t>742</t>
    </r>
    <r>
      <rPr>
        <sz val="8"/>
        <color rgb="FFFF0000"/>
        <rFont val="Calibri"/>
        <family val="2"/>
        <charset val="204"/>
        <scheme val="minor"/>
      </rPr>
      <t xml:space="preserve"> (МАКС из B28:B30)</t>
    </r>
  </si>
  <si>
    <t>Дни недели</t>
  </si>
  <si>
    <t>Кол-во едениц в 100</t>
  </si>
  <si>
    <t>Кол-во мин в часе</t>
  </si>
  <si>
    <t>Соотношение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</si>
</sst>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,##0"/>
    <numFmt numFmtId="165" formatCode="[$-F800]dddd\,\ mmmm\ dd\,\ yyyy"/>
    <numFmt numFmtId="166" formatCode="#,###"/>
    <numFmt numFmtId="167" formatCode="dd/mm/yy\ h:mm;@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rgb="FF000000"/>
      <name val="Symbol"/>
      <family val="1"/>
      <charset val="2"/>
    </font>
    <font>
      <b/>
      <sz val="12"/>
      <color rgb="FF00000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7030A0"/>
      <name val="Arial"/>
      <family val="2"/>
      <charset val="204"/>
    </font>
    <font>
      <sz val="11"/>
      <color theme="9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theme="8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1" fillId="2" borderId="1" xfId="0" applyNumberFormat="1" applyFont="1" applyFill="1" applyBorder="1"/>
    <xf numFmtId="4" fontId="0" fillId="0" borderId="0" xfId="0" applyNumberFormat="1"/>
    <xf numFmtId="14" fontId="1" fillId="2" borderId="1" xfId="0" applyNumberFormat="1" applyFont="1" applyFill="1" applyBorder="1" applyAlignment="1">
      <alignment horizontal="left"/>
    </xf>
    <xf numFmtId="0" fontId="3" fillId="0" borderId="0" xfId="0" applyFont="1"/>
    <xf numFmtId="4" fontId="3" fillId="0" borderId="0" xfId="0" applyNumberFormat="1" applyFont="1"/>
    <xf numFmtId="9" fontId="3" fillId="0" borderId="0" xfId="0" applyNumberFormat="1" applyFont="1"/>
    <xf numFmtId="4" fontId="0" fillId="0" borderId="0" xfId="0" quotePrefix="1" applyNumberFormat="1"/>
    <xf numFmtId="0" fontId="0" fillId="0" borderId="0" xfId="0" quotePrefix="1"/>
    <xf numFmtId="3" fontId="0" fillId="4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0" fontId="0" fillId="3" borderId="0" xfId="0" applyFill="1"/>
    <xf numFmtId="16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justify" vertical="center"/>
    </xf>
    <xf numFmtId="0" fontId="1" fillId="0" borderId="0" xfId="0" applyFont="1" applyFill="1"/>
    <xf numFmtId="0" fontId="0" fillId="0" borderId="0" xfId="0" quotePrefix="1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4" borderId="0" xfId="0" applyFont="1" applyFill="1"/>
    <xf numFmtId="14" fontId="0" fillId="4" borderId="0" xfId="0" applyNumberFormat="1" applyFill="1"/>
    <xf numFmtId="1" fontId="0" fillId="4" borderId="0" xfId="0" applyNumberFormat="1" applyFill="1"/>
    <xf numFmtId="0" fontId="1" fillId="0" borderId="0" xfId="0" applyFont="1" applyAlignment="1"/>
    <xf numFmtId="0" fontId="1" fillId="2" borderId="0" xfId="0" applyFon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0" fontId="1" fillId="7" borderId="0" xfId="0" applyFont="1" applyFill="1"/>
    <xf numFmtId="14" fontId="0" fillId="0" borderId="0" xfId="0" applyNumberFormat="1" applyAlignment="1">
      <alignment horizontal="center"/>
    </xf>
    <xf numFmtId="4" fontId="0" fillId="6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8" fillId="4" borderId="2" xfId="0" applyFont="1" applyFill="1" applyBorder="1"/>
    <xf numFmtId="0" fontId="9" fillId="0" borderId="0" xfId="0" applyFont="1"/>
    <xf numFmtId="4" fontId="0" fillId="7" borderId="0" xfId="0" applyNumberFormat="1" applyFill="1"/>
    <xf numFmtId="0" fontId="0" fillId="0" borderId="3" xfId="0" applyBorder="1"/>
    <xf numFmtId="10" fontId="0" fillId="0" borderId="3" xfId="0" applyNumberFormat="1" applyBorder="1"/>
    <xf numFmtId="10" fontId="0" fillId="4" borderId="3" xfId="0" applyNumberFormat="1" applyFill="1" applyBorder="1"/>
    <xf numFmtId="10" fontId="0" fillId="3" borderId="3" xfId="0" applyNumberFormat="1" applyFill="1" applyBorder="1"/>
    <xf numFmtId="0" fontId="1" fillId="2" borderId="0" xfId="0" applyFont="1" applyFill="1" applyBorder="1"/>
    <xf numFmtId="0" fontId="1" fillId="4" borderId="0" xfId="0" applyFont="1" applyFill="1"/>
    <xf numFmtId="164" fontId="0" fillId="4" borderId="0" xfId="0" applyNumberFormat="1" applyFill="1"/>
    <xf numFmtId="164" fontId="0" fillId="4" borderId="0" xfId="0" quotePrefix="1" applyNumberFormat="1" applyFill="1" applyAlignment="1">
      <alignment horizontal="right"/>
    </xf>
    <xf numFmtId="164" fontId="0" fillId="8" borderId="0" xfId="0" applyNumberFormat="1" applyFill="1"/>
    <xf numFmtId="166" fontId="0" fillId="0" borderId="0" xfId="0" applyNumberFormat="1" applyAlignment="1">
      <alignment horizontal="left"/>
    </xf>
    <xf numFmtId="166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left"/>
    </xf>
    <xf numFmtId="166" fontId="0" fillId="6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4" fontId="1" fillId="6" borderId="0" xfId="0" applyNumberFormat="1" applyFont="1" applyFill="1" applyAlignment="1">
      <alignment horizontal="center"/>
    </xf>
    <xf numFmtId="4" fontId="1" fillId="6" borderId="0" xfId="0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166" fontId="0" fillId="9" borderId="0" xfId="0" applyNumberFormat="1" applyFill="1" applyAlignment="1">
      <alignment horizontal="left"/>
    </xf>
    <xf numFmtId="0" fontId="0" fillId="9" borderId="0" xfId="0" applyFill="1"/>
    <xf numFmtId="166" fontId="0" fillId="9" borderId="0" xfId="0" applyNumberFormat="1" applyFill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 vertical="center" wrapText="1"/>
    </xf>
    <xf numFmtId="3" fontId="0" fillId="0" borderId="6" xfId="0" applyNumberFormat="1" applyBorder="1"/>
    <xf numFmtId="0" fontId="0" fillId="0" borderId="7" xfId="0" applyBorder="1"/>
    <xf numFmtId="3" fontId="0" fillId="4" borderId="0" xfId="0" applyNumberFormat="1" applyFill="1" applyBorder="1"/>
    <xf numFmtId="3" fontId="0" fillId="0" borderId="8" xfId="0" applyNumberFormat="1" applyBorder="1"/>
    <xf numFmtId="3" fontId="0" fillId="0" borderId="7" xfId="0" applyNumberFormat="1" applyBorder="1"/>
    <xf numFmtId="3" fontId="0" fillId="0" borderId="0" xfId="0" applyNumberFormat="1" applyBorder="1"/>
    <xf numFmtId="3" fontId="0" fillId="9" borderId="7" xfId="0" applyNumberFormat="1" applyFill="1" applyBorder="1"/>
    <xf numFmtId="3" fontId="0" fillId="9" borderId="0" xfId="0" applyNumberFormat="1" applyFill="1" applyBorder="1"/>
    <xf numFmtId="3" fontId="10" fillId="0" borderId="7" xfId="0" applyNumberFormat="1" applyFont="1" applyBorder="1"/>
    <xf numFmtId="3" fontId="11" fillId="10" borderId="9" xfId="0" applyNumberFormat="1" applyFont="1" applyFill="1" applyBorder="1"/>
    <xf numFmtId="3" fontId="0" fillId="0" borderId="10" xfId="0" applyNumberFormat="1" applyBorder="1"/>
    <xf numFmtId="3" fontId="0" fillId="0" borderId="11" xfId="0" applyNumberFormat="1" applyBorder="1"/>
    <xf numFmtId="0" fontId="1" fillId="2" borderId="5" xfId="0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0" fontId="0" fillId="0" borderId="0" xfId="0" applyBorder="1"/>
    <xf numFmtId="3" fontId="0" fillId="4" borderId="8" xfId="0" applyNumberFormat="1" applyFill="1" applyBorder="1"/>
    <xf numFmtId="0" fontId="11" fillId="10" borderId="9" xfId="0" applyFont="1" applyFill="1" applyBorder="1"/>
    <xf numFmtId="0" fontId="0" fillId="0" borderId="10" xfId="0" applyBorder="1"/>
    <xf numFmtId="0" fontId="12" fillId="4" borderId="0" xfId="0" applyFont="1" applyFill="1"/>
    <xf numFmtId="0" fontId="0" fillId="0" borderId="14" xfId="0" applyBorder="1"/>
    <xf numFmtId="0" fontId="0" fillId="4" borderId="14" xfId="0" applyFill="1" applyBorder="1" applyAlignment="1">
      <alignment horizontal="left"/>
    </xf>
    <xf numFmtId="0" fontId="14" fillId="4" borderId="14" xfId="0" applyFont="1" applyFill="1" applyBorder="1" applyAlignment="1">
      <alignment horizontal="left"/>
    </xf>
    <xf numFmtId="0" fontId="1" fillId="4" borderId="13" xfId="0" applyFont="1" applyFill="1" applyBorder="1"/>
    <xf numFmtId="0" fontId="1" fillId="4" borderId="14" xfId="0" applyFont="1" applyFill="1" applyBorder="1" applyAlignment="1">
      <alignment horizontal="center"/>
    </xf>
    <xf numFmtId="14" fontId="7" fillId="4" borderId="0" xfId="0" applyNumberFormat="1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16" fillId="4" borderId="0" xfId="0" applyFont="1" applyFill="1"/>
    <xf numFmtId="0" fontId="16" fillId="0" borderId="0" xfId="0" applyFont="1"/>
    <xf numFmtId="0" fontId="2" fillId="12" borderId="0" xfId="0" applyFont="1" applyFill="1"/>
    <xf numFmtId="0" fontId="0" fillId="12" borderId="0" xfId="0" applyFill="1"/>
    <xf numFmtId="0" fontId="2" fillId="13" borderId="0" xfId="0" applyFont="1" applyFill="1"/>
    <xf numFmtId="0" fontId="0" fillId="13" borderId="0" xfId="0" applyFill="1"/>
    <xf numFmtId="0" fontId="0" fillId="0" borderId="0" xfId="0" applyFont="1" applyAlignment="1">
      <alignment horizontal="left" indent="2"/>
    </xf>
    <xf numFmtId="0" fontId="12" fillId="14" borderId="0" xfId="0" applyFont="1" applyFill="1"/>
    <xf numFmtId="14" fontId="7" fillId="15" borderId="0" xfId="0" applyNumberFormat="1" applyFont="1" applyFill="1" applyAlignment="1">
      <alignment horizontal="center" vertical="center"/>
    </xf>
    <xf numFmtId="1" fontId="7" fillId="15" borderId="0" xfId="0" applyNumberFormat="1" applyFont="1" applyFill="1" applyAlignment="1">
      <alignment horizontal="center" vertical="center"/>
    </xf>
    <xf numFmtId="9" fontId="1" fillId="5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left" vertical="center"/>
    </xf>
    <xf numFmtId="0" fontId="18" fillId="4" borderId="0" xfId="0" applyFont="1" applyFill="1"/>
    <xf numFmtId="0" fontId="0" fillId="16" borderId="0" xfId="0" applyFill="1"/>
    <xf numFmtId="0" fontId="19" fillId="16" borderId="0" xfId="0" applyFont="1" applyFill="1"/>
    <xf numFmtId="164" fontId="8" fillId="4" borderId="0" xfId="0" applyNumberFormat="1" applyFont="1" applyFill="1"/>
    <xf numFmtId="164" fontId="16" fillId="4" borderId="0" xfId="0" quotePrefix="1" applyNumberFormat="1" applyFont="1" applyFill="1" applyAlignment="1">
      <alignment horizontal="right"/>
    </xf>
    <xf numFmtId="0" fontId="13" fillId="8" borderId="0" xfId="0" applyFont="1" applyFill="1"/>
    <xf numFmtId="14" fontId="23" fillId="7" borderId="17" xfId="0" applyNumberFormat="1" applyFont="1" applyFill="1" applyBorder="1" applyAlignment="1">
      <alignment horizontal="center" vertical="center"/>
    </xf>
    <xf numFmtId="14" fontId="23" fillId="7" borderId="18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15" borderId="0" xfId="0" applyFont="1" applyFill="1" applyAlignment="1">
      <alignment vertical="center"/>
    </xf>
    <xf numFmtId="14" fontId="23" fillId="7" borderId="0" xfId="0" applyNumberFormat="1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14" fontId="7" fillId="11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vertical="center"/>
    </xf>
    <xf numFmtId="0" fontId="1" fillId="0" borderId="15" xfId="0" applyFont="1" applyBorder="1" applyAlignment="1">
      <alignment horizontal="center" vertical="center"/>
    </xf>
    <xf numFmtId="14" fontId="0" fillId="4" borderId="16" xfId="0" applyNumberFormat="1" applyFill="1" applyBorder="1" applyAlignment="1">
      <alignment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vertical="center"/>
    </xf>
    <xf numFmtId="0" fontId="21" fillId="5" borderId="20" xfId="0" applyFont="1" applyFill="1" applyBorder="1" applyAlignment="1">
      <alignment vertical="center"/>
    </xf>
    <xf numFmtId="0" fontId="22" fillId="5" borderId="21" xfId="0" applyFont="1" applyFill="1" applyBorder="1" applyAlignment="1">
      <alignment vertical="center"/>
    </xf>
    <xf numFmtId="0" fontId="21" fillId="5" borderId="22" xfId="0" applyFont="1" applyFill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24" fillId="0" borderId="22" xfId="0" applyFont="1" applyBorder="1" applyAlignment="1">
      <alignment vertical="center"/>
    </xf>
  </cellXfs>
  <cellStyles count="1">
    <cellStyle name="Обычный" xfId="0" builtinId="0"/>
  </cellStyles>
  <dxfs count="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269631</xdr:colOff>
      <xdr:row>5</xdr:row>
      <xdr:rowOff>82062</xdr:rowOff>
    </xdr:from>
    <xdr:to>
      <xdr:col>11</xdr:col>
      <xdr:colOff>315350</xdr:colOff>
      <xdr:row>7</xdr:row>
      <xdr:rowOff>11723</xdr:rowOff>
    </xdr:to>
    <xdr:sp macro="" textlink="">
      <xdr:nvSpPr>
        <xdr:cNvPr id="2" name="Стрелка: вниз 1">
          <a:extLst>
            <a:ext uri="{FF2B5EF4-FFF2-40B4-BE49-F238E27FC236}">
              <a16:creationId xmlns:a16="http://schemas.microsoft.com/office/drawing/2014/main" id="{A364E327-CD39-4E49-8E55-8CCD47DE968A}"/>
            </a:ext>
          </a:extLst>
        </xdr:cNvPr>
        <xdr:cNvSpPr/>
      </xdr:nvSpPr>
      <xdr:spPr>
        <a:xfrm>
          <a:off x="7344508" y="990600"/>
          <a:ext cx="45719" cy="2930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14</xdr:col>
      <xdr:colOff>248019</xdr:colOff>
      <xdr:row>5</xdr:row>
      <xdr:rowOff>82061</xdr:rowOff>
    </xdr:from>
    <xdr:to>
      <xdr:col>20</xdr:col>
      <xdr:colOff>467106</xdr:colOff>
      <xdr:row>17</xdr:row>
      <xdr:rowOff>117231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35D4937-6475-4627-8F96-983233B8E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1696" y="990599"/>
          <a:ext cx="3876687" cy="2233247"/>
        </a:xfrm>
        <a:prstGeom prst="rect">
          <a:avLst/>
        </a:prstGeom>
      </xdr:spPr>
    </xdr:pic>
    <xdr:clientData/>
  </xdr:twoCellAnchor>
  <xdr:twoCellAnchor editAs="oneCell">
    <xdr:from>
      <xdr:col>8</xdr:col>
      <xdr:colOff>23447</xdr:colOff>
      <xdr:row>7</xdr:row>
      <xdr:rowOff>117230</xdr:rowOff>
    </xdr:from>
    <xdr:to>
      <xdr:col>12</xdr:col>
      <xdr:colOff>504093</xdr:colOff>
      <xdr:row>19</xdr:row>
      <xdr:rowOff>142234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5D26867-15B3-43F1-BD19-E3FC47293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9524" y="1389184"/>
          <a:ext cx="2919046" cy="2223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15241</xdr:colOff>
      <xdr:row>6</xdr:row>
      <xdr:rowOff>91440</xdr:rowOff>
    </xdr:from>
    <xdr:to>
      <xdr:col>17</xdr:col>
      <xdr:colOff>262079</xdr:colOff>
      <xdr:row>17</xdr:row>
      <xdr:rowOff>45719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6ABFB92-758A-4744-9CE2-DE2AF1661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3081" y="1188720"/>
          <a:ext cx="5123638" cy="19659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A685A-C760-4920-ACED-5F8BDD37181F}" name="Таблица1" displayName="Таблица1" ref="A1:E27" totalsRowShown="0" headerRowDxfId="1">
  <autoFilter ref="A1:E27" xr:uid="{D82A685A-C760-4920-ACED-5F8BDD37181F}"/>
  <tableColumns count="5">
    <tableColumn id="1" xr3:uid="{803BB4C9-6647-495D-A09F-6C5688624AF5}" name="Коммерческая категория 1"/>
    <tableColumn id="2" xr3:uid="{35AF2EF1-F2F2-427C-818F-EEB5ED904DD0}" name="Коммерческая категория 2"/>
    <tableColumn id="3" xr3:uid="{DF209A05-A592-4AF6-80E2-3EA39E71D9E5}" name="Коммерческая категория 3"/>
    <tableColumn id="4" xr3:uid="{87EA1564-C075-4F16-A70B-88A833247191}" name="Товар"/>
    <tableColumn id="5" xr3:uid="{9398F2DD-127B-4BD5-91ED-72F3913DFD57}" name="Продажи, шт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54"/>
  <sheetViews>
    <sheetView zoomScale="130" zoomScaleNormal="130" workbookViewId="0">
      <selection activeCell="A46" sqref="A46"/>
    </sheetView>
  </sheetViews>
  <sheetFormatPr defaultRowHeight="14.4" x14ac:dyDescent="0.3"/>
  <cols>
    <col min="1" max="2" width="11.6640625" bestFit="1" customWidth="1"/>
    <col min="3" max="3" width="9" bestFit="1" customWidth="1"/>
    <col min="4" max="4" width="8.5546875" bestFit="1" customWidth="1"/>
  </cols>
  <sheetData>
    <row r="1" spans="1:14" s="25" customFormat="1" x14ac:dyDescent="0.3">
      <c r="A1" s="24" t="s">
        <v>216</v>
      </c>
    </row>
    <row r="3" spans="1:14" x14ac:dyDescent="0.3">
      <c r="A3">
        <v>1</v>
      </c>
      <c r="C3" s="2" t="s">
        <v>0</v>
      </c>
      <c r="D3" s="2" t="s">
        <v>215</v>
      </c>
      <c r="F3" t="s">
        <v>319</v>
      </c>
    </row>
    <row r="4" spans="1:14" x14ac:dyDescent="0.3">
      <c r="A4">
        <v>2</v>
      </c>
      <c r="C4" s="4">
        <f>SUM(A3:A7)</f>
        <v>15</v>
      </c>
      <c r="D4" s="4">
        <f>A3+A4+A5+A6+A7</f>
        <v>15</v>
      </c>
      <c r="F4">
        <f ca="1">RAND()</f>
        <v>0.25548810730963256</v>
      </c>
      <c r="H4" t="s">
        <v>320</v>
      </c>
      <c r="J4" s="45" t="s">
        <v>321</v>
      </c>
      <c r="L4" s="23" t="s">
        <v>322</v>
      </c>
      <c r="N4" t="s">
        <v>325</v>
      </c>
    </row>
    <row r="5" spans="1:14" x14ac:dyDescent="0.3">
      <c r="A5">
        <v>3</v>
      </c>
      <c r="H5">
        <f>SUM(A3:A7,A28)</f>
        <v>5</v>
      </c>
      <c r="J5">
        <f>SUM(A3:A6,SUM(B28:B30))</f>
        <v>1566</v>
      </c>
      <c r="L5" s="23" t="s">
        <v>323</v>
      </c>
      <c r="N5" s="47" t="s">
        <v>324</v>
      </c>
    </row>
    <row r="6" spans="1:14" x14ac:dyDescent="0.3">
      <c r="A6">
        <v>4</v>
      </c>
      <c r="N6">
        <f>SUM(A3:A7)</f>
        <v>15</v>
      </c>
    </row>
    <row r="7" spans="1:14" x14ac:dyDescent="0.3">
      <c r="A7">
        <v>5</v>
      </c>
      <c r="N7">
        <f>SUM(Продажи)</f>
        <v>15</v>
      </c>
    </row>
    <row r="9" spans="1:14" s="25" customFormat="1" x14ac:dyDescent="0.3">
      <c r="A9" s="24" t="s">
        <v>224</v>
      </c>
    </row>
    <row r="11" spans="1:14" x14ac:dyDescent="0.3">
      <c r="A11" s="2" t="s">
        <v>217</v>
      </c>
      <c r="E11" s="26">
        <v>43952</v>
      </c>
      <c r="F11" t="s">
        <v>219</v>
      </c>
    </row>
    <row r="12" spans="1:14" x14ac:dyDescent="0.3">
      <c r="A12" s="33">
        <f>SUM(A3:A7)</f>
        <v>15</v>
      </c>
      <c r="E12" s="26">
        <v>43953</v>
      </c>
      <c r="F12" t="s">
        <v>220</v>
      </c>
    </row>
    <row r="13" spans="1:14" x14ac:dyDescent="0.3">
      <c r="A13" s="20"/>
      <c r="E13" s="26">
        <v>43954</v>
      </c>
      <c r="F13" s="103" t="s">
        <v>221</v>
      </c>
    </row>
    <row r="14" spans="1:14" x14ac:dyDescent="0.3">
      <c r="A14" s="2" t="s">
        <v>218</v>
      </c>
      <c r="E14" s="26">
        <v>43955</v>
      </c>
      <c r="F14" t="s">
        <v>222</v>
      </c>
    </row>
    <row r="15" spans="1:14" x14ac:dyDescent="0.3">
      <c r="E15" s="26">
        <v>43956</v>
      </c>
      <c r="F15" s="105" t="s">
        <v>223</v>
      </c>
    </row>
    <row r="16" spans="1:14" ht="15.6" x14ac:dyDescent="0.3">
      <c r="A16" s="102" t="str">
        <f>VLOOKUP(B16,E11:F15,2)</f>
        <v>вс</v>
      </c>
      <c r="B16" s="27">
        <v>43954</v>
      </c>
    </row>
    <row r="18" spans="1:3" x14ac:dyDescent="0.3">
      <c r="A18" s="2" t="s">
        <v>349</v>
      </c>
    </row>
    <row r="20" spans="1:3" x14ac:dyDescent="0.3">
      <c r="A20" s="100" t="str">
        <f>RIGHT(A18,4)</f>
        <v>анта</v>
      </c>
    </row>
    <row r="22" spans="1:3" x14ac:dyDescent="0.3">
      <c r="A22" s="2" t="s">
        <v>225</v>
      </c>
    </row>
    <row r="24" spans="1:3" x14ac:dyDescent="0.3">
      <c r="A24" s="4">
        <f>INT(B24)</f>
        <v>3</v>
      </c>
      <c r="B24">
        <v>3.5670000000000002</v>
      </c>
    </row>
    <row r="26" spans="1:3" x14ac:dyDescent="0.3">
      <c r="A26" s="2" t="s">
        <v>226</v>
      </c>
    </row>
    <row r="28" spans="1:3" x14ac:dyDescent="0.3">
      <c r="A28" s="107">
        <f>MIN(B28:C30)</f>
        <v>-10</v>
      </c>
      <c r="B28">
        <v>346</v>
      </c>
      <c r="C28" s="107">
        <f>SUM(B28:B30)-J5</f>
        <v>-10</v>
      </c>
    </row>
    <row r="29" spans="1:3" x14ac:dyDescent="0.3">
      <c r="B29" s="101">
        <v>742</v>
      </c>
    </row>
    <row r="30" spans="1:3" x14ac:dyDescent="0.3">
      <c r="B30">
        <v>468</v>
      </c>
    </row>
    <row r="32" spans="1:3" x14ac:dyDescent="0.3">
      <c r="A32" s="2" t="s">
        <v>232</v>
      </c>
    </row>
    <row r="34" spans="1:12" ht="15.6" x14ac:dyDescent="0.3">
      <c r="A34" s="104" t="str">
        <f>VLOOKUP(B34,E:F,2,0)</f>
        <v>вт</v>
      </c>
      <c r="B34" s="27">
        <v>43956</v>
      </c>
    </row>
    <row r="36" spans="1:12" x14ac:dyDescent="0.3">
      <c r="A36" s="2" t="s">
        <v>227</v>
      </c>
    </row>
    <row r="38" spans="1:12" x14ac:dyDescent="0.3">
      <c r="A38" s="18"/>
      <c r="B38">
        <f>SUM(B28:B30)</f>
        <v>1556</v>
      </c>
    </row>
    <row r="40" spans="1:12" x14ac:dyDescent="0.3">
      <c r="A40" s="2" t="s">
        <v>228</v>
      </c>
    </row>
    <row r="42" spans="1:12" x14ac:dyDescent="0.3">
      <c r="A42" s="4">
        <f>SUM(2,3*5)</f>
        <v>17</v>
      </c>
    </row>
    <row r="44" spans="1:12" ht="15" thickBot="1" x14ac:dyDescent="0.35">
      <c r="A44" s="2" t="s">
        <v>229</v>
      </c>
    </row>
    <row r="45" spans="1:12" ht="15" thickBot="1" x14ac:dyDescent="0.35">
      <c r="L45" s="46">
        <f>SUM(B28:B30,C4:D4,J5)</f>
        <v>3152</v>
      </c>
    </row>
    <row r="46" spans="1:12" x14ac:dyDescent="0.3">
      <c r="A46" s="18">
        <f>SUM(65,MAX(B28:B30))</f>
        <v>807</v>
      </c>
      <c r="B46" s="106" t="s">
        <v>350</v>
      </c>
    </row>
    <row r="48" spans="1:12" x14ac:dyDescent="0.3">
      <c r="A48" s="2" t="s">
        <v>230</v>
      </c>
    </row>
    <row r="50" spans="1:1" x14ac:dyDescent="0.3">
      <c r="A50" s="4" t="b">
        <f>OR(A46={1,3,5,7,9,11})</f>
        <v>0</v>
      </c>
    </row>
    <row r="52" spans="1:1" x14ac:dyDescent="0.3">
      <c r="A52" s="2" t="s">
        <v>231</v>
      </c>
    </row>
    <row r="54" spans="1:1" x14ac:dyDescent="0.3">
      <c r="A54" s="34">
        <f ca="1">TODAY()</f>
        <v>44834</v>
      </c>
    </row>
  </sheetData>
  <pageMargins left="0.7" right="0.7" top="0.75" bottom="0.75" header="0.3" footer="0.3"/>
  <pageSetup paperSize="9" orientation="portrait" r:id="rId1"/>
  <cellWatches>
    <cellWatch r="L45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R152"/>
  <sheetViews>
    <sheetView zoomScaleNormal="100" workbookViewId="0">
      <pane ySplit="3" topLeftCell="A7" activePane="bottomLeft" state="frozen"/>
      <selection pane="bottomLeft" activeCell="K4" sqref="K4"/>
    </sheetView>
  </sheetViews>
  <sheetFormatPr defaultRowHeight="14.4" x14ac:dyDescent="0.3"/>
  <cols>
    <col min="1" max="2" width="26.33203125" bestFit="1" customWidth="1"/>
    <col min="3" max="3" width="45.109375" customWidth="1"/>
    <col min="4" max="4" width="24.44140625" style="11" bestFit="1" customWidth="1"/>
    <col min="5" max="10" width="12.44140625" bestFit="1" customWidth="1"/>
    <col min="11" max="16" width="10.6640625" bestFit="1" customWidth="1"/>
  </cols>
  <sheetData>
    <row r="1" spans="1:18" s="13" customFormat="1" x14ac:dyDescent="0.3">
      <c r="A1" s="13" t="s">
        <v>195</v>
      </c>
      <c r="B1" s="15">
        <v>0.2</v>
      </c>
      <c r="D1" s="14"/>
      <c r="E1" s="15"/>
      <c r="F1" s="15"/>
      <c r="G1" s="15"/>
      <c r="H1" s="15"/>
      <c r="I1" s="15"/>
      <c r="J1" s="15"/>
      <c r="K1" s="15">
        <v>0.2</v>
      </c>
      <c r="L1" s="15">
        <v>0.2</v>
      </c>
      <c r="M1" s="15">
        <v>0.2</v>
      </c>
      <c r="N1" s="15">
        <v>0.2</v>
      </c>
      <c r="O1" s="15">
        <v>0.2</v>
      </c>
      <c r="P1" s="15">
        <v>0.2</v>
      </c>
    </row>
    <row r="2" spans="1:18" s="13" customFormat="1" x14ac:dyDescent="0.3">
      <c r="B2" s="15"/>
      <c r="D2" s="14"/>
      <c r="E2" s="110" t="s">
        <v>196</v>
      </c>
      <c r="F2" s="110"/>
      <c r="G2" s="110"/>
      <c r="H2" s="110"/>
      <c r="I2" s="110"/>
      <c r="J2" s="110"/>
      <c r="K2" s="110" t="s">
        <v>197</v>
      </c>
      <c r="L2" s="110"/>
      <c r="M2" s="110"/>
      <c r="N2" s="110"/>
      <c r="O2" s="110"/>
      <c r="P2" s="110"/>
    </row>
    <row r="3" spans="1:18" x14ac:dyDescent="0.3">
      <c r="A3" s="1" t="s">
        <v>25</v>
      </c>
      <c r="B3" s="1" t="s">
        <v>26</v>
      </c>
      <c r="C3" s="1" t="s">
        <v>2</v>
      </c>
      <c r="D3" s="10" t="s">
        <v>310</v>
      </c>
      <c r="E3" s="12">
        <v>43496</v>
      </c>
      <c r="F3" s="12">
        <v>43524</v>
      </c>
      <c r="G3" s="12">
        <v>43555</v>
      </c>
      <c r="H3" s="12">
        <v>43585</v>
      </c>
      <c r="I3" s="12">
        <v>43616</v>
      </c>
      <c r="J3" s="12">
        <v>43646</v>
      </c>
      <c r="K3" s="12">
        <v>43496</v>
      </c>
      <c r="L3" s="12">
        <v>43524</v>
      </c>
      <c r="M3" s="12">
        <v>43555</v>
      </c>
      <c r="N3" s="12">
        <v>43585</v>
      </c>
      <c r="O3" s="12">
        <v>43616</v>
      </c>
      <c r="P3" s="12">
        <v>43646</v>
      </c>
      <c r="Q3" s="13"/>
    </row>
    <row r="4" spans="1:18" x14ac:dyDescent="0.3">
      <c r="A4" s="2" t="s">
        <v>44</v>
      </c>
      <c r="B4" t="s">
        <v>45</v>
      </c>
      <c r="C4" t="s">
        <v>77</v>
      </c>
      <c r="D4" s="11">
        <v>9917.7559607999992</v>
      </c>
      <c r="E4">
        <v>6</v>
      </c>
      <c r="F4">
        <v>6</v>
      </c>
      <c r="G4">
        <v>0</v>
      </c>
      <c r="H4">
        <v>1</v>
      </c>
      <c r="I4">
        <v>3</v>
      </c>
      <c r="J4">
        <v>0</v>
      </c>
      <c r="K4" s="48">
        <f>$D4*E4/(1+$B$1)</f>
        <v>49588.779803999998</v>
      </c>
      <c r="L4" s="48">
        <f t="shared" ref="L4:P4" si="0">$D4*F4/(1+$B$1)</f>
        <v>49588.779803999998</v>
      </c>
      <c r="M4" s="48">
        <f t="shared" si="0"/>
        <v>0</v>
      </c>
      <c r="N4" s="48">
        <f t="shared" si="0"/>
        <v>8264.7966340000003</v>
      </c>
      <c r="O4" s="48">
        <f t="shared" si="0"/>
        <v>24794.389901999999</v>
      </c>
      <c r="P4" s="48">
        <f t="shared" si="0"/>
        <v>0</v>
      </c>
      <c r="Q4" s="13"/>
    </row>
    <row r="5" spans="1:18" x14ac:dyDescent="0.3">
      <c r="A5" s="2" t="s">
        <v>44</v>
      </c>
      <c r="B5" t="s">
        <v>45</v>
      </c>
      <c r="C5" t="s">
        <v>78</v>
      </c>
      <c r="D5" s="11">
        <v>6803.1780044999996</v>
      </c>
      <c r="E5">
        <v>0</v>
      </c>
      <c r="F5">
        <v>0</v>
      </c>
      <c r="G5">
        <v>0</v>
      </c>
      <c r="H5">
        <v>3</v>
      </c>
      <c r="I5">
        <v>5</v>
      </c>
      <c r="J5">
        <v>0</v>
      </c>
      <c r="K5" s="48">
        <f t="shared" ref="K5:K68" si="1">$D5*E5/(1+$B$1)</f>
        <v>0</v>
      </c>
      <c r="L5" s="48">
        <f t="shared" ref="L5:L68" si="2">$D5*F5/(1+$B$1)</f>
        <v>0</v>
      </c>
      <c r="M5" s="48">
        <f t="shared" ref="M5:M68" si="3">$D5*G5/(1+$B$1)</f>
        <v>0</v>
      </c>
      <c r="N5" s="48">
        <f t="shared" ref="N5:N68" si="4">$D5*H5/(1+$B$1)</f>
        <v>17007.945011250002</v>
      </c>
      <c r="O5" s="48">
        <f t="shared" ref="O5:O68" si="5">$D5*I5/(1+$B$1)</f>
        <v>28346.575018749998</v>
      </c>
      <c r="P5" s="48">
        <f t="shared" ref="P5:P68" si="6">$D5*J5/(1+$B$1)</f>
        <v>0</v>
      </c>
      <c r="Q5" s="13"/>
    </row>
    <row r="6" spans="1:18" x14ac:dyDescent="0.3">
      <c r="A6" s="2" t="s">
        <v>44</v>
      </c>
      <c r="B6" t="s">
        <v>45</v>
      </c>
      <c r="C6" t="s">
        <v>79</v>
      </c>
      <c r="D6" s="11">
        <v>14561.008496999999</v>
      </c>
      <c r="E6">
        <v>0</v>
      </c>
      <c r="F6">
        <v>0</v>
      </c>
      <c r="G6">
        <v>0</v>
      </c>
      <c r="H6">
        <v>0</v>
      </c>
      <c r="I6">
        <v>5</v>
      </c>
      <c r="J6">
        <v>2</v>
      </c>
      <c r="K6" s="48">
        <f t="shared" si="1"/>
        <v>0</v>
      </c>
      <c r="L6" s="48">
        <f t="shared" si="2"/>
        <v>0</v>
      </c>
      <c r="M6" s="48">
        <f t="shared" si="3"/>
        <v>0</v>
      </c>
      <c r="N6" s="48">
        <f t="shared" si="4"/>
        <v>0</v>
      </c>
      <c r="O6" s="48">
        <f t="shared" si="5"/>
        <v>60670.868737500001</v>
      </c>
      <c r="P6" s="48">
        <f t="shared" si="6"/>
        <v>24268.347494999998</v>
      </c>
      <c r="Q6" s="13"/>
    </row>
    <row r="7" spans="1:18" x14ac:dyDescent="0.3">
      <c r="A7" s="2" t="s">
        <v>44</v>
      </c>
      <c r="B7" t="s">
        <v>45</v>
      </c>
      <c r="C7" t="s">
        <v>81</v>
      </c>
      <c r="D7" s="11">
        <v>3898.406778</v>
      </c>
      <c r="E7">
        <v>0</v>
      </c>
      <c r="F7">
        <v>0</v>
      </c>
      <c r="G7">
        <v>0</v>
      </c>
      <c r="H7">
        <v>14</v>
      </c>
      <c r="I7">
        <v>95</v>
      </c>
      <c r="J7">
        <v>1</v>
      </c>
      <c r="K7" s="48">
        <f t="shared" si="1"/>
        <v>0</v>
      </c>
      <c r="L7" s="48">
        <f t="shared" si="2"/>
        <v>0</v>
      </c>
      <c r="M7" s="48">
        <f t="shared" si="3"/>
        <v>0</v>
      </c>
      <c r="N7" s="48">
        <f t="shared" si="4"/>
        <v>45481.412410000004</v>
      </c>
      <c r="O7" s="48">
        <f t="shared" si="5"/>
        <v>308623.86992500001</v>
      </c>
      <c r="P7" s="48">
        <f t="shared" si="6"/>
        <v>3248.6723150000003</v>
      </c>
      <c r="Q7" s="13"/>
    </row>
    <row r="8" spans="1:18" x14ac:dyDescent="0.3">
      <c r="A8" s="2" t="s">
        <v>44</v>
      </c>
      <c r="B8" t="s">
        <v>45</v>
      </c>
      <c r="C8" t="s">
        <v>80</v>
      </c>
      <c r="D8" s="11">
        <v>8592.2033789999987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 s="48">
        <f t="shared" si="1"/>
        <v>28640.677929999998</v>
      </c>
      <c r="L8" s="48">
        <f t="shared" si="2"/>
        <v>0</v>
      </c>
      <c r="M8" s="48">
        <f t="shared" si="3"/>
        <v>0</v>
      </c>
      <c r="N8" s="48">
        <f t="shared" si="4"/>
        <v>0</v>
      </c>
      <c r="O8" s="48">
        <f t="shared" si="5"/>
        <v>0</v>
      </c>
      <c r="P8" s="48">
        <f t="shared" si="6"/>
        <v>0</v>
      </c>
      <c r="Q8" s="13"/>
    </row>
    <row r="9" spans="1:18" x14ac:dyDescent="0.3">
      <c r="A9" s="2" t="s">
        <v>44</v>
      </c>
      <c r="B9" t="s">
        <v>45</v>
      </c>
      <c r="C9" t="s">
        <v>82</v>
      </c>
      <c r="D9" s="11">
        <v>2759.1864299999997</v>
      </c>
      <c r="E9">
        <v>3</v>
      </c>
      <c r="F9">
        <v>0</v>
      </c>
      <c r="G9">
        <v>0</v>
      </c>
      <c r="H9">
        <v>0</v>
      </c>
      <c r="I9">
        <v>2</v>
      </c>
      <c r="J9">
        <v>0</v>
      </c>
      <c r="K9" s="48">
        <f t="shared" si="1"/>
        <v>6897.9660749999994</v>
      </c>
      <c r="L9" s="48">
        <f t="shared" si="2"/>
        <v>0</v>
      </c>
      <c r="M9" s="48">
        <f t="shared" si="3"/>
        <v>0</v>
      </c>
      <c r="N9" s="48">
        <f t="shared" si="4"/>
        <v>0</v>
      </c>
      <c r="O9" s="48">
        <f t="shared" si="5"/>
        <v>4598.6440499999999</v>
      </c>
      <c r="P9" s="48">
        <f t="shared" si="6"/>
        <v>0</v>
      </c>
      <c r="Q9" s="13"/>
    </row>
    <row r="10" spans="1:18" x14ac:dyDescent="0.3">
      <c r="A10" s="2" t="s">
        <v>44</v>
      </c>
      <c r="B10" t="s">
        <v>45</v>
      </c>
      <c r="C10" t="s">
        <v>83</v>
      </c>
      <c r="D10" s="11">
        <v>4581.3559080000005</v>
      </c>
      <c r="E10">
        <v>0</v>
      </c>
      <c r="F10">
        <v>0</v>
      </c>
      <c r="G10">
        <v>0</v>
      </c>
      <c r="H10">
        <v>4</v>
      </c>
      <c r="I10">
        <v>0</v>
      </c>
      <c r="J10">
        <v>4</v>
      </c>
      <c r="K10" s="48">
        <f t="shared" si="1"/>
        <v>0</v>
      </c>
      <c r="L10" s="48">
        <f t="shared" si="2"/>
        <v>0</v>
      </c>
      <c r="M10" s="48">
        <f t="shared" si="3"/>
        <v>0</v>
      </c>
      <c r="N10" s="48">
        <f t="shared" si="4"/>
        <v>15271.186360000002</v>
      </c>
      <c r="O10" s="48">
        <f t="shared" si="5"/>
        <v>0</v>
      </c>
      <c r="P10" s="48">
        <f t="shared" si="6"/>
        <v>15271.186360000002</v>
      </c>
    </row>
    <row r="11" spans="1:18" x14ac:dyDescent="0.3">
      <c r="A11" s="2" t="s">
        <v>44</v>
      </c>
      <c r="B11" t="s">
        <v>45</v>
      </c>
      <c r="C11" t="s">
        <v>84</v>
      </c>
      <c r="D11" s="11">
        <v>2440.6779999999999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48">
        <f t="shared" si="1"/>
        <v>0</v>
      </c>
      <c r="L11" s="48">
        <f t="shared" si="2"/>
        <v>0</v>
      </c>
      <c r="M11" s="48">
        <f t="shared" si="3"/>
        <v>0</v>
      </c>
      <c r="N11" s="48">
        <f t="shared" si="4"/>
        <v>0</v>
      </c>
      <c r="O11" s="48">
        <f t="shared" si="5"/>
        <v>0</v>
      </c>
      <c r="P11" s="48">
        <f t="shared" si="6"/>
        <v>0</v>
      </c>
    </row>
    <row r="12" spans="1:18" x14ac:dyDescent="0.3">
      <c r="A12" s="2" t="s">
        <v>44</v>
      </c>
      <c r="B12" t="s">
        <v>45</v>
      </c>
      <c r="C12" t="s">
        <v>85</v>
      </c>
      <c r="D12" s="11">
        <v>8018.4407520000004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48">
        <f t="shared" si="1"/>
        <v>0</v>
      </c>
      <c r="L12" s="48">
        <f t="shared" si="2"/>
        <v>0</v>
      </c>
      <c r="M12" s="48">
        <f t="shared" si="3"/>
        <v>0</v>
      </c>
      <c r="N12" s="48">
        <f t="shared" si="4"/>
        <v>0</v>
      </c>
      <c r="O12" s="48">
        <f t="shared" si="5"/>
        <v>0</v>
      </c>
      <c r="P12" s="48">
        <f t="shared" si="6"/>
        <v>0</v>
      </c>
    </row>
    <row r="13" spans="1:18" x14ac:dyDescent="0.3">
      <c r="A13" s="2" t="s">
        <v>44</v>
      </c>
      <c r="B13" t="s">
        <v>45</v>
      </c>
      <c r="C13" t="s">
        <v>86</v>
      </c>
      <c r="D13" s="11">
        <v>2240.2966299999998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 s="48">
        <f t="shared" si="1"/>
        <v>5600.741575</v>
      </c>
      <c r="L13" s="48">
        <f t="shared" si="2"/>
        <v>0</v>
      </c>
      <c r="M13" s="48">
        <f t="shared" si="3"/>
        <v>0</v>
      </c>
      <c r="N13" s="48">
        <f t="shared" si="4"/>
        <v>0</v>
      </c>
      <c r="O13" s="48">
        <f t="shared" si="5"/>
        <v>0</v>
      </c>
      <c r="P13" s="48">
        <f t="shared" si="6"/>
        <v>0</v>
      </c>
    </row>
    <row r="14" spans="1:18" x14ac:dyDescent="0.3">
      <c r="A14" s="2" t="s">
        <v>44</v>
      </c>
      <c r="B14" t="s">
        <v>45</v>
      </c>
      <c r="C14" t="s">
        <v>87</v>
      </c>
      <c r="D14" s="11">
        <v>10925.754334000003</v>
      </c>
      <c r="E14">
        <v>0</v>
      </c>
      <c r="F14">
        <v>0</v>
      </c>
      <c r="G14">
        <v>0</v>
      </c>
      <c r="H14">
        <v>16</v>
      </c>
      <c r="I14">
        <v>0</v>
      </c>
      <c r="J14">
        <v>0</v>
      </c>
      <c r="K14" s="48">
        <f t="shared" si="1"/>
        <v>0</v>
      </c>
      <c r="L14" s="48">
        <f t="shared" si="2"/>
        <v>0</v>
      </c>
      <c r="M14" s="48">
        <f t="shared" si="3"/>
        <v>0</v>
      </c>
      <c r="N14" s="48">
        <f t="shared" si="4"/>
        <v>145676.72445333339</v>
      </c>
      <c r="O14" s="48">
        <f t="shared" si="5"/>
        <v>0</v>
      </c>
      <c r="P14" s="48">
        <f t="shared" si="6"/>
        <v>0</v>
      </c>
      <c r="R14" s="11"/>
    </row>
    <row r="15" spans="1:18" x14ac:dyDescent="0.3">
      <c r="A15" s="2" t="s">
        <v>44</v>
      </c>
      <c r="B15" t="s">
        <v>45</v>
      </c>
      <c r="C15" t="s">
        <v>46</v>
      </c>
      <c r="D15" s="11">
        <v>10074.866746666665</v>
      </c>
      <c r="E15">
        <v>0</v>
      </c>
      <c r="F15">
        <v>6</v>
      </c>
      <c r="G15">
        <v>0</v>
      </c>
      <c r="H15">
        <v>0</v>
      </c>
      <c r="I15">
        <v>0</v>
      </c>
      <c r="J15">
        <v>0</v>
      </c>
      <c r="K15" s="48">
        <f t="shared" si="1"/>
        <v>0</v>
      </c>
      <c r="L15" s="48">
        <f t="shared" si="2"/>
        <v>50374.333733333326</v>
      </c>
      <c r="M15" s="48">
        <f t="shared" si="3"/>
        <v>0</v>
      </c>
      <c r="N15" s="48">
        <f t="shared" si="4"/>
        <v>0</v>
      </c>
      <c r="O15" s="48">
        <f t="shared" si="5"/>
        <v>0</v>
      </c>
      <c r="P15" s="48">
        <f t="shared" si="6"/>
        <v>0</v>
      </c>
      <c r="R15" s="11"/>
    </row>
    <row r="16" spans="1:18" x14ac:dyDescent="0.3">
      <c r="A16" s="2" t="s">
        <v>44</v>
      </c>
      <c r="B16" t="s">
        <v>45</v>
      </c>
      <c r="C16" t="s">
        <v>88</v>
      </c>
      <c r="D16" s="11">
        <v>11825.590139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 s="48">
        <f t="shared" si="1"/>
        <v>0</v>
      </c>
      <c r="L16" s="48">
        <f t="shared" si="2"/>
        <v>19709.316898333334</v>
      </c>
      <c r="M16" s="48">
        <f t="shared" si="3"/>
        <v>0</v>
      </c>
      <c r="N16" s="48">
        <f t="shared" si="4"/>
        <v>0</v>
      </c>
      <c r="O16" s="48">
        <f t="shared" si="5"/>
        <v>0</v>
      </c>
      <c r="P16" s="48">
        <f t="shared" si="6"/>
        <v>0</v>
      </c>
      <c r="R16" s="11"/>
    </row>
    <row r="17" spans="1:16" x14ac:dyDescent="0.3">
      <c r="A17" s="2" t="s">
        <v>44</v>
      </c>
      <c r="B17" t="s">
        <v>45</v>
      </c>
      <c r="C17" t="s">
        <v>89</v>
      </c>
      <c r="D17" s="11">
        <v>6289.9153480000004</v>
      </c>
      <c r="E17">
        <v>0</v>
      </c>
      <c r="F17">
        <v>0</v>
      </c>
      <c r="G17">
        <v>0</v>
      </c>
      <c r="H17">
        <v>0</v>
      </c>
      <c r="I17">
        <v>0</v>
      </c>
      <c r="J17">
        <v>7</v>
      </c>
      <c r="K17" s="48">
        <f t="shared" si="1"/>
        <v>0</v>
      </c>
      <c r="L17" s="48">
        <f t="shared" si="2"/>
        <v>0</v>
      </c>
      <c r="M17" s="48">
        <f t="shared" si="3"/>
        <v>0</v>
      </c>
      <c r="N17" s="48">
        <f t="shared" si="4"/>
        <v>0</v>
      </c>
      <c r="O17" s="48">
        <f t="shared" si="5"/>
        <v>0</v>
      </c>
      <c r="P17" s="48">
        <f t="shared" si="6"/>
        <v>36691.172863333333</v>
      </c>
    </row>
    <row r="18" spans="1:16" x14ac:dyDescent="0.3">
      <c r="A18" s="2" t="s">
        <v>44</v>
      </c>
      <c r="B18" t="s">
        <v>45</v>
      </c>
      <c r="C18" t="s">
        <v>90</v>
      </c>
      <c r="D18" s="11">
        <v>4525.1694629999993</v>
      </c>
      <c r="E18">
        <v>0</v>
      </c>
      <c r="F18">
        <v>7</v>
      </c>
      <c r="G18">
        <v>0</v>
      </c>
      <c r="H18">
        <v>0</v>
      </c>
      <c r="I18">
        <v>0</v>
      </c>
      <c r="J18">
        <v>0</v>
      </c>
      <c r="K18" s="48">
        <f t="shared" si="1"/>
        <v>0</v>
      </c>
      <c r="L18" s="48">
        <f t="shared" si="2"/>
        <v>26396.821867499999</v>
      </c>
      <c r="M18" s="48">
        <f t="shared" si="3"/>
        <v>0</v>
      </c>
      <c r="N18" s="48">
        <f t="shared" si="4"/>
        <v>0</v>
      </c>
      <c r="O18" s="48">
        <f t="shared" si="5"/>
        <v>0</v>
      </c>
      <c r="P18" s="48">
        <f t="shared" si="6"/>
        <v>0</v>
      </c>
    </row>
    <row r="19" spans="1:16" x14ac:dyDescent="0.3">
      <c r="A19" s="2" t="s">
        <v>44</v>
      </c>
      <c r="B19" t="s">
        <v>45</v>
      </c>
      <c r="C19" t="s">
        <v>91</v>
      </c>
      <c r="D19" s="11">
        <v>6036.6100799999995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48">
        <f t="shared" si="1"/>
        <v>0</v>
      </c>
      <c r="L19" s="48">
        <f t="shared" si="2"/>
        <v>0</v>
      </c>
      <c r="M19" s="48">
        <f t="shared" si="3"/>
        <v>0</v>
      </c>
      <c r="N19" s="48">
        <f t="shared" si="4"/>
        <v>0</v>
      </c>
      <c r="O19" s="48">
        <f t="shared" si="5"/>
        <v>0</v>
      </c>
      <c r="P19" s="48">
        <f t="shared" si="6"/>
        <v>0</v>
      </c>
    </row>
    <row r="20" spans="1:16" x14ac:dyDescent="0.3">
      <c r="A20" s="2" t="s">
        <v>44</v>
      </c>
      <c r="B20" t="s">
        <v>45</v>
      </c>
      <c r="C20" t="s">
        <v>47</v>
      </c>
      <c r="D20" s="11">
        <v>3089.7513359999998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  <c r="K20" s="48">
        <f t="shared" si="1"/>
        <v>0</v>
      </c>
      <c r="L20" s="48">
        <f t="shared" si="2"/>
        <v>0</v>
      </c>
      <c r="M20" s="48">
        <f t="shared" si="3"/>
        <v>0</v>
      </c>
      <c r="N20" s="48">
        <f t="shared" si="4"/>
        <v>0</v>
      </c>
      <c r="O20" s="48">
        <f t="shared" si="5"/>
        <v>0</v>
      </c>
      <c r="P20" s="48">
        <f t="shared" si="6"/>
        <v>15448.75668</v>
      </c>
    </row>
    <row r="21" spans="1:16" x14ac:dyDescent="0.3">
      <c r="A21" s="2" t="s">
        <v>44</v>
      </c>
      <c r="B21" t="s">
        <v>45</v>
      </c>
      <c r="C21" t="s">
        <v>92</v>
      </c>
      <c r="D21" s="16">
        <v>127.708472</v>
      </c>
      <c r="E21">
        <v>5</v>
      </c>
      <c r="F21">
        <v>3</v>
      </c>
      <c r="G21">
        <v>0</v>
      </c>
      <c r="H21">
        <v>0</v>
      </c>
      <c r="I21" s="17">
        <v>54</v>
      </c>
      <c r="J21">
        <v>0</v>
      </c>
      <c r="K21" s="48">
        <f t="shared" si="1"/>
        <v>532.11863333333338</v>
      </c>
      <c r="L21" s="48">
        <f t="shared" si="2"/>
        <v>319.27118000000002</v>
      </c>
      <c r="M21" s="48">
        <f t="shared" si="3"/>
        <v>0</v>
      </c>
      <c r="N21" s="48">
        <f t="shared" si="4"/>
        <v>0</v>
      </c>
      <c r="O21" s="48">
        <f t="shared" si="5"/>
        <v>5746.8812400000006</v>
      </c>
      <c r="P21" s="48">
        <f t="shared" si="6"/>
        <v>0</v>
      </c>
    </row>
    <row r="22" spans="1:16" x14ac:dyDescent="0.3">
      <c r="A22" s="2" t="s">
        <v>44</v>
      </c>
      <c r="B22" t="s">
        <v>45</v>
      </c>
      <c r="C22" t="s">
        <v>93</v>
      </c>
      <c r="D22" s="11">
        <v>7439.0184940000008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48">
        <f t="shared" si="1"/>
        <v>0</v>
      </c>
      <c r="L22" s="48">
        <f t="shared" si="2"/>
        <v>0</v>
      </c>
      <c r="M22" s="48">
        <f t="shared" si="3"/>
        <v>0</v>
      </c>
      <c r="N22" s="48">
        <f t="shared" si="4"/>
        <v>0</v>
      </c>
      <c r="O22" s="48">
        <f t="shared" si="5"/>
        <v>0</v>
      </c>
      <c r="P22" s="48">
        <f t="shared" si="6"/>
        <v>0</v>
      </c>
    </row>
    <row r="23" spans="1:16" x14ac:dyDescent="0.3">
      <c r="A23" s="2" t="s">
        <v>44</v>
      </c>
      <c r="B23" t="s">
        <v>45</v>
      </c>
      <c r="C23" t="s">
        <v>94</v>
      </c>
      <c r="D23" s="11">
        <v>724.286428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48">
        <f t="shared" si="1"/>
        <v>0</v>
      </c>
      <c r="L23" s="48">
        <f t="shared" si="2"/>
        <v>0</v>
      </c>
      <c r="M23" s="48">
        <f t="shared" si="3"/>
        <v>0</v>
      </c>
      <c r="N23" s="48">
        <f t="shared" si="4"/>
        <v>0</v>
      </c>
      <c r="O23" s="48">
        <f t="shared" si="5"/>
        <v>0</v>
      </c>
      <c r="P23" s="48">
        <f t="shared" si="6"/>
        <v>0</v>
      </c>
    </row>
    <row r="24" spans="1:16" x14ac:dyDescent="0.3">
      <c r="A24" s="2" t="s">
        <v>44</v>
      </c>
      <c r="B24" t="s">
        <v>45</v>
      </c>
      <c r="C24" t="s">
        <v>95</v>
      </c>
      <c r="D24" s="11">
        <v>6625.1974359999995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48">
        <f t="shared" si="1"/>
        <v>0</v>
      </c>
      <c r="L24" s="48">
        <f t="shared" si="2"/>
        <v>0</v>
      </c>
      <c r="M24" s="48">
        <f t="shared" si="3"/>
        <v>0</v>
      </c>
      <c r="N24" s="48">
        <f t="shared" si="4"/>
        <v>0</v>
      </c>
      <c r="O24" s="48">
        <f t="shared" si="5"/>
        <v>0</v>
      </c>
      <c r="P24" s="48">
        <f t="shared" si="6"/>
        <v>0</v>
      </c>
    </row>
    <row r="25" spans="1:16" x14ac:dyDescent="0.3">
      <c r="A25" s="2" t="s">
        <v>44</v>
      </c>
      <c r="B25" t="s">
        <v>45</v>
      </c>
      <c r="C25" t="s">
        <v>96</v>
      </c>
      <c r="D25" s="11">
        <v>5657.4000239999996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48">
        <f t="shared" si="1"/>
        <v>0</v>
      </c>
      <c r="L25" s="48">
        <f t="shared" si="2"/>
        <v>0</v>
      </c>
      <c r="M25" s="48">
        <f t="shared" si="3"/>
        <v>0</v>
      </c>
      <c r="N25" s="48">
        <f t="shared" si="4"/>
        <v>0</v>
      </c>
      <c r="O25" s="48">
        <f t="shared" si="5"/>
        <v>0</v>
      </c>
      <c r="P25" s="48">
        <f t="shared" si="6"/>
        <v>0</v>
      </c>
    </row>
    <row r="26" spans="1:16" x14ac:dyDescent="0.3">
      <c r="A26" s="2" t="s">
        <v>44</v>
      </c>
      <c r="B26" t="s">
        <v>45</v>
      </c>
      <c r="C26" t="s">
        <v>97</v>
      </c>
      <c r="D26" s="11">
        <v>2205.4271279999998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48">
        <f t="shared" si="1"/>
        <v>0</v>
      </c>
      <c r="L26" s="48">
        <f t="shared" si="2"/>
        <v>0</v>
      </c>
      <c r="M26" s="48">
        <f t="shared" si="3"/>
        <v>0</v>
      </c>
      <c r="N26" s="48">
        <f t="shared" si="4"/>
        <v>0</v>
      </c>
      <c r="O26" s="48">
        <f t="shared" si="5"/>
        <v>0</v>
      </c>
      <c r="P26" s="48">
        <f t="shared" si="6"/>
        <v>0</v>
      </c>
    </row>
    <row r="27" spans="1:16" x14ac:dyDescent="0.3">
      <c r="A27" s="2" t="s">
        <v>44</v>
      </c>
      <c r="B27" t="s">
        <v>45</v>
      </c>
      <c r="C27" t="s">
        <v>98</v>
      </c>
      <c r="D27" s="11">
        <v>143.672031</v>
      </c>
      <c r="E27">
        <v>4</v>
      </c>
      <c r="F27">
        <v>0</v>
      </c>
      <c r="G27">
        <v>7</v>
      </c>
      <c r="H27">
        <v>0</v>
      </c>
      <c r="I27">
        <v>20</v>
      </c>
      <c r="J27">
        <v>0</v>
      </c>
      <c r="K27" s="48">
        <f t="shared" si="1"/>
        <v>478.90677000000005</v>
      </c>
      <c r="L27" s="48">
        <f t="shared" si="2"/>
        <v>0</v>
      </c>
      <c r="M27" s="48">
        <f t="shared" si="3"/>
        <v>838.08684749999998</v>
      </c>
      <c r="N27" s="48">
        <f t="shared" si="4"/>
        <v>0</v>
      </c>
      <c r="O27" s="48">
        <f t="shared" si="5"/>
        <v>2394.5338500000003</v>
      </c>
      <c r="P27" s="48">
        <f t="shared" si="6"/>
        <v>0</v>
      </c>
    </row>
    <row r="28" spans="1:16" x14ac:dyDescent="0.3">
      <c r="A28" s="2" t="s">
        <v>44</v>
      </c>
      <c r="B28" t="s">
        <v>45</v>
      </c>
      <c r="C28" t="s">
        <v>99</v>
      </c>
      <c r="D28" s="11">
        <v>6736.6218979999994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48">
        <f t="shared" si="1"/>
        <v>0</v>
      </c>
      <c r="L28" s="48">
        <f t="shared" si="2"/>
        <v>0</v>
      </c>
      <c r="M28" s="48">
        <f t="shared" si="3"/>
        <v>0</v>
      </c>
      <c r="N28" s="48">
        <f t="shared" si="4"/>
        <v>0</v>
      </c>
      <c r="O28" s="48">
        <f t="shared" si="5"/>
        <v>0</v>
      </c>
      <c r="P28" s="48">
        <f t="shared" si="6"/>
        <v>0</v>
      </c>
    </row>
    <row r="29" spans="1:16" x14ac:dyDescent="0.3">
      <c r="A29" s="2" t="s">
        <v>44</v>
      </c>
      <c r="B29" t="s">
        <v>45</v>
      </c>
      <c r="C29" t="s">
        <v>100</v>
      </c>
      <c r="D29" s="11">
        <v>1578.3635749999999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48">
        <f t="shared" si="1"/>
        <v>0</v>
      </c>
      <c r="L29" s="48">
        <f t="shared" si="2"/>
        <v>0</v>
      </c>
      <c r="M29" s="48">
        <f t="shared" si="3"/>
        <v>0</v>
      </c>
      <c r="N29" s="48">
        <f t="shared" si="4"/>
        <v>0</v>
      </c>
      <c r="O29" s="48">
        <f t="shared" si="5"/>
        <v>0</v>
      </c>
      <c r="P29" s="48">
        <f t="shared" si="6"/>
        <v>0</v>
      </c>
    </row>
    <row r="30" spans="1:16" x14ac:dyDescent="0.3">
      <c r="A30" s="2" t="s">
        <v>44</v>
      </c>
      <c r="B30" t="s">
        <v>45</v>
      </c>
      <c r="C30" t="s">
        <v>101</v>
      </c>
      <c r="D30" s="11">
        <v>3881.921225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48">
        <f t="shared" si="1"/>
        <v>0</v>
      </c>
      <c r="L30" s="48">
        <f t="shared" si="2"/>
        <v>0</v>
      </c>
      <c r="M30" s="48">
        <f t="shared" si="3"/>
        <v>0</v>
      </c>
      <c r="N30" s="48">
        <f t="shared" si="4"/>
        <v>0</v>
      </c>
      <c r="O30" s="48">
        <f t="shared" si="5"/>
        <v>0</v>
      </c>
      <c r="P30" s="48">
        <f t="shared" si="6"/>
        <v>0</v>
      </c>
    </row>
    <row r="31" spans="1:16" x14ac:dyDescent="0.3">
      <c r="A31" s="2" t="s">
        <v>44</v>
      </c>
      <c r="B31" t="s">
        <v>45</v>
      </c>
      <c r="C31" t="s">
        <v>102</v>
      </c>
      <c r="D31" s="11">
        <v>12227.659331999999</v>
      </c>
      <c r="E31">
        <v>3</v>
      </c>
      <c r="F31">
        <v>0</v>
      </c>
      <c r="G31">
        <v>0</v>
      </c>
      <c r="H31">
        <v>0</v>
      </c>
      <c r="I31">
        <v>0</v>
      </c>
      <c r="J31">
        <v>0</v>
      </c>
      <c r="K31" s="48">
        <f t="shared" si="1"/>
        <v>30569.148330000004</v>
      </c>
      <c r="L31" s="48">
        <f t="shared" si="2"/>
        <v>0</v>
      </c>
      <c r="M31" s="48">
        <f t="shared" si="3"/>
        <v>0</v>
      </c>
      <c r="N31" s="48">
        <f t="shared" si="4"/>
        <v>0</v>
      </c>
      <c r="O31" s="48">
        <f t="shared" si="5"/>
        <v>0</v>
      </c>
      <c r="P31" s="48">
        <f t="shared" si="6"/>
        <v>0</v>
      </c>
    </row>
    <row r="32" spans="1:16" x14ac:dyDescent="0.3">
      <c r="A32" s="2" t="s">
        <v>44</v>
      </c>
      <c r="B32" t="s">
        <v>45</v>
      </c>
      <c r="C32" t="s">
        <v>103</v>
      </c>
      <c r="D32" s="11">
        <v>2317.8126750000001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48">
        <f t="shared" si="1"/>
        <v>0</v>
      </c>
      <c r="L32" s="48">
        <f t="shared" si="2"/>
        <v>0</v>
      </c>
      <c r="M32" s="48">
        <f t="shared" si="3"/>
        <v>0</v>
      </c>
      <c r="N32" s="48">
        <f t="shared" si="4"/>
        <v>0</v>
      </c>
      <c r="O32" s="48">
        <f t="shared" si="5"/>
        <v>0</v>
      </c>
      <c r="P32" s="48">
        <f t="shared" si="6"/>
        <v>0</v>
      </c>
    </row>
    <row r="33" spans="1:16" x14ac:dyDescent="0.3">
      <c r="A33" s="2" t="s">
        <v>44</v>
      </c>
      <c r="B33" t="s">
        <v>45</v>
      </c>
      <c r="C33" t="s">
        <v>104</v>
      </c>
      <c r="D33" s="11">
        <v>1130.1559360000001</v>
      </c>
      <c r="E33">
        <v>0</v>
      </c>
      <c r="F33">
        <v>0</v>
      </c>
      <c r="G33">
        <v>4</v>
      </c>
      <c r="H33">
        <v>0</v>
      </c>
      <c r="I33">
        <v>0</v>
      </c>
      <c r="J33">
        <v>0</v>
      </c>
      <c r="K33" s="48">
        <f t="shared" si="1"/>
        <v>0</v>
      </c>
      <c r="L33" s="48">
        <f t="shared" si="2"/>
        <v>0</v>
      </c>
      <c r="M33" s="48">
        <f t="shared" si="3"/>
        <v>3767.1864533333337</v>
      </c>
      <c r="N33" s="48">
        <f t="shared" si="4"/>
        <v>0</v>
      </c>
      <c r="O33" s="48">
        <f t="shared" si="5"/>
        <v>0</v>
      </c>
      <c r="P33" s="48">
        <f t="shared" si="6"/>
        <v>0</v>
      </c>
    </row>
    <row r="34" spans="1:16" x14ac:dyDescent="0.3">
      <c r="A34" s="2" t="s">
        <v>44</v>
      </c>
      <c r="B34" t="s">
        <v>45</v>
      </c>
      <c r="C34" t="s">
        <v>105</v>
      </c>
      <c r="D34" s="11">
        <v>3188.2805219999996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48">
        <f t="shared" si="1"/>
        <v>0</v>
      </c>
      <c r="L34" s="48">
        <f t="shared" si="2"/>
        <v>0</v>
      </c>
      <c r="M34" s="48">
        <f t="shared" si="3"/>
        <v>0</v>
      </c>
      <c r="N34" s="48">
        <f t="shared" si="4"/>
        <v>0</v>
      </c>
      <c r="O34" s="48">
        <f t="shared" si="5"/>
        <v>0</v>
      </c>
      <c r="P34" s="48">
        <f t="shared" si="6"/>
        <v>0</v>
      </c>
    </row>
    <row r="35" spans="1:16" x14ac:dyDescent="0.3">
      <c r="A35" s="2" t="s">
        <v>44</v>
      </c>
      <c r="B35" t="s">
        <v>45</v>
      </c>
      <c r="C35" t="s">
        <v>106</v>
      </c>
      <c r="D35" s="11">
        <v>9373.065294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48">
        <f t="shared" si="1"/>
        <v>0</v>
      </c>
      <c r="L35" s="48">
        <f t="shared" si="2"/>
        <v>0</v>
      </c>
      <c r="M35" s="48">
        <f t="shared" si="3"/>
        <v>0</v>
      </c>
      <c r="N35" s="48">
        <f t="shared" si="4"/>
        <v>0</v>
      </c>
      <c r="O35" s="48">
        <f t="shared" si="5"/>
        <v>0</v>
      </c>
      <c r="P35" s="48">
        <f t="shared" si="6"/>
        <v>0</v>
      </c>
    </row>
    <row r="36" spans="1:16" x14ac:dyDescent="0.3">
      <c r="A36" s="2" t="s">
        <v>44</v>
      </c>
      <c r="B36" t="s">
        <v>45</v>
      </c>
      <c r="C36" t="s">
        <v>107</v>
      </c>
      <c r="D36" s="11">
        <v>348.43730120000009</v>
      </c>
      <c r="E36">
        <v>0</v>
      </c>
      <c r="F36">
        <v>0</v>
      </c>
      <c r="G36">
        <v>0</v>
      </c>
      <c r="H36">
        <v>0</v>
      </c>
      <c r="I36">
        <v>3</v>
      </c>
      <c r="J36">
        <v>21</v>
      </c>
      <c r="K36" s="48">
        <f t="shared" si="1"/>
        <v>0</v>
      </c>
      <c r="L36" s="48">
        <f t="shared" si="2"/>
        <v>0</v>
      </c>
      <c r="M36" s="48">
        <f t="shared" si="3"/>
        <v>0</v>
      </c>
      <c r="N36" s="48">
        <f t="shared" si="4"/>
        <v>0</v>
      </c>
      <c r="O36" s="48">
        <f t="shared" si="5"/>
        <v>871.09325300000023</v>
      </c>
      <c r="P36" s="48">
        <f t="shared" si="6"/>
        <v>6097.6527710000018</v>
      </c>
    </row>
    <row r="37" spans="1:16" x14ac:dyDescent="0.3">
      <c r="A37" s="2" t="s">
        <v>44</v>
      </c>
      <c r="B37" t="s">
        <v>45</v>
      </c>
      <c r="C37" t="s">
        <v>108</v>
      </c>
      <c r="D37" s="11">
        <v>787.50002624999991</v>
      </c>
      <c r="E37">
        <v>0</v>
      </c>
      <c r="F37">
        <v>0</v>
      </c>
      <c r="G37">
        <v>0</v>
      </c>
      <c r="H37">
        <v>0</v>
      </c>
      <c r="I37">
        <v>7</v>
      </c>
      <c r="J37">
        <v>27</v>
      </c>
      <c r="K37" s="48">
        <f t="shared" si="1"/>
        <v>0</v>
      </c>
      <c r="L37" s="48">
        <f t="shared" si="2"/>
        <v>0</v>
      </c>
      <c r="M37" s="48">
        <f t="shared" si="3"/>
        <v>0</v>
      </c>
      <c r="N37" s="48">
        <f t="shared" si="4"/>
        <v>0</v>
      </c>
      <c r="O37" s="48">
        <f t="shared" si="5"/>
        <v>4593.750153125</v>
      </c>
      <c r="P37" s="48">
        <f t="shared" si="6"/>
        <v>17718.750590625001</v>
      </c>
    </row>
    <row r="38" spans="1:16" x14ac:dyDescent="0.3">
      <c r="A38" s="2" t="s">
        <v>44</v>
      </c>
      <c r="B38" t="s">
        <v>45</v>
      </c>
      <c r="C38" t="s">
        <v>109</v>
      </c>
      <c r="D38" s="11">
        <v>2343.7387749999998</v>
      </c>
      <c r="E38">
        <v>17</v>
      </c>
      <c r="F38">
        <v>2</v>
      </c>
      <c r="G38">
        <v>0</v>
      </c>
      <c r="H38">
        <v>0</v>
      </c>
      <c r="I38">
        <v>0</v>
      </c>
      <c r="J38">
        <v>0</v>
      </c>
      <c r="K38" s="48">
        <f t="shared" si="1"/>
        <v>33202.965979166664</v>
      </c>
      <c r="L38" s="48">
        <f t="shared" si="2"/>
        <v>3906.2312916666665</v>
      </c>
      <c r="M38" s="48">
        <f t="shared" si="3"/>
        <v>0</v>
      </c>
      <c r="N38" s="48">
        <f t="shared" si="4"/>
        <v>0</v>
      </c>
      <c r="O38" s="48">
        <f t="shared" si="5"/>
        <v>0</v>
      </c>
      <c r="P38" s="48">
        <f t="shared" si="6"/>
        <v>0</v>
      </c>
    </row>
    <row r="39" spans="1:16" x14ac:dyDescent="0.3">
      <c r="A39" s="2" t="s">
        <v>44</v>
      </c>
      <c r="B39" t="s">
        <v>45</v>
      </c>
      <c r="C39" t="s">
        <v>110</v>
      </c>
      <c r="D39" s="11">
        <v>3511.864384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 s="48">
        <f t="shared" si="1"/>
        <v>17559.321919999998</v>
      </c>
      <c r="L39" s="48">
        <f t="shared" si="2"/>
        <v>0</v>
      </c>
      <c r="M39" s="48">
        <f t="shared" si="3"/>
        <v>0</v>
      </c>
      <c r="N39" s="48">
        <f t="shared" si="4"/>
        <v>0</v>
      </c>
      <c r="O39" s="48">
        <f t="shared" si="5"/>
        <v>0</v>
      </c>
      <c r="P39" s="48">
        <f t="shared" si="6"/>
        <v>0</v>
      </c>
    </row>
    <row r="40" spans="1:16" x14ac:dyDescent="0.3">
      <c r="A40" s="2" t="s">
        <v>44</v>
      </c>
      <c r="B40" t="s">
        <v>45</v>
      </c>
      <c r="C40" t="s">
        <v>111</v>
      </c>
      <c r="D40" s="11">
        <v>22521.63370519512</v>
      </c>
      <c r="E40">
        <v>7</v>
      </c>
      <c r="F40">
        <v>13</v>
      </c>
      <c r="G40">
        <v>30</v>
      </c>
      <c r="H40">
        <v>0</v>
      </c>
      <c r="I40">
        <v>12</v>
      </c>
      <c r="J40">
        <v>0</v>
      </c>
      <c r="K40" s="48">
        <f t="shared" si="1"/>
        <v>131376.1966136382</v>
      </c>
      <c r="L40" s="48">
        <f t="shared" si="2"/>
        <v>243984.3651396138</v>
      </c>
      <c r="M40" s="48">
        <f t="shared" si="3"/>
        <v>563040.84262987808</v>
      </c>
      <c r="N40" s="48">
        <f t="shared" si="4"/>
        <v>0</v>
      </c>
      <c r="O40" s="48">
        <f t="shared" si="5"/>
        <v>225216.33705195118</v>
      </c>
      <c r="P40" s="48">
        <f t="shared" si="6"/>
        <v>0</v>
      </c>
    </row>
    <row r="41" spans="1:16" x14ac:dyDescent="0.3">
      <c r="A41" s="2" t="s">
        <v>44</v>
      </c>
      <c r="B41" t="s">
        <v>45</v>
      </c>
      <c r="C41" t="s">
        <v>48</v>
      </c>
      <c r="D41" s="11">
        <v>48734.835191373335</v>
      </c>
      <c r="E41">
        <v>59</v>
      </c>
      <c r="F41">
        <v>15</v>
      </c>
      <c r="G41">
        <v>65</v>
      </c>
      <c r="H41">
        <v>27</v>
      </c>
      <c r="I41">
        <v>21</v>
      </c>
      <c r="J41">
        <v>24</v>
      </c>
      <c r="K41" s="48">
        <f t="shared" si="1"/>
        <v>2396129.3969091889</v>
      </c>
      <c r="L41" s="48">
        <f t="shared" si="2"/>
        <v>609185.43989216664</v>
      </c>
      <c r="M41" s="48">
        <f t="shared" si="3"/>
        <v>2639803.5728660556</v>
      </c>
      <c r="N41" s="48">
        <f t="shared" si="4"/>
        <v>1096533.7918059002</v>
      </c>
      <c r="O41" s="48">
        <f t="shared" si="5"/>
        <v>852859.61584903346</v>
      </c>
      <c r="P41" s="48">
        <f t="shared" si="6"/>
        <v>974696.7038274667</v>
      </c>
    </row>
    <row r="42" spans="1:16" x14ac:dyDescent="0.3">
      <c r="A42" s="2" t="s">
        <v>44</v>
      </c>
      <c r="B42" t="s">
        <v>45</v>
      </c>
      <c r="C42" t="s">
        <v>112</v>
      </c>
      <c r="D42" s="11">
        <v>1061.0971035810812</v>
      </c>
      <c r="E42">
        <v>9</v>
      </c>
      <c r="F42">
        <v>0</v>
      </c>
      <c r="G42">
        <v>11</v>
      </c>
      <c r="H42">
        <v>37</v>
      </c>
      <c r="I42">
        <v>59</v>
      </c>
      <c r="J42">
        <v>132</v>
      </c>
      <c r="K42" s="48">
        <f t="shared" si="1"/>
        <v>7958.2282768581099</v>
      </c>
      <c r="L42" s="48">
        <f t="shared" si="2"/>
        <v>0</v>
      </c>
      <c r="M42" s="48">
        <f t="shared" si="3"/>
        <v>9726.7234494932454</v>
      </c>
      <c r="N42" s="48">
        <f t="shared" si="4"/>
        <v>32717.160693750007</v>
      </c>
      <c r="O42" s="48">
        <f t="shared" si="5"/>
        <v>52170.607592736495</v>
      </c>
      <c r="P42" s="48">
        <f t="shared" si="6"/>
        <v>116720.68139391893</v>
      </c>
    </row>
    <row r="43" spans="1:16" x14ac:dyDescent="0.3">
      <c r="A43" s="2" t="s">
        <v>44</v>
      </c>
      <c r="B43" t="s">
        <v>45</v>
      </c>
      <c r="C43" t="s">
        <v>113</v>
      </c>
      <c r="D43" s="11">
        <v>118.22821511111113</v>
      </c>
      <c r="E43">
        <v>14</v>
      </c>
      <c r="F43">
        <v>13</v>
      </c>
      <c r="G43">
        <v>11</v>
      </c>
      <c r="H43">
        <v>0</v>
      </c>
      <c r="I43">
        <v>0</v>
      </c>
      <c r="J43">
        <v>0</v>
      </c>
      <c r="K43" s="48">
        <f t="shared" si="1"/>
        <v>1379.3291762962965</v>
      </c>
      <c r="L43" s="48">
        <f t="shared" si="2"/>
        <v>1280.8056637037041</v>
      </c>
      <c r="M43" s="48">
        <f t="shared" si="3"/>
        <v>1083.7586385185186</v>
      </c>
      <c r="N43" s="48">
        <f t="shared" si="4"/>
        <v>0</v>
      </c>
      <c r="O43" s="48">
        <f t="shared" si="5"/>
        <v>0</v>
      </c>
      <c r="P43" s="48">
        <f t="shared" si="6"/>
        <v>0</v>
      </c>
    </row>
    <row r="44" spans="1:16" x14ac:dyDescent="0.3">
      <c r="A44" s="2" t="s">
        <v>44</v>
      </c>
      <c r="B44" t="s">
        <v>45</v>
      </c>
      <c r="C44" t="s">
        <v>49</v>
      </c>
      <c r="D44" s="11">
        <v>26.845533000000003</v>
      </c>
      <c r="E44">
        <v>9</v>
      </c>
      <c r="F44">
        <v>54</v>
      </c>
      <c r="G44">
        <v>0</v>
      </c>
      <c r="H44">
        <v>28</v>
      </c>
      <c r="I44">
        <v>0</v>
      </c>
      <c r="J44">
        <v>0</v>
      </c>
      <c r="K44" s="48">
        <f t="shared" si="1"/>
        <v>201.34149750000003</v>
      </c>
      <c r="L44" s="48">
        <f t="shared" si="2"/>
        <v>1208.0489850000001</v>
      </c>
      <c r="M44" s="48">
        <f t="shared" si="3"/>
        <v>0</v>
      </c>
      <c r="N44" s="48">
        <f t="shared" si="4"/>
        <v>626.3957700000002</v>
      </c>
      <c r="O44" s="48">
        <f t="shared" si="5"/>
        <v>0</v>
      </c>
      <c r="P44" s="48">
        <f t="shared" si="6"/>
        <v>0</v>
      </c>
    </row>
    <row r="45" spans="1:16" x14ac:dyDescent="0.3">
      <c r="A45" s="2" t="s">
        <v>44</v>
      </c>
      <c r="B45" t="s">
        <v>45</v>
      </c>
      <c r="C45" t="s">
        <v>50</v>
      </c>
      <c r="D45" s="11">
        <v>766.56232099999977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48">
        <f t="shared" si="1"/>
        <v>0</v>
      </c>
      <c r="L45" s="48">
        <f t="shared" si="2"/>
        <v>0</v>
      </c>
      <c r="M45" s="48">
        <f t="shared" si="3"/>
        <v>0</v>
      </c>
      <c r="N45" s="48">
        <f t="shared" si="4"/>
        <v>0</v>
      </c>
      <c r="O45" s="48">
        <f t="shared" si="5"/>
        <v>0</v>
      </c>
      <c r="P45" s="48">
        <f t="shared" si="6"/>
        <v>0</v>
      </c>
    </row>
    <row r="46" spans="1:16" x14ac:dyDescent="0.3">
      <c r="A46" s="2" t="s">
        <v>44</v>
      </c>
      <c r="B46" t="s">
        <v>45</v>
      </c>
      <c r="C46" t="s">
        <v>51</v>
      </c>
      <c r="D46" s="11">
        <v>1222.2250181818181</v>
      </c>
      <c r="E46">
        <v>3</v>
      </c>
      <c r="F46">
        <v>8</v>
      </c>
      <c r="G46">
        <v>18</v>
      </c>
      <c r="H46">
        <v>0</v>
      </c>
      <c r="I46">
        <v>0</v>
      </c>
      <c r="J46">
        <v>0</v>
      </c>
      <c r="K46" s="48">
        <f t="shared" si="1"/>
        <v>3055.5625454545452</v>
      </c>
      <c r="L46" s="48">
        <f t="shared" si="2"/>
        <v>8148.1667878787875</v>
      </c>
      <c r="M46" s="48">
        <f t="shared" si="3"/>
        <v>18333.375272727273</v>
      </c>
      <c r="N46" s="48">
        <f t="shared" si="4"/>
        <v>0</v>
      </c>
      <c r="O46" s="48">
        <f t="shared" si="5"/>
        <v>0</v>
      </c>
      <c r="P46" s="48">
        <f t="shared" si="6"/>
        <v>0</v>
      </c>
    </row>
    <row r="47" spans="1:16" x14ac:dyDescent="0.3">
      <c r="A47" s="2" t="s">
        <v>44</v>
      </c>
      <c r="B47" t="s">
        <v>45</v>
      </c>
      <c r="C47" t="s">
        <v>52</v>
      </c>
      <c r="D47" s="11">
        <v>229.70575024242422</v>
      </c>
      <c r="E47">
        <v>34</v>
      </c>
      <c r="F47">
        <v>0</v>
      </c>
      <c r="G47">
        <v>47</v>
      </c>
      <c r="H47">
        <v>0</v>
      </c>
      <c r="I47">
        <v>4</v>
      </c>
      <c r="J47">
        <v>0</v>
      </c>
      <c r="K47" s="48">
        <f t="shared" si="1"/>
        <v>6508.3295902020191</v>
      </c>
      <c r="L47" s="48">
        <f t="shared" si="2"/>
        <v>0</v>
      </c>
      <c r="M47" s="48">
        <f t="shared" si="3"/>
        <v>8996.8085511616155</v>
      </c>
      <c r="N47" s="48">
        <f t="shared" si="4"/>
        <v>0</v>
      </c>
      <c r="O47" s="48">
        <f t="shared" si="5"/>
        <v>765.68583414141403</v>
      </c>
      <c r="P47" s="48">
        <f t="shared" si="6"/>
        <v>0</v>
      </c>
    </row>
    <row r="48" spans="1:16" x14ac:dyDescent="0.3">
      <c r="A48" s="2" t="s">
        <v>44</v>
      </c>
      <c r="B48" t="s">
        <v>45</v>
      </c>
      <c r="C48" t="s">
        <v>53</v>
      </c>
      <c r="D48" s="11">
        <v>33.601711000000002</v>
      </c>
      <c r="E48">
        <v>27</v>
      </c>
      <c r="F48">
        <v>26</v>
      </c>
      <c r="G48">
        <v>0</v>
      </c>
      <c r="H48">
        <v>0</v>
      </c>
      <c r="I48">
        <v>16</v>
      </c>
      <c r="J48">
        <v>0</v>
      </c>
      <c r="K48" s="48">
        <f t="shared" si="1"/>
        <v>756.03849750000006</v>
      </c>
      <c r="L48" s="48">
        <f t="shared" si="2"/>
        <v>728.03707166666675</v>
      </c>
      <c r="M48" s="48">
        <f t="shared" si="3"/>
        <v>0</v>
      </c>
      <c r="N48" s="48">
        <f t="shared" si="4"/>
        <v>0</v>
      </c>
      <c r="O48" s="48">
        <f t="shared" si="5"/>
        <v>448.02281333333337</v>
      </c>
      <c r="P48" s="48">
        <f t="shared" si="6"/>
        <v>0</v>
      </c>
    </row>
    <row r="49" spans="1:16" x14ac:dyDescent="0.3">
      <c r="A49" s="2" t="s">
        <v>44</v>
      </c>
      <c r="B49" t="s">
        <v>45</v>
      </c>
      <c r="C49" t="s">
        <v>54</v>
      </c>
      <c r="D49" s="11">
        <v>733.11863200000005</v>
      </c>
      <c r="E49">
        <v>0</v>
      </c>
      <c r="F49">
        <v>6</v>
      </c>
      <c r="G49">
        <v>9</v>
      </c>
      <c r="H49">
        <v>4</v>
      </c>
      <c r="I49">
        <v>6</v>
      </c>
      <c r="J49">
        <v>0</v>
      </c>
      <c r="K49" s="48">
        <f t="shared" si="1"/>
        <v>0</v>
      </c>
      <c r="L49" s="48">
        <f t="shared" si="2"/>
        <v>3665.5931600000004</v>
      </c>
      <c r="M49" s="48">
        <f t="shared" si="3"/>
        <v>5498.3897400000005</v>
      </c>
      <c r="N49" s="48">
        <f t="shared" si="4"/>
        <v>2443.7287733333337</v>
      </c>
      <c r="O49" s="48">
        <f t="shared" si="5"/>
        <v>3665.5931600000004</v>
      </c>
      <c r="P49" s="48">
        <f t="shared" si="6"/>
        <v>0</v>
      </c>
    </row>
    <row r="50" spans="1:16" x14ac:dyDescent="0.3">
      <c r="A50" s="2" t="s">
        <v>44</v>
      </c>
      <c r="B50" t="s">
        <v>45</v>
      </c>
      <c r="C50" t="s">
        <v>114</v>
      </c>
      <c r="D50" s="11">
        <v>3996.9750972500001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 s="48">
        <f t="shared" si="1"/>
        <v>0</v>
      </c>
      <c r="L50" s="48">
        <f t="shared" si="2"/>
        <v>0</v>
      </c>
      <c r="M50" s="48">
        <f t="shared" si="3"/>
        <v>0</v>
      </c>
      <c r="N50" s="48">
        <f t="shared" si="4"/>
        <v>6661.6251620833336</v>
      </c>
      <c r="O50" s="48">
        <f t="shared" si="5"/>
        <v>0</v>
      </c>
      <c r="P50" s="48">
        <f t="shared" si="6"/>
        <v>0</v>
      </c>
    </row>
    <row r="51" spans="1:16" x14ac:dyDescent="0.3">
      <c r="A51" s="2" t="s">
        <v>44</v>
      </c>
      <c r="B51" t="s">
        <v>45</v>
      </c>
      <c r="C51" t="s">
        <v>115</v>
      </c>
      <c r="D51" s="11">
        <v>518.64410399999997</v>
      </c>
      <c r="E51">
        <v>2</v>
      </c>
      <c r="F51">
        <v>0</v>
      </c>
      <c r="G51">
        <v>0</v>
      </c>
      <c r="H51">
        <v>2</v>
      </c>
      <c r="I51">
        <v>0</v>
      </c>
      <c r="J51">
        <v>0</v>
      </c>
      <c r="K51" s="48">
        <f t="shared" si="1"/>
        <v>864.40683999999999</v>
      </c>
      <c r="L51" s="48">
        <f t="shared" si="2"/>
        <v>0</v>
      </c>
      <c r="M51" s="48">
        <f t="shared" si="3"/>
        <v>0</v>
      </c>
      <c r="N51" s="48">
        <f t="shared" si="4"/>
        <v>864.40683999999999</v>
      </c>
      <c r="O51" s="48">
        <f t="shared" si="5"/>
        <v>0</v>
      </c>
      <c r="P51" s="48">
        <f t="shared" si="6"/>
        <v>0</v>
      </c>
    </row>
    <row r="52" spans="1:16" x14ac:dyDescent="0.3">
      <c r="A52" s="2" t="s">
        <v>44</v>
      </c>
      <c r="B52" t="s">
        <v>45</v>
      </c>
      <c r="C52" t="s">
        <v>55</v>
      </c>
      <c r="D52" s="11">
        <v>670.89657699999998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48">
        <f t="shared" si="1"/>
        <v>0</v>
      </c>
      <c r="L52" s="48">
        <f t="shared" si="2"/>
        <v>0</v>
      </c>
      <c r="M52" s="48">
        <f t="shared" si="3"/>
        <v>0</v>
      </c>
      <c r="N52" s="48">
        <f t="shared" si="4"/>
        <v>0</v>
      </c>
      <c r="O52" s="48">
        <f t="shared" si="5"/>
        <v>0</v>
      </c>
      <c r="P52" s="48">
        <f t="shared" si="6"/>
        <v>0</v>
      </c>
    </row>
    <row r="53" spans="1:16" x14ac:dyDescent="0.3">
      <c r="A53" s="2" t="s">
        <v>44</v>
      </c>
      <c r="B53" t="s">
        <v>45</v>
      </c>
      <c r="C53" t="s">
        <v>116</v>
      </c>
      <c r="D53" s="11">
        <v>3037.6410270000006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48">
        <f t="shared" si="1"/>
        <v>0</v>
      </c>
      <c r="L53" s="48">
        <f t="shared" si="2"/>
        <v>0</v>
      </c>
      <c r="M53" s="48">
        <f t="shared" si="3"/>
        <v>0</v>
      </c>
      <c r="N53" s="48">
        <f t="shared" si="4"/>
        <v>0</v>
      </c>
      <c r="O53" s="48">
        <f t="shared" si="5"/>
        <v>0</v>
      </c>
      <c r="P53" s="48">
        <f t="shared" si="6"/>
        <v>0</v>
      </c>
    </row>
    <row r="54" spans="1:16" x14ac:dyDescent="0.3">
      <c r="A54" s="2" t="s">
        <v>44</v>
      </c>
      <c r="B54" t="s">
        <v>45</v>
      </c>
      <c r="C54" t="s">
        <v>117</v>
      </c>
      <c r="D54" s="11">
        <v>478.27526639999996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48">
        <f t="shared" si="1"/>
        <v>0</v>
      </c>
      <c r="L54" s="48">
        <f t="shared" si="2"/>
        <v>0</v>
      </c>
      <c r="M54" s="48">
        <f t="shared" si="3"/>
        <v>0</v>
      </c>
      <c r="N54" s="48">
        <f t="shared" si="4"/>
        <v>0</v>
      </c>
      <c r="O54" s="48">
        <f t="shared" si="5"/>
        <v>0</v>
      </c>
      <c r="P54" s="48">
        <f t="shared" si="6"/>
        <v>0</v>
      </c>
    </row>
    <row r="55" spans="1:16" x14ac:dyDescent="0.3">
      <c r="A55" s="2" t="s">
        <v>44</v>
      </c>
      <c r="B55" t="s">
        <v>45</v>
      </c>
      <c r="C55" t="s">
        <v>118</v>
      </c>
      <c r="D55" s="11">
        <v>1984.6548399999999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48">
        <f t="shared" si="1"/>
        <v>0</v>
      </c>
      <c r="L55" s="48">
        <f t="shared" si="2"/>
        <v>0</v>
      </c>
      <c r="M55" s="48">
        <f t="shared" si="3"/>
        <v>0</v>
      </c>
      <c r="N55" s="48">
        <f t="shared" si="4"/>
        <v>0</v>
      </c>
      <c r="O55" s="48">
        <f t="shared" si="5"/>
        <v>0</v>
      </c>
      <c r="P55" s="48">
        <f t="shared" si="6"/>
        <v>0</v>
      </c>
    </row>
    <row r="56" spans="1:16" x14ac:dyDescent="0.3">
      <c r="A56" s="2" t="s">
        <v>44</v>
      </c>
      <c r="B56" t="s">
        <v>45</v>
      </c>
      <c r="C56" t="s">
        <v>119</v>
      </c>
      <c r="D56" s="11">
        <v>4132.5397168</v>
      </c>
      <c r="E56">
        <v>0</v>
      </c>
      <c r="F56">
        <v>0</v>
      </c>
      <c r="G56">
        <v>0</v>
      </c>
      <c r="H56">
        <v>10</v>
      </c>
      <c r="I56">
        <v>0</v>
      </c>
      <c r="J56">
        <v>0</v>
      </c>
      <c r="K56" s="48">
        <f t="shared" si="1"/>
        <v>0</v>
      </c>
      <c r="L56" s="48">
        <f t="shared" si="2"/>
        <v>0</v>
      </c>
      <c r="M56" s="48">
        <f t="shared" si="3"/>
        <v>0</v>
      </c>
      <c r="N56" s="48">
        <f t="shared" si="4"/>
        <v>34437.83097333333</v>
      </c>
      <c r="O56" s="48">
        <f t="shared" si="5"/>
        <v>0</v>
      </c>
      <c r="P56" s="48">
        <f t="shared" si="6"/>
        <v>0</v>
      </c>
    </row>
    <row r="57" spans="1:16" x14ac:dyDescent="0.3">
      <c r="A57" s="2" t="s">
        <v>44</v>
      </c>
      <c r="B57" t="s">
        <v>45</v>
      </c>
      <c r="C57" t="s">
        <v>56</v>
      </c>
      <c r="D57" s="11">
        <v>1060.562334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48">
        <f t="shared" si="1"/>
        <v>0</v>
      </c>
      <c r="L57" s="48">
        <f t="shared" si="2"/>
        <v>0</v>
      </c>
      <c r="M57" s="48">
        <f t="shared" si="3"/>
        <v>0</v>
      </c>
      <c r="N57" s="48">
        <f t="shared" si="4"/>
        <v>0</v>
      </c>
      <c r="O57" s="48">
        <f t="shared" si="5"/>
        <v>0</v>
      </c>
      <c r="P57" s="48">
        <f t="shared" si="6"/>
        <v>0</v>
      </c>
    </row>
    <row r="58" spans="1:16" x14ac:dyDescent="0.3">
      <c r="A58" s="2" t="s">
        <v>44</v>
      </c>
      <c r="B58" t="s">
        <v>45</v>
      </c>
      <c r="C58" t="s">
        <v>120</v>
      </c>
      <c r="D58" s="11">
        <v>630.35593499999993</v>
      </c>
      <c r="E58">
        <v>0</v>
      </c>
      <c r="F58">
        <v>4</v>
      </c>
      <c r="G58">
        <v>3</v>
      </c>
      <c r="H58">
        <v>0</v>
      </c>
      <c r="I58">
        <v>0</v>
      </c>
      <c r="J58">
        <v>0</v>
      </c>
      <c r="K58" s="48">
        <f t="shared" si="1"/>
        <v>0</v>
      </c>
      <c r="L58" s="48">
        <f t="shared" si="2"/>
        <v>2101.1864499999997</v>
      </c>
      <c r="M58" s="48">
        <f t="shared" si="3"/>
        <v>1575.8898374999999</v>
      </c>
      <c r="N58" s="48">
        <f t="shared" si="4"/>
        <v>0</v>
      </c>
      <c r="O58" s="48">
        <f t="shared" si="5"/>
        <v>0</v>
      </c>
      <c r="P58" s="48">
        <f t="shared" si="6"/>
        <v>0</v>
      </c>
    </row>
    <row r="59" spans="1:16" x14ac:dyDescent="0.3">
      <c r="A59" s="2" t="s">
        <v>44</v>
      </c>
      <c r="B59" t="s">
        <v>45</v>
      </c>
      <c r="C59" t="s">
        <v>121</v>
      </c>
      <c r="D59" s="11">
        <v>131.08271400000001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 s="48">
        <f t="shared" si="1"/>
        <v>0</v>
      </c>
      <c r="L59" s="48">
        <f t="shared" si="2"/>
        <v>218.47119000000004</v>
      </c>
      <c r="M59" s="48">
        <f t="shared" si="3"/>
        <v>0</v>
      </c>
      <c r="N59" s="48">
        <f t="shared" si="4"/>
        <v>0</v>
      </c>
      <c r="O59" s="48">
        <f t="shared" si="5"/>
        <v>0</v>
      </c>
      <c r="P59" s="48">
        <f t="shared" si="6"/>
        <v>0</v>
      </c>
    </row>
    <row r="60" spans="1:16" x14ac:dyDescent="0.3">
      <c r="A60" s="2" t="s">
        <v>44</v>
      </c>
      <c r="B60" t="s">
        <v>45</v>
      </c>
      <c r="C60" t="s">
        <v>122</v>
      </c>
      <c r="D60" s="11">
        <v>134.6365725</v>
      </c>
      <c r="E60">
        <v>0</v>
      </c>
      <c r="F60">
        <v>1</v>
      </c>
      <c r="G60">
        <v>0</v>
      </c>
      <c r="H60">
        <v>0</v>
      </c>
      <c r="I60">
        <v>1</v>
      </c>
      <c r="J60">
        <v>5</v>
      </c>
      <c r="K60" s="48">
        <f t="shared" si="1"/>
        <v>0</v>
      </c>
      <c r="L60" s="48">
        <f t="shared" si="2"/>
        <v>112.19714375000001</v>
      </c>
      <c r="M60" s="48">
        <f t="shared" si="3"/>
        <v>0</v>
      </c>
      <c r="N60" s="48">
        <f t="shared" si="4"/>
        <v>0</v>
      </c>
      <c r="O60" s="48">
        <f t="shared" si="5"/>
        <v>112.19714375000001</v>
      </c>
      <c r="P60" s="48">
        <f t="shared" si="6"/>
        <v>560.98571875000005</v>
      </c>
    </row>
    <row r="61" spans="1:16" x14ac:dyDescent="0.3">
      <c r="A61" s="2" t="s">
        <v>44</v>
      </c>
      <c r="B61" t="s">
        <v>45</v>
      </c>
      <c r="C61" t="s">
        <v>123</v>
      </c>
      <c r="D61" s="11">
        <v>1952.6949359999999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48">
        <f t="shared" si="1"/>
        <v>0</v>
      </c>
      <c r="L61" s="48">
        <f t="shared" si="2"/>
        <v>0</v>
      </c>
      <c r="M61" s="48">
        <f t="shared" si="3"/>
        <v>0</v>
      </c>
      <c r="N61" s="48">
        <f t="shared" si="4"/>
        <v>0</v>
      </c>
      <c r="O61" s="48">
        <f t="shared" si="5"/>
        <v>0</v>
      </c>
      <c r="P61" s="48">
        <f t="shared" si="6"/>
        <v>0</v>
      </c>
    </row>
    <row r="62" spans="1:16" x14ac:dyDescent="0.3">
      <c r="A62" s="2" t="s">
        <v>44</v>
      </c>
      <c r="B62" t="s">
        <v>45</v>
      </c>
      <c r="C62" t="s">
        <v>57</v>
      </c>
      <c r="D62" s="11">
        <v>1745.6816139999999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48">
        <f t="shared" si="1"/>
        <v>0</v>
      </c>
      <c r="L62" s="48">
        <f t="shared" si="2"/>
        <v>0</v>
      </c>
      <c r="M62" s="48">
        <f t="shared" si="3"/>
        <v>0</v>
      </c>
      <c r="N62" s="48">
        <f t="shared" si="4"/>
        <v>0</v>
      </c>
      <c r="O62" s="48">
        <f t="shared" si="5"/>
        <v>0</v>
      </c>
      <c r="P62" s="48">
        <f t="shared" si="6"/>
        <v>0</v>
      </c>
    </row>
    <row r="63" spans="1:16" x14ac:dyDescent="0.3">
      <c r="A63" s="2" t="s">
        <v>44</v>
      </c>
      <c r="B63" t="s">
        <v>45</v>
      </c>
      <c r="C63" t="s">
        <v>124</v>
      </c>
      <c r="D63" s="11">
        <v>3133.5559520000006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48">
        <f t="shared" si="1"/>
        <v>0</v>
      </c>
      <c r="L63" s="48">
        <f t="shared" si="2"/>
        <v>0</v>
      </c>
      <c r="M63" s="48">
        <f t="shared" si="3"/>
        <v>0</v>
      </c>
      <c r="N63" s="48">
        <f t="shared" si="4"/>
        <v>0</v>
      </c>
      <c r="O63" s="48">
        <f t="shared" si="5"/>
        <v>0</v>
      </c>
      <c r="P63" s="48">
        <f t="shared" si="6"/>
        <v>0</v>
      </c>
    </row>
    <row r="64" spans="1:16" x14ac:dyDescent="0.3">
      <c r="A64" s="2" t="s">
        <v>44</v>
      </c>
      <c r="B64" t="s">
        <v>45</v>
      </c>
      <c r="C64" t="s">
        <v>125</v>
      </c>
      <c r="D64" s="11">
        <v>816.32053676470605</v>
      </c>
      <c r="E64">
        <v>1</v>
      </c>
      <c r="F64">
        <v>7</v>
      </c>
      <c r="G64">
        <v>35</v>
      </c>
      <c r="H64">
        <v>0</v>
      </c>
      <c r="I64">
        <v>10</v>
      </c>
      <c r="J64">
        <v>3</v>
      </c>
      <c r="K64" s="48">
        <f t="shared" si="1"/>
        <v>680.26711397058841</v>
      </c>
      <c r="L64" s="48">
        <f t="shared" si="2"/>
        <v>4761.8697977941192</v>
      </c>
      <c r="M64" s="48">
        <f t="shared" si="3"/>
        <v>23809.348988970592</v>
      </c>
      <c r="N64" s="48">
        <f t="shared" si="4"/>
        <v>0</v>
      </c>
      <c r="O64" s="48">
        <f t="shared" si="5"/>
        <v>6802.6711397058843</v>
      </c>
      <c r="P64" s="48">
        <f t="shared" si="6"/>
        <v>2040.8013419117651</v>
      </c>
    </row>
    <row r="65" spans="1:16" x14ac:dyDescent="0.3">
      <c r="A65" s="2" t="s">
        <v>44</v>
      </c>
      <c r="B65" t="s">
        <v>45</v>
      </c>
      <c r="C65" t="s">
        <v>58</v>
      </c>
      <c r="D65" s="11">
        <v>249.78561659999997</v>
      </c>
      <c r="E65">
        <v>11</v>
      </c>
      <c r="F65">
        <v>19</v>
      </c>
      <c r="G65">
        <v>5</v>
      </c>
      <c r="H65">
        <v>8</v>
      </c>
      <c r="I65">
        <v>0</v>
      </c>
      <c r="J65">
        <v>0</v>
      </c>
      <c r="K65" s="48">
        <f t="shared" si="1"/>
        <v>2289.7014854999998</v>
      </c>
      <c r="L65" s="48">
        <f t="shared" si="2"/>
        <v>3954.9389294999992</v>
      </c>
      <c r="M65" s="48">
        <f t="shared" si="3"/>
        <v>1040.7734025</v>
      </c>
      <c r="N65" s="48">
        <f t="shared" si="4"/>
        <v>1665.2374439999999</v>
      </c>
      <c r="O65" s="48">
        <f t="shared" si="5"/>
        <v>0</v>
      </c>
      <c r="P65" s="48">
        <f t="shared" si="6"/>
        <v>0</v>
      </c>
    </row>
    <row r="66" spans="1:16" x14ac:dyDescent="0.3">
      <c r="A66" s="2" t="s">
        <v>44</v>
      </c>
      <c r="B66" t="s">
        <v>45</v>
      </c>
      <c r="C66" t="s">
        <v>59</v>
      </c>
      <c r="D66" s="11">
        <v>1003.1341023333333</v>
      </c>
      <c r="E66">
        <v>0</v>
      </c>
      <c r="F66">
        <v>11</v>
      </c>
      <c r="G66">
        <v>17</v>
      </c>
      <c r="H66">
        <v>0</v>
      </c>
      <c r="I66">
        <v>0</v>
      </c>
      <c r="J66">
        <v>0</v>
      </c>
      <c r="K66" s="48">
        <f t="shared" si="1"/>
        <v>0</v>
      </c>
      <c r="L66" s="48">
        <f t="shared" si="2"/>
        <v>9195.3959380555552</v>
      </c>
      <c r="M66" s="48">
        <f t="shared" si="3"/>
        <v>14211.066449722221</v>
      </c>
      <c r="N66" s="48">
        <f t="shared" si="4"/>
        <v>0</v>
      </c>
      <c r="O66" s="48">
        <f t="shared" si="5"/>
        <v>0</v>
      </c>
      <c r="P66" s="48">
        <f t="shared" si="6"/>
        <v>0</v>
      </c>
    </row>
    <row r="67" spans="1:16" x14ac:dyDescent="0.3">
      <c r="A67" s="2" t="s">
        <v>44</v>
      </c>
      <c r="B67" t="s">
        <v>45</v>
      </c>
      <c r="C67" t="s">
        <v>60</v>
      </c>
      <c r="D67" s="11">
        <v>850.26133000000004</v>
      </c>
      <c r="E67">
        <v>0</v>
      </c>
      <c r="F67">
        <v>34</v>
      </c>
      <c r="G67">
        <v>0</v>
      </c>
      <c r="H67">
        <v>0</v>
      </c>
      <c r="I67">
        <v>0</v>
      </c>
      <c r="J67">
        <v>0</v>
      </c>
      <c r="K67" s="48">
        <f t="shared" si="1"/>
        <v>0</v>
      </c>
      <c r="L67" s="48">
        <f t="shared" si="2"/>
        <v>24090.737683333333</v>
      </c>
      <c r="M67" s="48">
        <f t="shared" si="3"/>
        <v>0</v>
      </c>
      <c r="N67" s="48">
        <f t="shared" si="4"/>
        <v>0</v>
      </c>
      <c r="O67" s="48">
        <f t="shared" si="5"/>
        <v>0</v>
      </c>
      <c r="P67" s="48">
        <f t="shared" si="6"/>
        <v>0</v>
      </c>
    </row>
    <row r="68" spans="1:16" x14ac:dyDescent="0.3">
      <c r="A68" s="2" t="s">
        <v>44</v>
      </c>
      <c r="B68" t="s">
        <v>45</v>
      </c>
      <c r="C68" t="s">
        <v>61</v>
      </c>
      <c r="D68" s="11">
        <v>805.21404149999978</v>
      </c>
      <c r="E68">
        <v>19</v>
      </c>
      <c r="F68">
        <v>19</v>
      </c>
      <c r="G68">
        <v>0</v>
      </c>
      <c r="H68">
        <v>0</v>
      </c>
      <c r="I68">
        <v>0</v>
      </c>
      <c r="J68">
        <v>0</v>
      </c>
      <c r="K68" s="48">
        <f t="shared" si="1"/>
        <v>12749.222323749998</v>
      </c>
      <c r="L68" s="48">
        <f t="shared" si="2"/>
        <v>12749.222323749998</v>
      </c>
      <c r="M68" s="48">
        <f t="shared" si="3"/>
        <v>0</v>
      </c>
      <c r="N68" s="48">
        <f t="shared" si="4"/>
        <v>0</v>
      </c>
      <c r="O68" s="48">
        <f t="shared" si="5"/>
        <v>0</v>
      </c>
      <c r="P68" s="48">
        <f t="shared" si="6"/>
        <v>0</v>
      </c>
    </row>
    <row r="69" spans="1:16" x14ac:dyDescent="0.3">
      <c r="A69" s="2" t="s">
        <v>44</v>
      </c>
      <c r="B69" t="s">
        <v>45</v>
      </c>
      <c r="C69" t="s">
        <v>62</v>
      </c>
      <c r="D69" s="11">
        <v>192.69224181818183</v>
      </c>
      <c r="E69">
        <v>4</v>
      </c>
      <c r="F69">
        <v>11</v>
      </c>
      <c r="G69">
        <v>0</v>
      </c>
      <c r="H69">
        <v>0</v>
      </c>
      <c r="I69">
        <v>0</v>
      </c>
      <c r="J69">
        <v>0</v>
      </c>
      <c r="K69" s="48">
        <f t="shared" ref="K69:K132" si="7">$D69*E69/(1+$B$1)</f>
        <v>642.30747272727274</v>
      </c>
      <c r="L69" s="48">
        <f t="shared" ref="L69:L132" si="8">$D69*F69/(1+$B$1)</f>
        <v>1766.3455500000002</v>
      </c>
      <c r="M69" s="48">
        <f t="shared" ref="M69:M132" si="9">$D69*G69/(1+$B$1)</f>
        <v>0</v>
      </c>
      <c r="N69" s="48">
        <f t="shared" ref="N69:N132" si="10">$D69*H69/(1+$B$1)</f>
        <v>0</v>
      </c>
      <c r="O69" s="48">
        <f t="shared" ref="O69:O132" si="11">$D69*I69/(1+$B$1)</f>
        <v>0</v>
      </c>
      <c r="P69" s="48">
        <f t="shared" ref="P69:P132" si="12">$D69*J69/(1+$B$1)</f>
        <v>0</v>
      </c>
    </row>
    <row r="70" spans="1:16" x14ac:dyDescent="0.3">
      <c r="A70" s="2" t="s">
        <v>44</v>
      </c>
      <c r="B70" t="s">
        <v>45</v>
      </c>
      <c r="C70" t="s">
        <v>63</v>
      </c>
      <c r="D70" s="11">
        <v>863.98988799999995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48">
        <f t="shared" si="7"/>
        <v>0</v>
      </c>
      <c r="L70" s="48">
        <f t="shared" si="8"/>
        <v>0</v>
      </c>
      <c r="M70" s="48">
        <f t="shared" si="9"/>
        <v>0</v>
      </c>
      <c r="N70" s="48">
        <f t="shared" si="10"/>
        <v>0</v>
      </c>
      <c r="O70" s="48">
        <f t="shared" si="11"/>
        <v>0</v>
      </c>
      <c r="P70" s="48">
        <f t="shared" si="12"/>
        <v>0</v>
      </c>
    </row>
    <row r="71" spans="1:16" x14ac:dyDescent="0.3">
      <c r="A71" s="2" t="s">
        <v>44</v>
      </c>
      <c r="B71" t="s">
        <v>45</v>
      </c>
      <c r="C71" t="s">
        <v>64</v>
      </c>
      <c r="D71" s="11">
        <v>915.95525061764693</v>
      </c>
      <c r="E71">
        <v>20</v>
      </c>
      <c r="F71">
        <v>9</v>
      </c>
      <c r="G71">
        <v>5</v>
      </c>
      <c r="H71">
        <v>87</v>
      </c>
      <c r="I71">
        <v>0</v>
      </c>
      <c r="J71">
        <v>0</v>
      </c>
      <c r="K71" s="48">
        <f t="shared" si="7"/>
        <v>15265.920843627449</v>
      </c>
      <c r="L71" s="48">
        <f t="shared" si="8"/>
        <v>6869.6643796323533</v>
      </c>
      <c r="M71" s="48">
        <f t="shared" si="9"/>
        <v>3816.4802109068623</v>
      </c>
      <c r="N71" s="48">
        <f t="shared" si="10"/>
        <v>66406.755669779406</v>
      </c>
      <c r="O71" s="48">
        <f t="shared" si="11"/>
        <v>0</v>
      </c>
      <c r="P71" s="48">
        <f t="shared" si="12"/>
        <v>0</v>
      </c>
    </row>
    <row r="72" spans="1:16" x14ac:dyDescent="0.3">
      <c r="A72" s="2" t="s">
        <v>44</v>
      </c>
      <c r="B72" t="s">
        <v>45</v>
      </c>
      <c r="C72" t="s">
        <v>65</v>
      </c>
      <c r="D72" s="11">
        <v>785.38865482608696</v>
      </c>
      <c r="E72">
        <v>13</v>
      </c>
      <c r="F72">
        <v>12</v>
      </c>
      <c r="G72">
        <v>3</v>
      </c>
      <c r="H72">
        <v>40</v>
      </c>
      <c r="I72">
        <v>0</v>
      </c>
      <c r="J72">
        <v>0</v>
      </c>
      <c r="K72" s="48">
        <f t="shared" si="7"/>
        <v>8508.3770939492751</v>
      </c>
      <c r="L72" s="48">
        <f t="shared" si="8"/>
        <v>7853.8865482608699</v>
      </c>
      <c r="M72" s="48">
        <f t="shared" si="9"/>
        <v>1963.4716370652175</v>
      </c>
      <c r="N72" s="48">
        <f t="shared" si="10"/>
        <v>26179.621827536233</v>
      </c>
      <c r="O72" s="48">
        <f t="shared" si="11"/>
        <v>0</v>
      </c>
      <c r="P72" s="48">
        <f t="shared" si="12"/>
        <v>0</v>
      </c>
    </row>
    <row r="73" spans="1:16" x14ac:dyDescent="0.3">
      <c r="A73" s="2" t="s">
        <v>44</v>
      </c>
      <c r="B73" t="s">
        <v>45</v>
      </c>
      <c r="C73" t="s">
        <v>66</v>
      </c>
      <c r="D73" s="11">
        <v>956.10516000000007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48">
        <f t="shared" si="7"/>
        <v>0</v>
      </c>
      <c r="L73" s="48">
        <f t="shared" si="8"/>
        <v>0</v>
      </c>
      <c r="M73" s="48">
        <f t="shared" si="9"/>
        <v>0</v>
      </c>
      <c r="N73" s="48">
        <f t="shared" si="10"/>
        <v>0</v>
      </c>
      <c r="O73" s="48">
        <f t="shared" si="11"/>
        <v>0</v>
      </c>
      <c r="P73" s="48">
        <f t="shared" si="12"/>
        <v>0</v>
      </c>
    </row>
    <row r="74" spans="1:16" x14ac:dyDescent="0.3">
      <c r="A74" s="2" t="s">
        <v>44</v>
      </c>
      <c r="B74" t="s">
        <v>45</v>
      </c>
      <c r="C74" t="s">
        <v>126</v>
      </c>
      <c r="D74" s="11">
        <v>450.45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48">
        <f t="shared" si="7"/>
        <v>0</v>
      </c>
      <c r="L74" s="48">
        <f t="shared" si="8"/>
        <v>0</v>
      </c>
      <c r="M74" s="48">
        <f t="shared" si="9"/>
        <v>0</v>
      </c>
      <c r="N74" s="48">
        <f t="shared" si="10"/>
        <v>0</v>
      </c>
      <c r="O74" s="48">
        <f t="shared" si="11"/>
        <v>0</v>
      </c>
      <c r="P74" s="48">
        <f t="shared" si="12"/>
        <v>0</v>
      </c>
    </row>
    <row r="75" spans="1:16" x14ac:dyDescent="0.3">
      <c r="A75" s="2" t="s">
        <v>44</v>
      </c>
      <c r="B75" t="s">
        <v>45</v>
      </c>
      <c r="C75" t="s">
        <v>127</v>
      </c>
      <c r="D75" s="11">
        <v>410.02649466666645</v>
      </c>
      <c r="E75">
        <v>0</v>
      </c>
      <c r="F75">
        <v>0</v>
      </c>
      <c r="G75">
        <v>0</v>
      </c>
      <c r="H75">
        <v>0</v>
      </c>
      <c r="I75">
        <v>0</v>
      </c>
      <c r="J75">
        <v>3</v>
      </c>
      <c r="K75" s="48">
        <f t="shared" si="7"/>
        <v>0</v>
      </c>
      <c r="L75" s="48">
        <f t="shared" si="8"/>
        <v>0</v>
      </c>
      <c r="M75" s="48">
        <f t="shared" si="9"/>
        <v>0</v>
      </c>
      <c r="N75" s="48">
        <f t="shared" si="10"/>
        <v>0</v>
      </c>
      <c r="O75" s="48">
        <f t="shared" si="11"/>
        <v>0</v>
      </c>
      <c r="P75" s="48">
        <f t="shared" si="12"/>
        <v>1025.0662366666661</v>
      </c>
    </row>
    <row r="76" spans="1:16" x14ac:dyDescent="0.3">
      <c r="A76" s="2" t="s">
        <v>44</v>
      </c>
      <c r="B76" t="s">
        <v>45</v>
      </c>
      <c r="C76" t="s">
        <v>128</v>
      </c>
      <c r="D76" s="11">
        <v>43.156754999999997</v>
      </c>
      <c r="E76">
        <v>0</v>
      </c>
      <c r="F76">
        <v>46</v>
      </c>
      <c r="G76">
        <v>8</v>
      </c>
      <c r="H76">
        <v>0</v>
      </c>
      <c r="I76">
        <v>0</v>
      </c>
      <c r="J76">
        <v>0</v>
      </c>
      <c r="K76" s="48">
        <f t="shared" si="7"/>
        <v>0</v>
      </c>
      <c r="L76" s="48">
        <f t="shared" si="8"/>
        <v>1654.342275</v>
      </c>
      <c r="M76" s="48">
        <f t="shared" si="9"/>
        <v>287.71170000000001</v>
      </c>
      <c r="N76" s="48">
        <f t="shared" si="10"/>
        <v>0</v>
      </c>
      <c r="O76" s="48">
        <f t="shared" si="11"/>
        <v>0</v>
      </c>
      <c r="P76" s="48">
        <f t="shared" si="12"/>
        <v>0</v>
      </c>
    </row>
    <row r="77" spans="1:16" x14ac:dyDescent="0.3">
      <c r="A77" s="2" t="s">
        <v>44</v>
      </c>
      <c r="B77" t="s">
        <v>45</v>
      </c>
      <c r="C77" t="s">
        <v>129</v>
      </c>
      <c r="D77" s="11">
        <v>210.51521739130436</v>
      </c>
      <c r="E77">
        <v>5</v>
      </c>
      <c r="F77">
        <v>4</v>
      </c>
      <c r="G77">
        <v>0</v>
      </c>
      <c r="H77">
        <v>0</v>
      </c>
      <c r="I77">
        <v>0</v>
      </c>
      <c r="J77">
        <v>0</v>
      </c>
      <c r="K77" s="48">
        <f t="shared" si="7"/>
        <v>877.14673913043487</v>
      </c>
      <c r="L77" s="48">
        <f t="shared" si="8"/>
        <v>701.71739130434787</v>
      </c>
      <c r="M77" s="48">
        <f t="shared" si="9"/>
        <v>0</v>
      </c>
      <c r="N77" s="48">
        <f t="shared" si="10"/>
        <v>0</v>
      </c>
      <c r="O77" s="48">
        <f t="shared" si="11"/>
        <v>0</v>
      </c>
      <c r="P77" s="48">
        <f t="shared" si="12"/>
        <v>0</v>
      </c>
    </row>
    <row r="78" spans="1:16" x14ac:dyDescent="0.3">
      <c r="A78" s="2" t="s">
        <v>44</v>
      </c>
      <c r="B78" t="s">
        <v>45</v>
      </c>
      <c r="C78" t="s">
        <v>130</v>
      </c>
      <c r="D78" s="11">
        <v>155.58866949999995</v>
      </c>
      <c r="E78">
        <v>34</v>
      </c>
      <c r="F78">
        <v>91</v>
      </c>
      <c r="G78">
        <v>42</v>
      </c>
      <c r="H78">
        <v>0</v>
      </c>
      <c r="I78">
        <v>0</v>
      </c>
      <c r="J78">
        <v>7</v>
      </c>
      <c r="K78" s="48">
        <f t="shared" si="7"/>
        <v>4408.3456358333324</v>
      </c>
      <c r="L78" s="48">
        <f t="shared" si="8"/>
        <v>11798.807437083331</v>
      </c>
      <c r="M78" s="48">
        <f t="shared" si="9"/>
        <v>5445.6034324999982</v>
      </c>
      <c r="N78" s="48">
        <f t="shared" si="10"/>
        <v>0</v>
      </c>
      <c r="O78" s="48">
        <f t="shared" si="11"/>
        <v>0</v>
      </c>
      <c r="P78" s="48">
        <f t="shared" si="12"/>
        <v>907.60057208333308</v>
      </c>
    </row>
    <row r="79" spans="1:16" x14ac:dyDescent="0.3">
      <c r="A79" s="2" t="s">
        <v>44</v>
      </c>
      <c r="B79" t="s">
        <v>45</v>
      </c>
      <c r="C79" t="s">
        <v>131</v>
      </c>
      <c r="D79" s="11">
        <v>304.83178280952382</v>
      </c>
      <c r="E79">
        <v>70</v>
      </c>
      <c r="F79">
        <v>165</v>
      </c>
      <c r="G79">
        <v>0</v>
      </c>
      <c r="H79">
        <v>40</v>
      </c>
      <c r="I79">
        <v>0</v>
      </c>
      <c r="J79">
        <v>0</v>
      </c>
      <c r="K79" s="48">
        <f t="shared" si="7"/>
        <v>17781.853997222221</v>
      </c>
      <c r="L79" s="48">
        <f t="shared" si="8"/>
        <v>41914.370136309524</v>
      </c>
      <c r="M79" s="48">
        <f t="shared" si="9"/>
        <v>0</v>
      </c>
      <c r="N79" s="48">
        <f t="shared" si="10"/>
        <v>10161.059426984128</v>
      </c>
      <c r="O79" s="48">
        <f t="shared" si="11"/>
        <v>0</v>
      </c>
      <c r="P79" s="48">
        <f t="shared" si="12"/>
        <v>0</v>
      </c>
    </row>
    <row r="80" spans="1:16" x14ac:dyDescent="0.3">
      <c r="A80" s="2" t="s">
        <v>44</v>
      </c>
      <c r="B80" t="s">
        <v>45</v>
      </c>
      <c r="C80" t="s">
        <v>132</v>
      </c>
      <c r="D80" s="11">
        <v>3212.4875538571437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 s="48">
        <f t="shared" si="7"/>
        <v>18739.510730833339</v>
      </c>
      <c r="L80" s="48">
        <f t="shared" si="8"/>
        <v>0</v>
      </c>
      <c r="M80" s="48">
        <f t="shared" si="9"/>
        <v>0</v>
      </c>
      <c r="N80" s="48">
        <f t="shared" si="10"/>
        <v>0</v>
      </c>
      <c r="O80" s="48">
        <f t="shared" si="11"/>
        <v>0</v>
      </c>
      <c r="P80" s="48">
        <f t="shared" si="12"/>
        <v>0</v>
      </c>
    </row>
    <row r="81" spans="1:16" x14ac:dyDescent="0.3">
      <c r="A81" s="2" t="s">
        <v>44</v>
      </c>
      <c r="B81" t="s">
        <v>45</v>
      </c>
      <c r="C81" t="s">
        <v>133</v>
      </c>
      <c r="D81" s="11">
        <v>1647.1041776666671</v>
      </c>
      <c r="E81">
        <v>2</v>
      </c>
      <c r="F81">
        <v>0</v>
      </c>
      <c r="G81">
        <v>4</v>
      </c>
      <c r="H81">
        <v>0</v>
      </c>
      <c r="I81">
        <v>17</v>
      </c>
      <c r="J81">
        <v>0</v>
      </c>
      <c r="K81" s="48">
        <f t="shared" si="7"/>
        <v>2745.1736294444454</v>
      </c>
      <c r="L81" s="48">
        <f t="shared" si="8"/>
        <v>0</v>
      </c>
      <c r="M81" s="48">
        <f t="shared" si="9"/>
        <v>5490.3472588888908</v>
      </c>
      <c r="N81" s="48">
        <f t="shared" si="10"/>
        <v>0</v>
      </c>
      <c r="O81" s="48">
        <f t="shared" si="11"/>
        <v>23333.975850277784</v>
      </c>
      <c r="P81" s="48">
        <f t="shared" si="12"/>
        <v>0</v>
      </c>
    </row>
    <row r="82" spans="1:16" x14ac:dyDescent="0.3">
      <c r="A82" s="2" t="s">
        <v>44</v>
      </c>
      <c r="B82" t="s">
        <v>45</v>
      </c>
      <c r="C82" t="s">
        <v>134</v>
      </c>
      <c r="D82" s="11">
        <v>1876.5471766153848</v>
      </c>
      <c r="E82">
        <v>13</v>
      </c>
      <c r="F82">
        <v>7</v>
      </c>
      <c r="G82">
        <v>0</v>
      </c>
      <c r="H82">
        <v>0</v>
      </c>
      <c r="I82">
        <v>0</v>
      </c>
      <c r="J82">
        <v>0</v>
      </c>
      <c r="K82" s="48">
        <f t="shared" si="7"/>
        <v>20329.261080000004</v>
      </c>
      <c r="L82" s="48">
        <f t="shared" si="8"/>
        <v>10946.525196923079</v>
      </c>
      <c r="M82" s="48">
        <f t="shared" si="9"/>
        <v>0</v>
      </c>
      <c r="N82" s="48">
        <f t="shared" si="10"/>
        <v>0</v>
      </c>
      <c r="O82" s="48">
        <f t="shared" si="11"/>
        <v>0</v>
      </c>
      <c r="P82" s="48">
        <f t="shared" si="12"/>
        <v>0</v>
      </c>
    </row>
    <row r="83" spans="1:16" x14ac:dyDescent="0.3">
      <c r="A83" s="2" t="s">
        <v>44</v>
      </c>
      <c r="B83" t="s">
        <v>45</v>
      </c>
      <c r="C83" t="s">
        <v>135</v>
      </c>
      <c r="D83" s="11">
        <v>1761.2922080000001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 s="48">
        <f t="shared" si="7"/>
        <v>0</v>
      </c>
      <c r="L83" s="48">
        <f t="shared" si="8"/>
        <v>0</v>
      </c>
      <c r="M83" s="48">
        <f t="shared" si="9"/>
        <v>1467.7435066666667</v>
      </c>
      <c r="N83" s="48">
        <f t="shared" si="10"/>
        <v>0</v>
      </c>
      <c r="O83" s="48">
        <f t="shared" si="11"/>
        <v>0</v>
      </c>
      <c r="P83" s="48">
        <f t="shared" si="12"/>
        <v>0</v>
      </c>
    </row>
    <row r="84" spans="1:16" x14ac:dyDescent="0.3">
      <c r="A84" s="2" t="s">
        <v>44</v>
      </c>
      <c r="B84" t="s">
        <v>45</v>
      </c>
      <c r="C84" t="s">
        <v>136</v>
      </c>
      <c r="D84" s="11">
        <v>2371.1442102857141</v>
      </c>
      <c r="E84">
        <v>7</v>
      </c>
      <c r="F84">
        <v>8</v>
      </c>
      <c r="G84">
        <v>0</v>
      </c>
      <c r="H84">
        <v>0</v>
      </c>
      <c r="I84">
        <v>0</v>
      </c>
      <c r="J84">
        <v>0</v>
      </c>
      <c r="K84" s="48">
        <f t="shared" si="7"/>
        <v>13831.674559999999</v>
      </c>
      <c r="L84" s="48">
        <f t="shared" si="8"/>
        <v>15807.628068571428</v>
      </c>
      <c r="M84" s="48">
        <f t="shared" si="9"/>
        <v>0</v>
      </c>
      <c r="N84" s="48">
        <f t="shared" si="10"/>
        <v>0</v>
      </c>
      <c r="O84" s="48">
        <f t="shared" si="11"/>
        <v>0</v>
      </c>
      <c r="P84" s="48">
        <f t="shared" si="12"/>
        <v>0</v>
      </c>
    </row>
    <row r="85" spans="1:16" x14ac:dyDescent="0.3">
      <c r="A85" s="2" t="s">
        <v>44</v>
      </c>
      <c r="B85" t="s">
        <v>45</v>
      </c>
      <c r="C85" t="s">
        <v>137</v>
      </c>
      <c r="D85" s="11">
        <v>6888.7261380000018</v>
      </c>
      <c r="E85">
        <v>6</v>
      </c>
      <c r="F85">
        <v>0</v>
      </c>
      <c r="G85">
        <v>0</v>
      </c>
      <c r="H85">
        <v>0</v>
      </c>
      <c r="I85">
        <v>3</v>
      </c>
      <c r="J85">
        <v>0</v>
      </c>
      <c r="K85" s="48">
        <f t="shared" si="7"/>
        <v>34443.630690000013</v>
      </c>
      <c r="L85" s="48">
        <f t="shared" si="8"/>
        <v>0</v>
      </c>
      <c r="M85" s="48">
        <f t="shared" si="9"/>
        <v>0</v>
      </c>
      <c r="N85" s="48">
        <f t="shared" si="10"/>
        <v>0</v>
      </c>
      <c r="O85" s="48">
        <f t="shared" si="11"/>
        <v>17221.815345000006</v>
      </c>
      <c r="P85" s="48">
        <f t="shared" si="12"/>
        <v>0</v>
      </c>
    </row>
    <row r="86" spans="1:16" x14ac:dyDescent="0.3">
      <c r="A86" s="2" t="s">
        <v>44</v>
      </c>
      <c r="B86" t="s">
        <v>45</v>
      </c>
      <c r="C86" t="s">
        <v>138</v>
      </c>
      <c r="D86" s="11">
        <v>1544.9674590000002</v>
      </c>
      <c r="E86">
        <v>0</v>
      </c>
      <c r="F86">
        <v>0</v>
      </c>
      <c r="G86">
        <v>0</v>
      </c>
      <c r="H86">
        <v>0</v>
      </c>
      <c r="I86">
        <v>7</v>
      </c>
      <c r="J86">
        <v>0</v>
      </c>
      <c r="K86" s="48">
        <f t="shared" si="7"/>
        <v>0</v>
      </c>
      <c r="L86" s="48">
        <f t="shared" si="8"/>
        <v>0</v>
      </c>
      <c r="M86" s="48">
        <f t="shared" si="9"/>
        <v>0</v>
      </c>
      <c r="N86" s="48">
        <f t="shared" si="10"/>
        <v>0</v>
      </c>
      <c r="O86" s="48">
        <f t="shared" si="11"/>
        <v>9012.3101775000014</v>
      </c>
      <c r="P86" s="48">
        <f t="shared" si="12"/>
        <v>0</v>
      </c>
    </row>
    <row r="87" spans="1:16" x14ac:dyDescent="0.3">
      <c r="A87" s="2" t="s">
        <v>44</v>
      </c>
      <c r="B87" t="s">
        <v>45</v>
      </c>
      <c r="C87" t="s">
        <v>139</v>
      </c>
      <c r="D87" s="11">
        <v>542.85739799999999</v>
      </c>
      <c r="E87">
        <v>3</v>
      </c>
      <c r="F87">
        <v>0</v>
      </c>
      <c r="G87">
        <v>0</v>
      </c>
      <c r="H87">
        <v>7</v>
      </c>
      <c r="I87">
        <v>7</v>
      </c>
      <c r="J87">
        <v>0</v>
      </c>
      <c r="K87" s="48">
        <f t="shared" si="7"/>
        <v>1357.143495</v>
      </c>
      <c r="L87" s="48">
        <f t="shared" si="8"/>
        <v>0</v>
      </c>
      <c r="M87" s="48">
        <f t="shared" si="9"/>
        <v>0</v>
      </c>
      <c r="N87" s="48">
        <f t="shared" si="10"/>
        <v>3166.6681549999998</v>
      </c>
      <c r="O87" s="48">
        <f t="shared" si="11"/>
        <v>3166.6681549999998</v>
      </c>
      <c r="P87" s="48">
        <f t="shared" si="12"/>
        <v>0</v>
      </c>
    </row>
    <row r="88" spans="1:16" x14ac:dyDescent="0.3">
      <c r="A88" s="2" t="s">
        <v>44</v>
      </c>
      <c r="B88" t="s">
        <v>45</v>
      </c>
      <c r="C88" t="s">
        <v>140</v>
      </c>
      <c r="D88" s="11">
        <v>1105.347448</v>
      </c>
      <c r="E88">
        <v>0</v>
      </c>
      <c r="F88">
        <v>7</v>
      </c>
      <c r="G88">
        <v>0</v>
      </c>
      <c r="H88">
        <v>0</v>
      </c>
      <c r="I88">
        <v>0</v>
      </c>
      <c r="J88">
        <v>0</v>
      </c>
      <c r="K88" s="48">
        <f t="shared" si="7"/>
        <v>0</v>
      </c>
      <c r="L88" s="48">
        <f t="shared" si="8"/>
        <v>6447.8601133333332</v>
      </c>
      <c r="M88" s="48">
        <f t="shared" si="9"/>
        <v>0</v>
      </c>
      <c r="N88" s="48">
        <f t="shared" si="10"/>
        <v>0</v>
      </c>
      <c r="O88" s="48">
        <f t="shared" si="11"/>
        <v>0</v>
      </c>
      <c r="P88" s="48">
        <f t="shared" si="12"/>
        <v>0</v>
      </c>
    </row>
    <row r="89" spans="1:16" x14ac:dyDescent="0.3">
      <c r="A89" s="2" t="s">
        <v>44</v>
      </c>
      <c r="B89" t="s">
        <v>45</v>
      </c>
      <c r="C89" t="s">
        <v>67</v>
      </c>
      <c r="D89" s="11">
        <v>129.73066200000002</v>
      </c>
      <c r="E89">
        <v>3</v>
      </c>
      <c r="F89">
        <v>3</v>
      </c>
      <c r="G89">
        <v>0</v>
      </c>
      <c r="H89">
        <v>0</v>
      </c>
      <c r="I89">
        <v>0</v>
      </c>
      <c r="J89">
        <v>0</v>
      </c>
      <c r="K89" s="48">
        <f t="shared" si="7"/>
        <v>324.32665500000007</v>
      </c>
      <c r="L89" s="48">
        <f t="shared" si="8"/>
        <v>324.32665500000007</v>
      </c>
      <c r="M89" s="48">
        <f t="shared" si="9"/>
        <v>0</v>
      </c>
      <c r="N89" s="48">
        <f t="shared" si="10"/>
        <v>0</v>
      </c>
      <c r="O89" s="48">
        <f t="shared" si="11"/>
        <v>0</v>
      </c>
      <c r="P89" s="48">
        <f t="shared" si="12"/>
        <v>0</v>
      </c>
    </row>
    <row r="90" spans="1:16" x14ac:dyDescent="0.3">
      <c r="A90" s="2" t="s">
        <v>44</v>
      </c>
      <c r="B90" t="s">
        <v>45</v>
      </c>
      <c r="C90" t="s">
        <v>141</v>
      </c>
      <c r="D90" s="11">
        <v>120.56456100000001</v>
      </c>
      <c r="E90">
        <v>0</v>
      </c>
      <c r="F90">
        <v>5</v>
      </c>
      <c r="G90">
        <v>0</v>
      </c>
      <c r="H90">
        <v>0</v>
      </c>
      <c r="I90">
        <v>0</v>
      </c>
      <c r="J90">
        <v>0</v>
      </c>
      <c r="K90" s="48">
        <f t="shared" si="7"/>
        <v>0</v>
      </c>
      <c r="L90" s="48">
        <f t="shared" si="8"/>
        <v>502.35233750000003</v>
      </c>
      <c r="M90" s="48">
        <f t="shared" si="9"/>
        <v>0</v>
      </c>
      <c r="N90" s="48">
        <f t="shared" si="10"/>
        <v>0</v>
      </c>
      <c r="O90" s="48">
        <f t="shared" si="11"/>
        <v>0</v>
      </c>
      <c r="P90" s="48">
        <f t="shared" si="12"/>
        <v>0</v>
      </c>
    </row>
    <row r="91" spans="1:16" x14ac:dyDescent="0.3">
      <c r="A91" s="2" t="s">
        <v>44</v>
      </c>
      <c r="B91" t="s">
        <v>45</v>
      </c>
      <c r="C91" t="s">
        <v>142</v>
      </c>
      <c r="D91" s="11">
        <v>356.47218599999991</v>
      </c>
      <c r="E91">
        <v>0</v>
      </c>
      <c r="F91">
        <v>2</v>
      </c>
      <c r="G91">
        <v>0</v>
      </c>
      <c r="H91">
        <v>2</v>
      </c>
      <c r="I91">
        <v>0</v>
      </c>
      <c r="J91">
        <v>0</v>
      </c>
      <c r="K91" s="48">
        <f t="shared" si="7"/>
        <v>0</v>
      </c>
      <c r="L91" s="48">
        <f t="shared" si="8"/>
        <v>594.1203099999999</v>
      </c>
      <c r="M91" s="48">
        <f t="shared" si="9"/>
        <v>0</v>
      </c>
      <c r="N91" s="48">
        <f t="shared" si="10"/>
        <v>594.1203099999999</v>
      </c>
      <c r="O91" s="48">
        <f t="shared" si="11"/>
        <v>0</v>
      </c>
      <c r="P91" s="48">
        <f t="shared" si="12"/>
        <v>0</v>
      </c>
    </row>
    <row r="92" spans="1:16" x14ac:dyDescent="0.3">
      <c r="A92" s="2" t="s">
        <v>44</v>
      </c>
      <c r="B92" t="s">
        <v>45</v>
      </c>
      <c r="C92" t="s">
        <v>143</v>
      </c>
      <c r="D92" s="11">
        <v>441.56352955555565</v>
      </c>
      <c r="E92">
        <v>22</v>
      </c>
      <c r="F92">
        <v>66</v>
      </c>
      <c r="G92">
        <v>0</v>
      </c>
      <c r="H92">
        <v>31</v>
      </c>
      <c r="I92">
        <v>64</v>
      </c>
      <c r="J92">
        <v>0</v>
      </c>
      <c r="K92" s="48">
        <f t="shared" si="7"/>
        <v>8095.3313751851874</v>
      </c>
      <c r="L92" s="48">
        <f t="shared" si="8"/>
        <v>24285.99412555556</v>
      </c>
      <c r="M92" s="48">
        <f t="shared" si="9"/>
        <v>0</v>
      </c>
      <c r="N92" s="48">
        <f t="shared" si="10"/>
        <v>11407.057846851856</v>
      </c>
      <c r="O92" s="48">
        <f t="shared" si="11"/>
        <v>23550.054909629634</v>
      </c>
      <c r="P92" s="48">
        <f t="shared" si="12"/>
        <v>0</v>
      </c>
    </row>
    <row r="93" spans="1:16" x14ac:dyDescent="0.3">
      <c r="A93" s="2" t="s">
        <v>44</v>
      </c>
      <c r="B93" t="s">
        <v>45</v>
      </c>
      <c r="C93" t="s">
        <v>144</v>
      </c>
      <c r="D93" s="11">
        <v>67.373559999999998</v>
      </c>
      <c r="E93">
        <v>18</v>
      </c>
      <c r="F93">
        <v>0</v>
      </c>
      <c r="G93">
        <v>0</v>
      </c>
      <c r="H93">
        <v>0</v>
      </c>
      <c r="I93">
        <v>3</v>
      </c>
      <c r="J93">
        <v>0</v>
      </c>
      <c r="K93" s="48">
        <f t="shared" si="7"/>
        <v>1010.6034</v>
      </c>
      <c r="L93" s="48">
        <f t="shared" si="8"/>
        <v>0</v>
      </c>
      <c r="M93" s="48">
        <f t="shared" si="9"/>
        <v>0</v>
      </c>
      <c r="N93" s="48">
        <f t="shared" si="10"/>
        <v>0</v>
      </c>
      <c r="O93" s="48">
        <f t="shared" si="11"/>
        <v>168.43389999999999</v>
      </c>
      <c r="P93" s="48">
        <f t="shared" si="12"/>
        <v>0</v>
      </c>
    </row>
    <row r="94" spans="1:16" x14ac:dyDescent="0.3">
      <c r="A94" s="2" t="s">
        <v>44</v>
      </c>
      <c r="B94" t="s">
        <v>45</v>
      </c>
      <c r="C94" t="s">
        <v>145</v>
      </c>
      <c r="D94" s="11">
        <v>41.331773000000005</v>
      </c>
      <c r="E94">
        <v>0</v>
      </c>
      <c r="F94">
        <v>6</v>
      </c>
      <c r="G94">
        <v>0</v>
      </c>
      <c r="H94">
        <v>0</v>
      </c>
      <c r="I94">
        <v>0</v>
      </c>
      <c r="J94">
        <v>0</v>
      </c>
      <c r="K94" s="48">
        <f t="shared" si="7"/>
        <v>0</v>
      </c>
      <c r="L94" s="48">
        <f t="shared" si="8"/>
        <v>206.65886500000005</v>
      </c>
      <c r="M94" s="48">
        <f t="shared" si="9"/>
        <v>0</v>
      </c>
      <c r="N94" s="48">
        <f t="shared" si="10"/>
        <v>0</v>
      </c>
      <c r="O94" s="48">
        <f t="shared" si="11"/>
        <v>0</v>
      </c>
      <c r="P94" s="48">
        <f t="shared" si="12"/>
        <v>0</v>
      </c>
    </row>
    <row r="95" spans="1:16" x14ac:dyDescent="0.3">
      <c r="A95" s="2" t="s">
        <v>44</v>
      </c>
      <c r="B95" t="s">
        <v>45</v>
      </c>
      <c r="C95" t="s">
        <v>146</v>
      </c>
      <c r="D95" s="11">
        <v>103.84909011111112</v>
      </c>
      <c r="E95">
        <v>0</v>
      </c>
      <c r="F95">
        <v>35</v>
      </c>
      <c r="G95">
        <v>0</v>
      </c>
      <c r="H95">
        <v>5</v>
      </c>
      <c r="I95">
        <v>1</v>
      </c>
      <c r="J95">
        <v>1</v>
      </c>
      <c r="K95" s="48">
        <f t="shared" si="7"/>
        <v>0</v>
      </c>
      <c r="L95" s="48">
        <f t="shared" si="8"/>
        <v>3028.9317949074079</v>
      </c>
      <c r="M95" s="48">
        <f t="shared" si="9"/>
        <v>0</v>
      </c>
      <c r="N95" s="48">
        <f t="shared" si="10"/>
        <v>432.70454212962971</v>
      </c>
      <c r="O95" s="48">
        <f t="shared" si="11"/>
        <v>86.540908425925934</v>
      </c>
      <c r="P95" s="48">
        <f t="shared" si="12"/>
        <v>86.540908425925934</v>
      </c>
    </row>
    <row r="96" spans="1:16" x14ac:dyDescent="0.3">
      <c r="A96" s="2" t="s">
        <v>44</v>
      </c>
      <c r="B96" t="s">
        <v>45</v>
      </c>
      <c r="C96" t="s">
        <v>147</v>
      </c>
      <c r="D96" s="11">
        <v>404.10001799999998</v>
      </c>
      <c r="E96">
        <v>0</v>
      </c>
      <c r="F96">
        <v>8</v>
      </c>
      <c r="G96">
        <v>0</v>
      </c>
      <c r="H96">
        <v>0</v>
      </c>
      <c r="I96">
        <v>0</v>
      </c>
      <c r="J96">
        <v>0</v>
      </c>
      <c r="K96" s="48">
        <f t="shared" si="7"/>
        <v>0</v>
      </c>
      <c r="L96" s="48">
        <f t="shared" si="8"/>
        <v>2694.0001200000002</v>
      </c>
      <c r="M96" s="48">
        <f t="shared" si="9"/>
        <v>0</v>
      </c>
      <c r="N96" s="48">
        <f t="shared" si="10"/>
        <v>0</v>
      </c>
      <c r="O96" s="48">
        <f t="shared" si="11"/>
        <v>0</v>
      </c>
      <c r="P96" s="48">
        <f t="shared" si="12"/>
        <v>0</v>
      </c>
    </row>
    <row r="97" spans="1:16" x14ac:dyDescent="0.3">
      <c r="A97" s="2" t="s">
        <v>44</v>
      </c>
      <c r="B97" t="s">
        <v>45</v>
      </c>
      <c r="C97" t="s">
        <v>148</v>
      </c>
      <c r="D97" s="11">
        <v>351.60542858333326</v>
      </c>
      <c r="E97">
        <v>0</v>
      </c>
      <c r="F97">
        <v>0</v>
      </c>
      <c r="G97">
        <v>0</v>
      </c>
      <c r="H97">
        <v>21</v>
      </c>
      <c r="I97">
        <v>33</v>
      </c>
      <c r="J97">
        <v>0</v>
      </c>
      <c r="K97" s="48">
        <f t="shared" si="7"/>
        <v>0</v>
      </c>
      <c r="L97" s="48">
        <f t="shared" si="8"/>
        <v>0</v>
      </c>
      <c r="M97" s="48">
        <f t="shared" si="9"/>
        <v>0</v>
      </c>
      <c r="N97" s="48">
        <f t="shared" si="10"/>
        <v>6153.0950002083318</v>
      </c>
      <c r="O97" s="48">
        <f t="shared" si="11"/>
        <v>9669.1492860416638</v>
      </c>
      <c r="P97" s="48">
        <f t="shared" si="12"/>
        <v>0</v>
      </c>
    </row>
    <row r="98" spans="1:16" x14ac:dyDescent="0.3">
      <c r="A98" s="2" t="s">
        <v>44</v>
      </c>
      <c r="B98" t="s">
        <v>45</v>
      </c>
      <c r="C98" t="s">
        <v>149</v>
      </c>
      <c r="D98" s="11">
        <v>66.984469500000003</v>
      </c>
      <c r="E98">
        <v>0</v>
      </c>
      <c r="F98">
        <v>0</v>
      </c>
      <c r="G98">
        <v>0</v>
      </c>
      <c r="H98">
        <v>4</v>
      </c>
      <c r="I98">
        <v>3</v>
      </c>
      <c r="J98">
        <v>0</v>
      </c>
      <c r="K98" s="48">
        <f t="shared" si="7"/>
        <v>0</v>
      </c>
      <c r="L98" s="48">
        <f t="shared" si="8"/>
        <v>0</v>
      </c>
      <c r="M98" s="48">
        <f t="shared" si="9"/>
        <v>0</v>
      </c>
      <c r="N98" s="48">
        <f t="shared" si="10"/>
        <v>223.28156500000003</v>
      </c>
      <c r="O98" s="48">
        <f t="shared" si="11"/>
        <v>167.46117375000003</v>
      </c>
      <c r="P98" s="48">
        <f t="shared" si="12"/>
        <v>0</v>
      </c>
    </row>
    <row r="99" spans="1:16" x14ac:dyDescent="0.3">
      <c r="A99" s="2" t="s">
        <v>44</v>
      </c>
      <c r="B99" t="s">
        <v>45</v>
      </c>
      <c r="C99" t="s">
        <v>150</v>
      </c>
      <c r="D99" s="11">
        <v>166.57240479999996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48">
        <f t="shared" si="7"/>
        <v>0</v>
      </c>
      <c r="L99" s="48">
        <f t="shared" si="8"/>
        <v>0</v>
      </c>
      <c r="M99" s="48">
        <f t="shared" si="9"/>
        <v>0</v>
      </c>
      <c r="N99" s="48">
        <f t="shared" si="10"/>
        <v>0</v>
      </c>
      <c r="O99" s="48">
        <f t="shared" si="11"/>
        <v>0</v>
      </c>
      <c r="P99" s="48">
        <f t="shared" si="12"/>
        <v>0</v>
      </c>
    </row>
    <row r="100" spans="1:16" x14ac:dyDescent="0.3">
      <c r="A100" s="2" t="s">
        <v>44</v>
      </c>
      <c r="B100" t="s">
        <v>45</v>
      </c>
      <c r="C100" t="s">
        <v>151</v>
      </c>
      <c r="D100" s="11">
        <v>189.92149400000002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48">
        <f t="shared" si="7"/>
        <v>0</v>
      </c>
      <c r="L100" s="48">
        <f t="shared" si="8"/>
        <v>0</v>
      </c>
      <c r="M100" s="48">
        <f t="shared" si="9"/>
        <v>0</v>
      </c>
      <c r="N100" s="48">
        <f t="shared" si="10"/>
        <v>0</v>
      </c>
      <c r="O100" s="48">
        <f t="shared" si="11"/>
        <v>0</v>
      </c>
      <c r="P100" s="48">
        <f t="shared" si="12"/>
        <v>0</v>
      </c>
    </row>
    <row r="101" spans="1:16" x14ac:dyDescent="0.3">
      <c r="A101" s="2" t="s">
        <v>44</v>
      </c>
      <c r="B101" t="s">
        <v>45</v>
      </c>
      <c r="C101" t="s">
        <v>152</v>
      </c>
      <c r="D101" s="11">
        <v>5379.6837066666667</v>
      </c>
      <c r="E101">
        <v>0</v>
      </c>
      <c r="F101">
        <v>11</v>
      </c>
      <c r="G101">
        <v>0</v>
      </c>
      <c r="H101">
        <v>0</v>
      </c>
      <c r="I101">
        <v>0</v>
      </c>
      <c r="J101">
        <v>0</v>
      </c>
      <c r="K101" s="48">
        <f t="shared" si="7"/>
        <v>0</v>
      </c>
      <c r="L101" s="48">
        <f t="shared" si="8"/>
        <v>49313.767311111114</v>
      </c>
      <c r="M101" s="48">
        <f t="shared" si="9"/>
        <v>0</v>
      </c>
      <c r="N101" s="48">
        <f t="shared" si="10"/>
        <v>0</v>
      </c>
      <c r="O101" s="48">
        <f t="shared" si="11"/>
        <v>0</v>
      </c>
      <c r="P101" s="48">
        <f t="shared" si="12"/>
        <v>0</v>
      </c>
    </row>
    <row r="102" spans="1:16" x14ac:dyDescent="0.3">
      <c r="A102" s="2" t="s">
        <v>44</v>
      </c>
      <c r="B102" t="s">
        <v>45</v>
      </c>
      <c r="C102" t="s">
        <v>153</v>
      </c>
      <c r="D102" s="11">
        <v>73.573623749999982</v>
      </c>
      <c r="E102">
        <v>7</v>
      </c>
      <c r="F102">
        <v>17</v>
      </c>
      <c r="G102">
        <v>4</v>
      </c>
      <c r="H102">
        <v>4</v>
      </c>
      <c r="I102">
        <v>0</v>
      </c>
      <c r="J102">
        <v>0</v>
      </c>
      <c r="K102" s="48">
        <f t="shared" si="7"/>
        <v>429.17947187499988</v>
      </c>
      <c r="L102" s="48">
        <f t="shared" si="8"/>
        <v>1042.2930031249998</v>
      </c>
      <c r="M102" s="48">
        <f t="shared" si="9"/>
        <v>245.24541249999996</v>
      </c>
      <c r="N102" s="48">
        <f t="shared" si="10"/>
        <v>245.24541249999996</v>
      </c>
      <c r="O102" s="48">
        <f t="shared" si="11"/>
        <v>0</v>
      </c>
      <c r="P102" s="48">
        <f t="shared" si="12"/>
        <v>0</v>
      </c>
    </row>
    <row r="103" spans="1:16" x14ac:dyDescent="0.3">
      <c r="A103" s="2" t="s">
        <v>44</v>
      </c>
      <c r="B103" t="s">
        <v>45</v>
      </c>
      <c r="C103" t="s">
        <v>154</v>
      </c>
      <c r="D103" s="11">
        <v>514.33041470588239</v>
      </c>
      <c r="E103">
        <v>10</v>
      </c>
      <c r="F103">
        <v>0</v>
      </c>
      <c r="G103">
        <v>0</v>
      </c>
      <c r="H103">
        <v>8</v>
      </c>
      <c r="I103">
        <v>0</v>
      </c>
      <c r="J103">
        <v>0</v>
      </c>
      <c r="K103" s="48">
        <f t="shared" si="7"/>
        <v>4286.0867892156866</v>
      </c>
      <c r="L103" s="48">
        <f t="shared" si="8"/>
        <v>0</v>
      </c>
      <c r="M103" s="48">
        <f t="shared" si="9"/>
        <v>0</v>
      </c>
      <c r="N103" s="48">
        <f t="shared" si="10"/>
        <v>3428.8694313725496</v>
      </c>
      <c r="O103" s="48">
        <f t="shared" si="11"/>
        <v>0</v>
      </c>
      <c r="P103" s="48">
        <f t="shared" si="12"/>
        <v>0</v>
      </c>
    </row>
    <row r="104" spans="1:16" x14ac:dyDescent="0.3">
      <c r="A104" s="2" t="s">
        <v>44</v>
      </c>
      <c r="B104" t="s">
        <v>45</v>
      </c>
      <c r="C104" t="s">
        <v>155</v>
      </c>
      <c r="D104" s="11">
        <v>2389.7744118000005</v>
      </c>
      <c r="E104">
        <v>0</v>
      </c>
      <c r="F104">
        <v>0</v>
      </c>
      <c r="G104">
        <v>2</v>
      </c>
      <c r="H104">
        <v>4</v>
      </c>
      <c r="I104">
        <v>2</v>
      </c>
      <c r="J104">
        <v>0</v>
      </c>
      <c r="K104" s="48">
        <f t="shared" si="7"/>
        <v>0</v>
      </c>
      <c r="L104" s="48">
        <f t="shared" si="8"/>
        <v>0</v>
      </c>
      <c r="M104" s="48">
        <f t="shared" si="9"/>
        <v>3982.9573530000011</v>
      </c>
      <c r="N104" s="48">
        <f t="shared" si="10"/>
        <v>7965.9147060000023</v>
      </c>
      <c r="O104" s="48">
        <f t="shared" si="11"/>
        <v>3982.9573530000011</v>
      </c>
      <c r="P104" s="48">
        <f t="shared" si="12"/>
        <v>0</v>
      </c>
    </row>
    <row r="105" spans="1:16" x14ac:dyDescent="0.3">
      <c r="A105" s="2" t="s">
        <v>44</v>
      </c>
      <c r="B105" t="s">
        <v>45</v>
      </c>
      <c r="C105" t="s">
        <v>156</v>
      </c>
      <c r="D105" s="11">
        <v>882.87223000000017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48">
        <f t="shared" si="7"/>
        <v>0</v>
      </c>
      <c r="L105" s="48">
        <f t="shared" si="8"/>
        <v>0</v>
      </c>
      <c r="M105" s="48">
        <f t="shared" si="9"/>
        <v>0</v>
      </c>
      <c r="N105" s="48">
        <f t="shared" si="10"/>
        <v>0</v>
      </c>
      <c r="O105" s="48">
        <f t="shared" si="11"/>
        <v>0</v>
      </c>
      <c r="P105" s="48">
        <f t="shared" si="12"/>
        <v>0</v>
      </c>
    </row>
    <row r="106" spans="1:16" x14ac:dyDescent="0.3">
      <c r="A106" s="2" t="s">
        <v>44</v>
      </c>
      <c r="B106" t="s">
        <v>45</v>
      </c>
      <c r="C106" t="s">
        <v>157</v>
      </c>
      <c r="D106" s="11">
        <v>14.840824000000005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48">
        <f t="shared" si="7"/>
        <v>0</v>
      </c>
      <c r="L106" s="48">
        <f t="shared" si="8"/>
        <v>0</v>
      </c>
      <c r="M106" s="48">
        <f t="shared" si="9"/>
        <v>0</v>
      </c>
      <c r="N106" s="48">
        <f t="shared" si="10"/>
        <v>0</v>
      </c>
      <c r="O106" s="48">
        <f t="shared" si="11"/>
        <v>0</v>
      </c>
      <c r="P106" s="48">
        <f t="shared" si="12"/>
        <v>0</v>
      </c>
    </row>
    <row r="107" spans="1:16" x14ac:dyDescent="0.3">
      <c r="A107" s="2" t="s">
        <v>44</v>
      </c>
      <c r="B107" t="s">
        <v>45</v>
      </c>
      <c r="C107" t="s">
        <v>158</v>
      </c>
      <c r="D107" s="11">
        <v>741.65470725000011</v>
      </c>
      <c r="E107">
        <v>3</v>
      </c>
      <c r="F107">
        <v>0</v>
      </c>
      <c r="G107">
        <v>7</v>
      </c>
      <c r="H107">
        <v>0</v>
      </c>
      <c r="I107">
        <v>33</v>
      </c>
      <c r="J107">
        <v>0</v>
      </c>
      <c r="K107" s="48">
        <f t="shared" si="7"/>
        <v>1854.1367681250003</v>
      </c>
      <c r="L107" s="48">
        <f t="shared" si="8"/>
        <v>0</v>
      </c>
      <c r="M107" s="48">
        <f t="shared" si="9"/>
        <v>4326.3191256250011</v>
      </c>
      <c r="N107" s="48">
        <f t="shared" si="10"/>
        <v>0</v>
      </c>
      <c r="O107" s="48">
        <f t="shared" si="11"/>
        <v>20395.504449375003</v>
      </c>
      <c r="P107" s="48">
        <f t="shared" si="12"/>
        <v>0</v>
      </c>
    </row>
    <row r="108" spans="1:16" x14ac:dyDescent="0.3">
      <c r="A108" s="2" t="s">
        <v>44</v>
      </c>
      <c r="B108" t="s">
        <v>45</v>
      </c>
      <c r="C108" t="s">
        <v>159</v>
      </c>
      <c r="D108" s="11">
        <v>69.578560999999993</v>
      </c>
      <c r="E108">
        <v>12</v>
      </c>
      <c r="F108">
        <v>9</v>
      </c>
      <c r="G108">
        <v>0</v>
      </c>
      <c r="H108">
        <v>0</v>
      </c>
      <c r="I108">
        <v>0</v>
      </c>
      <c r="J108">
        <v>0</v>
      </c>
      <c r="K108" s="48">
        <f t="shared" si="7"/>
        <v>695.78561000000002</v>
      </c>
      <c r="L108" s="48">
        <f t="shared" si="8"/>
        <v>521.83920750000004</v>
      </c>
      <c r="M108" s="48">
        <f t="shared" si="9"/>
        <v>0</v>
      </c>
      <c r="N108" s="48">
        <f t="shared" si="10"/>
        <v>0</v>
      </c>
      <c r="O108" s="48">
        <f t="shared" si="11"/>
        <v>0</v>
      </c>
      <c r="P108" s="48">
        <f t="shared" si="12"/>
        <v>0</v>
      </c>
    </row>
    <row r="109" spans="1:16" x14ac:dyDescent="0.3">
      <c r="A109" s="2" t="s">
        <v>44</v>
      </c>
      <c r="B109" t="s">
        <v>45</v>
      </c>
      <c r="C109" t="s">
        <v>160</v>
      </c>
      <c r="D109" s="11">
        <v>2778.1965119999995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48">
        <f t="shared" si="7"/>
        <v>0</v>
      </c>
      <c r="L109" s="48">
        <f t="shared" si="8"/>
        <v>0</v>
      </c>
      <c r="M109" s="48">
        <f t="shared" si="9"/>
        <v>0</v>
      </c>
      <c r="N109" s="48">
        <f t="shared" si="10"/>
        <v>0</v>
      </c>
      <c r="O109" s="48">
        <f t="shared" si="11"/>
        <v>0</v>
      </c>
      <c r="P109" s="48">
        <f t="shared" si="12"/>
        <v>0</v>
      </c>
    </row>
    <row r="110" spans="1:16" x14ac:dyDescent="0.3">
      <c r="A110" s="2" t="s">
        <v>44</v>
      </c>
      <c r="B110" t="s">
        <v>45</v>
      </c>
      <c r="C110" t="s">
        <v>161</v>
      </c>
      <c r="D110" s="11">
        <v>95.640002999999993</v>
      </c>
      <c r="E110">
        <v>0</v>
      </c>
      <c r="F110">
        <v>7</v>
      </c>
      <c r="G110">
        <v>0</v>
      </c>
      <c r="H110">
        <v>0</v>
      </c>
      <c r="I110">
        <v>6</v>
      </c>
      <c r="J110">
        <v>0</v>
      </c>
      <c r="K110" s="48">
        <f t="shared" si="7"/>
        <v>0</v>
      </c>
      <c r="L110" s="48">
        <f t="shared" si="8"/>
        <v>557.90001749999999</v>
      </c>
      <c r="M110" s="48">
        <f t="shared" si="9"/>
        <v>0</v>
      </c>
      <c r="N110" s="48">
        <f t="shared" si="10"/>
        <v>0</v>
      </c>
      <c r="O110" s="48">
        <f t="shared" si="11"/>
        <v>478.20001500000001</v>
      </c>
      <c r="P110" s="48">
        <f t="shared" si="12"/>
        <v>0</v>
      </c>
    </row>
    <row r="111" spans="1:16" x14ac:dyDescent="0.3">
      <c r="A111" s="2" t="s">
        <v>44</v>
      </c>
      <c r="B111" t="s">
        <v>45</v>
      </c>
      <c r="C111" t="s">
        <v>162</v>
      </c>
      <c r="D111" s="11">
        <v>116.438652</v>
      </c>
      <c r="E111">
        <v>0</v>
      </c>
      <c r="F111">
        <v>2</v>
      </c>
      <c r="G111">
        <v>6</v>
      </c>
      <c r="H111">
        <v>0</v>
      </c>
      <c r="I111">
        <v>6</v>
      </c>
      <c r="J111">
        <v>0</v>
      </c>
      <c r="K111" s="48">
        <f t="shared" si="7"/>
        <v>0</v>
      </c>
      <c r="L111" s="48">
        <f t="shared" si="8"/>
        <v>194.06442000000001</v>
      </c>
      <c r="M111" s="48">
        <f t="shared" si="9"/>
        <v>582.19326000000012</v>
      </c>
      <c r="N111" s="48">
        <f t="shared" si="10"/>
        <v>0</v>
      </c>
      <c r="O111" s="48">
        <f t="shared" si="11"/>
        <v>582.19326000000012</v>
      </c>
      <c r="P111" s="48">
        <f t="shared" si="12"/>
        <v>0</v>
      </c>
    </row>
    <row r="112" spans="1:16" x14ac:dyDescent="0.3">
      <c r="A112" s="2" t="s">
        <v>44</v>
      </c>
      <c r="B112" t="s">
        <v>45</v>
      </c>
      <c r="C112" t="s">
        <v>163</v>
      </c>
      <c r="D112" s="11">
        <v>424.70645400000001</v>
      </c>
      <c r="E112">
        <v>0</v>
      </c>
      <c r="F112">
        <v>6</v>
      </c>
      <c r="G112">
        <v>0</v>
      </c>
      <c r="H112">
        <v>0</v>
      </c>
      <c r="I112">
        <v>3</v>
      </c>
      <c r="J112">
        <v>0</v>
      </c>
      <c r="K112" s="48">
        <f t="shared" si="7"/>
        <v>0</v>
      </c>
      <c r="L112" s="48">
        <f t="shared" si="8"/>
        <v>2123.5322700000002</v>
      </c>
      <c r="M112" s="48">
        <f t="shared" si="9"/>
        <v>0</v>
      </c>
      <c r="N112" s="48">
        <f t="shared" si="10"/>
        <v>0</v>
      </c>
      <c r="O112" s="48">
        <f t="shared" si="11"/>
        <v>1061.7661350000001</v>
      </c>
      <c r="P112" s="48">
        <f t="shared" si="12"/>
        <v>0</v>
      </c>
    </row>
    <row r="113" spans="1:16" x14ac:dyDescent="0.3">
      <c r="A113" s="2" t="s">
        <v>44</v>
      </c>
      <c r="B113" t="s">
        <v>45</v>
      </c>
      <c r="C113" t="s">
        <v>164</v>
      </c>
      <c r="D113" s="11">
        <v>445.779675</v>
      </c>
      <c r="E113">
        <v>0</v>
      </c>
      <c r="F113">
        <v>5</v>
      </c>
      <c r="G113">
        <v>0</v>
      </c>
      <c r="H113">
        <v>0</v>
      </c>
      <c r="I113">
        <v>0</v>
      </c>
      <c r="J113">
        <v>0</v>
      </c>
      <c r="K113" s="48">
        <f t="shared" si="7"/>
        <v>0</v>
      </c>
      <c r="L113" s="48">
        <f t="shared" si="8"/>
        <v>1857.4153124999998</v>
      </c>
      <c r="M113" s="48">
        <f t="shared" si="9"/>
        <v>0</v>
      </c>
      <c r="N113" s="48">
        <f t="shared" si="10"/>
        <v>0</v>
      </c>
      <c r="O113" s="48">
        <f t="shared" si="11"/>
        <v>0</v>
      </c>
      <c r="P113" s="48">
        <f t="shared" si="12"/>
        <v>0</v>
      </c>
    </row>
    <row r="114" spans="1:16" x14ac:dyDescent="0.3">
      <c r="A114" s="2" t="s">
        <v>44</v>
      </c>
      <c r="B114" t="s">
        <v>45</v>
      </c>
      <c r="C114" t="s">
        <v>165</v>
      </c>
      <c r="D114" s="11">
        <v>173.37911314285716</v>
      </c>
      <c r="E114">
        <v>45</v>
      </c>
      <c r="F114">
        <v>20</v>
      </c>
      <c r="G114">
        <v>0</v>
      </c>
      <c r="H114">
        <v>0</v>
      </c>
      <c r="I114">
        <v>0</v>
      </c>
      <c r="J114">
        <v>0</v>
      </c>
      <c r="K114" s="48">
        <f t="shared" si="7"/>
        <v>6501.7167428571438</v>
      </c>
      <c r="L114" s="48">
        <f t="shared" si="8"/>
        <v>2889.651885714286</v>
      </c>
      <c r="M114" s="48">
        <f t="shared" si="9"/>
        <v>0</v>
      </c>
      <c r="N114" s="48">
        <f t="shared" si="10"/>
        <v>0</v>
      </c>
      <c r="O114" s="48">
        <f t="shared" si="11"/>
        <v>0</v>
      </c>
      <c r="P114" s="48">
        <f t="shared" si="12"/>
        <v>0</v>
      </c>
    </row>
    <row r="115" spans="1:16" x14ac:dyDescent="0.3">
      <c r="A115" s="2" t="s">
        <v>44</v>
      </c>
      <c r="B115" t="s">
        <v>45</v>
      </c>
      <c r="C115" t="s">
        <v>166</v>
      </c>
      <c r="D115" s="11">
        <v>341.78432320000002</v>
      </c>
      <c r="E115">
        <v>18</v>
      </c>
      <c r="F115">
        <v>2</v>
      </c>
      <c r="G115">
        <v>0</v>
      </c>
      <c r="H115">
        <v>0</v>
      </c>
      <c r="I115">
        <v>0</v>
      </c>
      <c r="J115">
        <v>0</v>
      </c>
      <c r="K115" s="48">
        <f t="shared" si="7"/>
        <v>5126.7648480000007</v>
      </c>
      <c r="L115" s="48">
        <f t="shared" si="8"/>
        <v>569.64053866666677</v>
      </c>
      <c r="M115" s="48">
        <f t="shared" si="9"/>
        <v>0</v>
      </c>
      <c r="N115" s="48">
        <f t="shared" si="10"/>
        <v>0</v>
      </c>
      <c r="O115" s="48">
        <f t="shared" si="11"/>
        <v>0</v>
      </c>
      <c r="P115" s="48">
        <f t="shared" si="12"/>
        <v>0</v>
      </c>
    </row>
    <row r="116" spans="1:16" x14ac:dyDescent="0.3">
      <c r="A116" s="2" t="s">
        <v>44</v>
      </c>
      <c r="B116" t="s">
        <v>45</v>
      </c>
      <c r="C116" t="s">
        <v>167</v>
      </c>
      <c r="D116" s="11">
        <v>140.18232626086956</v>
      </c>
      <c r="E116">
        <v>4</v>
      </c>
      <c r="F116">
        <v>0</v>
      </c>
      <c r="G116">
        <v>15</v>
      </c>
      <c r="H116">
        <v>0</v>
      </c>
      <c r="I116">
        <v>0</v>
      </c>
      <c r="J116">
        <v>0</v>
      </c>
      <c r="K116" s="48">
        <f t="shared" si="7"/>
        <v>467.27442086956523</v>
      </c>
      <c r="L116" s="48">
        <f t="shared" si="8"/>
        <v>0</v>
      </c>
      <c r="M116" s="48">
        <f t="shared" si="9"/>
        <v>1752.2790782608695</v>
      </c>
      <c r="N116" s="48">
        <f t="shared" si="10"/>
        <v>0</v>
      </c>
      <c r="O116" s="48">
        <f t="shared" si="11"/>
        <v>0</v>
      </c>
      <c r="P116" s="48">
        <f t="shared" si="12"/>
        <v>0</v>
      </c>
    </row>
    <row r="117" spans="1:16" x14ac:dyDescent="0.3">
      <c r="A117" s="2" t="s">
        <v>44</v>
      </c>
      <c r="B117" t="s">
        <v>45</v>
      </c>
      <c r="C117" t="s">
        <v>168</v>
      </c>
      <c r="D117" s="11">
        <v>257.749565625</v>
      </c>
      <c r="E117">
        <v>35</v>
      </c>
      <c r="F117">
        <v>0</v>
      </c>
      <c r="G117">
        <v>0</v>
      </c>
      <c r="H117">
        <v>0</v>
      </c>
      <c r="I117">
        <v>3</v>
      </c>
      <c r="J117">
        <v>0</v>
      </c>
      <c r="K117" s="48">
        <f t="shared" si="7"/>
        <v>7517.6956640625003</v>
      </c>
      <c r="L117" s="48">
        <f t="shared" si="8"/>
        <v>0</v>
      </c>
      <c r="M117" s="48">
        <f t="shared" si="9"/>
        <v>0</v>
      </c>
      <c r="N117" s="48">
        <f t="shared" si="10"/>
        <v>0</v>
      </c>
      <c r="O117" s="48">
        <f t="shared" si="11"/>
        <v>644.37391406250003</v>
      </c>
      <c r="P117" s="48">
        <f t="shared" si="12"/>
        <v>0</v>
      </c>
    </row>
    <row r="118" spans="1:16" x14ac:dyDescent="0.3">
      <c r="A118" s="2" t="s">
        <v>44</v>
      </c>
      <c r="B118" t="s">
        <v>45</v>
      </c>
      <c r="C118" t="s">
        <v>169</v>
      </c>
      <c r="D118" s="11">
        <v>604.17942799999992</v>
      </c>
      <c r="E118">
        <v>34</v>
      </c>
      <c r="F118">
        <v>0</v>
      </c>
      <c r="G118">
        <v>0</v>
      </c>
      <c r="H118">
        <v>0</v>
      </c>
      <c r="I118">
        <v>0</v>
      </c>
      <c r="J118">
        <v>0</v>
      </c>
      <c r="K118" s="48">
        <f t="shared" si="7"/>
        <v>17118.417126666664</v>
      </c>
      <c r="L118" s="48">
        <f t="shared" si="8"/>
        <v>0</v>
      </c>
      <c r="M118" s="48">
        <f t="shared" si="9"/>
        <v>0</v>
      </c>
      <c r="N118" s="48">
        <f t="shared" si="10"/>
        <v>0</v>
      </c>
      <c r="O118" s="48">
        <f t="shared" si="11"/>
        <v>0</v>
      </c>
      <c r="P118" s="48">
        <f t="shared" si="12"/>
        <v>0</v>
      </c>
    </row>
    <row r="119" spans="1:16" x14ac:dyDescent="0.3">
      <c r="A119" s="2" t="s">
        <v>44</v>
      </c>
      <c r="B119" t="s">
        <v>45</v>
      </c>
      <c r="C119" t="s">
        <v>170</v>
      </c>
      <c r="D119" s="11">
        <v>343.11197900000008</v>
      </c>
      <c r="E119">
        <v>63</v>
      </c>
      <c r="F119">
        <v>5</v>
      </c>
      <c r="G119">
        <v>0</v>
      </c>
      <c r="H119">
        <v>0</v>
      </c>
      <c r="I119">
        <v>5</v>
      </c>
      <c r="J119">
        <v>0</v>
      </c>
      <c r="K119" s="48">
        <f t="shared" si="7"/>
        <v>18013.378897500002</v>
      </c>
      <c r="L119" s="48">
        <f t="shared" si="8"/>
        <v>1429.6332458333336</v>
      </c>
      <c r="M119" s="48">
        <f t="shared" si="9"/>
        <v>0</v>
      </c>
      <c r="N119" s="48">
        <f t="shared" si="10"/>
        <v>0</v>
      </c>
      <c r="O119" s="48">
        <f t="shared" si="11"/>
        <v>1429.6332458333336</v>
      </c>
      <c r="P119" s="48">
        <f t="shared" si="12"/>
        <v>0</v>
      </c>
    </row>
    <row r="120" spans="1:16" x14ac:dyDescent="0.3">
      <c r="A120" s="2" t="s">
        <v>44</v>
      </c>
      <c r="B120" t="s">
        <v>45</v>
      </c>
      <c r="C120" t="s">
        <v>171</v>
      </c>
      <c r="D120" s="11">
        <v>497.80668464285714</v>
      </c>
      <c r="E120">
        <v>4</v>
      </c>
      <c r="F120">
        <v>24</v>
      </c>
      <c r="G120">
        <v>0</v>
      </c>
      <c r="H120">
        <v>0</v>
      </c>
      <c r="I120">
        <v>0</v>
      </c>
      <c r="J120">
        <v>0</v>
      </c>
      <c r="K120" s="48">
        <f t="shared" si="7"/>
        <v>1659.3556154761905</v>
      </c>
      <c r="L120" s="48">
        <f t="shared" si="8"/>
        <v>9956.1336928571436</v>
      </c>
      <c r="M120" s="48">
        <f t="shared" si="9"/>
        <v>0</v>
      </c>
      <c r="N120" s="48">
        <f t="shared" si="10"/>
        <v>0</v>
      </c>
      <c r="O120" s="48">
        <f t="shared" si="11"/>
        <v>0</v>
      </c>
      <c r="P120" s="48">
        <f t="shared" si="12"/>
        <v>0</v>
      </c>
    </row>
    <row r="121" spans="1:16" x14ac:dyDescent="0.3">
      <c r="A121" s="2" t="s">
        <v>44</v>
      </c>
      <c r="B121" t="s">
        <v>45</v>
      </c>
      <c r="C121" t="s">
        <v>172</v>
      </c>
      <c r="D121" s="11">
        <v>113.92712800000001</v>
      </c>
      <c r="E121">
        <v>4</v>
      </c>
      <c r="F121">
        <v>28</v>
      </c>
      <c r="G121">
        <v>0</v>
      </c>
      <c r="H121">
        <v>0</v>
      </c>
      <c r="I121">
        <v>0</v>
      </c>
      <c r="J121">
        <v>0</v>
      </c>
      <c r="K121" s="48">
        <f t="shared" si="7"/>
        <v>379.75709333333339</v>
      </c>
      <c r="L121" s="48">
        <f t="shared" si="8"/>
        <v>2658.2996533333335</v>
      </c>
      <c r="M121" s="48">
        <f t="shared" si="9"/>
        <v>0</v>
      </c>
      <c r="N121" s="48">
        <f t="shared" si="10"/>
        <v>0</v>
      </c>
      <c r="O121" s="48">
        <f t="shared" si="11"/>
        <v>0</v>
      </c>
      <c r="P121" s="48">
        <f t="shared" si="12"/>
        <v>0</v>
      </c>
    </row>
    <row r="122" spans="1:16" x14ac:dyDescent="0.3">
      <c r="A122" s="2" t="s">
        <v>44</v>
      </c>
      <c r="B122" t="s">
        <v>45</v>
      </c>
      <c r="C122" t="s">
        <v>173</v>
      </c>
      <c r="D122" s="11">
        <v>850.89944500000001</v>
      </c>
      <c r="E122">
        <v>28</v>
      </c>
      <c r="F122">
        <v>2</v>
      </c>
      <c r="G122">
        <v>0</v>
      </c>
      <c r="H122">
        <v>0</v>
      </c>
      <c r="I122">
        <v>0</v>
      </c>
      <c r="J122">
        <v>0</v>
      </c>
      <c r="K122" s="48">
        <f t="shared" si="7"/>
        <v>19854.320383333335</v>
      </c>
      <c r="L122" s="48">
        <f t="shared" si="8"/>
        <v>1418.1657416666667</v>
      </c>
      <c r="M122" s="48">
        <f t="shared" si="9"/>
        <v>0</v>
      </c>
      <c r="N122" s="48">
        <f t="shared" si="10"/>
        <v>0</v>
      </c>
      <c r="O122" s="48">
        <f t="shared" si="11"/>
        <v>0</v>
      </c>
      <c r="P122" s="48">
        <f t="shared" si="12"/>
        <v>0</v>
      </c>
    </row>
    <row r="123" spans="1:16" x14ac:dyDescent="0.3">
      <c r="A123" s="2" t="s">
        <v>44</v>
      </c>
      <c r="B123" t="s">
        <v>45</v>
      </c>
      <c r="C123" t="s">
        <v>174</v>
      </c>
      <c r="D123" s="11">
        <v>203.76306</v>
      </c>
      <c r="E123">
        <v>1</v>
      </c>
      <c r="F123">
        <v>14</v>
      </c>
      <c r="G123">
        <v>0</v>
      </c>
      <c r="H123">
        <v>0</v>
      </c>
      <c r="I123">
        <v>0</v>
      </c>
      <c r="J123">
        <v>0</v>
      </c>
      <c r="K123" s="48">
        <f t="shared" si="7"/>
        <v>169.80255</v>
      </c>
      <c r="L123" s="48">
        <f t="shared" si="8"/>
        <v>2377.2357000000002</v>
      </c>
      <c r="M123" s="48">
        <f t="shared" si="9"/>
        <v>0</v>
      </c>
      <c r="N123" s="48">
        <f t="shared" si="10"/>
        <v>0</v>
      </c>
      <c r="O123" s="48">
        <f t="shared" si="11"/>
        <v>0</v>
      </c>
      <c r="P123" s="48">
        <f t="shared" si="12"/>
        <v>0</v>
      </c>
    </row>
    <row r="124" spans="1:16" x14ac:dyDescent="0.3">
      <c r="A124" s="2" t="s">
        <v>44</v>
      </c>
      <c r="B124" t="s">
        <v>45</v>
      </c>
      <c r="C124" t="s">
        <v>175</v>
      </c>
      <c r="D124" s="11">
        <v>133.30142037735848</v>
      </c>
      <c r="E124">
        <v>42</v>
      </c>
      <c r="F124">
        <v>39</v>
      </c>
      <c r="G124">
        <v>4</v>
      </c>
      <c r="H124">
        <v>0</v>
      </c>
      <c r="I124">
        <v>0</v>
      </c>
      <c r="J124">
        <v>0</v>
      </c>
      <c r="K124" s="48">
        <f t="shared" si="7"/>
        <v>4665.549713207547</v>
      </c>
      <c r="L124" s="48">
        <f t="shared" si="8"/>
        <v>4332.2961622641506</v>
      </c>
      <c r="M124" s="48">
        <f t="shared" si="9"/>
        <v>444.33806792452827</v>
      </c>
      <c r="N124" s="48">
        <f t="shared" si="10"/>
        <v>0</v>
      </c>
      <c r="O124" s="48">
        <f t="shared" si="11"/>
        <v>0</v>
      </c>
      <c r="P124" s="48">
        <f t="shared" si="12"/>
        <v>0</v>
      </c>
    </row>
    <row r="125" spans="1:16" x14ac:dyDescent="0.3">
      <c r="A125" s="2" t="s">
        <v>44</v>
      </c>
      <c r="B125" t="s">
        <v>45</v>
      </c>
      <c r="C125" t="s">
        <v>176</v>
      </c>
      <c r="D125" s="11">
        <v>132.00316800000002</v>
      </c>
      <c r="E125">
        <v>9</v>
      </c>
      <c r="F125">
        <v>23</v>
      </c>
      <c r="G125">
        <v>0</v>
      </c>
      <c r="H125">
        <v>0</v>
      </c>
      <c r="I125">
        <v>0</v>
      </c>
      <c r="J125">
        <v>0</v>
      </c>
      <c r="K125" s="48">
        <f t="shared" si="7"/>
        <v>990.02376000000015</v>
      </c>
      <c r="L125" s="48">
        <f t="shared" si="8"/>
        <v>2530.0607200000004</v>
      </c>
      <c r="M125" s="48">
        <f t="shared" si="9"/>
        <v>0</v>
      </c>
      <c r="N125" s="48">
        <f t="shared" si="10"/>
        <v>0</v>
      </c>
      <c r="O125" s="48">
        <f t="shared" si="11"/>
        <v>0</v>
      </c>
      <c r="P125" s="48">
        <f t="shared" si="12"/>
        <v>0</v>
      </c>
    </row>
    <row r="126" spans="1:16" x14ac:dyDescent="0.3">
      <c r="A126" s="2" t="s">
        <v>44</v>
      </c>
      <c r="B126" t="s">
        <v>45</v>
      </c>
      <c r="C126" t="s">
        <v>177</v>
      </c>
      <c r="D126" s="11">
        <v>58.043222999999998</v>
      </c>
      <c r="E126">
        <v>29</v>
      </c>
      <c r="F126">
        <v>3</v>
      </c>
      <c r="G126">
        <v>0</v>
      </c>
      <c r="H126">
        <v>0</v>
      </c>
      <c r="I126">
        <v>0</v>
      </c>
      <c r="J126">
        <v>0</v>
      </c>
      <c r="K126" s="48">
        <f t="shared" si="7"/>
        <v>1402.7112225000001</v>
      </c>
      <c r="L126" s="48">
        <f t="shared" si="8"/>
        <v>145.1080575</v>
      </c>
      <c r="M126" s="48">
        <f t="shared" si="9"/>
        <v>0</v>
      </c>
      <c r="N126" s="48">
        <f t="shared" si="10"/>
        <v>0</v>
      </c>
      <c r="O126" s="48">
        <f t="shared" si="11"/>
        <v>0</v>
      </c>
      <c r="P126" s="48">
        <f t="shared" si="12"/>
        <v>0</v>
      </c>
    </row>
    <row r="127" spans="1:16" x14ac:dyDescent="0.3">
      <c r="A127" s="2" t="s">
        <v>44</v>
      </c>
      <c r="B127" t="s">
        <v>45</v>
      </c>
      <c r="C127" t="s">
        <v>178</v>
      </c>
      <c r="D127" s="11">
        <v>219.53576879999997</v>
      </c>
      <c r="E127">
        <v>0</v>
      </c>
      <c r="F127">
        <v>23</v>
      </c>
      <c r="G127">
        <v>0</v>
      </c>
      <c r="H127">
        <v>0</v>
      </c>
      <c r="I127">
        <v>0</v>
      </c>
      <c r="J127">
        <v>0</v>
      </c>
      <c r="K127" s="48">
        <f t="shared" si="7"/>
        <v>0</v>
      </c>
      <c r="L127" s="48">
        <f t="shared" si="8"/>
        <v>4207.7689019999998</v>
      </c>
      <c r="M127" s="48">
        <f t="shared" si="9"/>
        <v>0</v>
      </c>
      <c r="N127" s="48">
        <f t="shared" si="10"/>
        <v>0</v>
      </c>
      <c r="O127" s="48">
        <f t="shared" si="11"/>
        <v>0</v>
      </c>
      <c r="P127" s="48">
        <f t="shared" si="12"/>
        <v>0</v>
      </c>
    </row>
    <row r="128" spans="1:16" x14ac:dyDescent="0.3">
      <c r="A128" s="2" t="s">
        <v>44</v>
      </c>
      <c r="B128" t="s">
        <v>45</v>
      </c>
      <c r="C128" t="s">
        <v>179</v>
      </c>
      <c r="D128" s="11">
        <v>94.843192307692291</v>
      </c>
      <c r="E128">
        <v>6</v>
      </c>
      <c r="F128">
        <v>0</v>
      </c>
      <c r="G128">
        <v>0</v>
      </c>
      <c r="H128">
        <v>0</v>
      </c>
      <c r="I128">
        <v>23</v>
      </c>
      <c r="J128">
        <v>0</v>
      </c>
      <c r="K128" s="48">
        <f t="shared" si="7"/>
        <v>474.2159615384615</v>
      </c>
      <c r="L128" s="48">
        <f t="shared" si="8"/>
        <v>0</v>
      </c>
      <c r="M128" s="48">
        <f t="shared" si="9"/>
        <v>0</v>
      </c>
      <c r="N128" s="48">
        <f t="shared" si="10"/>
        <v>0</v>
      </c>
      <c r="O128" s="48">
        <f t="shared" si="11"/>
        <v>1817.8278525641024</v>
      </c>
      <c r="P128" s="48">
        <f t="shared" si="12"/>
        <v>0</v>
      </c>
    </row>
    <row r="129" spans="1:16" x14ac:dyDescent="0.3">
      <c r="A129" s="2" t="s">
        <v>44</v>
      </c>
      <c r="B129" t="s">
        <v>45</v>
      </c>
      <c r="C129" t="s">
        <v>180</v>
      </c>
      <c r="D129" s="11">
        <v>6.2212390000000006</v>
      </c>
      <c r="E129">
        <v>37</v>
      </c>
      <c r="F129">
        <v>136</v>
      </c>
      <c r="G129">
        <v>0</v>
      </c>
      <c r="H129">
        <v>0</v>
      </c>
      <c r="I129">
        <v>0</v>
      </c>
      <c r="J129">
        <v>0</v>
      </c>
      <c r="K129" s="48">
        <f t="shared" si="7"/>
        <v>191.82153583333337</v>
      </c>
      <c r="L129" s="48">
        <f t="shared" si="8"/>
        <v>705.07375333333346</v>
      </c>
      <c r="M129" s="48">
        <f t="shared" si="9"/>
        <v>0</v>
      </c>
      <c r="N129" s="48">
        <f t="shared" si="10"/>
        <v>0</v>
      </c>
      <c r="O129" s="48">
        <f t="shared" si="11"/>
        <v>0</v>
      </c>
      <c r="P129" s="48">
        <f t="shared" si="12"/>
        <v>0</v>
      </c>
    </row>
    <row r="130" spans="1:16" x14ac:dyDescent="0.3">
      <c r="A130" s="2" t="s">
        <v>44</v>
      </c>
      <c r="B130" t="s">
        <v>45</v>
      </c>
      <c r="C130" t="s">
        <v>68</v>
      </c>
      <c r="D130" s="11">
        <v>49.337603333333348</v>
      </c>
      <c r="E130">
        <v>38</v>
      </c>
      <c r="F130">
        <v>3</v>
      </c>
      <c r="G130">
        <v>0</v>
      </c>
      <c r="H130">
        <v>0</v>
      </c>
      <c r="I130">
        <v>0</v>
      </c>
      <c r="J130">
        <v>0</v>
      </c>
      <c r="K130" s="48">
        <f t="shared" si="7"/>
        <v>1562.3574388888894</v>
      </c>
      <c r="L130" s="48">
        <f t="shared" si="8"/>
        <v>123.34400833333339</v>
      </c>
      <c r="M130" s="48">
        <f t="shared" si="9"/>
        <v>0</v>
      </c>
      <c r="N130" s="48">
        <f t="shared" si="10"/>
        <v>0</v>
      </c>
      <c r="O130" s="48">
        <f t="shared" si="11"/>
        <v>0</v>
      </c>
      <c r="P130" s="48">
        <f t="shared" si="12"/>
        <v>0</v>
      </c>
    </row>
    <row r="131" spans="1:16" x14ac:dyDescent="0.3">
      <c r="A131" s="2" t="s">
        <v>44</v>
      </c>
      <c r="B131" t="s">
        <v>45</v>
      </c>
      <c r="C131" t="s">
        <v>69</v>
      </c>
      <c r="D131" s="11">
        <v>186.41321533333337</v>
      </c>
      <c r="E131">
        <v>137</v>
      </c>
      <c r="F131">
        <v>37</v>
      </c>
      <c r="G131">
        <v>51</v>
      </c>
      <c r="H131">
        <v>0</v>
      </c>
      <c r="I131">
        <v>0</v>
      </c>
      <c r="J131">
        <v>0</v>
      </c>
      <c r="K131" s="48">
        <f t="shared" si="7"/>
        <v>21282.175417222228</v>
      </c>
      <c r="L131" s="48">
        <f t="shared" si="8"/>
        <v>5747.7408061111128</v>
      </c>
      <c r="M131" s="48">
        <f t="shared" si="9"/>
        <v>7922.5616516666687</v>
      </c>
      <c r="N131" s="48">
        <f t="shared" si="10"/>
        <v>0</v>
      </c>
      <c r="O131" s="48">
        <f t="shared" si="11"/>
        <v>0</v>
      </c>
      <c r="P131" s="48">
        <f t="shared" si="12"/>
        <v>0</v>
      </c>
    </row>
    <row r="132" spans="1:16" x14ac:dyDescent="0.3">
      <c r="A132" s="2" t="s">
        <v>44</v>
      </c>
      <c r="B132" t="s">
        <v>45</v>
      </c>
      <c r="C132" t="s">
        <v>181</v>
      </c>
      <c r="D132" s="11">
        <v>338.62028633333341</v>
      </c>
      <c r="E132">
        <v>54</v>
      </c>
      <c r="F132">
        <v>56</v>
      </c>
      <c r="G132">
        <v>53</v>
      </c>
      <c r="H132">
        <v>0</v>
      </c>
      <c r="I132">
        <v>0</v>
      </c>
      <c r="J132">
        <v>0</v>
      </c>
      <c r="K132" s="48">
        <f t="shared" si="7"/>
        <v>15237.912885000003</v>
      </c>
      <c r="L132" s="48">
        <f t="shared" si="8"/>
        <v>15802.280028888894</v>
      </c>
      <c r="M132" s="48">
        <f t="shared" si="9"/>
        <v>14955.729313055561</v>
      </c>
      <c r="N132" s="48">
        <f t="shared" si="10"/>
        <v>0</v>
      </c>
      <c r="O132" s="48">
        <f t="shared" si="11"/>
        <v>0</v>
      </c>
      <c r="P132" s="48">
        <f t="shared" si="12"/>
        <v>0</v>
      </c>
    </row>
    <row r="133" spans="1:16" x14ac:dyDescent="0.3">
      <c r="A133" s="2" t="s">
        <v>44</v>
      </c>
      <c r="B133" t="s">
        <v>45</v>
      </c>
      <c r="C133" t="s">
        <v>182</v>
      </c>
      <c r="D133" s="11">
        <v>147.87623100000002</v>
      </c>
      <c r="E133">
        <v>10</v>
      </c>
      <c r="F133">
        <v>27</v>
      </c>
      <c r="G133">
        <v>0</v>
      </c>
      <c r="H133">
        <v>0</v>
      </c>
      <c r="I133">
        <v>0</v>
      </c>
      <c r="J133">
        <v>0</v>
      </c>
      <c r="K133" s="48">
        <f t="shared" ref="K133:K152" si="13">$D133*E133/(1+$B$1)</f>
        <v>1232.3019250000002</v>
      </c>
      <c r="L133" s="48">
        <f t="shared" ref="L133:L152" si="14">$D133*F133/(1+$B$1)</f>
        <v>3327.2151975000006</v>
      </c>
      <c r="M133" s="48">
        <f t="shared" ref="M133:M152" si="15">$D133*G133/(1+$B$1)</f>
        <v>0</v>
      </c>
      <c r="N133" s="48">
        <f t="shared" ref="N133:N152" si="16">$D133*H133/(1+$B$1)</f>
        <v>0</v>
      </c>
      <c r="O133" s="48">
        <f t="shared" ref="O133:O152" si="17">$D133*I133/(1+$B$1)</f>
        <v>0</v>
      </c>
      <c r="P133" s="48">
        <f t="shared" ref="P133:P152" si="18">$D133*J133/(1+$B$1)</f>
        <v>0</v>
      </c>
    </row>
    <row r="134" spans="1:16" x14ac:dyDescent="0.3">
      <c r="A134" s="2" t="s">
        <v>44</v>
      </c>
      <c r="B134" t="s">
        <v>45</v>
      </c>
      <c r="C134" t="s">
        <v>183</v>
      </c>
      <c r="D134" s="11">
        <v>106.84228000000002</v>
      </c>
      <c r="E134">
        <v>29</v>
      </c>
      <c r="F134">
        <v>0</v>
      </c>
      <c r="G134">
        <v>150</v>
      </c>
      <c r="H134">
        <v>0</v>
      </c>
      <c r="I134">
        <v>128</v>
      </c>
      <c r="J134">
        <v>0</v>
      </c>
      <c r="K134" s="48">
        <f t="shared" si="13"/>
        <v>2582.0217666666672</v>
      </c>
      <c r="L134" s="48">
        <f t="shared" si="14"/>
        <v>0</v>
      </c>
      <c r="M134" s="48">
        <f t="shared" si="15"/>
        <v>13355.285000000002</v>
      </c>
      <c r="N134" s="48">
        <f t="shared" si="16"/>
        <v>0</v>
      </c>
      <c r="O134" s="48">
        <f t="shared" si="17"/>
        <v>11396.509866666669</v>
      </c>
      <c r="P134" s="48">
        <f t="shared" si="18"/>
        <v>0</v>
      </c>
    </row>
    <row r="135" spans="1:16" x14ac:dyDescent="0.3">
      <c r="A135" s="2" t="s">
        <v>44</v>
      </c>
      <c r="B135" t="s">
        <v>45</v>
      </c>
      <c r="C135" t="s">
        <v>70</v>
      </c>
      <c r="D135" s="11">
        <v>327.00494500000002</v>
      </c>
      <c r="E135">
        <v>53</v>
      </c>
      <c r="F135">
        <v>0</v>
      </c>
      <c r="G135">
        <v>0</v>
      </c>
      <c r="H135">
        <v>0</v>
      </c>
      <c r="I135">
        <v>0</v>
      </c>
      <c r="J135">
        <v>0</v>
      </c>
      <c r="K135" s="48">
        <f t="shared" si="13"/>
        <v>14442.71840416667</v>
      </c>
      <c r="L135" s="48">
        <f t="shared" si="14"/>
        <v>0</v>
      </c>
      <c r="M135" s="48">
        <f t="shared" si="15"/>
        <v>0</v>
      </c>
      <c r="N135" s="48">
        <f t="shared" si="16"/>
        <v>0</v>
      </c>
      <c r="O135" s="48">
        <f t="shared" si="17"/>
        <v>0</v>
      </c>
      <c r="P135" s="48">
        <f t="shared" si="18"/>
        <v>0</v>
      </c>
    </row>
    <row r="136" spans="1:16" x14ac:dyDescent="0.3">
      <c r="A136" s="2" t="s">
        <v>44</v>
      </c>
      <c r="B136" t="s">
        <v>45</v>
      </c>
      <c r="C136" t="s">
        <v>71</v>
      </c>
      <c r="D136" s="11">
        <v>2976.0373964044948</v>
      </c>
      <c r="E136">
        <v>1</v>
      </c>
      <c r="F136">
        <v>0</v>
      </c>
      <c r="G136">
        <v>5</v>
      </c>
      <c r="H136">
        <v>7</v>
      </c>
      <c r="I136">
        <v>68</v>
      </c>
      <c r="J136">
        <v>130</v>
      </c>
      <c r="K136" s="48">
        <f t="shared" si="13"/>
        <v>2480.0311636704123</v>
      </c>
      <c r="L136" s="48">
        <f t="shared" si="14"/>
        <v>0</v>
      </c>
      <c r="M136" s="48">
        <f t="shared" si="15"/>
        <v>12400.155818352063</v>
      </c>
      <c r="N136" s="48">
        <f t="shared" si="16"/>
        <v>17360.218145692885</v>
      </c>
      <c r="O136" s="48">
        <f t="shared" si="17"/>
        <v>168642.11912958804</v>
      </c>
      <c r="P136" s="48">
        <f t="shared" si="18"/>
        <v>322404.0512771536</v>
      </c>
    </row>
    <row r="137" spans="1:16" x14ac:dyDescent="0.3">
      <c r="A137" s="2" t="s">
        <v>44</v>
      </c>
      <c r="B137" t="s">
        <v>45</v>
      </c>
      <c r="C137" t="s">
        <v>72</v>
      </c>
      <c r="D137" s="11">
        <v>1095.0601550000001</v>
      </c>
      <c r="E137">
        <v>1</v>
      </c>
      <c r="F137">
        <v>61</v>
      </c>
      <c r="G137">
        <v>0</v>
      </c>
      <c r="H137">
        <v>0</v>
      </c>
      <c r="I137">
        <v>0</v>
      </c>
      <c r="J137">
        <v>0</v>
      </c>
      <c r="K137" s="48">
        <f t="shared" si="13"/>
        <v>912.55012916666681</v>
      </c>
      <c r="L137" s="48">
        <f t="shared" si="14"/>
        <v>55665.557879166678</v>
      </c>
      <c r="M137" s="48">
        <f t="shared" si="15"/>
        <v>0</v>
      </c>
      <c r="N137" s="48">
        <f t="shared" si="16"/>
        <v>0</v>
      </c>
      <c r="O137" s="48">
        <f t="shared" si="17"/>
        <v>0</v>
      </c>
      <c r="P137" s="48">
        <f t="shared" si="18"/>
        <v>0</v>
      </c>
    </row>
    <row r="138" spans="1:16" x14ac:dyDescent="0.3">
      <c r="A138" s="2" t="s">
        <v>44</v>
      </c>
      <c r="B138" t="s">
        <v>45</v>
      </c>
      <c r="C138" t="s">
        <v>73</v>
      </c>
      <c r="D138" s="11">
        <v>5840.0923000000003</v>
      </c>
      <c r="E138">
        <v>0</v>
      </c>
      <c r="F138">
        <v>3</v>
      </c>
      <c r="G138">
        <v>0</v>
      </c>
      <c r="H138">
        <v>9</v>
      </c>
      <c r="I138">
        <v>0</v>
      </c>
      <c r="J138">
        <v>0</v>
      </c>
      <c r="K138" s="48">
        <f t="shared" si="13"/>
        <v>0</v>
      </c>
      <c r="L138" s="48">
        <f t="shared" si="14"/>
        <v>14600.230750000001</v>
      </c>
      <c r="M138" s="48">
        <f t="shared" si="15"/>
        <v>0</v>
      </c>
      <c r="N138" s="48">
        <f t="shared" si="16"/>
        <v>43800.692250000007</v>
      </c>
      <c r="O138" s="48">
        <f t="shared" si="17"/>
        <v>0</v>
      </c>
      <c r="P138" s="48">
        <f t="shared" si="18"/>
        <v>0</v>
      </c>
    </row>
    <row r="139" spans="1:16" x14ac:dyDescent="0.3">
      <c r="A139" s="2" t="s">
        <v>44</v>
      </c>
      <c r="B139" t="s">
        <v>45</v>
      </c>
      <c r="C139" t="s">
        <v>184</v>
      </c>
      <c r="D139" s="11">
        <v>5723.8634870000005</v>
      </c>
      <c r="E139">
        <v>0</v>
      </c>
      <c r="F139">
        <v>34</v>
      </c>
      <c r="G139">
        <v>0</v>
      </c>
      <c r="H139">
        <v>0</v>
      </c>
      <c r="I139">
        <v>0</v>
      </c>
      <c r="J139">
        <v>0</v>
      </c>
      <c r="K139" s="48">
        <f t="shared" si="13"/>
        <v>0</v>
      </c>
      <c r="L139" s="48">
        <f t="shared" si="14"/>
        <v>162176.13213166667</v>
      </c>
      <c r="M139" s="48">
        <f t="shared" si="15"/>
        <v>0</v>
      </c>
      <c r="N139" s="48">
        <f t="shared" si="16"/>
        <v>0</v>
      </c>
      <c r="O139" s="48">
        <f t="shared" si="17"/>
        <v>0</v>
      </c>
      <c r="P139" s="48">
        <f t="shared" si="18"/>
        <v>0</v>
      </c>
    </row>
    <row r="140" spans="1:16" x14ac:dyDescent="0.3">
      <c r="A140" s="2" t="s">
        <v>44</v>
      </c>
      <c r="B140" t="s">
        <v>45</v>
      </c>
      <c r="C140" t="s">
        <v>185</v>
      </c>
      <c r="D140" s="11">
        <v>2966.7143999999998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48">
        <f t="shared" si="13"/>
        <v>0</v>
      </c>
      <c r="L140" s="48">
        <f t="shared" si="14"/>
        <v>0</v>
      </c>
      <c r="M140" s="48">
        <f t="shared" si="15"/>
        <v>0</v>
      </c>
      <c r="N140" s="48">
        <f t="shared" si="16"/>
        <v>0</v>
      </c>
      <c r="O140" s="48">
        <f t="shared" si="17"/>
        <v>0</v>
      </c>
      <c r="P140" s="48">
        <f t="shared" si="18"/>
        <v>0</v>
      </c>
    </row>
    <row r="141" spans="1:16" x14ac:dyDescent="0.3">
      <c r="A141" s="2" t="s">
        <v>44</v>
      </c>
      <c r="B141" t="s">
        <v>45</v>
      </c>
      <c r="C141" t="s">
        <v>74</v>
      </c>
      <c r="D141" s="11">
        <v>2333.6389600000002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48">
        <f t="shared" si="13"/>
        <v>0</v>
      </c>
      <c r="L141" s="48">
        <f t="shared" si="14"/>
        <v>0</v>
      </c>
      <c r="M141" s="48">
        <f t="shared" si="15"/>
        <v>0</v>
      </c>
      <c r="N141" s="48">
        <f t="shared" si="16"/>
        <v>0</v>
      </c>
      <c r="O141" s="48">
        <f t="shared" si="17"/>
        <v>0</v>
      </c>
      <c r="P141" s="48">
        <f t="shared" si="18"/>
        <v>0</v>
      </c>
    </row>
    <row r="142" spans="1:16" x14ac:dyDescent="0.3">
      <c r="A142" s="2" t="s">
        <v>44</v>
      </c>
      <c r="B142" t="s">
        <v>45</v>
      </c>
      <c r="C142" t="s">
        <v>75</v>
      </c>
      <c r="D142" s="11">
        <v>1724.6745600000002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s="48">
        <f t="shared" si="13"/>
        <v>0</v>
      </c>
      <c r="L142" s="48">
        <f t="shared" si="14"/>
        <v>0</v>
      </c>
      <c r="M142" s="48">
        <f t="shared" si="15"/>
        <v>0</v>
      </c>
      <c r="N142" s="48">
        <f t="shared" si="16"/>
        <v>0</v>
      </c>
      <c r="O142" s="48">
        <f t="shared" si="17"/>
        <v>0</v>
      </c>
      <c r="P142" s="48">
        <f t="shared" si="18"/>
        <v>0</v>
      </c>
    </row>
    <row r="143" spans="1:16" x14ac:dyDescent="0.3">
      <c r="A143" s="2" t="s">
        <v>44</v>
      </c>
      <c r="B143" t="s">
        <v>45</v>
      </c>
      <c r="C143" t="s">
        <v>186</v>
      </c>
      <c r="D143" s="11">
        <v>2387.4913809999994</v>
      </c>
      <c r="E143">
        <v>0</v>
      </c>
      <c r="F143">
        <v>13</v>
      </c>
      <c r="G143">
        <v>4</v>
      </c>
      <c r="H143">
        <v>38</v>
      </c>
      <c r="I143">
        <v>0</v>
      </c>
      <c r="J143">
        <v>0</v>
      </c>
      <c r="K143" s="48">
        <f t="shared" si="13"/>
        <v>0</v>
      </c>
      <c r="L143" s="48">
        <f t="shared" si="14"/>
        <v>25864.489960833325</v>
      </c>
      <c r="M143" s="48">
        <f t="shared" si="15"/>
        <v>7958.3046033333312</v>
      </c>
      <c r="N143" s="48">
        <f t="shared" si="16"/>
        <v>75603.893731666656</v>
      </c>
      <c r="O143" s="48">
        <f t="shared" si="17"/>
        <v>0</v>
      </c>
      <c r="P143" s="48">
        <f t="shared" si="18"/>
        <v>0</v>
      </c>
    </row>
    <row r="144" spans="1:16" x14ac:dyDescent="0.3">
      <c r="A144" s="2" t="s">
        <v>44</v>
      </c>
      <c r="B144" t="s">
        <v>45</v>
      </c>
      <c r="C144" t="s">
        <v>187</v>
      </c>
      <c r="D144" s="11">
        <v>1903.1078320000004</v>
      </c>
      <c r="E144">
        <v>6</v>
      </c>
      <c r="F144">
        <v>6</v>
      </c>
      <c r="G144">
        <v>0</v>
      </c>
      <c r="H144">
        <v>0</v>
      </c>
      <c r="I144">
        <v>0</v>
      </c>
      <c r="J144">
        <v>0</v>
      </c>
      <c r="K144" s="48">
        <f t="shared" si="13"/>
        <v>9515.5391600000021</v>
      </c>
      <c r="L144" s="48">
        <f t="shared" si="14"/>
        <v>9515.5391600000021</v>
      </c>
      <c r="M144" s="48">
        <f t="shared" si="15"/>
        <v>0</v>
      </c>
      <c r="N144" s="48">
        <f t="shared" si="16"/>
        <v>0</v>
      </c>
      <c r="O144" s="48">
        <f t="shared" si="17"/>
        <v>0</v>
      </c>
      <c r="P144" s="48">
        <f t="shared" si="18"/>
        <v>0</v>
      </c>
    </row>
    <row r="145" spans="1:16" x14ac:dyDescent="0.3">
      <c r="A145" s="2" t="s">
        <v>44</v>
      </c>
      <c r="B145" t="s">
        <v>45</v>
      </c>
      <c r="C145" t="s">
        <v>188</v>
      </c>
      <c r="D145" s="11">
        <v>256.34694400000001</v>
      </c>
      <c r="E145">
        <v>41</v>
      </c>
      <c r="F145">
        <v>21</v>
      </c>
      <c r="G145">
        <v>19</v>
      </c>
      <c r="H145">
        <v>0</v>
      </c>
      <c r="I145">
        <v>0</v>
      </c>
      <c r="J145">
        <v>0</v>
      </c>
      <c r="K145" s="48">
        <f t="shared" si="13"/>
        <v>8758.5205866666674</v>
      </c>
      <c r="L145" s="48">
        <f t="shared" si="14"/>
        <v>4486.0715200000004</v>
      </c>
      <c r="M145" s="48">
        <f t="shared" si="15"/>
        <v>4058.8266133333332</v>
      </c>
      <c r="N145" s="48">
        <f t="shared" si="16"/>
        <v>0</v>
      </c>
      <c r="O145" s="48">
        <f t="shared" si="17"/>
        <v>0</v>
      </c>
      <c r="P145" s="48">
        <f t="shared" si="18"/>
        <v>0</v>
      </c>
    </row>
    <row r="146" spans="1:16" x14ac:dyDescent="0.3">
      <c r="A146" s="2" t="s">
        <v>44</v>
      </c>
      <c r="B146" t="s">
        <v>45</v>
      </c>
      <c r="C146" t="s">
        <v>189</v>
      </c>
      <c r="D146" s="11">
        <v>1438.245735</v>
      </c>
      <c r="E146">
        <v>0</v>
      </c>
      <c r="F146">
        <v>10</v>
      </c>
      <c r="G146">
        <v>0</v>
      </c>
      <c r="H146">
        <v>0</v>
      </c>
      <c r="I146">
        <v>0</v>
      </c>
      <c r="J146">
        <v>10</v>
      </c>
      <c r="K146" s="48">
        <f t="shared" si="13"/>
        <v>0</v>
      </c>
      <c r="L146" s="48">
        <f t="shared" si="14"/>
        <v>11985.381125000002</v>
      </c>
      <c r="M146" s="48">
        <f t="shared" si="15"/>
        <v>0</v>
      </c>
      <c r="N146" s="48">
        <f t="shared" si="16"/>
        <v>0</v>
      </c>
      <c r="O146" s="48">
        <f t="shared" si="17"/>
        <v>0</v>
      </c>
      <c r="P146" s="48">
        <f t="shared" si="18"/>
        <v>11985.381125000002</v>
      </c>
    </row>
    <row r="147" spans="1:16" x14ac:dyDescent="0.3">
      <c r="A147" s="2" t="s">
        <v>44</v>
      </c>
      <c r="B147" t="s">
        <v>45</v>
      </c>
      <c r="C147" t="s">
        <v>76</v>
      </c>
      <c r="D147" s="11">
        <v>3044.6440439999992</v>
      </c>
      <c r="E147">
        <v>11</v>
      </c>
      <c r="F147">
        <v>0</v>
      </c>
      <c r="G147">
        <v>0</v>
      </c>
      <c r="H147">
        <v>0</v>
      </c>
      <c r="I147">
        <v>0</v>
      </c>
      <c r="J147">
        <v>26</v>
      </c>
      <c r="K147" s="48">
        <f t="shared" si="13"/>
        <v>27909.237069999996</v>
      </c>
      <c r="L147" s="48">
        <f t="shared" si="14"/>
        <v>0</v>
      </c>
      <c r="M147" s="48">
        <f t="shared" si="15"/>
        <v>0</v>
      </c>
      <c r="N147" s="48">
        <f t="shared" si="16"/>
        <v>0</v>
      </c>
      <c r="O147" s="48">
        <f t="shared" si="17"/>
        <v>0</v>
      </c>
      <c r="P147" s="48">
        <f t="shared" si="18"/>
        <v>65967.287619999988</v>
      </c>
    </row>
    <row r="148" spans="1:16" x14ac:dyDescent="0.3">
      <c r="A148" s="2" t="s">
        <v>44</v>
      </c>
      <c r="B148" t="s">
        <v>45</v>
      </c>
      <c r="C148" t="s">
        <v>190</v>
      </c>
      <c r="D148" s="11">
        <v>11240.160921000001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20</v>
      </c>
      <c r="K148" s="48">
        <f t="shared" si="13"/>
        <v>0</v>
      </c>
      <c r="L148" s="48">
        <f t="shared" si="14"/>
        <v>0</v>
      </c>
      <c r="M148" s="48">
        <f t="shared" si="15"/>
        <v>0</v>
      </c>
      <c r="N148" s="48">
        <f t="shared" si="16"/>
        <v>0</v>
      </c>
      <c r="O148" s="48">
        <f t="shared" si="17"/>
        <v>0</v>
      </c>
      <c r="P148" s="48">
        <f t="shared" si="18"/>
        <v>187336.01535000003</v>
      </c>
    </row>
    <row r="149" spans="1:16" x14ac:dyDescent="0.3">
      <c r="A149" s="2" t="s">
        <v>44</v>
      </c>
      <c r="B149" t="s">
        <v>45</v>
      </c>
      <c r="C149" t="s">
        <v>191</v>
      </c>
      <c r="D149" s="11">
        <v>19912.271231999999</v>
      </c>
      <c r="E149">
        <v>0</v>
      </c>
      <c r="F149">
        <v>6</v>
      </c>
      <c r="G149">
        <v>0</v>
      </c>
      <c r="H149">
        <v>0</v>
      </c>
      <c r="I149">
        <v>7</v>
      </c>
      <c r="J149">
        <v>0</v>
      </c>
      <c r="K149" s="48">
        <f t="shared" si="13"/>
        <v>0</v>
      </c>
      <c r="L149" s="48">
        <f t="shared" si="14"/>
        <v>99561.356159999996</v>
      </c>
      <c r="M149" s="48">
        <f t="shared" si="15"/>
        <v>0</v>
      </c>
      <c r="N149" s="48">
        <f t="shared" si="16"/>
        <v>0</v>
      </c>
      <c r="O149" s="48">
        <f t="shared" si="17"/>
        <v>116154.91552</v>
      </c>
      <c r="P149" s="48">
        <f t="shared" si="18"/>
        <v>0</v>
      </c>
    </row>
    <row r="150" spans="1:16" x14ac:dyDescent="0.3">
      <c r="A150" s="2" t="s">
        <v>44</v>
      </c>
      <c r="B150" t="s">
        <v>45</v>
      </c>
      <c r="C150" t="s">
        <v>192</v>
      </c>
      <c r="D150" s="11">
        <v>1669.5750356000001</v>
      </c>
      <c r="E150">
        <v>6</v>
      </c>
      <c r="F150">
        <v>0</v>
      </c>
      <c r="G150">
        <v>1</v>
      </c>
      <c r="H150">
        <v>1</v>
      </c>
      <c r="I150">
        <v>21</v>
      </c>
      <c r="J150">
        <v>0</v>
      </c>
      <c r="K150" s="48">
        <f t="shared" si="13"/>
        <v>8347.8751780000021</v>
      </c>
      <c r="L150" s="48">
        <f t="shared" si="14"/>
        <v>0</v>
      </c>
      <c r="M150" s="48">
        <f t="shared" si="15"/>
        <v>1391.3125296666667</v>
      </c>
      <c r="N150" s="48">
        <f t="shared" si="16"/>
        <v>1391.3125296666667</v>
      </c>
      <c r="O150" s="48">
        <f t="shared" si="17"/>
        <v>29217.563123</v>
      </c>
      <c r="P150" s="48">
        <f t="shared" si="18"/>
        <v>0</v>
      </c>
    </row>
    <row r="151" spans="1:16" x14ac:dyDescent="0.3">
      <c r="A151" s="2" t="s">
        <v>44</v>
      </c>
      <c r="B151" t="s">
        <v>45</v>
      </c>
      <c r="C151" t="s">
        <v>193</v>
      </c>
      <c r="D151" s="11">
        <v>844.30153885714287</v>
      </c>
      <c r="E151">
        <v>5</v>
      </c>
      <c r="F151">
        <v>6</v>
      </c>
      <c r="G151">
        <v>0</v>
      </c>
      <c r="H151">
        <v>0</v>
      </c>
      <c r="I151">
        <v>10</v>
      </c>
      <c r="J151">
        <v>0</v>
      </c>
      <c r="K151" s="48">
        <f t="shared" si="13"/>
        <v>3517.9230785714285</v>
      </c>
      <c r="L151" s="48">
        <f t="shared" si="14"/>
        <v>4221.507694285714</v>
      </c>
      <c r="M151" s="48">
        <f t="shared" si="15"/>
        <v>0</v>
      </c>
      <c r="N151" s="48">
        <f t="shared" si="16"/>
        <v>0</v>
      </c>
      <c r="O151" s="48">
        <f t="shared" si="17"/>
        <v>7035.846157142857</v>
      </c>
      <c r="P151" s="48">
        <f t="shared" si="18"/>
        <v>0</v>
      </c>
    </row>
    <row r="152" spans="1:16" x14ac:dyDescent="0.3">
      <c r="A152" s="2" t="s">
        <v>44</v>
      </c>
      <c r="B152" t="s">
        <v>45</v>
      </c>
      <c r="C152" t="s">
        <v>194</v>
      </c>
      <c r="D152" s="11">
        <v>288.88925362499998</v>
      </c>
      <c r="E152">
        <v>0</v>
      </c>
      <c r="F152">
        <v>7</v>
      </c>
      <c r="G152">
        <v>0</v>
      </c>
      <c r="H152">
        <v>0</v>
      </c>
      <c r="I152">
        <v>14</v>
      </c>
      <c r="J152">
        <v>0</v>
      </c>
      <c r="K152" s="48">
        <f t="shared" si="13"/>
        <v>0</v>
      </c>
      <c r="L152" s="48">
        <f t="shared" si="14"/>
        <v>1685.1873128124998</v>
      </c>
      <c r="M152" s="48">
        <f t="shared" si="15"/>
        <v>0</v>
      </c>
      <c r="N152" s="48">
        <f t="shared" si="16"/>
        <v>0</v>
      </c>
      <c r="O152" s="48">
        <f t="shared" si="17"/>
        <v>3370.3746256249997</v>
      </c>
      <c r="P152" s="48">
        <f t="shared" si="18"/>
        <v>0</v>
      </c>
    </row>
  </sheetData>
  <autoFilter ref="A3:J152" xr:uid="{00000000-0009-0000-0000-000001000000}"/>
  <mergeCells count="2">
    <mergeCell ref="E2:J2"/>
    <mergeCell ref="K2:P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L44"/>
  <sheetViews>
    <sheetView zoomScale="110" zoomScaleNormal="110" workbookViewId="0">
      <selection activeCell="B30" sqref="B30"/>
    </sheetView>
  </sheetViews>
  <sheetFormatPr defaultRowHeight="14.4" x14ac:dyDescent="0.3"/>
  <cols>
    <col min="1" max="1" width="8.6640625" customWidth="1"/>
    <col min="3" max="3" width="10" bestFit="1" customWidth="1"/>
    <col min="4" max="4" width="7.88671875" bestFit="1" customWidth="1"/>
    <col min="5" max="5" width="9.109375" bestFit="1" customWidth="1"/>
    <col min="11" max="11" width="9.5546875" bestFit="1" customWidth="1"/>
  </cols>
  <sheetData>
    <row r="1" spans="1:12" s="25" customFormat="1" x14ac:dyDescent="0.3">
      <c r="A1" s="24" t="s">
        <v>234</v>
      </c>
    </row>
    <row r="3" spans="1:12" x14ac:dyDescent="0.3">
      <c r="A3" s="29" t="s">
        <v>233</v>
      </c>
    </row>
    <row r="5" spans="1:12" x14ac:dyDescent="0.3">
      <c r="A5" s="34">
        <f ca="1">TODAY()</f>
        <v>44834</v>
      </c>
    </row>
    <row r="7" spans="1:12" x14ac:dyDescent="0.3">
      <c r="A7" s="2" t="s">
        <v>235</v>
      </c>
    </row>
    <row r="8" spans="1:12" x14ac:dyDescent="0.3">
      <c r="D8" s="28"/>
    </row>
    <row r="9" spans="1:12" x14ac:dyDescent="0.3">
      <c r="A9" s="35" t="e">
        <f ca="1">_xlfn.DAYS(C9,C10)</f>
        <v>#VALUE!</v>
      </c>
      <c r="C9" s="31">
        <f ca="1">TODAY()</f>
        <v>44834</v>
      </c>
      <c r="D9" s="28"/>
    </row>
    <row r="10" spans="1:12" x14ac:dyDescent="0.3">
      <c r="C10" s="31" t="s">
        <v>238</v>
      </c>
      <c r="D10" s="28"/>
    </row>
    <row r="11" spans="1:12" x14ac:dyDescent="0.3">
      <c r="D11" s="28"/>
    </row>
    <row r="12" spans="1:12" x14ac:dyDescent="0.3">
      <c r="A12" s="2" t="s">
        <v>236</v>
      </c>
      <c r="I12" t="s">
        <v>329</v>
      </c>
      <c r="J12" s="2" t="s">
        <v>328</v>
      </c>
    </row>
    <row r="13" spans="1:12" x14ac:dyDescent="0.3">
      <c r="I13" s="23" t="s">
        <v>326</v>
      </c>
      <c r="J13" s="23" t="s">
        <v>327</v>
      </c>
    </row>
    <row r="14" spans="1:12" x14ac:dyDescent="0.3">
      <c r="A14" s="4" t="e">
        <f>1/0</f>
        <v>#DIV/0!</v>
      </c>
      <c r="I14" s="49">
        <v>50</v>
      </c>
      <c r="J14" s="49">
        <v>60</v>
      </c>
      <c r="K14" s="50">
        <f>J14/I14</f>
        <v>1.2</v>
      </c>
      <c r="L14" s="50">
        <f>IF(I14=0,0,J14/I14)</f>
        <v>1.2</v>
      </c>
    </row>
    <row r="15" spans="1:12" x14ac:dyDescent="0.3">
      <c r="I15" s="49">
        <v>0</v>
      </c>
      <c r="J15" s="49">
        <v>68</v>
      </c>
      <c r="K15" s="51" t="e">
        <f>J15/I15</f>
        <v>#DIV/0!</v>
      </c>
      <c r="L15" s="50">
        <f>IF(I15=0,0,J15/I15)</f>
        <v>0</v>
      </c>
    </row>
    <row r="16" spans="1:12" x14ac:dyDescent="0.3">
      <c r="A16" s="2" t="s">
        <v>237</v>
      </c>
    </row>
    <row r="17" spans="1:11" x14ac:dyDescent="0.3">
      <c r="I17" s="49">
        <v>50</v>
      </c>
      <c r="J17" s="49">
        <v>60</v>
      </c>
      <c r="K17" s="50">
        <f>IFERROR(J17/I17, "нет плана")</f>
        <v>1.2</v>
      </c>
    </row>
    <row r="18" spans="1:11" x14ac:dyDescent="0.3">
      <c r="A18" s="4" t="e">
        <f ca="1">сум(C18:C23)</f>
        <v>#NAME?</v>
      </c>
      <c r="C18">
        <v>3</v>
      </c>
      <c r="D18" s="30"/>
      <c r="I18" s="49">
        <v>0</v>
      </c>
      <c r="J18" s="49">
        <v>68</v>
      </c>
      <c r="K18" s="52" t="str">
        <f>IFERROR(J18/I18, "нет плана")</f>
        <v>нет плана</v>
      </c>
    </row>
    <row r="19" spans="1:11" x14ac:dyDescent="0.3">
      <c r="C19">
        <v>23</v>
      </c>
    </row>
    <row r="20" spans="1:11" x14ac:dyDescent="0.3">
      <c r="C20">
        <v>15</v>
      </c>
    </row>
    <row r="21" spans="1:11" x14ac:dyDescent="0.3">
      <c r="C21">
        <v>12</v>
      </c>
    </row>
    <row r="22" spans="1:11" x14ac:dyDescent="0.3">
      <c r="C22">
        <v>5</v>
      </c>
    </row>
    <row r="23" spans="1:11" x14ac:dyDescent="0.3">
      <c r="C23">
        <v>7</v>
      </c>
    </row>
    <row r="25" spans="1:11" x14ac:dyDescent="0.3">
      <c r="A25" s="2" t="s">
        <v>239</v>
      </c>
    </row>
    <row r="27" spans="1:11" x14ac:dyDescent="0.3">
      <c r="A27" s="114" t="s">
        <v>250</v>
      </c>
      <c r="B27" s="114" t="s">
        <v>251</v>
      </c>
      <c r="D27" s="114" t="s">
        <v>250</v>
      </c>
      <c r="E27" s="114" t="s">
        <v>251</v>
      </c>
    </row>
    <row r="28" spans="1:11" x14ac:dyDescent="0.3">
      <c r="A28" s="113" t="s">
        <v>242</v>
      </c>
      <c r="B28" s="113" t="str">
        <f>VLOOKUP(A28,D:E,2,0)</f>
        <v>Питт</v>
      </c>
      <c r="D28" s="113" t="s">
        <v>240</v>
      </c>
      <c r="E28" s="113" t="s">
        <v>241</v>
      </c>
    </row>
    <row r="29" spans="1:11" x14ac:dyDescent="0.3">
      <c r="A29" s="113" t="s">
        <v>246</v>
      </c>
      <c r="B29" s="113" t="str">
        <f>VLOOKUP(A29,D:E,2,0)</f>
        <v>Смит</v>
      </c>
      <c r="D29" s="113" t="s">
        <v>242</v>
      </c>
      <c r="E29" s="113" t="s">
        <v>243</v>
      </c>
    </row>
    <row r="30" spans="1:11" x14ac:dyDescent="0.3">
      <c r="A30" s="100" t="s">
        <v>252</v>
      </c>
      <c r="B30" s="112" t="e">
        <f>VLOOKUP(A30,D:E,2,0)</f>
        <v>#N/A</v>
      </c>
      <c r="D30" s="113" t="s">
        <v>244</v>
      </c>
      <c r="E30" s="113" t="s">
        <v>245</v>
      </c>
    </row>
    <row r="31" spans="1:11" x14ac:dyDescent="0.3">
      <c r="D31" s="113" t="s">
        <v>246</v>
      </c>
      <c r="E31" s="113" t="s">
        <v>247</v>
      </c>
    </row>
    <row r="32" spans="1:11" x14ac:dyDescent="0.3">
      <c r="D32" s="100" t="s">
        <v>248</v>
      </c>
      <c r="E32" s="112" t="s">
        <v>249</v>
      </c>
    </row>
    <row r="34" spans="1:4" ht="15.6" x14ac:dyDescent="0.3">
      <c r="A34" s="2" t="s">
        <v>253</v>
      </c>
    </row>
    <row r="36" spans="1:4" x14ac:dyDescent="0.3">
      <c r="A36">
        <v>10</v>
      </c>
    </row>
    <row r="37" spans="1:4" x14ac:dyDescent="0.3">
      <c r="A37" s="2">
        <v>15</v>
      </c>
    </row>
    <row r="39" spans="1:4" x14ac:dyDescent="0.3">
      <c r="A39" s="4">
        <f>A36+A37</f>
        <v>25</v>
      </c>
    </row>
    <row r="41" spans="1:4" ht="15.6" x14ac:dyDescent="0.3">
      <c r="A41" s="2" t="s">
        <v>254</v>
      </c>
    </row>
    <row r="42" spans="1:4" x14ac:dyDescent="0.3">
      <c r="D42" s="28"/>
    </row>
    <row r="43" spans="1:4" x14ac:dyDescent="0.3">
      <c r="A43" s="4" t="e">
        <f>10^500</f>
        <v>#NUM!</v>
      </c>
      <c r="D43" s="28"/>
    </row>
    <row r="44" spans="1:4" x14ac:dyDescent="0.3">
      <c r="D44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17"/>
  <sheetViews>
    <sheetView zoomScale="120" zoomScaleNormal="120" workbookViewId="0">
      <selection activeCell="D18" sqref="D18"/>
    </sheetView>
  </sheetViews>
  <sheetFormatPr defaultRowHeight="14.4" x14ac:dyDescent="0.3"/>
  <cols>
    <col min="1" max="1" width="73.109375" bestFit="1" customWidth="1"/>
    <col min="2" max="2" width="13.109375" bestFit="1" customWidth="1"/>
    <col min="3" max="3" width="13.77734375" bestFit="1" customWidth="1"/>
    <col min="4" max="4" width="11.5546875" customWidth="1"/>
  </cols>
  <sheetData>
    <row r="1" spans="1:7" s="2" customFormat="1" x14ac:dyDescent="0.3">
      <c r="A1" s="1" t="s">
        <v>2</v>
      </c>
      <c r="B1" s="1" t="s">
        <v>208</v>
      </c>
      <c r="C1" s="53" t="s">
        <v>330</v>
      </c>
      <c r="E1" s="2" t="s">
        <v>210</v>
      </c>
      <c r="F1" s="115">
        <f>SUM(B2:B11)</f>
        <v>900</v>
      </c>
      <c r="G1" s="117">
        <f>SUM(C:C)</f>
        <v>1000</v>
      </c>
    </row>
    <row r="2" spans="1:7" x14ac:dyDescent="0.3">
      <c r="A2" s="25" t="s">
        <v>198</v>
      </c>
      <c r="B2" s="55">
        <v>100</v>
      </c>
      <c r="C2" s="57">
        <f>VALUE(B2)</f>
        <v>100</v>
      </c>
      <c r="D2" t="b">
        <f>B2=C2</f>
        <v>1</v>
      </c>
    </row>
    <row r="3" spans="1:7" x14ac:dyDescent="0.3">
      <c r="A3" t="s">
        <v>199</v>
      </c>
      <c r="B3" s="55">
        <v>100</v>
      </c>
      <c r="C3" s="57">
        <f t="shared" ref="C3:C11" si="0">VALUE(B3)</f>
        <v>100</v>
      </c>
      <c r="D3" t="b">
        <f t="shared" ref="D3:D11" si="1">B3=C3</f>
        <v>1</v>
      </c>
    </row>
    <row r="4" spans="1:7" x14ac:dyDescent="0.3">
      <c r="A4" t="s">
        <v>200</v>
      </c>
      <c r="B4" s="56">
        <v>100</v>
      </c>
      <c r="C4" s="57">
        <f t="shared" si="0"/>
        <v>100</v>
      </c>
      <c r="D4" t="b">
        <f t="shared" si="1"/>
        <v>1</v>
      </c>
    </row>
    <row r="5" spans="1:7" x14ac:dyDescent="0.3">
      <c r="A5" t="s">
        <v>201</v>
      </c>
      <c r="B5" s="116" t="s">
        <v>209</v>
      </c>
      <c r="C5" s="57">
        <f t="shared" si="0"/>
        <v>100</v>
      </c>
      <c r="D5" s="101" t="b">
        <f t="shared" si="1"/>
        <v>0</v>
      </c>
    </row>
    <row r="6" spans="1:7" x14ac:dyDescent="0.3">
      <c r="A6" t="s">
        <v>202</v>
      </c>
      <c r="B6" s="55">
        <v>100</v>
      </c>
      <c r="C6" s="57">
        <f t="shared" si="0"/>
        <v>100</v>
      </c>
      <c r="D6" t="b">
        <f t="shared" si="1"/>
        <v>1</v>
      </c>
    </row>
    <row r="7" spans="1:7" x14ac:dyDescent="0.3">
      <c r="A7" t="s">
        <v>203</v>
      </c>
      <c r="B7" s="55">
        <v>100</v>
      </c>
      <c r="C7" s="57">
        <f t="shared" si="0"/>
        <v>100</v>
      </c>
      <c r="D7" t="b">
        <f t="shared" si="1"/>
        <v>1</v>
      </c>
    </row>
    <row r="8" spans="1:7" x14ac:dyDescent="0.3">
      <c r="A8" t="s">
        <v>204</v>
      </c>
      <c r="B8" s="55">
        <v>100</v>
      </c>
      <c r="C8" s="57">
        <f t="shared" si="0"/>
        <v>100</v>
      </c>
      <c r="D8" t="b">
        <f t="shared" si="1"/>
        <v>1</v>
      </c>
    </row>
    <row r="9" spans="1:7" x14ac:dyDescent="0.3">
      <c r="A9" t="s">
        <v>205</v>
      </c>
      <c r="B9" s="55">
        <v>100</v>
      </c>
      <c r="C9" s="57">
        <f t="shared" si="0"/>
        <v>100</v>
      </c>
      <c r="D9" t="b">
        <f t="shared" si="1"/>
        <v>1</v>
      </c>
    </row>
    <row r="10" spans="1:7" x14ac:dyDescent="0.3">
      <c r="A10" t="s">
        <v>206</v>
      </c>
      <c r="B10" s="55">
        <v>100</v>
      </c>
      <c r="C10" s="57">
        <f t="shared" si="0"/>
        <v>100</v>
      </c>
      <c r="D10" t="b">
        <f t="shared" si="1"/>
        <v>1</v>
      </c>
    </row>
    <row r="11" spans="1:7" x14ac:dyDescent="0.3">
      <c r="A11" t="s">
        <v>207</v>
      </c>
      <c r="B11" s="55">
        <v>100</v>
      </c>
      <c r="C11" s="57">
        <f t="shared" si="0"/>
        <v>100</v>
      </c>
      <c r="D11" t="b">
        <f t="shared" si="1"/>
        <v>1</v>
      </c>
    </row>
    <row r="13" spans="1:7" x14ac:dyDescent="0.3">
      <c r="B13" s="54">
        <v>1</v>
      </c>
    </row>
    <row r="14" spans="1:7" x14ac:dyDescent="0.3">
      <c r="A14" s="39" t="s">
        <v>311</v>
      </c>
    </row>
    <row r="15" spans="1:7" x14ac:dyDescent="0.3">
      <c r="A15" s="4" t="s">
        <v>331</v>
      </c>
      <c r="B15" t="b">
        <f>A15=A17</f>
        <v>0</v>
      </c>
    </row>
    <row r="16" spans="1:7" x14ac:dyDescent="0.3">
      <c r="A16" s="4" t="str">
        <f>TRIM(A15)</f>
        <v>Часы мужские SOKOLOV Pulse, серебро 925, 101.30.00.000.02.01.3</v>
      </c>
      <c r="B16" t="b">
        <f>A16=A17</f>
        <v>1</v>
      </c>
    </row>
    <row r="17" spans="1:1" x14ac:dyDescent="0.3">
      <c r="A17" s="25" t="s">
        <v>198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 filterMode="1"/>
  <dimension ref="A1:D39"/>
  <sheetViews>
    <sheetView showGridLines="0" topLeftCell="A4" zoomScale="120" zoomScaleNormal="120" workbookViewId="0">
      <selection activeCell="B6" sqref="B6"/>
    </sheetView>
  </sheetViews>
  <sheetFormatPr defaultRowHeight="14.4" x14ac:dyDescent="0.3"/>
  <cols>
    <col min="1" max="1" width="27.44140625" style="23" customWidth="1"/>
    <col min="2" max="2" width="19.33203125" style="23" bestFit="1" customWidth="1"/>
    <col min="3" max="3" width="10.88671875" style="23" customWidth="1"/>
    <col min="4" max="4" width="10.88671875" customWidth="1"/>
  </cols>
  <sheetData>
    <row r="1" spans="1:4" x14ac:dyDescent="0.3">
      <c r="A1" s="39" t="s">
        <v>257</v>
      </c>
      <c r="B1" s="64">
        <f>SUM(B10:B39)</f>
        <v>1152630</v>
      </c>
      <c r="C1" s="21"/>
    </row>
    <row r="2" spans="1:4" x14ac:dyDescent="0.3">
      <c r="A2" s="39" t="s">
        <v>258</v>
      </c>
      <c r="B2" s="61">
        <f>AVERAGE(B10:B39)</f>
        <v>42690</v>
      </c>
      <c r="C2" s="32"/>
    </row>
    <row r="3" spans="1:4" x14ac:dyDescent="0.3">
      <c r="A3" s="39" t="s">
        <v>259</v>
      </c>
      <c r="B3" s="62">
        <f>COUNT(B10:B39)</f>
        <v>27</v>
      </c>
      <c r="C3" s="60" t="s">
        <v>332</v>
      </c>
      <c r="D3" s="4"/>
    </row>
    <row r="4" spans="1:4" x14ac:dyDescent="0.3">
      <c r="A4" s="39" t="s">
        <v>260</v>
      </c>
      <c r="B4" s="65">
        <f>COUNTA(B10:B39)</f>
        <v>28</v>
      </c>
      <c r="C4" s="66" t="s">
        <v>333</v>
      </c>
      <c r="D4" s="67"/>
    </row>
    <row r="5" spans="1:4" x14ac:dyDescent="0.3">
      <c r="A5" s="39" t="s">
        <v>312</v>
      </c>
      <c r="B5" s="63">
        <f>SUBTOTAL(9,B10:B39)</f>
        <v>746688</v>
      </c>
      <c r="C5" s="58" t="s">
        <v>335</v>
      </c>
    </row>
    <row r="6" spans="1:4" x14ac:dyDescent="0.3">
      <c r="A6" s="39" t="s">
        <v>313</v>
      </c>
      <c r="B6" s="41">
        <f>_xlfn.AGGREGATE(9,7,B10:B39)</f>
        <v>746688</v>
      </c>
      <c r="C6" s="58" t="s">
        <v>336</v>
      </c>
    </row>
    <row r="7" spans="1:4" x14ac:dyDescent="0.3">
      <c r="C7" s="32"/>
    </row>
    <row r="8" spans="1:4" x14ac:dyDescent="0.3">
      <c r="C8" s="32"/>
    </row>
    <row r="9" spans="1:4" x14ac:dyDescent="0.3">
      <c r="A9" s="22" t="s">
        <v>255</v>
      </c>
      <c r="B9" s="22" t="s">
        <v>256</v>
      </c>
      <c r="C9" s="32"/>
    </row>
    <row r="10" spans="1:4" x14ac:dyDescent="0.3">
      <c r="A10" s="40">
        <v>44692</v>
      </c>
      <c r="B10" s="32">
        <f>45522</f>
        <v>45522</v>
      </c>
      <c r="C10" s="59"/>
      <c r="D10" s="67"/>
    </row>
    <row r="11" spans="1:4" x14ac:dyDescent="0.3">
      <c r="A11" s="40">
        <v>44693</v>
      </c>
      <c r="B11" s="32">
        <v>28421</v>
      </c>
      <c r="C11" s="59"/>
      <c r="D11" s="67"/>
    </row>
    <row r="12" spans="1:4" x14ac:dyDescent="0.3">
      <c r="A12" s="40">
        <v>44694</v>
      </c>
      <c r="B12" s="32">
        <v>34622</v>
      </c>
      <c r="C12" s="59"/>
      <c r="D12" s="67"/>
    </row>
    <row r="13" spans="1:4" x14ac:dyDescent="0.3">
      <c r="A13" s="40">
        <v>44695</v>
      </c>
      <c r="B13" s="59" t="s">
        <v>334</v>
      </c>
      <c r="C13" s="32"/>
      <c r="D13" s="67"/>
    </row>
    <row r="14" spans="1:4" x14ac:dyDescent="0.3">
      <c r="A14" s="40">
        <v>44696</v>
      </c>
      <c r="B14" s="32">
        <v>48684</v>
      </c>
      <c r="C14" s="59"/>
      <c r="D14" s="67"/>
    </row>
    <row r="15" spans="1:4" x14ac:dyDescent="0.3">
      <c r="A15" s="40">
        <v>44697</v>
      </c>
      <c r="B15" s="32">
        <v>72958</v>
      </c>
      <c r="C15" s="59"/>
      <c r="D15" s="67"/>
    </row>
    <row r="16" spans="1:4" x14ac:dyDescent="0.3">
      <c r="A16" s="40">
        <v>44698</v>
      </c>
      <c r="B16" s="32">
        <v>65177</v>
      </c>
      <c r="C16" s="59"/>
      <c r="D16" s="67"/>
    </row>
    <row r="17" spans="1:4" x14ac:dyDescent="0.3">
      <c r="A17" s="40">
        <v>44699</v>
      </c>
      <c r="B17" s="32">
        <v>46941</v>
      </c>
      <c r="C17" s="59"/>
      <c r="D17" s="67"/>
    </row>
    <row r="18" spans="1:4" x14ac:dyDescent="0.3">
      <c r="A18" s="40">
        <v>44700</v>
      </c>
      <c r="B18" s="32">
        <v>37131</v>
      </c>
      <c r="C18" s="59"/>
      <c r="D18" s="67"/>
    </row>
    <row r="19" spans="1:4" x14ac:dyDescent="0.3">
      <c r="A19" s="40">
        <v>44701</v>
      </c>
      <c r="B19" s="32">
        <v>59140</v>
      </c>
      <c r="C19" s="59"/>
      <c r="D19" s="67"/>
    </row>
    <row r="20" spans="1:4" x14ac:dyDescent="0.3">
      <c r="A20" s="40">
        <v>44702</v>
      </c>
      <c r="B20" s="32">
        <v>20399</v>
      </c>
      <c r="C20" s="59"/>
      <c r="D20" s="67"/>
    </row>
    <row r="21" spans="1:4" x14ac:dyDescent="0.3">
      <c r="A21" s="40">
        <v>44703</v>
      </c>
      <c r="B21" s="68"/>
      <c r="C21" s="32"/>
    </row>
    <row r="22" spans="1:4" x14ac:dyDescent="0.3">
      <c r="A22" s="40">
        <v>44704</v>
      </c>
      <c r="B22" s="68"/>
      <c r="C22" s="32"/>
    </row>
    <row r="23" spans="1:4" x14ac:dyDescent="0.3">
      <c r="A23" s="40">
        <v>44705</v>
      </c>
      <c r="B23" s="32">
        <v>58481</v>
      </c>
      <c r="C23" s="59"/>
      <c r="D23" s="67"/>
    </row>
    <row r="24" spans="1:4" x14ac:dyDescent="0.3">
      <c r="A24" s="40">
        <v>44706</v>
      </c>
      <c r="B24" s="32">
        <v>23511</v>
      </c>
      <c r="C24" s="59"/>
      <c r="D24" s="67"/>
    </row>
    <row r="25" spans="1:4" x14ac:dyDescent="0.3">
      <c r="A25" s="40">
        <v>44707</v>
      </c>
      <c r="B25" s="32">
        <v>13492</v>
      </c>
      <c r="C25" s="59"/>
      <c r="D25" s="67"/>
    </row>
    <row r="26" spans="1:4" x14ac:dyDescent="0.3">
      <c r="A26" s="40">
        <v>44708</v>
      </c>
      <c r="B26" s="32">
        <v>16128</v>
      </c>
      <c r="C26" s="59"/>
      <c r="D26" s="67"/>
    </row>
    <row r="27" spans="1:4" x14ac:dyDescent="0.3">
      <c r="A27" s="40">
        <v>44709</v>
      </c>
      <c r="B27" s="32">
        <v>45360</v>
      </c>
      <c r="C27" s="59"/>
      <c r="D27" s="67"/>
    </row>
    <row r="28" spans="1:4" x14ac:dyDescent="0.3">
      <c r="A28" s="40">
        <v>44710</v>
      </c>
      <c r="B28" s="32">
        <v>62501</v>
      </c>
      <c r="C28" s="59"/>
      <c r="D28" s="67"/>
    </row>
    <row r="29" spans="1:4" x14ac:dyDescent="0.3">
      <c r="A29" s="40">
        <v>44711</v>
      </c>
      <c r="B29" s="32">
        <v>39430</v>
      </c>
      <c r="C29" s="59"/>
      <c r="D29" s="67"/>
    </row>
    <row r="30" spans="1:4" x14ac:dyDescent="0.3">
      <c r="A30" s="40">
        <v>44712</v>
      </c>
      <c r="B30" s="32">
        <v>28790</v>
      </c>
      <c r="C30" s="59"/>
      <c r="D30" s="67"/>
    </row>
    <row r="31" spans="1:4" hidden="1" x14ac:dyDescent="0.3">
      <c r="A31" s="40">
        <v>44713</v>
      </c>
      <c r="B31" s="32">
        <v>41538</v>
      </c>
      <c r="C31" s="32"/>
    </row>
    <row r="32" spans="1:4" hidden="1" x14ac:dyDescent="0.3">
      <c r="A32" s="40">
        <v>44714</v>
      </c>
      <c r="B32" s="32">
        <v>26996</v>
      </c>
      <c r="C32" s="32"/>
    </row>
    <row r="33" spans="1:2" hidden="1" x14ac:dyDescent="0.3">
      <c r="A33" s="40">
        <v>44715</v>
      </c>
      <c r="B33" s="32">
        <v>57381</v>
      </c>
    </row>
    <row r="34" spans="1:2" hidden="1" x14ac:dyDescent="0.3">
      <c r="A34" s="40">
        <v>44716</v>
      </c>
      <c r="B34" s="32">
        <v>36903</v>
      </c>
    </row>
    <row r="35" spans="1:2" hidden="1" x14ac:dyDescent="0.3">
      <c r="A35" s="40">
        <v>44717</v>
      </c>
      <c r="B35" s="32">
        <v>65549</v>
      </c>
    </row>
    <row r="36" spans="1:2" hidden="1" x14ac:dyDescent="0.3">
      <c r="A36" s="40">
        <v>44718</v>
      </c>
      <c r="B36" s="32">
        <v>51541</v>
      </c>
    </row>
    <row r="37" spans="1:2" hidden="1" x14ac:dyDescent="0.3">
      <c r="A37" s="40">
        <v>44719</v>
      </c>
      <c r="B37" s="32">
        <v>30141</v>
      </c>
    </row>
    <row r="38" spans="1:2" hidden="1" x14ac:dyDescent="0.3">
      <c r="A38" s="40">
        <v>44720</v>
      </c>
      <c r="B38" s="32">
        <v>44283</v>
      </c>
    </row>
    <row r="39" spans="1:2" hidden="1" x14ac:dyDescent="0.3">
      <c r="A39" s="40">
        <v>44721</v>
      </c>
      <c r="B39" s="32">
        <v>51610</v>
      </c>
    </row>
  </sheetData>
  <autoFilter ref="A9:B39" xr:uid="{00000000-0001-0000-0400-000000000000}">
    <filterColumn colId="0">
      <filters>
        <dateGroupItem year="2022" month="5" dateTimeGrouping="mont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M49"/>
  <sheetViews>
    <sheetView zoomScaleNormal="100"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1" max="1" width="26.21875" customWidth="1"/>
    <col min="2" max="2" width="31.109375" bestFit="1" customWidth="1"/>
    <col min="3" max="3" width="29.5546875" bestFit="1" customWidth="1"/>
    <col min="4" max="4" width="62.88671875" style="6" bestFit="1" customWidth="1"/>
    <col min="5" max="5" width="16.88671875" style="8" bestFit="1" customWidth="1"/>
    <col min="6" max="6" width="1.6640625" style="6" customWidth="1"/>
    <col min="7" max="7" width="15" style="6" customWidth="1"/>
    <col min="8" max="8" width="10.6640625" style="6" customWidth="1"/>
    <col min="9" max="9" width="9.109375" style="6" customWidth="1"/>
    <col min="10" max="10" width="1.6640625" style="6" customWidth="1"/>
    <col min="11" max="11" width="14.88671875" style="6" customWidth="1"/>
    <col min="12" max="12" width="31.44140625" style="6" customWidth="1"/>
    <col min="13" max="13" width="17.88671875" style="6" customWidth="1"/>
    <col min="15" max="15" width="15.5546875" customWidth="1"/>
  </cols>
  <sheetData>
    <row r="1" spans="1:13" ht="28.8" x14ac:dyDescent="0.3">
      <c r="A1" s="69" t="s">
        <v>25</v>
      </c>
      <c r="B1" s="69" t="s">
        <v>26</v>
      </c>
      <c r="C1" s="69" t="s">
        <v>27</v>
      </c>
      <c r="D1" s="69" t="s">
        <v>2</v>
      </c>
      <c r="E1" s="70" t="s">
        <v>208</v>
      </c>
      <c r="G1" s="71" t="s">
        <v>25</v>
      </c>
      <c r="H1" s="72" t="s">
        <v>43</v>
      </c>
      <c r="I1" s="73"/>
      <c r="K1" s="71" t="s">
        <v>25</v>
      </c>
      <c r="L1" s="85" t="s">
        <v>26</v>
      </c>
      <c r="M1" s="86" t="str">
        <f>$E$1</f>
        <v>Продажи, шт</v>
      </c>
    </row>
    <row r="2" spans="1:13" x14ac:dyDescent="0.3">
      <c r="A2" t="s">
        <v>20</v>
      </c>
      <c r="B2" t="s">
        <v>31</v>
      </c>
      <c r="C2" t="s">
        <v>32</v>
      </c>
      <c r="D2" t="s">
        <v>4</v>
      </c>
      <c r="E2" s="9">
        <v>16</v>
      </c>
      <c r="G2" s="74" t="s">
        <v>20</v>
      </c>
      <c r="H2" s="75">
        <f>SUMIF($A$2:$A$21,G2,$E$2:$E$21)</f>
        <v>346</v>
      </c>
      <c r="I2" s="76"/>
      <c r="K2" s="74" t="s">
        <v>20</v>
      </c>
      <c r="L2" s="87" t="s">
        <v>31</v>
      </c>
      <c r="M2" s="88">
        <f>SUMIFS(
Таблица1[Продажи, шт],
Таблица1[Коммерческая категория 1],K2,
Таблица1[Коммерческая категория 2],L2)</f>
        <v>326</v>
      </c>
    </row>
    <row r="3" spans="1:13" x14ac:dyDescent="0.3">
      <c r="A3" t="s">
        <v>20</v>
      </c>
      <c r="B3" t="s">
        <v>31</v>
      </c>
      <c r="C3" t="s">
        <v>33</v>
      </c>
      <c r="D3" t="s">
        <v>6</v>
      </c>
      <c r="E3" s="9">
        <v>17</v>
      </c>
      <c r="G3" s="74" t="s">
        <v>21</v>
      </c>
      <c r="H3" s="75">
        <f>SUMIF($A$2:$A$21,G3,$E$2:$E$21)</f>
        <v>479</v>
      </c>
      <c r="I3" s="76"/>
      <c r="K3" s="74" t="s">
        <v>20</v>
      </c>
      <c r="L3" s="87" t="s">
        <v>37</v>
      </c>
      <c r="M3" s="88">
        <f>SUMIFS(Таблица1[Продажи, шт],Таблица1[Коммерческая категория 1],K3,Таблица1[Коммерческая категория 2],L3)</f>
        <v>78</v>
      </c>
    </row>
    <row r="4" spans="1:13" x14ac:dyDescent="0.3">
      <c r="A4" t="s">
        <v>20</v>
      </c>
      <c r="B4" t="s">
        <v>31</v>
      </c>
      <c r="C4" t="s">
        <v>34</v>
      </c>
      <c r="D4" t="s">
        <v>9</v>
      </c>
      <c r="E4" s="9">
        <v>36</v>
      </c>
      <c r="G4" s="77"/>
      <c r="H4" s="78"/>
      <c r="I4" s="76"/>
      <c r="K4" s="74" t="s">
        <v>20</v>
      </c>
      <c r="L4" s="87" t="s">
        <v>39</v>
      </c>
      <c r="M4" s="88">
        <f>SUMIFS(Таблица1[Продажи, шт],Таблица1[Коммерческая категория 1],K4,Таблица1[Коммерческая категория 2],L4)</f>
        <v>46</v>
      </c>
    </row>
    <row r="5" spans="1:13" x14ac:dyDescent="0.3">
      <c r="A5" t="s">
        <v>20</v>
      </c>
      <c r="B5" t="s">
        <v>31</v>
      </c>
      <c r="C5" t="s">
        <v>35</v>
      </c>
      <c r="D5" t="s">
        <v>5</v>
      </c>
      <c r="E5" s="9">
        <v>34</v>
      </c>
      <c r="G5" s="77"/>
      <c r="H5" s="78"/>
      <c r="I5" s="76"/>
      <c r="K5" s="74" t="s">
        <v>21</v>
      </c>
      <c r="L5" s="87" t="s">
        <v>22</v>
      </c>
      <c r="M5" s="88">
        <f>SUMIFS(Таблица1[Продажи, шт],Таблица1[Коммерческая категория 1],K5,Таблица1[Коммерческая категория 2],L5)</f>
        <v>3</v>
      </c>
    </row>
    <row r="6" spans="1:13" x14ac:dyDescent="0.3">
      <c r="A6" t="s">
        <v>20</v>
      </c>
      <c r="B6" t="s">
        <v>31</v>
      </c>
      <c r="C6" t="s">
        <v>35</v>
      </c>
      <c r="D6" t="s">
        <v>15</v>
      </c>
      <c r="E6" s="9">
        <v>9</v>
      </c>
      <c r="G6" s="79" t="s">
        <v>337</v>
      </c>
      <c r="H6" s="80"/>
      <c r="I6" s="76"/>
      <c r="K6" s="74" t="s">
        <v>21</v>
      </c>
      <c r="L6" s="87" t="s">
        <v>23</v>
      </c>
      <c r="M6" s="88">
        <f>SUMIFS(Таблица1[Продажи, шт],Таблица1[Коммерческая категория 1],K6,Таблица1[Коммерческая категория 2],L6)</f>
        <v>794</v>
      </c>
    </row>
    <row r="7" spans="1:13" x14ac:dyDescent="0.3">
      <c r="A7" t="s">
        <v>20</v>
      </c>
      <c r="B7" t="s">
        <v>31</v>
      </c>
      <c r="C7" t="s">
        <v>36</v>
      </c>
      <c r="D7" t="s">
        <v>3</v>
      </c>
      <c r="E7" s="9">
        <v>51</v>
      </c>
      <c r="G7" s="81" t="s">
        <v>338</v>
      </c>
      <c r="H7" s="78"/>
      <c r="I7" s="76"/>
      <c r="K7" s="74" t="s">
        <v>21</v>
      </c>
      <c r="L7" s="87" t="s">
        <v>24</v>
      </c>
      <c r="M7" s="88">
        <f>SUMIFS(Таблица1[Продажи, шт],Таблица1[Коммерческая категория 1],K7,Таблица1[Коммерческая категория 2],L7)</f>
        <v>22</v>
      </c>
    </row>
    <row r="8" spans="1:13" x14ac:dyDescent="0.3">
      <c r="A8" t="s">
        <v>20</v>
      </c>
      <c r="B8" t="s">
        <v>31</v>
      </c>
      <c r="C8" t="s">
        <v>36</v>
      </c>
      <c r="D8" t="s">
        <v>12</v>
      </c>
      <c r="E8" s="9">
        <v>17</v>
      </c>
      <c r="G8" s="74" t="s">
        <v>20</v>
      </c>
      <c r="H8" s="80">
        <f>SUMIF(Таблица1[Коммерческая категория 1],G8,Таблица1[Продажи, шт])</f>
        <v>450</v>
      </c>
      <c r="I8" s="76"/>
      <c r="K8" s="77"/>
      <c r="L8" s="78"/>
      <c r="M8" s="76"/>
    </row>
    <row r="9" spans="1:13" x14ac:dyDescent="0.3">
      <c r="A9" t="s">
        <v>20</v>
      </c>
      <c r="B9" t="s">
        <v>37</v>
      </c>
      <c r="C9" t="s">
        <v>38</v>
      </c>
      <c r="D9" t="s">
        <v>13</v>
      </c>
      <c r="E9" s="9">
        <v>10</v>
      </c>
      <c r="G9" s="74" t="s">
        <v>21</v>
      </c>
      <c r="H9" s="80">
        <f>SUMIF(Таблица1[Коммерческая категория 1],G9,Таблица1[Продажи, шт])</f>
        <v>819</v>
      </c>
      <c r="I9" s="76"/>
      <c r="K9" s="74"/>
      <c r="L9" s="87"/>
      <c r="M9" s="76"/>
    </row>
    <row r="10" spans="1:13" x14ac:dyDescent="0.3">
      <c r="A10" t="s">
        <v>20</v>
      </c>
      <c r="B10" t="s">
        <v>37</v>
      </c>
      <c r="C10" t="s">
        <v>38</v>
      </c>
      <c r="D10" t="s">
        <v>17</v>
      </c>
      <c r="E10" s="9">
        <v>17</v>
      </c>
      <c r="G10" s="77"/>
      <c r="H10" s="78"/>
      <c r="I10" s="76"/>
      <c r="K10" s="74"/>
      <c r="L10" s="87"/>
      <c r="M10" s="76"/>
    </row>
    <row r="11" spans="1:13" x14ac:dyDescent="0.3">
      <c r="A11" t="s">
        <v>20</v>
      </c>
      <c r="B11" t="s">
        <v>37</v>
      </c>
      <c r="C11" t="s">
        <v>38</v>
      </c>
      <c r="D11" t="s">
        <v>18</v>
      </c>
      <c r="E11" s="9">
        <v>24</v>
      </c>
      <c r="G11" s="77"/>
      <c r="H11" s="78"/>
      <c r="I11" s="76"/>
      <c r="K11" s="74"/>
      <c r="L11" s="87"/>
      <c r="M11" s="76"/>
    </row>
    <row r="12" spans="1:13" ht="15" thickBot="1" x14ac:dyDescent="0.35">
      <c r="A12" t="s">
        <v>20</v>
      </c>
      <c r="B12" t="s">
        <v>39</v>
      </c>
      <c r="C12" t="s">
        <v>40</v>
      </c>
      <c r="D12" t="s">
        <v>19</v>
      </c>
      <c r="E12" s="9">
        <v>18</v>
      </c>
      <c r="G12" s="82" t="s">
        <v>339</v>
      </c>
      <c r="H12" s="83"/>
      <c r="I12" s="84"/>
      <c r="K12" s="89" t="s">
        <v>340</v>
      </c>
      <c r="L12" s="90"/>
      <c r="M12" s="84"/>
    </row>
    <row r="13" spans="1:13" x14ac:dyDescent="0.3">
      <c r="A13" t="s">
        <v>20</v>
      </c>
      <c r="B13" t="s">
        <v>39</v>
      </c>
      <c r="C13" t="s">
        <v>41</v>
      </c>
      <c r="D13" t="s">
        <v>8</v>
      </c>
      <c r="E13" s="9">
        <v>4</v>
      </c>
      <c r="K13"/>
      <c r="L13"/>
    </row>
    <row r="14" spans="1:13" x14ac:dyDescent="0.3">
      <c r="A14" t="s">
        <v>20</v>
      </c>
      <c r="B14" t="s">
        <v>39</v>
      </c>
      <c r="C14" t="s">
        <v>42</v>
      </c>
      <c r="D14" t="s">
        <v>14</v>
      </c>
      <c r="E14" s="9">
        <v>24</v>
      </c>
      <c r="K14"/>
      <c r="L14"/>
    </row>
    <row r="15" spans="1:13" x14ac:dyDescent="0.3">
      <c r="A15" t="s">
        <v>21</v>
      </c>
      <c r="B15" t="s">
        <v>22</v>
      </c>
      <c r="C15" t="s">
        <v>28</v>
      </c>
      <c r="D15" t="s">
        <v>11</v>
      </c>
      <c r="E15" s="9">
        <v>3</v>
      </c>
      <c r="K15"/>
      <c r="L15"/>
    </row>
    <row r="16" spans="1:13" x14ac:dyDescent="0.3">
      <c r="A16" t="s">
        <v>21</v>
      </c>
      <c r="B16" t="s">
        <v>23</v>
      </c>
      <c r="C16" t="s">
        <v>29</v>
      </c>
      <c r="D16" t="s">
        <v>7</v>
      </c>
      <c r="E16" s="9">
        <v>340</v>
      </c>
      <c r="K16"/>
      <c r="L16"/>
    </row>
    <row r="17" spans="1:12" x14ac:dyDescent="0.3">
      <c r="A17" t="s">
        <v>21</v>
      </c>
      <c r="B17" t="s">
        <v>23</v>
      </c>
      <c r="C17" t="s">
        <v>29</v>
      </c>
      <c r="D17" t="s">
        <v>16</v>
      </c>
      <c r="E17" s="9">
        <v>114</v>
      </c>
      <c r="K17"/>
      <c r="L17"/>
    </row>
    <row r="18" spans="1:12" x14ac:dyDescent="0.3">
      <c r="A18" t="s">
        <v>21</v>
      </c>
      <c r="B18" t="s">
        <v>24</v>
      </c>
      <c r="C18" t="s">
        <v>30</v>
      </c>
      <c r="D18" t="s">
        <v>10</v>
      </c>
      <c r="E18" s="9">
        <v>22</v>
      </c>
      <c r="K18"/>
      <c r="L18"/>
    </row>
    <row r="19" spans="1:12" x14ac:dyDescent="0.3">
      <c r="A19" t="s">
        <v>20</v>
      </c>
      <c r="B19" t="s">
        <v>31</v>
      </c>
      <c r="C19" t="s">
        <v>32</v>
      </c>
      <c r="D19" t="s">
        <v>4</v>
      </c>
      <c r="E19" s="23">
        <v>16</v>
      </c>
      <c r="K19"/>
      <c r="L19"/>
    </row>
    <row r="20" spans="1:12" x14ac:dyDescent="0.3">
      <c r="A20" t="s">
        <v>20</v>
      </c>
      <c r="B20" t="s">
        <v>31</v>
      </c>
      <c r="C20" t="s">
        <v>33</v>
      </c>
      <c r="D20" t="s">
        <v>6</v>
      </c>
      <c r="E20" s="23">
        <v>17</v>
      </c>
      <c r="K20"/>
      <c r="L20"/>
    </row>
    <row r="21" spans="1:12" x14ac:dyDescent="0.3">
      <c r="A21" t="s">
        <v>20</v>
      </c>
      <c r="B21" t="s">
        <v>31</v>
      </c>
      <c r="C21" t="s">
        <v>34</v>
      </c>
      <c r="D21" t="s">
        <v>9</v>
      </c>
      <c r="E21" s="23">
        <v>36</v>
      </c>
      <c r="K21"/>
      <c r="L21"/>
    </row>
    <row r="22" spans="1:12" x14ac:dyDescent="0.3">
      <c r="A22" t="s">
        <v>21</v>
      </c>
      <c r="B22" t="s">
        <v>23</v>
      </c>
      <c r="C22" t="s">
        <v>29</v>
      </c>
      <c r="D22" t="s">
        <v>7</v>
      </c>
      <c r="E22" s="23">
        <v>340</v>
      </c>
      <c r="K22"/>
      <c r="L22"/>
    </row>
    <row r="23" spans="1:12" x14ac:dyDescent="0.3">
      <c r="A23" t="s">
        <v>20</v>
      </c>
      <c r="B23" t="s">
        <v>31</v>
      </c>
      <c r="C23" t="s">
        <v>35</v>
      </c>
      <c r="D23" t="s">
        <v>15</v>
      </c>
      <c r="E23" s="23">
        <v>9</v>
      </c>
      <c r="K23"/>
      <c r="L23"/>
    </row>
    <row r="24" spans="1:12" x14ac:dyDescent="0.3">
      <c r="A24" t="s">
        <v>20</v>
      </c>
      <c r="B24" t="s">
        <v>31</v>
      </c>
      <c r="C24" t="s">
        <v>36</v>
      </c>
      <c r="D24" t="s">
        <v>3</v>
      </c>
      <c r="E24" s="23">
        <v>51</v>
      </c>
      <c r="K24"/>
      <c r="L24"/>
    </row>
    <row r="25" spans="1:12" x14ac:dyDescent="0.3">
      <c r="A25" t="s">
        <v>20</v>
      </c>
      <c r="B25" t="s">
        <v>31</v>
      </c>
      <c r="C25" t="s">
        <v>36</v>
      </c>
      <c r="D25" t="s">
        <v>12</v>
      </c>
      <c r="E25" s="23">
        <v>17</v>
      </c>
      <c r="K25"/>
      <c r="L25"/>
    </row>
    <row r="26" spans="1:12" x14ac:dyDescent="0.3">
      <c r="A26" t="s">
        <v>20</v>
      </c>
      <c r="B26" t="s">
        <v>37</v>
      </c>
      <c r="C26" t="s">
        <v>38</v>
      </c>
      <c r="D26" t="s">
        <v>13</v>
      </c>
      <c r="E26" s="23">
        <v>10</v>
      </c>
      <c r="K26"/>
      <c r="L26"/>
    </row>
    <row r="27" spans="1:12" x14ac:dyDescent="0.3">
      <c r="A27" t="s">
        <v>20</v>
      </c>
      <c r="B27" t="s">
        <v>37</v>
      </c>
      <c r="C27" t="s">
        <v>38</v>
      </c>
      <c r="D27" t="s">
        <v>17</v>
      </c>
      <c r="E27" s="23">
        <v>17</v>
      </c>
      <c r="K27"/>
      <c r="L27"/>
    </row>
    <row r="28" spans="1:12" x14ac:dyDescent="0.3">
      <c r="A28" s="2"/>
      <c r="K28"/>
      <c r="L28"/>
    </row>
    <row r="29" spans="1:12" x14ac:dyDescent="0.3">
      <c r="A29" s="2"/>
      <c r="K29"/>
      <c r="L29"/>
    </row>
    <row r="30" spans="1:12" x14ac:dyDescent="0.3">
      <c r="A30" s="2"/>
      <c r="K30"/>
      <c r="L30"/>
    </row>
    <row r="31" spans="1:12" x14ac:dyDescent="0.3">
      <c r="A31" s="2"/>
      <c r="K31"/>
      <c r="L31"/>
    </row>
    <row r="32" spans="1:12" x14ac:dyDescent="0.3">
      <c r="A32" s="2"/>
      <c r="K32"/>
      <c r="L32"/>
    </row>
    <row r="33" spans="1:13" x14ac:dyDescent="0.3">
      <c r="A33" s="2"/>
      <c r="K33"/>
      <c r="L33"/>
    </row>
    <row r="34" spans="1:13" x14ac:dyDescent="0.3">
      <c r="A34" s="2"/>
      <c r="D34" s="5"/>
      <c r="E34" s="19"/>
      <c r="F34" s="5"/>
      <c r="G34" s="5"/>
      <c r="H34" s="5"/>
      <c r="I34" s="5"/>
      <c r="J34" s="5"/>
      <c r="K34"/>
      <c r="L34"/>
      <c r="M34" s="5"/>
    </row>
    <row r="35" spans="1:13" x14ac:dyDescent="0.3">
      <c r="A35" s="2"/>
      <c r="D35" s="5"/>
      <c r="E35" s="19"/>
      <c r="F35" s="5"/>
      <c r="G35" s="5"/>
      <c r="H35" s="5"/>
      <c r="I35" s="5"/>
      <c r="J35" s="5"/>
      <c r="K35"/>
      <c r="L35"/>
      <c r="M35" s="5"/>
    </row>
    <row r="36" spans="1:13" x14ac:dyDescent="0.3">
      <c r="A36" s="2"/>
      <c r="D36" s="5"/>
      <c r="E36" s="19"/>
      <c r="F36" s="5"/>
      <c r="G36" s="5"/>
      <c r="H36" s="5"/>
      <c r="I36" s="5"/>
      <c r="J36" s="5"/>
      <c r="K36"/>
      <c r="L36"/>
      <c r="M36" s="5"/>
    </row>
    <row r="37" spans="1:13" x14ac:dyDescent="0.3">
      <c r="A37" s="2"/>
      <c r="D37" s="5"/>
      <c r="E37" s="19"/>
      <c r="F37" s="5"/>
      <c r="G37" s="5"/>
      <c r="H37" s="5"/>
      <c r="I37" s="5"/>
      <c r="J37" s="5"/>
      <c r="K37"/>
      <c r="L37"/>
      <c r="M37" s="5"/>
    </row>
    <row r="38" spans="1:13" x14ac:dyDescent="0.3">
      <c r="A38" s="2"/>
      <c r="D38" s="5"/>
      <c r="E38" s="19"/>
      <c r="F38" s="5"/>
      <c r="G38" s="5"/>
      <c r="H38" s="5"/>
      <c r="I38" s="5"/>
      <c r="J38" s="5"/>
      <c r="K38"/>
      <c r="L38"/>
      <c r="M38" s="5"/>
    </row>
    <row r="39" spans="1:13" x14ac:dyDescent="0.3">
      <c r="A39" s="2"/>
      <c r="D39" s="5"/>
      <c r="E39" s="19"/>
      <c r="F39" s="5"/>
      <c r="G39" s="5"/>
      <c r="H39" s="5"/>
      <c r="I39" s="5"/>
      <c r="J39" s="5"/>
      <c r="K39"/>
      <c r="L39"/>
      <c r="M39" s="5"/>
    </row>
    <row r="40" spans="1:13" x14ac:dyDescent="0.3">
      <c r="A40" s="2"/>
      <c r="D40" s="5"/>
      <c r="E40" s="19"/>
      <c r="F40" s="5"/>
      <c r="G40" s="5"/>
      <c r="H40" s="5"/>
      <c r="I40" s="5"/>
      <c r="J40" s="5"/>
      <c r="K40"/>
      <c r="L40"/>
      <c r="M40" s="5"/>
    </row>
    <row r="41" spans="1:13" x14ac:dyDescent="0.3">
      <c r="A41" s="2"/>
      <c r="D41" s="5"/>
      <c r="E41" s="19"/>
      <c r="F41" s="5"/>
      <c r="G41" s="5"/>
      <c r="H41" s="5"/>
      <c r="I41" s="5"/>
      <c r="J41" s="5"/>
      <c r="K41"/>
      <c r="L41"/>
      <c r="M41" s="5"/>
    </row>
    <row r="42" spans="1:13" x14ac:dyDescent="0.3">
      <c r="A42" s="2"/>
      <c r="D42" s="5"/>
      <c r="E42" s="19"/>
      <c r="F42" s="5"/>
      <c r="G42" s="5"/>
      <c r="H42" s="5"/>
      <c r="I42" s="5"/>
      <c r="J42" s="5"/>
      <c r="K42"/>
      <c r="L42"/>
      <c r="M42" s="5"/>
    </row>
    <row r="43" spans="1:13" x14ac:dyDescent="0.3">
      <c r="A43" s="2"/>
      <c r="D43" s="5"/>
      <c r="E43" s="19"/>
      <c r="F43" s="5"/>
      <c r="G43" s="5"/>
      <c r="H43" s="5"/>
      <c r="I43" s="5"/>
      <c r="J43" s="5"/>
      <c r="K43"/>
      <c r="L43"/>
      <c r="M43" s="5"/>
    </row>
    <row r="44" spans="1:13" x14ac:dyDescent="0.3">
      <c r="A44" s="2"/>
      <c r="D44" s="5"/>
      <c r="E44" s="19"/>
      <c r="F44" s="5"/>
      <c r="G44" s="5"/>
      <c r="H44" s="5"/>
      <c r="I44" s="5"/>
      <c r="J44" s="5"/>
      <c r="K44"/>
      <c r="L44"/>
      <c r="M44" s="5"/>
    </row>
    <row r="45" spans="1:13" x14ac:dyDescent="0.3">
      <c r="A45" s="2"/>
      <c r="D45" s="5"/>
      <c r="E45" s="19"/>
      <c r="F45" s="5"/>
      <c r="G45" s="5"/>
      <c r="H45" s="5"/>
      <c r="I45" s="5"/>
      <c r="J45" s="5"/>
      <c r="K45"/>
      <c r="L45"/>
      <c r="M45" s="5"/>
    </row>
    <row r="46" spans="1:13" x14ac:dyDescent="0.3">
      <c r="A46" s="2"/>
      <c r="D46" s="5"/>
      <c r="E46" s="19"/>
      <c r="F46" s="5"/>
      <c r="G46" s="5"/>
      <c r="H46" s="5"/>
      <c r="I46" s="5"/>
      <c r="J46" s="5"/>
      <c r="K46"/>
      <c r="L46"/>
      <c r="M46" s="5"/>
    </row>
    <row r="47" spans="1:13" x14ac:dyDescent="0.3">
      <c r="A47" s="2"/>
      <c r="D47" s="5"/>
      <c r="E47" s="19"/>
      <c r="F47" s="5"/>
      <c r="G47" s="5"/>
      <c r="H47" s="5"/>
      <c r="I47" s="5"/>
      <c r="J47" s="5"/>
      <c r="K47"/>
      <c r="L47"/>
      <c r="M47" s="5"/>
    </row>
    <row r="48" spans="1:13" x14ac:dyDescent="0.3">
      <c r="K48"/>
      <c r="L48"/>
    </row>
    <row r="49" spans="11:12" x14ac:dyDescent="0.3">
      <c r="K49"/>
      <c r="L49"/>
    </row>
  </sheetData>
  <sortState xmlns:xlrd2="http://schemas.microsoft.com/office/spreadsheetml/2017/richdata2" ref="A2:D48">
    <sortCondition ref="A2:A48"/>
    <sortCondition ref="B2:B48"/>
    <sortCondition ref="C2:C48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O100"/>
  <sheetViews>
    <sheetView zoomScaleNormal="100" workbookViewId="0">
      <selection activeCell="O26" sqref="O26"/>
    </sheetView>
  </sheetViews>
  <sheetFormatPr defaultRowHeight="14.4" x14ac:dyDescent="0.3"/>
  <cols>
    <col min="1" max="1" width="50" bestFit="1" customWidth="1"/>
    <col min="2" max="2" width="12.44140625" style="23" bestFit="1" customWidth="1"/>
    <col min="3" max="4" width="12.44140625" style="23" customWidth="1"/>
    <col min="6" max="6" width="14" bestFit="1" customWidth="1"/>
  </cols>
  <sheetData>
    <row r="1" spans="1:15" x14ac:dyDescent="0.3">
      <c r="A1" s="1" t="s">
        <v>286</v>
      </c>
      <c r="B1" s="22" t="s">
        <v>208</v>
      </c>
      <c r="C1" s="37" t="s">
        <v>303</v>
      </c>
      <c r="D1" s="37" t="s">
        <v>304</v>
      </c>
    </row>
    <row r="2" spans="1:15" x14ac:dyDescent="0.3">
      <c r="A2" s="3" t="s">
        <v>287</v>
      </c>
      <c r="B2" s="19">
        <v>6800</v>
      </c>
      <c r="C2" s="19"/>
      <c r="D2" s="19"/>
      <c r="F2" s="36"/>
      <c r="G2" s="36" t="s">
        <v>299</v>
      </c>
      <c r="H2" s="55">
        <f>MAX(B2:B38)</f>
        <v>6800</v>
      </c>
    </row>
    <row r="3" spans="1:15" x14ac:dyDescent="0.3">
      <c r="A3" s="3" t="s">
        <v>288</v>
      </c>
      <c r="B3" s="19">
        <v>5481</v>
      </c>
      <c r="C3" s="19"/>
      <c r="D3" s="19"/>
      <c r="F3" s="36"/>
      <c r="G3" s="36" t="s">
        <v>300</v>
      </c>
      <c r="H3" s="55">
        <f>MIN(B3:B39)</f>
        <v>196</v>
      </c>
    </row>
    <row r="4" spans="1:15" x14ac:dyDescent="0.3">
      <c r="A4" s="3" t="s">
        <v>289</v>
      </c>
      <c r="B4" s="19">
        <v>4510</v>
      </c>
      <c r="C4" s="19"/>
      <c r="D4" s="19"/>
      <c r="F4" s="2" t="s">
        <v>301</v>
      </c>
      <c r="G4" s="2">
        <v>1</v>
      </c>
      <c r="H4" s="4">
        <f>LARGE($B$2:$B$38,G4)</f>
        <v>6800</v>
      </c>
    </row>
    <row r="5" spans="1:15" x14ac:dyDescent="0.3">
      <c r="A5" s="3" t="s">
        <v>285</v>
      </c>
      <c r="B5" s="38">
        <v>3375</v>
      </c>
      <c r="C5" s="19"/>
      <c r="D5" s="19"/>
      <c r="F5" s="2"/>
      <c r="G5" s="2">
        <v>2</v>
      </c>
      <c r="H5" s="4">
        <f t="shared" ref="H5:H6" si="0">LARGE($B$2:$B$38,G5)</f>
        <v>5481</v>
      </c>
    </row>
    <row r="6" spans="1:15" x14ac:dyDescent="0.3">
      <c r="A6" s="3" t="s">
        <v>279</v>
      </c>
      <c r="B6" s="38">
        <v>3375</v>
      </c>
      <c r="C6" s="19"/>
      <c r="D6" s="19"/>
      <c r="F6" s="2"/>
      <c r="G6" s="2">
        <v>3</v>
      </c>
      <c r="H6" s="4">
        <f t="shared" si="0"/>
        <v>4510</v>
      </c>
      <c r="J6" s="91" t="s">
        <v>341</v>
      </c>
      <c r="K6" s="91"/>
      <c r="L6" s="91"/>
      <c r="M6" s="91"/>
      <c r="N6" s="91"/>
      <c r="O6" s="91"/>
    </row>
    <row r="7" spans="1:15" x14ac:dyDescent="0.3">
      <c r="A7" s="3" t="s">
        <v>270</v>
      </c>
      <c r="B7" s="19">
        <v>2890</v>
      </c>
      <c r="C7" s="19"/>
      <c r="D7" s="19"/>
      <c r="G7" s="2">
        <v>4</v>
      </c>
      <c r="H7">
        <f>LARGE($B$2:$B$38,G7)</f>
        <v>3375</v>
      </c>
    </row>
    <row r="8" spans="1:15" x14ac:dyDescent="0.3">
      <c r="A8" s="3" t="s">
        <v>278</v>
      </c>
      <c r="B8" s="19">
        <v>1674</v>
      </c>
      <c r="C8" s="19"/>
      <c r="D8" s="19"/>
      <c r="G8" s="2">
        <v>5</v>
      </c>
      <c r="H8">
        <f t="shared" ref="H8:H13" si="1">LARGE($B$2:$B$38,G8)</f>
        <v>3375</v>
      </c>
    </row>
    <row r="9" spans="1:15" x14ac:dyDescent="0.3">
      <c r="A9" s="3" t="s">
        <v>262</v>
      </c>
      <c r="B9" s="19">
        <v>1500</v>
      </c>
      <c r="C9" s="19"/>
      <c r="D9" s="19"/>
      <c r="G9" s="2">
        <v>6</v>
      </c>
      <c r="H9">
        <f t="shared" si="1"/>
        <v>2890</v>
      </c>
    </row>
    <row r="10" spans="1:15" x14ac:dyDescent="0.3">
      <c r="A10" s="3" t="s">
        <v>290</v>
      </c>
      <c r="B10" s="19">
        <v>1410</v>
      </c>
      <c r="C10" s="19"/>
      <c r="D10" s="19"/>
      <c r="G10" s="2">
        <v>7</v>
      </c>
      <c r="H10">
        <f t="shared" si="1"/>
        <v>1674</v>
      </c>
    </row>
    <row r="11" spans="1:15" x14ac:dyDescent="0.3">
      <c r="A11" s="3" t="s">
        <v>291</v>
      </c>
      <c r="B11" s="19">
        <v>1147</v>
      </c>
      <c r="C11" s="19"/>
      <c r="D11" s="19"/>
      <c r="G11" s="2">
        <v>8</v>
      </c>
      <c r="H11">
        <f t="shared" si="1"/>
        <v>1500</v>
      </c>
    </row>
    <row r="12" spans="1:15" x14ac:dyDescent="0.3">
      <c r="A12" s="3" t="s">
        <v>292</v>
      </c>
      <c r="B12" s="19">
        <v>1131</v>
      </c>
      <c r="C12" s="19"/>
      <c r="D12" s="19"/>
      <c r="G12" s="2">
        <v>9</v>
      </c>
      <c r="H12">
        <f t="shared" si="1"/>
        <v>1410</v>
      </c>
    </row>
    <row r="13" spans="1:15" x14ac:dyDescent="0.3">
      <c r="A13" s="3" t="s">
        <v>271</v>
      </c>
      <c r="B13" s="19">
        <v>1079</v>
      </c>
      <c r="C13" s="19"/>
      <c r="D13" s="19"/>
      <c r="G13" s="2">
        <v>10</v>
      </c>
      <c r="H13">
        <f t="shared" si="1"/>
        <v>1147</v>
      </c>
    </row>
    <row r="14" spans="1:15" x14ac:dyDescent="0.3">
      <c r="A14" s="3" t="s">
        <v>293</v>
      </c>
      <c r="B14" s="19">
        <v>1020</v>
      </c>
      <c r="C14" s="19"/>
      <c r="D14" s="19"/>
    </row>
    <row r="15" spans="1:15" x14ac:dyDescent="0.3">
      <c r="A15" s="3" t="s">
        <v>265</v>
      </c>
      <c r="B15" s="19">
        <v>972</v>
      </c>
      <c r="C15" s="19"/>
      <c r="D15" s="19"/>
      <c r="F15" s="2" t="s">
        <v>302</v>
      </c>
      <c r="G15" s="2">
        <v>1</v>
      </c>
      <c r="H15" s="4">
        <f t="shared" ref="H15:H24" si="2">SMALL($B$2:$B$38,G15)</f>
        <v>196</v>
      </c>
    </row>
    <row r="16" spans="1:15" x14ac:dyDescent="0.3">
      <c r="A16" s="3" t="s">
        <v>268</v>
      </c>
      <c r="B16" s="38">
        <v>845</v>
      </c>
      <c r="C16" s="19"/>
      <c r="D16" s="19"/>
      <c r="F16" s="2"/>
      <c r="G16" s="2">
        <v>2</v>
      </c>
      <c r="H16" s="4">
        <f t="shared" si="2"/>
        <v>207</v>
      </c>
    </row>
    <row r="17" spans="1:8" x14ac:dyDescent="0.3">
      <c r="A17" s="3" t="s">
        <v>266</v>
      </c>
      <c r="B17" s="38">
        <v>845</v>
      </c>
      <c r="C17" s="19"/>
      <c r="D17" s="19"/>
      <c r="F17" s="2"/>
      <c r="G17" s="2">
        <v>3</v>
      </c>
      <c r="H17" s="4">
        <f t="shared" si="2"/>
        <v>210</v>
      </c>
    </row>
    <row r="18" spans="1:8" x14ac:dyDescent="0.3">
      <c r="A18" s="3" t="s">
        <v>275</v>
      </c>
      <c r="B18" s="19">
        <v>576</v>
      </c>
      <c r="C18" s="19"/>
      <c r="D18" s="19"/>
      <c r="G18" s="2">
        <v>4</v>
      </c>
      <c r="H18">
        <f t="shared" si="2"/>
        <v>219</v>
      </c>
    </row>
    <row r="19" spans="1:8" x14ac:dyDescent="0.3">
      <c r="A19" s="3" t="s">
        <v>294</v>
      </c>
      <c r="B19" s="19">
        <v>534</v>
      </c>
      <c r="C19" s="19"/>
      <c r="D19" s="19"/>
      <c r="G19" s="2">
        <v>5</v>
      </c>
      <c r="H19">
        <f t="shared" si="2"/>
        <v>231</v>
      </c>
    </row>
    <row r="20" spans="1:8" x14ac:dyDescent="0.3">
      <c r="A20" s="3" t="s">
        <v>264</v>
      </c>
      <c r="B20" s="19">
        <v>490</v>
      </c>
      <c r="C20" s="19"/>
      <c r="D20" s="19"/>
      <c r="G20" s="2">
        <v>6</v>
      </c>
      <c r="H20">
        <f t="shared" si="2"/>
        <v>240</v>
      </c>
    </row>
    <row r="21" spans="1:8" x14ac:dyDescent="0.3">
      <c r="A21" s="3" t="s">
        <v>272</v>
      </c>
      <c r="B21" s="19">
        <v>468</v>
      </c>
      <c r="C21" s="19"/>
      <c r="D21" s="19"/>
      <c r="G21" s="2">
        <v>7</v>
      </c>
      <c r="H21">
        <f t="shared" si="2"/>
        <v>240</v>
      </c>
    </row>
    <row r="22" spans="1:8" x14ac:dyDescent="0.3">
      <c r="A22" s="3" t="s">
        <v>295</v>
      </c>
      <c r="B22" s="19">
        <v>440</v>
      </c>
      <c r="C22" s="19"/>
      <c r="D22" s="19"/>
      <c r="G22" s="2">
        <v>8</v>
      </c>
      <c r="H22">
        <f t="shared" si="2"/>
        <v>248</v>
      </c>
    </row>
    <row r="23" spans="1:8" x14ac:dyDescent="0.3">
      <c r="A23" s="3" t="s">
        <v>283</v>
      </c>
      <c r="B23" s="19">
        <v>400</v>
      </c>
      <c r="C23" s="19"/>
      <c r="D23" s="19"/>
      <c r="G23" s="2">
        <v>9</v>
      </c>
      <c r="H23">
        <f t="shared" si="2"/>
        <v>252</v>
      </c>
    </row>
    <row r="24" spans="1:8" x14ac:dyDescent="0.3">
      <c r="A24" s="3" t="s">
        <v>269</v>
      </c>
      <c r="B24" s="19">
        <v>368</v>
      </c>
      <c r="C24" s="19"/>
      <c r="D24" s="19"/>
      <c r="G24" s="2">
        <v>10</v>
      </c>
      <c r="H24">
        <f t="shared" si="2"/>
        <v>264</v>
      </c>
    </row>
    <row r="25" spans="1:8" x14ac:dyDescent="0.3">
      <c r="A25" s="3" t="s">
        <v>296</v>
      </c>
      <c r="B25" s="19">
        <v>366</v>
      </c>
      <c r="C25" s="19"/>
      <c r="D25" s="19"/>
    </row>
    <row r="26" spans="1:8" x14ac:dyDescent="0.3">
      <c r="A26" s="3" t="s">
        <v>274</v>
      </c>
      <c r="B26" s="19">
        <v>360</v>
      </c>
      <c r="C26" s="19"/>
      <c r="D26" s="19"/>
    </row>
    <row r="27" spans="1:8" x14ac:dyDescent="0.3">
      <c r="A27" s="3" t="s">
        <v>273</v>
      </c>
      <c r="B27" s="19">
        <v>330</v>
      </c>
      <c r="C27" s="19"/>
      <c r="D27" s="19"/>
    </row>
    <row r="28" spans="1:8" x14ac:dyDescent="0.3">
      <c r="A28" s="3" t="s">
        <v>276</v>
      </c>
      <c r="B28" s="19">
        <v>328</v>
      </c>
      <c r="C28" s="19"/>
      <c r="D28" s="19"/>
    </row>
    <row r="29" spans="1:8" x14ac:dyDescent="0.3">
      <c r="A29" s="3" t="s">
        <v>297</v>
      </c>
      <c r="B29" s="19">
        <v>264</v>
      </c>
      <c r="C29" s="19"/>
      <c r="D29" s="19"/>
    </row>
    <row r="30" spans="1:8" x14ac:dyDescent="0.3">
      <c r="A30" s="3" t="s">
        <v>267</v>
      </c>
      <c r="B30" s="19">
        <v>252</v>
      </c>
      <c r="C30" s="19"/>
      <c r="D30" s="19"/>
    </row>
    <row r="31" spans="1:8" x14ac:dyDescent="0.3">
      <c r="A31" s="3" t="s">
        <v>281</v>
      </c>
      <c r="B31" s="19">
        <v>248</v>
      </c>
      <c r="C31" s="19"/>
      <c r="D31" s="19"/>
    </row>
    <row r="32" spans="1:8" x14ac:dyDescent="0.3">
      <c r="A32" s="3" t="s">
        <v>277</v>
      </c>
      <c r="B32" s="19">
        <v>240</v>
      </c>
      <c r="C32" s="19"/>
      <c r="D32" s="19"/>
    </row>
    <row r="33" spans="1:4" x14ac:dyDescent="0.3">
      <c r="A33" s="3" t="s">
        <v>261</v>
      </c>
      <c r="B33" s="19">
        <v>240</v>
      </c>
      <c r="C33" s="19"/>
      <c r="D33" s="19"/>
    </row>
    <row r="34" spans="1:4" x14ac:dyDescent="0.3">
      <c r="A34" s="3" t="s">
        <v>263</v>
      </c>
      <c r="B34" s="19">
        <v>231</v>
      </c>
      <c r="C34" s="19"/>
      <c r="D34" s="19"/>
    </row>
    <row r="35" spans="1:4" x14ac:dyDescent="0.3">
      <c r="A35" s="3" t="s">
        <v>282</v>
      </c>
      <c r="B35" s="19">
        <v>219</v>
      </c>
      <c r="C35" s="19"/>
      <c r="D35" s="19"/>
    </row>
    <row r="36" spans="1:4" x14ac:dyDescent="0.3">
      <c r="A36" s="3" t="s">
        <v>280</v>
      </c>
      <c r="B36" s="19">
        <v>210</v>
      </c>
      <c r="C36" s="19"/>
      <c r="D36" s="19"/>
    </row>
    <row r="37" spans="1:4" x14ac:dyDescent="0.3">
      <c r="A37" s="3" t="s">
        <v>284</v>
      </c>
      <c r="B37" s="19">
        <v>207</v>
      </c>
      <c r="C37" s="19"/>
      <c r="D37" s="19"/>
    </row>
    <row r="38" spans="1:4" x14ac:dyDescent="0.3">
      <c r="A38" s="3" t="s">
        <v>298</v>
      </c>
      <c r="B38" s="19">
        <v>196</v>
      </c>
      <c r="C38" s="19"/>
      <c r="D38" s="19"/>
    </row>
    <row r="39" spans="1:4" x14ac:dyDescent="0.3">
      <c r="A39" s="3"/>
      <c r="B39" s="19"/>
      <c r="C39" s="19"/>
      <c r="D39" s="19"/>
    </row>
    <row r="40" spans="1:4" x14ac:dyDescent="0.3">
      <c r="A40" s="3"/>
      <c r="B40" s="19"/>
      <c r="C40" s="19"/>
      <c r="D40" s="19"/>
    </row>
    <row r="41" spans="1:4" x14ac:dyDescent="0.3">
      <c r="A41" s="3"/>
      <c r="B41" s="19"/>
      <c r="C41" s="19"/>
      <c r="D41" s="19"/>
    </row>
    <row r="42" spans="1:4" x14ac:dyDescent="0.3">
      <c r="A42" s="3"/>
      <c r="B42" s="19"/>
      <c r="C42" s="19"/>
      <c r="D42" s="19"/>
    </row>
    <row r="43" spans="1:4" x14ac:dyDescent="0.3">
      <c r="A43" s="3"/>
      <c r="B43" s="19"/>
      <c r="C43" s="19"/>
      <c r="D43" s="19"/>
    </row>
    <row r="44" spans="1:4" x14ac:dyDescent="0.3">
      <c r="A44" s="3"/>
      <c r="B44" s="19"/>
      <c r="C44" s="19"/>
      <c r="D44" s="19"/>
    </row>
    <row r="45" spans="1:4" x14ac:dyDescent="0.3">
      <c r="A45" s="3"/>
      <c r="B45" s="19"/>
      <c r="C45" s="19"/>
      <c r="D45" s="19"/>
    </row>
    <row r="46" spans="1:4" x14ac:dyDescent="0.3">
      <c r="A46" s="3"/>
      <c r="B46" s="19"/>
      <c r="C46" s="19"/>
      <c r="D46" s="19"/>
    </row>
    <row r="47" spans="1:4" x14ac:dyDescent="0.3">
      <c r="A47" s="3"/>
      <c r="B47" s="19"/>
      <c r="C47" s="19"/>
      <c r="D47" s="19"/>
    </row>
    <row r="48" spans="1:4" x14ac:dyDescent="0.3">
      <c r="A48" s="3"/>
      <c r="B48" s="19"/>
      <c r="C48" s="19"/>
      <c r="D48" s="19"/>
    </row>
    <row r="49" spans="1:4" x14ac:dyDescent="0.3">
      <c r="A49" s="3"/>
      <c r="B49" s="19"/>
      <c r="C49" s="19"/>
      <c r="D49" s="19"/>
    </row>
    <row r="50" spans="1:4" x14ac:dyDescent="0.3">
      <c r="A50" s="3"/>
      <c r="B50" s="19"/>
      <c r="C50" s="19"/>
      <c r="D50" s="19"/>
    </row>
    <row r="51" spans="1:4" x14ac:dyDescent="0.3">
      <c r="A51" s="3"/>
      <c r="B51" s="19"/>
      <c r="C51" s="19"/>
      <c r="D51" s="19"/>
    </row>
    <row r="52" spans="1:4" x14ac:dyDescent="0.3">
      <c r="A52" s="3"/>
      <c r="B52" s="19"/>
      <c r="C52" s="19"/>
      <c r="D52" s="19"/>
    </row>
    <row r="53" spans="1:4" x14ac:dyDescent="0.3">
      <c r="A53" s="3"/>
      <c r="B53" s="19"/>
      <c r="C53" s="19"/>
      <c r="D53" s="19"/>
    </row>
    <row r="54" spans="1:4" x14ac:dyDescent="0.3">
      <c r="A54" s="3"/>
      <c r="B54" s="19"/>
      <c r="C54" s="19"/>
      <c r="D54" s="19"/>
    </row>
    <row r="55" spans="1:4" x14ac:dyDescent="0.3">
      <c r="A55" s="3"/>
      <c r="B55" s="19"/>
      <c r="C55" s="19"/>
      <c r="D55" s="19"/>
    </row>
    <row r="56" spans="1:4" x14ac:dyDescent="0.3">
      <c r="A56" s="3"/>
      <c r="B56" s="19"/>
      <c r="C56" s="19"/>
      <c r="D56" s="19"/>
    </row>
    <row r="57" spans="1:4" x14ac:dyDescent="0.3">
      <c r="A57" s="3"/>
      <c r="B57" s="19"/>
      <c r="C57" s="19"/>
      <c r="D57" s="19"/>
    </row>
    <row r="58" spans="1:4" x14ac:dyDescent="0.3">
      <c r="A58" s="3"/>
      <c r="B58" s="19"/>
      <c r="C58" s="19"/>
      <c r="D58" s="19"/>
    </row>
    <row r="59" spans="1:4" x14ac:dyDescent="0.3">
      <c r="A59" s="3"/>
      <c r="B59" s="19"/>
      <c r="C59" s="19"/>
      <c r="D59" s="19"/>
    </row>
    <row r="60" spans="1:4" x14ac:dyDescent="0.3">
      <c r="A60" s="3"/>
      <c r="B60" s="19"/>
      <c r="C60" s="19"/>
      <c r="D60" s="19"/>
    </row>
    <row r="61" spans="1:4" x14ac:dyDescent="0.3">
      <c r="A61" s="3"/>
      <c r="B61" s="19"/>
      <c r="C61" s="19"/>
      <c r="D61" s="19"/>
    </row>
    <row r="62" spans="1:4" x14ac:dyDescent="0.3">
      <c r="A62" s="3"/>
      <c r="B62" s="19"/>
      <c r="C62" s="19"/>
      <c r="D62" s="19"/>
    </row>
    <row r="63" spans="1:4" x14ac:dyDescent="0.3">
      <c r="A63" s="3"/>
      <c r="B63" s="19"/>
      <c r="C63" s="19"/>
      <c r="D63" s="19"/>
    </row>
    <row r="64" spans="1:4" x14ac:dyDescent="0.3">
      <c r="A64" s="3"/>
      <c r="B64" s="19"/>
      <c r="C64" s="19"/>
      <c r="D64" s="19"/>
    </row>
    <row r="65" spans="1:4" x14ac:dyDescent="0.3">
      <c r="A65" s="3"/>
      <c r="B65" s="19"/>
      <c r="C65" s="19"/>
      <c r="D65" s="19"/>
    </row>
    <row r="66" spans="1:4" x14ac:dyDescent="0.3">
      <c r="A66" s="3"/>
      <c r="B66" s="19"/>
      <c r="C66" s="19"/>
      <c r="D66" s="19"/>
    </row>
    <row r="67" spans="1:4" x14ac:dyDescent="0.3">
      <c r="A67" s="3"/>
      <c r="B67" s="19"/>
      <c r="C67" s="19"/>
      <c r="D67" s="19"/>
    </row>
    <row r="68" spans="1:4" x14ac:dyDescent="0.3">
      <c r="A68" s="3"/>
      <c r="B68" s="19"/>
      <c r="C68" s="19"/>
      <c r="D68" s="19"/>
    </row>
    <row r="69" spans="1:4" x14ac:dyDescent="0.3">
      <c r="A69" s="3"/>
      <c r="B69" s="19"/>
      <c r="C69" s="19"/>
      <c r="D69" s="19"/>
    </row>
    <row r="70" spans="1:4" x14ac:dyDescent="0.3">
      <c r="A70" s="3"/>
      <c r="B70" s="19"/>
      <c r="C70" s="19"/>
      <c r="D70" s="19"/>
    </row>
    <row r="71" spans="1:4" x14ac:dyDescent="0.3">
      <c r="A71" s="3"/>
      <c r="B71" s="19"/>
      <c r="C71" s="19"/>
      <c r="D71" s="19"/>
    </row>
    <row r="72" spans="1:4" x14ac:dyDescent="0.3">
      <c r="A72" s="3"/>
      <c r="B72" s="19"/>
      <c r="C72" s="19"/>
      <c r="D72" s="19"/>
    </row>
    <row r="73" spans="1:4" x14ac:dyDescent="0.3">
      <c r="A73" s="3"/>
      <c r="B73" s="19"/>
      <c r="C73" s="19"/>
      <c r="D73" s="19"/>
    </row>
    <row r="74" spans="1:4" x14ac:dyDescent="0.3">
      <c r="A74" s="3"/>
      <c r="B74" s="19"/>
      <c r="C74" s="19"/>
      <c r="D74" s="19"/>
    </row>
    <row r="75" spans="1:4" x14ac:dyDescent="0.3">
      <c r="A75" s="3"/>
      <c r="B75" s="19"/>
      <c r="C75" s="19"/>
      <c r="D75" s="19"/>
    </row>
    <row r="76" spans="1:4" x14ac:dyDescent="0.3">
      <c r="A76" s="3"/>
      <c r="B76" s="19"/>
      <c r="C76" s="19"/>
      <c r="D76" s="19"/>
    </row>
    <row r="77" spans="1:4" x14ac:dyDescent="0.3">
      <c r="A77" s="3"/>
      <c r="B77" s="19"/>
      <c r="C77" s="19"/>
      <c r="D77" s="19"/>
    </row>
    <row r="78" spans="1:4" x14ac:dyDescent="0.3">
      <c r="A78" s="3"/>
      <c r="B78" s="19"/>
      <c r="C78" s="19"/>
      <c r="D78" s="19"/>
    </row>
    <row r="79" spans="1:4" x14ac:dyDescent="0.3">
      <c r="A79" s="3"/>
      <c r="B79" s="19"/>
      <c r="C79" s="19"/>
      <c r="D79" s="19"/>
    </row>
    <row r="80" spans="1:4" x14ac:dyDescent="0.3">
      <c r="A80" s="3"/>
      <c r="B80" s="19"/>
      <c r="C80" s="19"/>
      <c r="D80" s="19"/>
    </row>
    <row r="81" spans="1:4" x14ac:dyDescent="0.3">
      <c r="A81" s="3"/>
      <c r="B81" s="19"/>
      <c r="C81" s="19"/>
      <c r="D81" s="19"/>
    </row>
    <row r="82" spans="1:4" x14ac:dyDescent="0.3">
      <c r="A82" s="3"/>
      <c r="B82" s="19"/>
      <c r="C82" s="19"/>
      <c r="D82" s="19"/>
    </row>
    <row r="83" spans="1:4" x14ac:dyDescent="0.3">
      <c r="A83" s="3"/>
      <c r="B83" s="19"/>
      <c r="C83" s="19"/>
      <c r="D83" s="19"/>
    </row>
    <row r="84" spans="1:4" x14ac:dyDescent="0.3">
      <c r="A84" s="3"/>
      <c r="B84" s="19"/>
      <c r="C84" s="19"/>
      <c r="D84" s="19"/>
    </row>
    <row r="85" spans="1:4" x14ac:dyDescent="0.3">
      <c r="A85" s="3"/>
      <c r="B85" s="19"/>
      <c r="C85" s="19"/>
      <c r="D85" s="19"/>
    </row>
    <row r="86" spans="1:4" x14ac:dyDescent="0.3">
      <c r="A86" s="3"/>
      <c r="B86" s="19"/>
      <c r="C86" s="19"/>
      <c r="D86" s="19"/>
    </row>
    <row r="87" spans="1:4" x14ac:dyDescent="0.3">
      <c r="A87" s="3"/>
      <c r="B87" s="19"/>
      <c r="C87" s="19"/>
      <c r="D87" s="19"/>
    </row>
    <row r="88" spans="1:4" x14ac:dyDescent="0.3">
      <c r="A88" s="3"/>
      <c r="B88" s="19"/>
      <c r="C88" s="19"/>
      <c r="D88" s="19"/>
    </row>
    <row r="89" spans="1:4" x14ac:dyDescent="0.3">
      <c r="A89" s="3"/>
      <c r="B89" s="19"/>
      <c r="C89" s="19"/>
      <c r="D89" s="19"/>
    </row>
    <row r="90" spans="1:4" x14ac:dyDescent="0.3">
      <c r="A90" s="3"/>
      <c r="B90" s="19"/>
      <c r="C90" s="19"/>
      <c r="D90" s="19"/>
    </row>
    <row r="91" spans="1:4" x14ac:dyDescent="0.3">
      <c r="A91" s="3"/>
      <c r="B91" s="19"/>
      <c r="C91" s="19"/>
      <c r="D91" s="19"/>
    </row>
    <row r="92" spans="1:4" x14ac:dyDescent="0.3">
      <c r="A92" s="3"/>
      <c r="B92" s="19"/>
      <c r="C92" s="19"/>
      <c r="D92" s="19"/>
    </row>
    <row r="93" spans="1:4" x14ac:dyDescent="0.3">
      <c r="A93" s="3"/>
      <c r="B93" s="19"/>
      <c r="C93" s="19"/>
      <c r="D93" s="19"/>
    </row>
    <row r="94" spans="1:4" x14ac:dyDescent="0.3">
      <c r="A94" s="3"/>
      <c r="B94" s="19"/>
      <c r="C94" s="19"/>
      <c r="D94" s="19"/>
    </row>
    <row r="95" spans="1:4" x14ac:dyDescent="0.3">
      <c r="A95" s="3"/>
      <c r="B95" s="19"/>
      <c r="C95" s="19"/>
      <c r="D95" s="19"/>
    </row>
    <row r="96" spans="1:4" x14ac:dyDescent="0.3">
      <c r="A96" s="3"/>
      <c r="B96" s="19"/>
      <c r="C96" s="19"/>
      <c r="D96" s="19"/>
    </row>
    <row r="97" spans="1:4" x14ac:dyDescent="0.3">
      <c r="A97" s="3"/>
      <c r="B97" s="19"/>
      <c r="C97" s="19"/>
      <c r="D97" s="19"/>
    </row>
    <row r="98" spans="1:4" x14ac:dyDescent="0.3">
      <c r="A98" s="3"/>
      <c r="B98" s="19"/>
      <c r="C98" s="19"/>
      <c r="D98" s="19"/>
    </row>
    <row r="99" spans="1:4" x14ac:dyDescent="0.3">
      <c r="A99" s="3"/>
      <c r="B99" s="19"/>
      <c r="C99" s="19"/>
      <c r="D99" s="19"/>
    </row>
    <row r="100" spans="1:4" x14ac:dyDescent="0.3">
      <c r="A100" s="3"/>
      <c r="B100" s="19"/>
      <c r="C100" s="19"/>
      <c r="D100" s="19"/>
    </row>
  </sheetData>
  <sortState xmlns:xlrd2="http://schemas.microsoft.com/office/spreadsheetml/2017/richdata2" ref="A2:B182">
    <sortCondition descending="1" ref="B2:B18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J20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RowHeight="14.4" x14ac:dyDescent="0.3"/>
  <cols>
    <col min="1" max="1" width="27.88671875" bestFit="1" customWidth="1"/>
    <col min="2" max="2" width="11" bestFit="1" customWidth="1"/>
    <col min="3" max="3" width="12" bestFit="1" customWidth="1"/>
    <col min="4" max="4" width="1.5546875" customWidth="1"/>
  </cols>
  <sheetData>
    <row r="1" spans="1:10" x14ac:dyDescent="0.3">
      <c r="A1" s="7" t="s">
        <v>0</v>
      </c>
      <c r="B1" s="7" t="s">
        <v>1</v>
      </c>
      <c r="C1" s="7" t="s">
        <v>211</v>
      </c>
    </row>
    <row r="2" spans="1:10" x14ac:dyDescent="0.3">
      <c r="A2" t="s">
        <v>212</v>
      </c>
      <c r="B2">
        <v>15368.3559</v>
      </c>
      <c r="C2" s="95">
        <f>ROUND(B2,2)</f>
        <v>15368.36</v>
      </c>
      <c r="D2" s="92"/>
      <c r="E2" s="94" t="s">
        <v>343</v>
      </c>
      <c r="F2" s="93"/>
      <c r="G2" s="93"/>
      <c r="H2" s="93"/>
      <c r="I2" s="93"/>
      <c r="J2" s="96">
        <f>ROUND(C2,-2)</f>
        <v>15400</v>
      </c>
    </row>
    <row r="3" spans="1:10" x14ac:dyDescent="0.3">
      <c r="A3" t="s">
        <v>213</v>
      </c>
      <c r="B3">
        <v>258.43200000000002</v>
      </c>
      <c r="C3" s="4">
        <f>ROUNDUP(B3,0)</f>
        <v>259</v>
      </c>
      <c r="E3" s="111" t="s">
        <v>342</v>
      </c>
      <c r="F3" s="111"/>
      <c r="G3" s="111"/>
      <c r="H3" s="111"/>
      <c r="I3" s="111"/>
      <c r="J3" s="111"/>
    </row>
    <row r="4" spans="1:10" x14ac:dyDescent="0.3">
      <c r="A4" t="s">
        <v>214</v>
      </c>
      <c r="B4">
        <v>791.56780000000003</v>
      </c>
      <c r="C4" s="4">
        <f>ROUNDDOWN(B4,0)</f>
        <v>791</v>
      </c>
      <c r="E4" s="111"/>
      <c r="F4" s="111"/>
      <c r="G4" s="111"/>
      <c r="H4" s="111"/>
      <c r="I4" s="111"/>
      <c r="J4" s="111"/>
    </row>
    <row r="7" spans="1:10" x14ac:dyDescent="0.3">
      <c r="B7">
        <v>259.05599999999998</v>
      </c>
      <c r="C7">
        <f>INT(B7)</f>
        <v>259</v>
      </c>
      <c r="E7" t="s">
        <v>344</v>
      </c>
    </row>
    <row r="19" spans="6:6" x14ac:dyDescent="0.3">
      <c r="F19" s="8"/>
    </row>
    <row r="20" spans="6:6" x14ac:dyDescent="0.3">
      <c r="F20" s="8"/>
    </row>
  </sheetData>
  <mergeCells count="1">
    <mergeCell ref="E3:J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L33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14.4" x14ac:dyDescent="0.3"/>
  <cols>
    <col min="1" max="1" width="16.44140625" style="141" customWidth="1"/>
    <col min="2" max="6" width="14.5546875" style="127" customWidth="1"/>
    <col min="7" max="7" width="16.6640625" style="127" customWidth="1"/>
    <col min="8" max="8" width="13.5546875" style="127" customWidth="1"/>
    <col min="9" max="9" width="19" style="127" bestFit="1" customWidth="1"/>
    <col min="10" max="10" width="17" style="127" bestFit="1" customWidth="1"/>
    <col min="11" max="12" width="30.88671875" style="127" customWidth="1"/>
    <col min="13" max="16384" width="8.88671875" style="127"/>
  </cols>
  <sheetData>
    <row r="1" spans="1:12" x14ac:dyDescent="0.3">
      <c r="A1" s="42" t="s">
        <v>255</v>
      </c>
      <c r="B1" s="42" t="s">
        <v>305</v>
      </c>
      <c r="C1" s="42" t="s">
        <v>306</v>
      </c>
      <c r="D1" s="42" t="s">
        <v>307</v>
      </c>
      <c r="E1" s="42" t="s">
        <v>318</v>
      </c>
      <c r="F1" s="42" t="s">
        <v>308</v>
      </c>
      <c r="G1" s="42" t="s">
        <v>309</v>
      </c>
      <c r="H1" s="126"/>
      <c r="I1" s="44" t="s">
        <v>314</v>
      </c>
      <c r="J1" s="44" t="s">
        <v>315</v>
      </c>
      <c r="K1" s="44" t="s">
        <v>317</v>
      </c>
    </row>
    <row r="2" spans="1:12" ht="17.25" customHeight="1" x14ac:dyDescent="0.3">
      <c r="A2" s="128">
        <v>44692</v>
      </c>
      <c r="B2" s="129">
        <f>DAY(A2)</f>
        <v>11</v>
      </c>
      <c r="C2" s="129">
        <f>MONTH(A2)</f>
        <v>5</v>
      </c>
      <c r="D2" s="129">
        <f>YEAR(A2)</f>
        <v>2022</v>
      </c>
      <c r="E2" s="97">
        <f>DATE(D2,C2,B2)</f>
        <v>44692</v>
      </c>
      <c r="F2" s="129">
        <f>WEEKDAY(E2,2)</f>
        <v>3</v>
      </c>
      <c r="G2" s="129">
        <f>_xlfn.ISOWEEKNUM(A2)</f>
        <v>19</v>
      </c>
      <c r="H2" s="126"/>
      <c r="I2" s="97">
        <f ca="1">TODAY()</f>
        <v>44834</v>
      </c>
      <c r="J2" s="98">
        <f ca="1">NOW()</f>
        <v>44834.865885069441</v>
      </c>
      <c r="L2" s="126"/>
    </row>
    <row r="3" spans="1:12" ht="17.25" customHeight="1" x14ac:dyDescent="0.3">
      <c r="A3" s="128">
        <v>44693</v>
      </c>
      <c r="B3" s="129">
        <f t="shared" ref="B3:B29" si="0">DAY(A3)</f>
        <v>12</v>
      </c>
      <c r="C3" s="129">
        <f t="shared" ref="C3:C29" si="1">MONTH(A3)</f>
        <v>5</v>
      </c>
      <c r="D3" s="129">
        <f t="shared" ref="D3:D29" si="2">YEAR(A3)</f>
        <v>2022</v>
      </c>
      <c r="E3" s="130">
        <f t="shared" ref="E3:E29" si="3">DATE(D3,C3,B3)</f>
        <v>44693</v>
      </c>
      <c r="F3" s="129">
        <f t="shared" ref="F3:F29" si="4">WEEKDAY(E3,2)</f>
        <v>4</v>
      </c>
      <c r="G3" s="129">
        <f t="shared" ref="G3:G29" si="5">_xlfn.ISOWEEKNUM(A3)</f>
        <v>19</v>
      </c>
      <c r="H3" s="126"/>
      <c r="I3" s="108">
        <f ca="1">TODAY()+4</f>
        <v>44838</v>
      </c>
      <c r="J3" s="126"/>
      <c r="L3" s="126"/>
    </row>
    <row r="4" spans="1:12" ht="17.25" customHeight="1" x14ac:dyDescent="0.3">
      <c r="A4" s="128">
        <v>44694</v>
      </c>
      <c r="B4" s="129">
        <f t="shared" si="0"/>
        <v>13</v>
      </c>
      <c r="C4" s="129">
        <f t="shared" si="1"/>
        <v>5</v>
      </c>
      <c r="D4" s="129">
        <f t="shared" si="2"/>
        <v>2022</v>
      </c>
      <c r="E4" s="130">
        <f t="shared" si="3"/>
        <v>44694</v>
      </c>
      <c r="F4" s="129">
        <f t="shared" si="4"/>
        <v>5</v>
      </c>
      <c r="G4" s="129">
        <f t="shared" si="5"/>
        <v>19</v>
      </c>
      <c r="H4" s="126"/>
      <c r="I4" s="43">
        <v>43831</v>
      </c>
      <c r="J4" s="126"/>
      <c r="K4" s="131" t="s">
        <v>348</v>
      </c>
      <c r="L4" s="126"/>
    </row>
    <row r="5" spans="1:12" ht="17.25" customHeight="1" x14ac:dyDescent="0.3">
      <c r="A5" s="128">
        <v>44695</v>
      </c>
      <c r="B5" s="129">
        <f t="shared" si="0"/>
        <v>14</v>
      </c>
      <c r="C5" s="129">
        <f t="shared" si="1"/>
        <v>5</v>
      </c>
      <c r="D5" s="129">
        <f t="shared" si="2"/>
        <v>2022</v>
      </c>
      <c r="E5" s="130">
        <f t="shared" si="3"/>
        <v>44695</v>
      </c>
      <c r="F5" s="129">
        <f t="shared" si="4"/>
        <v>6</v>
      </c>
      <c r="G5" s="129">
        <f t="shared" si="5"/>
        <v>19</v>
      </c>
      <c r="H5" s="126"/>
      <c r="I5" s="43">
        <v>43862</v>
      </c>
      <c r="J5" s="126"/>
      <c r="K5" s="44" t="s">
        <v>316</v>
      </c>
      <c r="L5" s="44" t="s">
        <v>351</v>
      </c>
    </row>
    <row r="6" spans="1:12" ht="17.25" customHeight="1" x14ac:dyDescent="0.3">
      <c r="A6" s="128">
        <v>44696</v>
      </c>
      <c r="B6" s="129">
        <f t="shared" si="0"/>
        <v>15</v>
      </c>
      <c r="C6" s="129">
        <f t="shared" si="1"/>
        <v>5</v>
      </c>
      <c r="D6" s="129">
        <f t="shared" si="2"/>
        <v>2022</v>
      </c>
      <c r="E6" s="130">
        <f t="shared" si="3"/>
        <v>44696</v>
      </c>
      <c r="F6" s="129">
        <f t="shared" si="4"/>
        <v>7</v>
      </c>
      <c r="G6" s="129">
        <f t="shared" si="5"/>
        <v>19</v>
      </c>
      <c r="H6" s="126"/>
      <c r="I6" s="43">
        <v>43891</v>
      </c>
      <c r="J6" s="126"/>
      <c r="K6" s="99">
        <f ca="1">DATE(YEAR(I2),MONTH(I2)+1,1)-I2</f>
        <v>1</v>
      </c>
      <c r="L6" s="132">
        <f ca="1">WEEKDAY(I2,2)</f>
        <v>5</v>
      </c>
    </row>
    <row r="7" spans="1:12" ht="17.25" customHeight="1" x14ac:dyDescent="0.3">
      <c r="A7" s="128">
        <v>44697</v>
      </c>
      <c r="B7" s="129">
        <f t="shared" si="0"/>
        <v>16</v>
      </c>
      <c r="C7" s="129">
        <f t="shared" si="1"/>
        <v>5</v>
      </c>
      <c r="D7" s="129">
        <f t="shared" si="2"/>
        <v>2022</v>
      </c>
      <c r="E7" s="130">
        <f t="shared" si="3"/>
        <v>44697</v>
      </c>
      <c r="F7" s="129">
        <f t="shared" si="4"/>
        <v>1</v>
      </c>
      <c r="G7" s="129">
        <f t="shared" si="5"/>
        <v>20</v>
      </c>
      <c r="H7" s="126"/>
      <c r="I7" s="43">
        <v>43922</v>
      </c>
      <c r="J7" s="126"/>
      <c r="K7" s="109">
        <f ca="1">DATE(YEAR(I3),MONTH(I3)+1,1)-I3</f>
        <v>28</v>
      </c>
      <c r="L7" s="133">
        <f ca="1">WEEKDAY(I3,2)</f>
        <v>2</v>
      </c>
    </row>
    <row r="8" spans="1:12" ht="17.25" customHeight="1" x14ac:dyDescent="0.3">
      <c r="A8" s="128">
        <v>44698</v>
      </c>
      <c r="B8" s="129">
        <f t="shared" si="0"/>
        <v>17</v>
      </c>
      <c r="C8" s="129">
        <f t="shared" si="1"/>
        <v>5</v>
      </c>
      <c r="D8" s="129">
        <f t="shared" si="2"/>
        <v>2022</v>
      </c>
      <c r="E8" s="130">
        <f t="shared" si="3"/>
        <v>44698</v>
      </c>
      <c r="F8" s="129">
        <f t="shared" si="4"/>
        <v>2</v>
      </c>
      <c r="G8" s="129">
        <f t="shared" si="5"/>
        <v>20</v>
      </c>
      <c r="H8" s="126"/>
      <c r="I8" s="43">
        <v>43952</v>
      </c>
      <c r="J8" s="126"/>
      <c r="K8" s="126"/>
      <c r="L8" s="126"/>
    </row>
    <row r="9" spans="1:12" ht="17.25" customHeight="1" x14ac:dyDescent="0.3">
      <c r="A9" s="128">
        <v>44699</v>
      </c>
      <c r="B9" s="129">
        <f t="shared" si="0"/>
        <v>18</v>
      </c>
      <c r="C9" s="129">
        <f t="shared" si="1"/>
        <v>5</v>
      </c>
      <c r="D9" s="129">
        <f t="shared" si="2"/>
        <v>2022</v>
      </c>
      <c r="E9" s="130">
        <f t="shared" si="3"/>
        <v>44699</v>
      </c>
      <c r="F9" s="129">
        <f t="shared" si="4"/>
        <v>3</v>
      </c>
      <c r="G9" s="129">
        <f t="shared" si="5"/>
        <v>20</v>
      </c>
      <c r="H9" s="126"/>
      <c r="I9" s="43">
        <v>43983</v>
      </c>
      <c r="J9" s="126"/>
      <c r="K9" s="126"/>
      <c r="L9" s="126"/>
    </row>
    <row r="10" spans="1:12" ht="17.25" customHeight="1" x14ac:dyDescent="0.3">
      <c r="A10" s="128">
        <v>44700</v>
      </c>
      <c r="B10" s="129">
        <f t="shared" si="0"/>
        <v>19</v>
      </c>
      <c r="C10" s="129">
        <f t="shared" si="1"/>
        <v>5</v>
      </c>
      <c r="D10" s="129">
        <f t="shared" si="2"/>
        <v>2022</v>
      </c>
      <c r="E10" s="130">
        <f t="shared" si="3"/>
        <v>44700</v>
      </c>
      <c r="F10" s="129">
        <f t="shared" si="4"/>
        <v>4</v>
      </c>
      <c r="G10" s="129">
        <f t="shared" si="5"/>
        <v>20</v>
      </c>
      <c r="H10" s="126"/>
      <c r="I10" s="43">
        <v>44013</v>
      </c>
      <c r="J10" s="126"/>
      <c r="K10" s="126"/>
      <c r="L10" s="126"/>
    </row>
    <row r="11" spans="1:12" ht="17.25" customHeight="1" x14ac:dyDescent="0.3">
      <c r="A11" s="128">
        <v>44701</v>
      </c>
      <c r="B11" s="129">
        <f t="shared" si="0"/>
        <v>20</v>
      </c>
      <c r="C11" s="129">
        <f t="shared" si="1"/>
        <v>5</v>
      </c>
      <c r="D11" s="129">
        <f t="shared" si="2"/>
        <v>2022</v>
      </c>
      <c r="E11" s="130">
        <f t="shared" si="3"/>
        <v>44701</v>
      </c>
      <c r="F11" s="129">
        <f t="shared" si="4"/>
        <v>5</v>
      </c>
      <c r="G11" s="129">
        <f t="shared" si="5"/>
        <v>20</v>
      </c>
      <c r="H11" s="126"/>
      <c r="I11" s="43">
        <v>44044</v>
      </c>
      <c r="J11" s="126"/>
      <c r="K11" s="126"/>
      <c r="L11" s="126"/>
    </row>
    <row r="12" spans="1:12" ht="17.25" customHeight="1" x14ac:dyDescent="0.3">
      <c r="A12" s="128">
        <v>44702</v>
      </c>
      <c r="B12" s="129">
        <f t="shared" si="0"/>
        <v>21</v>
      </c>
      <c r="C12" s="129">
        <f t="shared" si="1"/>
        <v>5</v>
      </c>
      <c r="D12" s="129">
        <f t="shared" si="2"/>
        <v>2022</v>
      </c>
      <c r="E12" s="130">
        <f t="shared" si="3"/>
        <v>44702</v>
      </c>
      <c r="F12" s="129">
        <f t="shared" si="4"/>
        <v>6</v>
      </c>
      <c r="G12" s="129">
        <f t="shared" si="5"/>
        <v>20</v>
      </c>
      <c r="H12" s="126"/>
      <c r="I12" s="43">
        <v>44075</v>
      </c>
      <c r="J12" s="126"/>
      <c r="K12" s="126"/>
      <c r="L12" s="126"/>
    </row>
    <row r="13" spans="1:12" ht="17.25" customHeight="1" x14ac:dyDescent="0.3">
      <c r="A13" s="128">
        <v>44703</v>
      </c>
      <c r="B13" s="129">
        <f t="shared" si="0"/>
        <v>22</v>
      </c>
      <c r="C13" s="129">
        <f t="shared" si="1"/>
        <v>5</v>
      </c>
      <c r="D13" s="129">
        <f t="shared" si="2"/>
        <v>2022</v>
      </c>
      <c r="E13" s="130">
        <f t="shared" si="3"/>
        <v>44703</v>
      </c>
      <c r="F13" s="129">
        <f t="shared" si="4"/>
        <v>7</v>
      </c>
      <c r="G13" s="129">
        <f t="shared" si="5"/>
        <v>20</v>
      </c>
      <c r="H13" s="126"/>
      <c r="I13" s="43">
        <v>44105</v>
      </c>
      <c r="J13" s="126"/>
      <c r="K13" s="126"/>
      <c r="L13" s="126"/>
    </row>
    <row r="14" spans="1:12" ht="17.25" customHeight="1" x14ac:dyDescent="0.3">
      <c r="A14" s="128">
        <v>44704</v>
      </c>
      <c r="B14" s="129">
        <f t="shared" si="0"/>
        <v>23</v>
      </c>
      <c r="C14" s="129">
        <f t="shared" si="1"/>
        <v>5</v>
      </c>
      <c r="D14" s="129">
        <f t="shared" si="2"/>
        <v>2022</v>
      </c>
      <c r="E14" s="130">
        <f t="shared" si="3"/>
        <v>44704</v>
      </c>
      <c r="F14" s="129">
        <f t="shared" si="4"/>
        <v>1</v>
      </c>
      <c r="G14" s="129">
        <f t="shared" si="5"/>
        <v>21</v>
      </c>
      <c r="H14" s="126"/>
      <c r="I14" s="43">
        <v>44136</v>
      </c>
      <c r="J14" s="126"/>
      <c r="K14" s="126"/>
      <c r="L14" s="126"/>
    </row>
    <row r="15" spans="1:12" ht="17.25" customHeight="1" x14ac:dyDescent="0.3">
      <c r="A15" s="128">
        <v>44705</v>
      </c>
      <c r="B15" s="129">
        <f t="shared" si="0"/>
        <v>24</v>
      </c>
      <c r="C15" s="129">
        <f t="shared" si="1"/>
        <v>5</v>
      </c>
      <c r="D15" s="129">
        <f t="shared" si="2"/>
        <v>2022</v>
      </c>
      <c r="E15" s="130">
        <f t="shared" si="3"/>
        <v>44705</v>
      </c>
      <c r="F15" s="129">
        <f t="shared" si="4"/>
        <v>2</v>
      </c>
      <c r="G15" s="129">
        <f t="shared" si="5"/>
        <v>21</v>
      </c>
      <c r="H15" s="126"/>
      <c r="I15" s="43">
        <v>44166</v>
      </c>
      <c r="J15" s="126"/>
      <c r="K15" s="126"/>
      <c r="L15" s="126"/>
    </row>
    <row r="16" spans="1:12" ht="17.25" customHeight="1" x14ac:dyDescent="0.3">
      <c r="A16" s="128">
        <v>44706</v>
      </c>
      <c r="B16" s="129">
        <f t="shared" si="0"/>
        <v>25</v>
      </c>
      <c r="C16" s="129">
        <f t="shared" si="1"/>
        <v>5</v>
      </c>
      <c r="D16" s="129">
        <f t="shared" si="2"/>
        <v>2022</v>
      </c>
      <c r="E16" s="130">
        <f t="shared" si="3"/>
        <v>44706</v>
      </c>
      <c r="F16" s="129">
        <f t="shared" si="4"/>
        <v>3</v>
      </c>
      <c r="G16" s="129">
        <f t="shared" si="5"/>
        <v>21</v>
      </c>
      <c r="H16" s="126"/>
      <c r="I16" s="126"/>
      <c r="J16" s="126"/>
      <c r="K16" s="126"/>
      <c r="L16" s="126"/>
    </row>
    <row r="17" spans="1:12" ht="17.25" customHeight="1" x14ac:dyDescent="0.3">
      <c r="A17" s="128">
        <v>44707</v>
      </c>
      <c r="B17" s="129">
        <f t="shared" si="0"/>
        <v>26</v>
      </c>
      <c r="C17" s="129">
        <f t="shared" si="1"/>
        <v>5</v>
      </c>
      <c r="D17" s="129">
        <f t="shared" si="2"/>
        <v>2022</v>
      </c>
      <c r="E17" s="130">
        <f t="shared" si="3"/>
        <v>44707</v>
      </c>
      <c r="F17" s="129">
        <f t="shared" si="4"/>
        <v>4</v>
      </c>
      <c r="G17" s="129">
        <f t="shared" si="5"/>
        <v>21</v>
      </c>
      <c r="H17" s="126"/>
      <c r="I17" s="126"/>
      <c r="J17" s="126"/>
      <c r="K17" s="126"/>
      <c r="L17" s="126"/>
    </row>
    <row r="18" spans="1:12" ht="17.25" customHeight="1" x14ac:dyDescent="0.3">
      <c r="A18" s="128">
        <v>44708</v>
      </c>
      <c r="B18" s="129">
        <f t="shared" si="0"/>
        <v>27</v>
      </c>
      <c r="C18" s="129">
        <f t="shared" si="1"/>
        <v>5</v>
      </c>
      <c r="D18" s="129">
        <f t="shared" si="2"/>
        <v>2022</v>
      </c>
      <c r="E18" s="130">
        <f t="shared" si="3"/>
        <v>44708</v>
      </c>
      <c r="F18" s="129">
        <f t="shared" si="4"/>
        <v>5</v>
      </c>
      <c r="G18" s="129">
        <f t="shared" si="5"/>
        <v>21</v>
      </c>
      <c r="H18" s="126"/>
      <c r="I18" s="126"/>
      <c r="J18" s="126"/>
      <c r="K18" s="126"/>
      <c r="L18" s="126"/>
    </row>
    <row r="19" spans="1:12" ht="17.25" customHeight="1" x14ac:dyDescent="0.3">
      <c r="A19" s="128">
        <v>44709</v>
      </c>
      <c r="B19" s="129">
        <f t="shared" si="0"/>
        <v>28</v>
      </c>
      <c r="C19" s="129">
        <f t="shared" si="1"/>
        <v>5</v>
      </c>
      <c r="D19" s="129">
        <f t="shared" si="2"/>
        <v>2022</v>
      </c>
      <c r="E19" s="130">
        <f t="shared" si="3"/>
        <v>44709</v>
      </c>
      <c r="F19" s="129">
        <f t="shared" si="4"/>
        <v>6</v>
      </c>
      <c r="G19" s="129">
        <f t="shared" si="5"/>
        <v>21</v>
      </c>
      <c r="H19" s="126"/>
      <c r="I19" s="126"/>
      <c r="J19" s="126"/>
      <c r="K19" s="126"/>
      <c r="L19" s="126"/>
    </row>
    <row r="20" spans="1:12" ht="17.25" customHeight="1" x14ac:dyDescent="0.3">
      <c r="A20" s="128">
        <v>44710</v>
      </c>
      <c r="B20" s="129">
        <f t="shared" si="0"/>
        <v>29</v>
      </c>
      <c r="C20" s="129">
        <f t="shared" si="1"/>
        <v>5</v>
      </c>
      <c r="D20" s="129">
        <f t="shared" si="2"/>
        <v>2022</v>
      </c>
      <c r="E20" s="134">
        <f t="shared" si="3"/>
        <v>44710</v>
      </c>
      <c r="F20" s="129">
        <f t="shared" si="4"/>
        <v>7</v>
      </c>
      <c r="G20" s="129">
        <f t="shared" si="5"/>
        <v>21</v>
      </c>
      <c r="H20" s="126"/>
      <c r="I20" s="118">
        <f>E20+0.75</f>
        <v>44710.75</v>
      </c>
      <c r="J20" s="119"/>
      <c r="K20" s="126"/>
      <c r="L20" s="126"/>
    </row>
    <row r="21" spans="1:12" ht="17.25" customHeight="1" x14ac:dyDescent="0.3">
      <c r="A21" s="128">
        <v>44711</v>
      </c>
      <c r="B21" s="129">
        <f t="shared" si="0"/>
        <v>30</v>
      </c>
      <c r="C21" s="129">
        <f t="shared" si="1"/>
        <v>5</v>
      </c>
      <c r="D21" s="129">
        <f t="shared" si="2"/>
        <v>2022</v>
      </c>
      <c r="E21" s="130">
        <f t="shared" si="3"/>
        <v>44711</v>
      </c>
      <c r="F21" s="129">
        <f t="shared" si="4"/>
        <v>1</v>
      </c>
      <c r="G21" s="129">
        <f t="shared" si="5"/>
        <v>22</v>
      </c>
      <c r="H21" s="126"/>
      <c r="I21" s="120">
        <f>I20-E20-0.12</f>
        <v>0.63</v>
      </c>
      <c r="J21" s="121"/>
      <c r="K21" s="126"/>
      <c r="L21" s="126"/>
    </row>
    <row r="22" spans="1:12" ht="17.25" customHeight="1" x14ac:dyDescent="0.3">
      <c r="A22" s="128">
        <v>44712</v>
      </c>
      <c r="B22" s="129">
        <f t="shared" si="0"/>
        <v>31</v>
      </c>
      <c r="C22" s="129">
        <f t="shared" si="1"/>
        <v>5</v>
      </c>
      <c r="D22" s="129">
        <f t="shared" si="2"/>
        <v>2022</v>
      </c>
      <c r="E22" s="130">
        <f t="shared" si="3"/>
        <v>44712</v>
      </c>
      <c r="F22" s="129">
        <f t="shared" si="4"/>
        <v>2</v>
      </c>
      <c r="G22" s="129">
        <f t="shared" si="5"/>
        <v>22</v>
      </c>
      <c r="H22" s="126"/>
      <c r="I22" s="122"/>
      <c r="J22" s="123"/>
      <c r="K22" s="126"/>
      <c r="L22" s="126"/>
    </row>
    <row r="23" spans="1:12" ht="17.25" customHeight="1" x14ac:dyDescent="0.3">
      <c r="A23" s="128">
        <v>44713</v>
      </c>
      <c r="B23" s="135">
        <f t="shared" si="0"/>
        <v>1</v>
      </c>
      <c r="C23" s="135">
        <f t="shared" si="1"/>
        <v>6</v>
      </c>
      <c r="D23" s="135">
        <f t="shared" si="2"/>
        <v>2022</v>
      </c>
      <c r="E23" s="136">
        <f t="shared" si="3"/>
        <v>44713</v>
      </c>
      <c r="F23" s="135">
        <f t="shared" si="4"/>
        <v>3</v>
      </c>
      <c r="G23" s="135">
        <f t="shared" si="5"/>
        <v>22</v>
      </c>
      <c r="H23" s="126"/>
      <c r="I23" s="124" t="s">
        <v>352</v>
      </c>
      <c r="J23" s="125" t="s">
        <v>353</v>
      </c>
      <c r="K23" s="126"/>
      <c r="L23" s="126"/>
    </row>
    <row r="24" spans="1:12" ht="17.25" customHeight="1" x14ac:dyDescent="0.3">
      <c r="A24" s="128">
        <v>44714</v>
      </c>
      <c r="B24" s="135">
        <f t="shared" si="0"/>
        <v>2</v>
      </c>
      <c r="C24" s="135">
        <f t="shared" si="1"/>
        <v>6</v>
      </c>
      <c r="D24" s="135">
        <f t="shared" si="2"/>
        <v>2022</v>
      </c>
      <c r="E24" s="136">
        <f t="shared" si="3"/>
        <v>44714</v>
      </c>
      <c r="F24" s="135">
        <f t="shared" si="4"/>
        <v>4</v>
      </c>
      <c r="G24" s="135">
        <f t="shared" si="5"/>
        <v>22</v>
      </c>
      <c r="H24" s="126"/>
      <c r="I24" s="150">
        <v>100</v>
      </c>
      <c r="J24" s="151">
        <v>60</v>
      </c>
      <c r="K24" s="126"/>
      <c r="L24" s="126"/>
    </row>
    <row r="25" spans="1:12" ht="17.25" customHeight="1" x14ac:dyDescent="0.3">
      <c r="A25" s="128">
        <v>44715</v>
      </c>
      <c r="B25" s="135">
        <f t="shared" si="0"/>
        <v>3</v>
      </c>
      <c r="C25" s="135">
        <f t="shared" si="1"/>
        <v>6</v>
      </c>
      <c r="D25" s="135">
        <f t="shared" si="2"/>
        <v>2022</v>
      </c>
      <c r="E25" s="136">
        <f t="shared" si="3"/>
        <v>44715</v>
      </c>
      <c r="F25" s="135">
        <f t="shared" si="4"/>
        <v>5</v>
      </c>
      <c r="G25" s="135">
        <f t="shared" si="5"/>
        <v>22</v>
      </c>
      <c r="H25" s="126"/>
      <c r="I25" s="144" t="s">
        <v>354</v>
      </c>
      <c r="J25" s="145"/>
      <c r="K25" s="126"/>
      <c r="L25" s="126"/>
    </row>
    <row r="26" spans="1:12" ht="17.25" customHeight="1" x14ac:dyDescent="0.3">
      <c r="A26" s="128">
        <v>44716</v>
      </c>
      <c r="B26" s="135">
        <f t="shared" si="0"/>
        <v>4</v>
      </c>
      <c r="C26" s="135">
        <f t="shared" si="1"/>
        <v>6</v>
      </c>
      <c r="D26" s="135">
        <f t="shared" si="2"/>
        <v>2022</v>
      </c>
      <c r="E26" s="136">
        <f t="shared" si="3"/>
        <v>44716</v>
      </c>
      <c r="F26" s="135">
        <f t="shared" si="4"/>
        <v>6</v>
      </c>
      <c r="G26" s="135">
        <f t="shared" si="5"/>
        <v>22</v>
      </c>
      <c r="H26" s="126"/>
      <c r="I26" s="146">
        <v>25</v>
      </c>
      <c r="J26" s="147">
        <f>$J$24/$I$24*I26</f>
        <v>15</v>
      </c>
      <c r="K26" s="126"/>
      <c r="L26" s="126"/>
    </row>
    <row r="27" spans="1:12" ht="17.25" customHeight="1" x14ac:dyDescent="0.3">
      <c r="A27" s="128">
        <v>44717</v>
      </c>
      <c r="B27" s="135">
        <f t="shared" si="0"/>
        <v>5</v>
      </c>
      <c r="C27" s="135">
        <f t="shared" si="1"/>
        <v>6</v>
      </c>
      <c r="D27" s="135">
        <f t="shared" si="2"/>
        <v>2022</v>
      </c>
      <c r="E27" s="136">
        <f t="shared" si="3"/>
        <v>44717</v>
      </c>
      <c r="F27" s="135">
        <f t="shared" si="4"/>
        <v>7</v>
      </c>
      <c r="G27" s="135">
        <f t="shared" si="5"/>
        <v>22</v>
      </c>
      <c r="H27" s="126"/>
      <c r="I27" s="146">
        <v>7</v>
      </c>
      <c r="J27" s="147">
        <f t="shared" ref="J27:J29" si="6">$J$24/$I$24*I27</f>
        <v>4.2</v>
      </c>
      <c r="K27" s="126"/>
      <c r="L27" s="126"/>
    </row>
    <row r="28" spans="1:12" ht="17.25" customHeight="1" x14ac:dyDescent="0.3">
      <c r="A28" s="128">
        <v>44718</v>
      </c>
      <c r="B28" s="135">
        <f t="shared" si="0"/>
        <v>6</v>
      </c>
      <c r="C28" s="135">
        <f t="shared" si="1"/>
        <v>6</v>
      </c>
      <c r="D28" s="135">
        <f t="shared" si="2"/>
        <v>2022</v>
      </c>
      <c r="E28" s="136">
        <f t="shared" si="3"/>
        <v>44718</v>
      </c>
      <c r="F28" s="135">
        <f t="shared" si="4"/>
        <v>1</v>
      </c>
      <c r="G28" s="135">
        <f t="shared" si="5"/>
        <v>23</v>
      </c>
      <c r="H28" s="126"/>
      <c r="I28" s="146">
        <v>35</v>
      </c>
      <c r="J28" s="147">
        <f t="shared" si="6"/>
        <v>21</v>
      </c>
      <c r="K28" s="126"/>
      <c r="L28" s="126"/>
    </row>
    <row r="29" spans="1:12" ht="17.25" customHeight="1" x14ac:dyDescent="0.3">
      <c r="A29" s="128">
        <v>44719</v>
      </c>
      <c r="B29" s="135">
        <f t="shared" si="0"/>
        <v>7</v>
      </c>
      <c r="C29" s="135">
        <f t="shared" si="1"/>
        <v>6</v>
      </c>
      <c r="D29" s="135">
        <f t="shared" si="2"/>
        <v>2022</v>
      </c>
      <c r="E29" s="136">
        <f t="shared" si="3"/>
        <v>44719</v>
      </c>
      <c r="F29" s="135">
        <f t="shared" si="4"/>
        <v>2</v>
      </c>
      <c r="G29" s="135">
        <f t="shared" si="5"/>
        <v>23</v>
      </c>
      <c r="H29" s="126"/>
      <c r="I29" s="148">
        <v>10</v>
      </c>
      <c r="J29" s="149">
        <f t="shared" si="6"/>
        <v>6</v>
      </c>
      <c r="K29" s="126"/>
      <c r="L29" s="126"/>
    </row>
    <row r="31" spans="1:12" s="140" customFormat="1" x14ac:dyDescent="0.3">
      <c r="A31" s="137" t="s">
        <v>345</v>
      </c>
      <c r="B31" s="138" t="s">
        <v>305</v>
      </c>
      <c r="C31" s="138" t="s">
        <v>306</v>
      </c>
      <c r="D31" s="138" t="s">
        <v>307</v>
      </c>
      <c r="E31" s="138" t="s">
        <v>318</v>
      </c>
      <c r="F31" s="138"/>
      <c r="G31" s="138"/>
      <c r="H31" s="139" t="s">
        <v>346</v>
      </c>
      <c r="I31" s="138"/>
      <c r="J31" s="138"/>
      <c r="K31" s="138"/>
    </row>
    <row r="32" spans="1:12" x14ac:dyDescent="0.3">
      <c r="H32" s="142" t="s">
        <v>347</v>
      </c>
    </row>
    <row r="33" spans="8:8" x14ac:dyDescent="0.3">
      <c r="H33" s="143">
        <f>DATE(D2,C2-6,B2)</f>
        <v>44511</v>
      </c>
    </row>
  </sheetData>
  <mergeCells count="3">
    <mergeCell ref="I25:J25"/>
    <mergeCell ref="I20:J20"/>
    <mergeCell ref="I21:J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T a b l e X M L _ 0;5=40@L_ c f 5 4 d b 6 5 - 3 f f 5 - 4 a 4 5 - b 8 e 2 - a d a a 5 f 4 0 b 2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 2 0 8 < / i n t > < / v a l u e > < / i t e m > < i t e m > < k e y > < s t r i n g > >4< / s t r i n g > < / k e y > < v a l u e > < i n t > 7 9 < / i n t > < / v a l u e > < / i t e m > < i t e m > < k e y > < s t r i n g > 5AOF< / s t r i n g > < / k e y > < v a l u e > < i n t > 9 9 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 >4< / s t r i n g > < / k e y > < v a l u e > < i n t > 1 < / i n t > < / v a l u e > < / i t e m > < i t e m > < k e y > < s t r i n g > 5AOF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9 a f 3 e 0 a - 1 0 4 9 - 4 e e 2 - 8 1 9 6 - f 1 3 9 d 0 8 b 3 3 a 1 " > < C u s t o m C o n t e n t > < ! [ C D A T A [ < ? x m l   v e r s i o n = " 1 . 0 "   e n c o d i n g = " u t f - 1 6 " ? > < S e t t i n g s > < C a l c u l a t e d F i e l d s > < i t e m > < M e a s u r e N a m e > @>4068< / M e a s u r e N a m e > < D i s p l a y N a m e > @>4068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">20@_ 7 e 7 9 a b a a - d b d 4 - 4 d e b - b d 0 1 - a 8 d e 6 f 7 8 4 f 0 8 " > 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 B>20@0< / s t r i n g > < / k e y > < v a l u e > < i n t > 1 4 0 < / i n t > < / v a l u e > < / i t e m > < i t e m > < k e y > < s t r i n g > 0720=85< / s t r i n g > < / k e y > < v a l u e > < i n t > 1 4 0 < / i n t > < / v a l u e > < / i t e m > < i t e m > < k e y > < s t r i n g > @5=4< / s t r i n g > < / k e y > < v a l u e > < i n t > 1 0 8 < / i n t > < / v a l u e > < / i t e m > < i t e m > < k e y > < s t r i n g > &5=0< / s t r i n g > < / k e y > < v a l u e > < i n t > 9 7 < / i n t > < / v a l u e > < / i t e m > < / C o l u m n W i d t h s > < C o l u m n D i s p l a y I n d e x > < i t e m > < k e y > < s t r i n g > I D   B>20@0< / s t r i n g > < / k e y > < v a l u e > < i n t > 0 < / i n t > < / v a l u e > < / i t e m > < i t e m > < k e y > < s t r i n g > 0720=85< / s t r i n g > < / k e y > < v a l u e > < i n t > 1 < / i n t > < / v a l u e > < / i t e m > < i t e m > < k e y > < s t r i n g > @5=4< / s t r i n g > < / k e y > < v a l u e > < i n t > 2 < / i n t > < / v a l u e > < / i t e m > < i t e m > < k e y > < s t r i n g > &5=0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 0;5=40@L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 0;5=40@L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 ">20@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 ">20@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 C o l u m n s \ @5=4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 0:07K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 0:07K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 C o l u m n s \ (B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D a t a M a s h u p   s q m i d = " 5 5 7 7 f d 9 6 - 9 3 3 a - 4 9 d 2 - b 5 b 5 - 4 a e 7 a 9 f 9 9 4 7 1 "   x m l n s = " h t t p : / / s c h e m a s . m i c r o s o f t . c o m / D a t a M a s h u p " > A A A A A B c D A A B Q S w M E F A A C A A g A E X 1 T U D r X j X y n A A A A + A A A A B I A H A B D b 2 5 m a W c v U G F j a 2 F n Z S 5 4 b W w g o h g A K K A U A A A A A A A A A A A A A A A A A A A A A A A A A A A A h Y + x D o I w F E V / h X S n r 6 1 K l D z K 4 C q J 0 W h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s W n + z Q x g n w v u F f A J Q S w M E F A A C A A g A E X 1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9 U 1 A o i k e 4 D g A A A B E A A A A T A B w A R m 9 y b X V s Y X M v U 2 V j d G l v b j E u b S C i G A A o o B Q A A A A A A A A A A A A A A A A A A A A A A A A A A A A r T k 0 u y c z P U w i G 0 I b W A F B L A Q I t A B Q A A g A I A B F 9 U 1 A 6 1 4 1 8 p w A A A P g A A A A S A A A A A A A A A A A A A A A A A A A A A A B D b 2 5 m a W c v U G F j a 2 F n Z S 5 4 b W x Q S w E C L Q A U A A I A C A A R f V N Q D 8 r p q 6 Q A A A D p A A A A E w A A A A A A A A A A A A A A A A D z A A A A W 0 N v b n R l b n R f V H l w Z X N d L n h t b F B L A Q I t A B Q A A g A I A B F 9 U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Y M t e P A T D 0 2 W w N K x Q o v V Y A A A A A A C A A A A A A A D Z g A A w A A A A B A A A A A A a z p I g T p q M k M l E D y r c m J y A A A A A A S A A A C g A A A A E A A A A I V M f J G W 3 c k p f s 1 y p v T L Z 0 p Q A A A A J + + H y I x 3 4 7 1 J V F 4 Q f 3 F U t W y c N Z 0 O P A Y q b y v w b G / j f V 0 B Q j o q N + J A P S M m q V 7 C h D b 8 / D a 5 s m N + V S k g i E O B E p s N 4 w 8 s Z Y T p 1 L C C 0 w M Y U q Q T M D g U A A A A 7 E p k I h 5 f o 3 t L x v e L 5 v U m a h b t + o I = < / D a t a M a s h u p > 
</file>

<file path=customXml/item6.xml>��< ? x m l   v e r s i o n = " 1 . 0 "   e n c o d i n g = " U T F - 1 6 " ? > < G e m i n i   x m l n s = " h t t p : / / g e m i n i / p i v o t c u s t o m i z a t i o n / T a b l e X M L _ 0:07K_ 9 5 0 b d 0 5 1 - 2 0 7 5 - 4 3 c a - 8 7 9 9 - d e 4 1 e 6 b d 8 f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 I D   :;85=B0< / s t r i n g > < / k e y > < v a l u e > < i n t > 1 5 0 < / i n t > < / v a l u e > < / i t e m > < i t e m > < k e y > < s t r i n g > 0B0< / s t r i n g > < / k e y > < v a l u e > < i n t > 9 4 < / i n t > < / v a l u e > < / i t e m > < i t e m > < k e y > < s t r i n g > I D   B>20@0< / s t r i n g > < / k e y > < v a l u e > < i n t > 1 4 0 < / i n t > < / v a l u e > < / i t e m > < i t e m > < k e y > < s t r i n g > (B< / s t r i n g > < / k e y > < v a l u e > < i n t > 7 7 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  :;85=B0< / s t r i n g > < / k e y > < v a l u e > < i n t > 1 < / i n t > < / v a l u e > < / i t e m > < i t e m > < k e y > < s t r i n g > 0B0< / s t r i n g > < / k e y > < v a l u e > < i n t > 2 < / i n t > < / v a l u e > < / i t e m > < i t e m > < k e y > < s t r i n g > I D   B>20@0< / s t r i n g > < / k e y > < v a l u e > < i n t > 3 < / i n t > < / v a l u e > < / i t e m > < i t e m > < k e y > < s t r i n g > (B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11D3BA4-91F1-4F78-B646-86ACCAFF3A9E}">
  <ds:schemaRefs/>
</ds:datastoreItem>
</file>

<file path=customXml/itemProps2.xml><?xml version="1.0" encoding="utf-8"?>
<ds:datastoreItem xmlns:ds="http://schemas.openxmlformats.org/officeDocument/2006/customXml" ds:itemID="{C2BD009E-87C8-420E-B9FD-A841B68920FA}">
  <ds:schemaRefs/>
</ds:datastoreItem>
</file>

<file path=customXml/itemProps3.xml><?xml version="1.0" encoding="utf-8"?>
<ds:datastoreItem xmlns:ds="http://schemas.openxmlformats.org/officeDocument/2006/customXml" ds:itemID="{33DFA829-2A29-46FB-B8D5-F01B86463948}">
  <ds:schemaRefs/>
</ds:datastoreItem>
</file>

<file path=customXml/itemProps4.xml><?xml version="1.0" encoding="utf-8"?>
<ds:datastoreItem xmlns:ds="http://schemas.openxmlformats.org/officeDocument/2006/customXml" ds:itemID="{ED87191B-52ED-4413-A34B-321EC99F916B}">
  <ds:schemaRefs/>
</ds:datastoreItem>
</file>

<file path=customXml/itemProps5.xml><?xml version="1.0" encoding="utf-8"?>
<ds:datastoreItem xmlns:ds="http://schemas.openxmlformats.org/officeDocument/2006/customXml" ds:itemID="{40E19A94-10F8-4C64-94BA-156A5FB2F4EC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0AACC9AB-7E91-493A-96DA-44503EF7C814}">
  <ds:schemaRefs/>
</ds:datastoreItem>
</file>

<file path=customXml/itemProps7.xml><?xml version="1.0" encoding="utf-8"?>
<ds:datastoreItem xmlns:ds="http://schemas.openxmlformats.org/officeDocument/2006/customXml" ds:itemID="{037666DD-681D-443B-B287-086F51FF98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1. Аргументы</vt:lpstr>
      <vt:lpstr>2. Копирование формул</vt:lpstr>
      <vt:lpstr>3. Типы ошибок</vt:lpstr>
      <vt:lpstr>4. Чистка данных</vt:lpstr>
      <vt:lpstr>5. СУММ, СЧЁТ, СРЗНАЧ </vt:lpstr>
      <vt:lpstr>6. СУММЕСЛИ(МН)</vt:lpstr>
      <vt:lpstr>7. МАКС, МИН, НАИБ, НАИМ, РАНГ</vt:lpstr>
      <vt:lpstr>8. Округление</vt:lpstr>
      <vt:lpstr>9. Работа с датами</vt:lpstr>
      <vt:lpstr>Продажи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Shikalova kseniya</dc:creator>
  <cp:lastModifiedBy>Igor Zhemgulis</cp:lastModifiedBy>
  <dcterms:created xsi:type="dcterms:W3CDTF">2020-01-14T20:11:39Z</dcterms:created>
  <dcterms:modified xsi:type="dcterms:W3CDTF">2022-09-30T17:48:16Z</dcterms:modified>
</cp:coreProperties>
</file>