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4.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drawings/drawing5.xml" ContentType="application/vnd.openxmlformats-officedocument.drawing+xml"/>
  <Override PartName="/xl/comments8.xml" ContentType="application/vnd.openxmlformats-officedocument.spreadsheetml.comments+xml"/>
  <Override PartName="/xl/drawings/drawing6.xml" ContentType="application/vnd.openxmlformats-officedocument.drawing+xml"/>
  <Override PartName="/xl/comments9.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usti\Documents\eCO2R TEA Code\ecor-tea\Input\"/>
    </mc:Choice>
  </mc:AlternateContent>
  <xr:revisionPtr revIDLastSave="0" documentId="13_ncr:1_{B89FF2C1-FD59-4072-87D8-B0EEF205F8B8}" xr6:coauthVersionLast="47" xr6:coauthVersionMax="47" xr10:uidLastSave="{00000000-0000-0000-0000-000000000000}"/>
  <bookViews>
    <workbookView xWindow="-120" yWindow="-120" windowWidth="29040" windowHeight="15840" tabRatio="500" firstSheet="2" activeTab="3" xr2:uid="{00000000-000D-0000-FFFF-FFFF00000000}"/>
  </bookViews>
  <sheets>
    <sheet name="Products" sheetId="4" r:id="rId1"/>
    <sheet name="Tiers" sheetId="10" r:id="rId2"/>
    <sheet name="Parameters_CATEGORY1" sheetId="9" r:id="rId3"/>
    <sheet name="Parameters_CATEGORY2" sheetId="13" r:id="rId4"/>
    <sheet name="ParametersRealistic" sheetId="1" r:id="rId5"/>
    <sheet name="ParametersIdeal_BASE" sheetId="2" r:id="rId6"/>
    <sheet name="ParametersIdeal_BEST" sheetId="3" r:id="rId7"/>
    <sheet name="CO2-H2_Mixtures" sheetId="7" r:id="rId8"/>
    <sheet name="Separation Parameters" sheetId="8" r:id="rId9"/>
    <sheet name="SensitivityAnalysis" sheetId="5" r:id="rId10"/>
    <sheet name="SensitivityAnalysis_SARGENT" sheetId="6" r:id="rId11"/>
  </sheets>
  <definedNames>
    <definedName name="_xlnm._FilterDatabase" localSheetId="4" hidden="1">ParametersRealistic!$A$1:$J$6</definedName>
    <definedName name="_xlnm._FilterDatabase" localSheetId="0" hidden="1">Products!$A$1:$I$1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3" i="8" l="1"/>
  <c r="C16" i="13"/>
  <c r="C17" i="13"/>
  <c r="C18" i="13"/>
  <c r="F18" i="13"/>
  <c r="E18" i="13"/>
  <c r="D18" i="13"/>
  <c r="F17" i="13"/>
  <c r="E17" i="13"/>
  <c r="D17" i="13"/>
  <c r="F16" i="13"/>
  <c r="E16" i="13"/>
  <c r="D16" i="13"/>
  <c r="F15" i="13"/>
  <c r="E15" i="13"/>
  <c r="D15" i="13"/>
  <c r="F14" i="13"/>
  <c r="E14" i="13"/>
  <c r="I14" i="13" s="1"/>
  <c r="J14" i="13" s="1"/>
  <c r="D14" i="13"/>
  <c r="F13" i="13"/>
  <c r="E13" i="13"/>
  <c r="D13" i="13"/>
  <c r="I12" i="13"/>
  <c r="J12" i="13" s="1"/>
  <c r="F12" i="13"/>
  <c r="E12" i="13"/>
  <c r="D12" i="13"/>
  <c r="F11" i="13"/>
  <c r="E11" i="13"/>
  <c r="D11" i="13"/>
  <c r="I10" i="13"/>
  <c r="J10" i="13" s="1"/>
  <c r="F10" i="13"/>
  <c r="E10" i="13"/>
  <c r="D10" i="13"/>
  <c r="F9" i="13"/>
  <c r="E9" i="13"/>
  <c r="I9" i="13" s="1"/>
  <c r="D9" i="13"/>
  <c r="F8" i="13"/>
  <c r="E8" i="13"/>
  <c r="D8" i="13"/>
  <c r="F7" i="13"/>
  <c r="E7" i="13"/>
  <c r="I7" i="13" s="1"/>
  <c r="D7" i="13"/>
  <c r="F6" i="13"/>
  <c r="E6" i="13"/>
  <c r="D6" i="13"/>
  <c r="F5" i="13"/>
  <c r="E5" i="13"/>
  <c r="I5" i="13" s="1"/>
  <c r="J5" i="13" s="1"/>
  <c r="D5" i="13"/>
  <c r="F4" i="13"/>
  <c r="E4" i="13"/>
  <c r="I4" i="13" s="1"/>
  <c r="J4" i="13" s="1"/>
  <c r="D4" i="13"/>
  <c r="F3" i="13"/>
  <c r="E3" i="13"/>
  <c r="I3" i="13" s="1"/>
  <c r="J3" i="13" s="1"/>
  <c r="D3" i="13"/>
  <c r="F2" i="13"/>
  <c r="E2" i="13"/>
  <c r="D2" i="13"/>
  <c r="F3" i="9"/>
  <c r="F4" i="9"/>
  <c r="F5" i="9"/>
  <c r="F6" i="9"/>
  <c r="F7" i="9"/>
  <c r="F8" i="9"/>
  <c r="F9" i="9"/>
  <c r="F10" i="9"/>
  <c r="F11" i="9"/>
  <c r="F12" i="9"/>
  <c r="F13" i="9"/>
  <c r="F14" i="9"/>
  <c r="F15" i="9"/>
  <c r="F16" i="9"/>
  <c r="F17" i="9"/>
  <c r="F18" i="9"/>
  <c r="E17" i="9"/>
  <c r="E18" i="9"/>
  <c r="E16" i="9"/>
  <c r="E3" i="9"/>
  <c r="E4" i="9"/>
  <c r="I4" i="9" s="1"/>
  <c r="J4" i="9" s="1"/>
  <c r="E5" i="9"/>
  <c r="I5" i="9" s="1"/>
  <c r="J5" i="9" s="1"/>
  <c r="E6" i="9"/>
  <c r="I6" i="9" s="1"/>
  <c r="J6" i="9" s="1"/>
  <c r="E7" i="9"/>
  <c r="I7" i="9" s="1"/>
  <c r="J7" i="9" s="1"/>
  <c r="E8" i="9"/>
  <c r="E9" i="9"/>
  <c r="I9" i="9" s="1"/>
  <c r="J9" i="9" s="1"/>
  <c r="D3" i="9"/>
  <c r="D4" i="9"/>
  <c r="D5" i="9"/>
  <c r="D6" i="9"/>
  <c r="D7" i="9"/>
  <c r="D8" i="9"/>
  <c r="D9" i="9"/>
  <c r="D10" i="9"/>
  <c r="D11" i="9"/>
  <c r="D12" i="9"/>
  <c r="D13" i="9"/>
  <c r="D14" i="9"/>
  <c r="D15" i="9"/>
  <c r="D16" i="9"/>
  <c r="D17" i="9"/>
  <c r="D18" i="9"/>
  <c r="D2" i="9"/>
  <c r="E2" i="9"/>
  <c r="I2" i="9" s="1"/>
  <c r="J2" i="9" s="1"/>
  <c r="F2" i="9"/>
  <c r="C3" i="9"/>
  <c r="C4" i="9"/>
  <c r="C5" i="9"/>
  <c r="C6" i="9"/>
  <c r="C7" i="9"/>
  <c r="C8" i="9"/>
  <c r="C9" i="9"/>
  <c r="C10" i="9"/>
  <c r="C11" i="9"/>
  <c r="C12" i="9"/>
  <c r="C13" i="9"/>
  <c r="C14" i="9"/>
  <c r="C15" i="9"/>
  <c r="C16" i="9"/>
  <c r="C17" i="9"/>
  <c r="C18" i="9"/>
  <c r="C2" i="9"/>
  <c r="E10" i="9"/>
  <c r="I10" i="9" s="1"/>
  <c r="J10" i="9" s="1"/>
  <c r="E11" i="9"/>
  <c r="I11" i="9" s="1"/>
  <c r="J11" i="9" s="1"/>
  <c r="E12" i="9"/>
  <c r="I12" i="9" s="1"/>
  <c r="J12" i="9" s="1"/>
  <c r="E13" i="9"/>
  <c r="I13" i="9" s="1"/>
  <c r="J13" i="9" s="1"/>
  <c r="E14" i="9"/>
  <c r="I14" i="9" s="1"/>
  <c r="J14" i="9" s="1"/>
  <c r="E15" i="9"/>
  <c r="I15" i="9" s="1"/>
  <c r="J15" i="9" s="1"/>
  <c r="G21" i="4"/>
  <c r="G20" i="4"/>
  <c r="G19" i="4"/>
  <c r="I3" i="9"/>
  <c r="J3" i="9" s="1"/>
  <c r="I8" i="9"/>
  <c r="J8" i="9" s="1"/>
  <c r="J15" i="13" l="1"/>
  <c r="I15" i="13"/>
  <c r="J9" i="13"/>
  <c r="I2" i="13"/>
  <c r="J2" i="13" s="1"/>
  <c r="I11" i="13"/>
  <c r="J11" i="13" s="1"/>
  <c r="I6" i="13"/>
  <c r="J6" i="13" s="1"/>
  <c r="I13" i="13"/>
  <c r="J13" i="13" s="1"/>
  <c r="J7" i="13"/>
  <c r="I8" i="13"/>
  <c r="J8" i="13" s="1"/>
  <c r="H2" i="2"/>
  <c r="F5" i="6"/>
  <c r="C5" i="6"/>
  <c r="B5" i="6"/>
  <c r="F4" i="6"/>
  <c r="C4" i="6"/>
  <c r="B4" i="6"/>
  <c r="F3" i="6"/>
  <c r="C3" i="6"/>
  <c r="B3" i="6"/>
  <c r="B5" i="5"/>
  <c r="B4" i="5"/>
  <c r="B3" i="5"/>
  <c r="G18" i="4"/>
  <c r="G17" i="4"/>
  <c r="G16" i="4"/>
  <c r="G15" i="4"/>
  <c r="G14" i="4"/>
  <c r="G13" i="4"/>
  <c r="G12" i="4"/>
  <c r="G11" i="4"/>
  <c r="G10" i="4"/>
  <c r="G9" i="4"/>
  <c r="G8" i="4"/>
  <c r="G7" i="4"/>
  <c r="G6" i="4"/>
  <c r="G5" i="4"/>
  <c r="G4" i="4"/>
  <c r="G3" i="4"/>
  <c r="G2" i="4"/>
  <c r="H15" i="3"/>
  <c r="G15" i="3"/>
  <c r="G14" i="3"/>
  <c r="H14" i="3" s="1"/>
  <c r="H13" i="3"/>
  <c r="G13" i="3"/>
  <c r="H12" i="3"/>
  <c r="G12" i="3"/>
  <c r="H11" i="3"/>
  <c r="G11" i="3"/>
  <c r="H10" i="3"/>
  <c r="G10" i="3"/>
  <c r="H9" i="3"/>
  <c r="G9" i="3"/>
  <c r="H8" i="3"/>
  <c r="G8" i="3"/>
  <c r="H7" i="3"/>
  <c r="G7" i="3"/>
  <c r="H6" i="3"/>
  <c r="G6" i="3"/>
  <c r="H5" i="3"/>
  <c r="G5" i="3"/>
  <c r="H4" i="3"/>
  <c r="G4" i="3"/>
  <c r="H3" i="3"/>
  <c r="G3" i="3"/>
  <c r="H2" i="3"/>
  <c r="G2" i="3"/>
  <c r="H15" i="2"/>
  <c r="G15" i="2"/>
  <c r="H14" i="2"/>
  <c r="G14" i="2"/>
  <c r="H13" i="2"/>
  <c r="G13" i="2"/>
  <c r="H12" i="2"/>
  <c r="G12" i="2"/>
  <c r="H11" i="2"/>
  <c r="G11" i="2"/>
  <c r="H10" i="2"/>
  <c r="G10" i="2"/>
  <c r="H9" i="2"/>
  <c r="G9" i="2"/>
  <c r="H8" i="2"/>
  <c r="G8" i="2"/>
  <c r="H7" i="2"/>
  <c r="G7" i="2"/>
  <c r="H6" i="2"/>
  <c r="G6" i="2"/>
  <c r="H5" i="2"/>
  <c r="G5" i="2"/>
  <c r="H4" i="2"/>
  <c r="G4" i="2"/>
  <c r="H3" i="2"/>
  <c r="G3" i="2"/>
  <c r="G2" i="2"/>
  <c r="H7" i="1"/>
  <c r="H6" i="1"/>
  <c r="H5" i="1"/>
  <c r="H4" i="1"/>
  <c r="B4" i="1"/>
  <c r="H3"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tc={4CF72159-6AB0-45A3-89D6-1A42F9AA064D}</author>
  </authors>
  <commentList>
    <comment ref="I1" authorId="0" shapeId="0" xr:uid="{4CF72159-6AB0-45A3-89D6-1A42F9AA064D}">
      <text>
        <t>[Threaded comment]
Your version of Excel allows you to read this threaded comment; however, any edits to it will get removed if the file is opened in a newer version of Excel. Learn more: https://go.microsoft.com/fwlink/?linkid=870924
Comment:
    Only relevant for mixtures with H2 (CO, CO2 or Formic acid), zero for everything else.
---Note on CO2:H2 mixtures:---
All FBA solutions (on bio side) require an H2:CO2 ratio between 2-4, so for the cost of ECR production alone, the cost for these two extremes are determined.
When cost for combined system is evaluated, the actual H2Ratio from the given FBA solution is used instead.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tc={077CF415-A5C8-4DD1-9831-58B6C97B49A0}</author>
    <author>tc={444DC424-C04F-424F-803D-E8A509D11425}</author>
    <author>tc={DB1221D7-D59D-4D6A-BF50-A61930E5A605}</author>
    <author>tc={7F8A516D-3ECA-4349-884A-5A70B6F6969C}</author>
  </authors>
  <commentList>
    <comment ref="B1" authorId="0" shapeId="0" xr:uid="{077CF415-A5C8-4DD1-9831-58B6C97B49A0}">
      <text>
        <t>[Threaded comment]
Your version of Excel allows you to read this threaded comment; however, any edits to it will get removed if the file is opened in a newer version of Excel. Learn more: https://go.microsoft.com/fwlink/?linkid=870924
Comment:
    V</t>
      </text>
    </comment>
    <comment ref="C1" authorId="1" shapeId="0" xr:uid="{444DC424-C04F-424F-803D-E8A509D11425}">
      <text>
        <t>[Threaded comment]
Your version of Excel allows you to read this threaded comment; however, any edits to it will get removed if the file is opened in a newer version of Excel. Learn more: https://go.microsoft.com/fwlink/?linkid=870924
Comment:
    mA/cm^2</t>
      </text>
    </comment>
    <comment ref="D1" authorId="2" shapeId="0" xr:uid="{DB1221D7-D59D-4D6A-BF50-A61930E5A605}">
      <text>
        <t>[Threaded comment]
Your version of Excel allows you to read this threaded comment; however, any edits to it will get removed if the file is opened in a newer version of Excel. Learn more: https://go.microsoft.com/fwlink/?linkid=870924
Comment:
    %
For CO2:H2 mixtures, 100% FE assumed (only hydrogen being produced, assuming only H2 produced)</t>
      </text>
    </comment>
    <comment ref="E1" authorId="3" shapeId="0" xr:uid="{7F8A516D-3ECA-4349-884A-5A70B6F6969C}">
      <text>
        <t>[Threaded comment]
Your version of Excel allows you to read this threaded comment; however, any edits to it will get removed if the file is opened in a newer version of Excel. Learn more: https://go.microsoft.com/fwlink/?linkid=870924
Comment:
    %, CO2 single pass conversion
Not applicable for CO2:H2 mixtures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tc={7E2899F2-5FE5-40BD-99ED-C8DBD8ABE6B8}</author>
    <author>tc={CA4B8790-26DB-465A-BF24-892328B62077}</author>
    <author>tc={897CA138-F853-4D4D-802B-B4605F542CE9}</author>
    <author>tc={38DE55A0-AEDE-44CA-8EF8-AEB25CB243C8}</author>
    <author>tc={EB46DF5A-29F7-4FEB-B434-8644FA7441E6}</author>
    <author>tc={7CF01B63-125A-46D2-8F46-60E4EC2CD1CB}</author>
    <author/>
    <author>tc={B597724B-C8D1-4D00-A821-6E02EB05FC79}</author>
    <author>tc={47E8BD71-3D0E-46BD-AFF7-98F792A1E886}</author>
    <author>tc={4E026448-66B5-434E-B1CC-607D6B20B92E}</author>
    <author>tc={03E102D3-7D75-4CE8-8E43-DC3AE069BEB7}</author>
    <author>tc={F99ED336-3E55-422F-970C-199D2123480F}</author>
    <author>tc={5654C464-529C-44AE-9B00-C6CA9D02DDD8}</author>
  </authors>
  <commentList>
    <comment ref="C1" authorId="0" shapeId="0" xr:uid="{7E2899F2-5FE5-40BD-99ED-C8DBD8ABE6B8}">
      <text>
        <t>[Threaded comment]
Your version of Excel allows you to read this threaded comment; however, any edits to it will get removed if the file is opened in a newer version of Excel. Learn more: https://go.microsoft.com/fwlink/?linkid=870924
Comment:
    Sourced from Categories table based on assigned Tier</t>
      </text>
    </comment>
    <comment ref="D1" authorId="1" shapeId="0" xr:uid="{CA4B8790-26DB-465A-BF24-892328B62077}">
      <text>
        <t>[Threaded comment]
Your version of Excel allows you to read this threaded comment; however, any edits to it will get removed if the file is opened in a newer version of Excel. Learn more: https://go.microsoft.com/fwlink/?linkid=870924
Comment:
    Sourced from Categories table based on assigned Tier</t>
      </text>
    </comment>
    <comment ref="E1" authorId="2" shapeId="0" xr:uid="{897CA138-F853-4D4D-802B-B4605F542CE9}">
      <text>
        <t>[Threaded comment]
Your version of Excel allows you to read this threaded comment; however, any edits to it will get removed if the file is opened in a newer version of Excel. Learn more: https://go.microsoft.com/fwlink/?linkid=870924
Comment:
    Sourced from Categories table based on assigned Tier</t>
      </text>
    </comment>
    <comment ref="F1" authorId="3" shapeId="0" xr:uid="{38DE55A0-AEDE-44CA-8EF8-AEB25CB243C8}">
      <text>
        <t>[Threaded comment]
Your version of Excel allows you to read this threaded comment; however, any edits to it will get removed if the file is opened in a newer version of Excel. Learn more: https://go.microsoft.com/fwlink/?linkid=870924
Comment:
    Sourced from Categories table based on assigned Tier</t>
      </text>
    </comment>
    <comment ref="H1" authorId="4" shapeId="0" xr:uid="{EB46DF5A-29F7-4FEB-B434-8644FA7441E6}">
      <text>
        <t>[Threaded comment]
Your version of Excel allows you to read this threaded comment; however, any edits to it will get removed if the file is opened in a newer version of Excel. Learn more: https://go.microsoft.com/fwlink/?linkid=870924
Comment:
    The amount of carbon converted for a given product is proportional to the sum of the FE*Nco2/Ne for all product species (where Nco2 is the mol CO2 required per mol product and Ne is the the mol electrons required per mol product). The worst case scenario will be for the highest Nco2 and lowest Ne values (so highest Nco2/Ne ratio), which when considering all the possible ECR products is Nco2/Ne=1/2 (formate). Therefore, for the ideal case I have assumed “formate” as the by-product, with an Nco2/Ne ratio of 1/2, which will lead to a carbon use equal to or slightly higher than what would occur in reality.</t>
      </text>
    </comment>
    <comment ref="J1" authorId="5" shapeId="0" xr:uid="{7CF01B63-125A-46D2-8F46-60E4EC2CD1CB}">
      <text>
        <t>[Threaded comment]
Your version of Excel allows you to read this threaded comment; however, any edits to it will get removed if the file is opened in a newer version of Excel. Learn more: https://go.microsoft.com/fwlink/?linkid=870924
Comment:
    Mol CO2/mol electrons</t>
      </text>
    </comment>
    <comment ref="K1" authorId="6" shapeId="0" xr:uid="{CC65D2D4-FF44-4266-A12E-5758EDDAEB78}">
      <text>
        <r>
          <rPr>
            <sz val="10"/>
            <rFont val="Arial"/>
            <family val="2"/>
            <charset val="1"/>
          </rPr>
          <t>Electricity and CO2 are not the only components that contribute to the cost of ECR. This scaling factor can be used to add additional %cost to account for other costs.
A scaling factor of 1 assumes only the electricity and CO2 costs apply. Scaling factor &gt;1 applies other costs.
ie. A scaling factor of 1.2 applies 20% additional costs.</t>
        </r>
      </text>
    </comment>
    <comment ref="E10" authorId="7" shapeId="0" xr:uid="{B597724B-C8D1-4D00-A821-6E02EB05FC79}">
      <text>
        <t>[Threaded comment]
Your version of Excel allows you to read this threaded comment; however, any edits to it will get removed if the file is opened in a newer version of Excel. Learn more: https://go.microsoft.com/fwlink/?linkid=870924
Comment:
    Mix ratio: 1 CO: 0.5 H2
FE for CO: 100*(1/1.5)</t>
      </text>
    </comment>
    <comment ref="E11" authorId="8" shapeId="0" xr:uid="{47E8BD71-3D0E-46BD-AFF7-98F792A1E886}">
      <text>
        <t xml:space="preserve">[Threaded comment]
Your version of Excel allows you to read this threaded comment; however, any edits to it will get removed if the file is opened in a newer version of Excel. Learn more: https://go.microsoft.com/fwlink/?linkid=870924
Comment:
    Mix ratio: 1 CO: 1 H2
FE for CO: 100*(1/2)
</t>
      </text>
    </comment>
    <comment ref="E12" authorId="9" shapeId="0" xr:uid="{4E026448-66B5-434E-B1CC-607D6B20B92E}">
      <text>
        <t xml:space="preserve">[Threaded comment]
Your version of Excel allows you to read this threaded comment; however, any edits to it will get removed if the file is opened in a newer version of Excel. Learn more: https://go.microsoft.com/fwlink/?linkid=870924
Comment:
    Mix ratio: 1 CO: 2 H2
FE for CO: 100*(1/3)
</t>
      </text>
    </comment>
    <comment ref="E13" authorId="10" shapeId="0" xr:uid="{03E102D3-7D75-4CE8-8E43-DC3AE069BEB7}">
      <text>
        <t>[Threaded comment]
Your version of Excel allows you to read this threaded comment; however, any edits to it will get removed if the file is opened in a newer version of Excel. Learn more: https://go.microsoft.com/fwlink/?linkid=870924
Comment:
    Mix ratio: 1 FA: 0.5 H2
FE for FA: 100*(1/1.5)</t>
      </text>
    </comment>
    <comment ref="E14" authorId="11" shapeId="0" xr:uid="{F99ED336-3E55-422F-970C-199D2123480F}">
      <text>
        <t xml:space="preserve">[Threaded comment]
Your version of Excel allows you to read this threaded comment; however, any edits to it will get removed if the file is opened in a newer version of Excel. Learn more: https://go.microsoft.com/fwlink/?linkid=870924
Comment:
    Mix ratio: 1 FA: 1 H2
FE for FA: 100*(1/2)
</t>
      </text>
    </comment>
    <comment ref="E15" authorId="12" shapeId="0" xr:uid="{5654C464-529C-44AE-9B00-C6CA9D02DDD8}">
      <text>
        <t xml:space="preserve">[Threaded comment]
Your version of Excel allows you to read this threaded comment; however, any edits to it will get removed if the file is opened in a newer version of Excel. Learn more: https://go.microsoft.com/fwlink/?linkid=870924
Comment:
    Mix ratio: 1 FA: 2 H2
FE for FA: 100*(1/3)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tc={4541EB82-FD8F-4FA0-9436-8947B8EEA5C1}</author>
    <author>tc={DE4A5A0F-3C39-4305-BC73-8B2C2CBCDB61}</author>
    <author>tc={9E9F6D4A-19A5-4271-A989-72C144CF5BD9}</author>
    <author>tc={7ABB691F-77B9-484A-84A8-F85BD2E56776}</author>
    <author>tc={70157D93-C559-4C07-8492-30B548388075}</author>
    <author>tc={CE6223D9-8319-4919-9F83-D96F95AAB564}</author>
    <author/>
    <author>tc={6E43BAF1-F20D-4616-9F27-FFFECF6E0D7D}</author>
    <author>tc={F5A3C772-1054-49B7-B103-4EF672926ABC}</author>
    <author>tc={C903C8CC-EB18-4235-AB84-F71B8DB3FC89}</author>
    <author>tc={0887C70F-AF24-4799-B60A-0FB6D8ACB829}</author>
    <author>tc={D22AF9D9-6460-4F7E-A6E7-3589F163A97B}</author>
    <author>tc={6EB63FC3-0F6D-4C36-B96B-EC637C3E0135}</author>
  </authors>
  <commentList>
    <comment ref="C1" authorId="0" shapeId="0" xr:uid="{4541EB82-FD8F-4FA0-9436-8947B8EEA5C1}">
      <text>
        <t>[Threaded comment]
Your version of Excel allows you to read this threaded comment; however, any edits to it will get removed if the file is opened in a newer version of Excel. Learn more: https://go.microsoft.com/fwlink/?linkid=870924
Comment:
    Sourced from Categories table based on assigned Tier</t>
      </text>
    </comment>
    <comment ref="D1" authorId="1" shapeId="0" xr:uid="{DE4A5A0F-3C39-4305-BC73-8B2C2CBCDB61}">
      <text>
        <t>[Threaded comment]
Your version of Excel allows you to read this threaded comment; however, any edits to it will get removed if the file is opened in a newer version of Excel. Learn more: https://go.microsoft.com/fwlink/?linkid=870924
Comment:
    Sourced from Categories table based on assigned Tier</t>
      </text>
    </comment>
    <comment ref="E1" authorId="2" shapeId="0" xr:uid="{9E9F6D4A-19A5-4271-A989-72C144CF5BD9}">
      <text>
        <t>[Threaded comment]
Your version of Excel allows you to read this threaded comment; however, any edits to it will get removed if the file is opened in a newer version of Excel. Learn more: https://go.microsoft.com/fwlink/?linkid=870924
Comment:
    Sourced from Categories table based on assigned Tier</t>
      </text>
    </comment>
    <comment ref="F1" authorId="3" shapeId="0" xr:uid="{7ABB691F-77B9-484A-84A8-F85BD2E56776}">
      <text>
        <t>[Threaded comment]
Your version of Excel allows you to read this threaded comment; however, any edits to it will get removed if the file is opened in a newer version of Excel. Learn more: https://go.microsoft.com/fwlink/?linkid=870924
Comment:
    Sourced from Categories table based on assigned Tier</t>
      </text>
    </comment>
    <comment ref="H1" authorId="4" shapeId="0" xr:uid="{70157D93-C559-4C07-8492-30B548388075}">
      <text>
        <t>[Threaded comment]
Your version of Excel allows you to read this threaded comment; however, any edits to it will get removed if the file is opened in a newer version of Excel. Learn more: https://go.microsoft.com/fwlink/?linkid=870924
Comment:
    The amount of carbon converted for a given product is proportional to the sum of the FE*Nco2/Ne for all product species (where Nco2 is the mol CO2 required per mol product and Ne is the the mol electrons required per mol product). The worst case scenario will be for the highest Nco2 and lowest Ne values (so highest Nco2/Ne ratio), which when considering all the possible ECR products is Nco2/Ne=1/2 (formate). Therefore, for the ideal case I have assumed “formate” as the by-product, with an Nco2/Ne ratio of 1/2, which will lead to a carbon use equal to or slightly higher than what would occur in reality.</t>
      </text>
    </comment>
    <comment ref="J1" authorId="5" shapeId="0" xr:uid="{CE6223D9-8319-4919-9F83-D96F95AAB564}">
      <text>
        <t>[Threaded comment]
Your version of Excel allows you to read this threaded comment; however, any edits to it will get removed if the file is opened in a newer version of Excel. Learn more: https://go.microsoft.com/fwlink/?linkid=870924
Comment:
    Mol CO2/mol electrons</t>
      </text>
    </comment>
    <comment ref="K1" authorId="6" shapeId="0" xr:uid="{C52AD37D-01B1-47D1-848A-E463CD6AB88C}">
      <text>
        <r>
          <rPr>
            <sz val="10"/>
            <rFont val="Arial"/>
            <family val="2"/>
            <charset val="1"/>
          </rPr>
          <t>Electricity and CO2 are not the only components that contribute to the cost of ECR. This scaling factor can be used to add additional %cost to account for other costs.
A scaling factor of 1 assumes only the electricity and CO2 costs apply. Scaling factor &gt;1 applies other costs.
ie. A scaling factor of 1.2 applies 20% additional costs.</t>
        </r>
      </text>
    </comment>
    <comment ref="E10" authorId="7" shapeId="0" xr:uid="{6E43BAF1-F20D-4616-9F27-FFFECF6E0D7D}">
      <text>
        <t>[Threaded comment]
Your version of Excel allows you to read this threaded comment; however, any edits to it will get removed if the file is opened in a newer version of Excel. Learn more: https://go.microsoft.com/fwlink/?linkid=870924
Comment:
    Mix ratio: 1 CO: 0.5 H2
FE for CO: 100*(1/1.5)</t>
      </text>
    </comment>
    <comment ref="E11" authorId="8" shapeId="0" xr:uid="{F5A3C772-1054-49B7-B103-4EF672926ABC}">
      <text>
        <t xml:space="preserve">[Threaded comment]
Your version of Excel allows you to read this threaded comment; however, any edits to it will get removed if the file is opened in a newer version of Excel. Learn more: https://go.microsoft.com/fwlink/?linkid=870924
Comment:
    Mix ratio: 1 CO: 1 H2
FE for CO: 100*(1/2)
</t>
      </text>
    </comment>
    <comment ref="E12" authorId="9" shapeId="0" xr:uid="{C903C8CC-EB18-4235-AB84-F71B8DB3FC89}">
      <text>
        <t xml:space="preserve">[Threaded comment]
Your version of Excel allows you to read this threaded comment; however, any edits to it will get removed if the file is opened in a newer version of Excel. Learn more: https://go.microsoft.com/fwlink/?linkid=870924
Comment:
    Mix ratio: 1 CO: 2 H2
FE for CO: 100*(1/3)
</t>
      </text>
    </comment>
    <comment ref="E13" authorId="10" shapeId="0" xr:uid="{0887C70F-AF24-4799-B60A-0FB6D8ACB829}">
      <text>
        <t>[Threaded comment]
Your version of Excel allows you to read this threaded comment; however, any edits to it will get removed if the file is opened in a newer version of Excel. Learn more: https://go.microsoft.com/fwlink/?linkid=870924
Comment:
    Mix ratio: 1 FA: 0.5 H2
FE for FA: 100*(1/1.5)</t>
      </text>
    </comment>
    <comment ref="E14" authorId="11" shapeId="0" xr:uid="{D22AF9D9-6460-4F7E-A6E7-3589F163A97B}">
      <text>
        <t xml:space="preserve">[Threaded comment]
Your version of Excel allows you to read this threaded comment; however, any edits to it will get removed if the file is opened in a newer version of Excel. Learn more: https://go.microsoft.com/fwlink/?linkid=870924
Comment:
    Mix ratio: 1 FA: 1 H2
FE for FA: 100*(1/2)
</t>
      </text>
    </comment>
    <comment ref="E15" authorId="12" shapeId="0" xr:uid="{6EB63FC3-0F6D-4C36-B96B-EC637C3E0135}">
      <text>
        <t xml:space="preserve">[Threaded comment]
Your version of Excel allows you to read this threaded comment; however, any edits to it will get removed if the file is opened in a newer version of Excel. Learn more: https://go.microsoft.com/fwlink/?linkid=870924
Comment:
    Mix ratio: 1 FA: 2 H2
FE for FA: 100*(1/3)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000-000001000000}">
      <text>
        <r>
          <rPr>
            <sz val="10"/>
            <rFont val="Arial"/>
            <family val="2"/>
            <charset val="1"/>
          </rPr>
          <t>Electricity and CO2 are not the only components that contribute to the cost of ECR. This scaling factor can be used to add additional %cost to account for other costs.
A scaling factor of 1 assumes only the electricity and CO2 costs apply. Scaling factor &gt;1 applies other costs.
ie. A scaling factor of 1.2 applies 20% additional costs.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1000000}">
      <text>
        <r>
          <rPr>
            <sz val="10"/>
            <rFont val="Arial"/>
            <family val="2"/>
            <charset val="1"/>
          </rPr>
          <t>Using 3 for base, 2 for best.</t>
        </r>
      </text>
    </comment>
    <comment ref="C1" authorId="0" shapeId="0" xr:uid="{00000000-0006-0000-0100-000002000000}">
      <text>
        <r>
          <rPr>
            <sz val="10"/>
            <rFont val="Arial"/>
            <family val="2"/>
            <charset val="1"/>
          </rPr>
          <t>Initially 200, changed to 300 on June 18, 2021.
300 for base base, 500 for best case</t>
        </r>
      </text>
    </comment>
    <comment ref="D1" authorId="0" shapeId="0" xr:uid="{00000000-0006-0000-0100-000003000000}">
      <text>
        <r>
          <rPr>
            <sz val="10"/>
            <rFont val="Arial"/>
            <family val="2"/>
            <charset val="1"/>
          </rPr>
          <t>Using 80 for base, 90 for best.</t>
        </r>
      </text>
    </comment>
    <comment ref="F1" authorId="0" shapeId="0" xr:uid="{00000000-0006-0000-0100-000004000000}">
      <text>
        <r>
          <rPr>
            <sz val="10"/>
            <rFont val="Arial"/>
            <family val="2"/>
            <charset val="1"/>
          </rPr>
          <t>The amount of carbon converted for a given product is proportional to the sum of the FE*Nco2/Ne for all product species (where Nco2 is the mol CO2 required per mol product and Ne is the the mol electrons required per mol product). The worst case scenario will be for the highest Nco2 and lowest Ne values (so highest Nco2/Ne ratio), which when considering all the possible ECR products is Nco2/Ne=1/2 (formate). Therefore, for the ideal case I have assumed “formate” as the by-product, with an Nco2/Ne ratio of 1/2, which will lead to a carbon use equal to or slightly higher than what would occur in reality.</t>
        </r>
      </text>
    </comment>
    <comment ref="I1" authorId="0" shapeId="0" xr:uid="{00000000-0006-0000-0100-000005000000}">
      <text>
        <r>
          <rPr>
            <sz val="10"/>
            <rFont val="Arial"/>
            <family val="2"/>
            <charset val="1"/>
          </rPr>
          <t>Electricity and CO2 are not the only components that contribute to the cost of ECR. This scaling factor can be used to add additional %cost to account for other costs.
A scaling factor of 1 assumes only the electricity and CO2 costs apply. Scaling factor &gt;1 applies other costs.
ie. A scaling factor of 1.2 applies 20% additional costs.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200-000001000000}">
      <text>
        <r>
          <rPr>
            <sz val="10"/>
            <rFont val="Arial"/>
            <family val="2"/>
            <charset val="1"/>
          </rPr>
          <t>Using 3 for base, 2 for best.</t>
        </r>
      </text>
    </comment>
    <comment ref="C1" authorId="0" shapeId="0" xr:uid="{00000000-0006-0000-0200-000002000000}">
      <text>
        <r>
          <rPr>
            <sz val="10"/>
            <color rgb="FF000000"/>
            <rFont val="Arial"/>
            <family val="2"/>
            <charset val="1"/>
          </rPr>
          <t xml:space="preserve">Initially 200, changed to 300 on June 18, 2021.
</t>
        </r>
        <r>
          <rPr>
            <sz val="10"/>
            <color rgb="FF000000"/>
            <rFont val="Arial"/>
            <family val="2"/>
            <charset val="1"/>
          </rPr>
          <t xml:space="preserve">
</t>
        </r>
        <r>
          <rPr>
            <sz val="10"/>
            <color rgb="FF000000"/>
            <rFont val="Arial"/>
            <family val="2"/>
            <charset val="1"/>
          </rPr>
          <t>300 for base base, 500 for best case</t>
        </r>
      </text>
    </comment>
    <comment ref="D1" authorId="0" shapeId="0" xr:uid="{00000000-0006-0000-0200-000003000000}">
      <text>
        <r>
          <rPr>
            <sz val="10"/>
            <rFont val="Arial"/>
            <family val="2"/>
            <charset val="1"/>
          </rPr>
          <t>Using 80 for base, 90 for best.</t>
        </r>
      </text>
    </comment>
    <comment ref="F1" authorId="0" shapeId="0" xr:uid="{00000000-0006-0000-0200-000004000000}">
      <text>
        <r>
          <rPr>
            <sz val="10"/>
            <rFont val="Arial"/>
            <family val="2"/>
            <charset val="1"/>
          </rPr>
          <t>The amount of carbon converted for a given product is proportional to the sum of the FE*Nco2/Ne for all product species (where Nco2 is the mol CO2 required per mol product and Ne is the the mol electrons required per mol product). The worst case scenario will be for the highest Nco2 and lowest Ne values (so highest Nco2/Ne ratio), which when considering all the possible ECR products is Nco2/Ne=1/2 (formate). Therefore, for the ideal case I have assumed “formate” as the by-product, with an Nco2/Ne ratio of 1/2, which will lead to a carbon use equal to or slightly higher than what would occur in reality.</t>
        </r>
      </text>
    </comment>
    <comment ref="I1" authorId="0" shapeId="0" xr:uid="{00000000-0006-0000-0200-000005000000}">
      <text>
        <r>
          <rPr>
            <sz val="10"/>
            <rFont val="Arial"/>
            <family val="2"/>
            <charset val="1"/>
          </rPr>
          <t>Electricity and CO2 are not the only components that contribute to the cost of ECR. This scaling factor can be used to add additional %cost to account for other costs.
A scaling factor of 1 assumes only the electricity and CO2 costs apply. Scaling factor &gt;1 applies other costs.
ie. A scaling factor of 1.2 applies 20% additional costs.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600-000001000000}">
      <text>
        <r>
          <rPr>
            <sz val="10"/>
            <rFont val="Arial"/>
            <family val="2"/>
            <charset val="1"/>
          </rPr>
          <t>Mol H2/ mol CO2</t>
        </r>
      </text>
    </comment>
    <comment ref="D1" authorId="0" shapeId="0" xr:uid="{00000000-0006-0000-0600-000002000000}">
      <text>
        <r>
          <rPr>
            <sz val="10"/>
            <rFont val="Arial"/>
            <family val="2"/>
          </rPr>
          <t>For H2 production</t>
        </r>
      </text>
    </comment>
    <comment ref="E1" authorId="0" shapeId="0" xr:uid="{00000000-0006-0000-0600-000003000000}">
      <text>
        <r>
          <rPr>
            <sz val="10"/>
            <rFont val="Arial"/>
            <family val="2"/>
            <charset val="1"/>
          </rPr>
          <t>For H2 production</t>
        </r>
      </text>
    </comment>
    <comment ref="F1" authorId="0" shapeId="0" xr:uid="{00000000-0006-0000-0600-000004000000}">
      <text>
        <r>
          <rPr>
            <sz val="10"/>
            <rFont val="Arial"/>
            <family val="2"/>
            <charset val="1"/>
          </rPr>
          <t>For H2 production</t>
        </r>
      </text>
    </comment>
    <comment ref="H1" authorId="0" shapeId="0" xr:uid="{00000000-0006-0000-0600-000005000000}">
      <text>
        <r>
          <rPr>
            <sz val="10"/>
            <rFont val="Arial"/>
            <family val="2"/>
            <charset val="1"/>
          </rPr>
          <t>Electricity and CO2 are not the only components that contribute to the cost of ECR. This scaling factor can be used to add additional %cost to account for other costs.
A scaling factor of 1 assumes only the electricity and CO2 costs apply. Scaling factor &gt;1 applies other costs.
ie. A scaling factor of 1.2 applies 20% additional costs.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400-000001000000}">
      <text>
        <r>
          <rPr>
            <sz val="10"/>
            <rFont val="Arial"/>
            <family val="2"/>
            <charset val="1"/>
          </rPr>
          <t>Represents electrolyzer CAPITAL cost in $CA/m^2.
Initially used values: 1000, 1500 and 2000.
Increased to 1000, 2000 and 4000 $CA/m^2.</t>
        </r>
      </text>
    </comment>
  </commentList>
</comments>
</file>

<file path=xl/sharedStrings.xml><?xml version="1.0" encoding="utf-8"?>
<sst xmlns="http://schemas.openxmlformats.org/spreadsheetml/2006/main" count="397" uniqueCount="107">
  <si>
    <t>SubstrateName</t>
  </si>
  <si>
    <t>SubstrateType</t>
  </si>
  <si>
    <t>Formula</t>
  </si>
  <si>
    <t>C_n</t>
  </si>
  <si>
    <t>H_n</t>
  </si>
  <si>
    <t>O_n</t>
  </si>
  <si>
    <t>MW_S</t>
  </si>
  <si>
    <t>N_electrons</t>
  </si>
  <si>
    <t>H2Ratio</t>
  </si>
  <si>
    <t>Acetaldehyde</t>
  </si>
  <si>
    <t>Pure</t>
  </si>
  <si>
    <t>C2H4O</t>
  </si>
  <si>
    <t>AceticAcid</t>
  </si>
  <si>
    <t>CH3COOH</t>
  </si>
  <si>
    <t>Ethanol</t>
  </si>
  <si>
    <t>C2H5OH</t>
  </si>
  <si>
    <t>EthyleneGlycol</t>
  </si>
  <si>
    <t>(CH2OH)2</t>
  </si>
  <si>
    <t>FormicAcid</t>
  </si>
  <si>
    <t>CHOOH</t>
  </si>
  <si>
    <t>Glycolaldehyde</t>
  </si>
  <si>
    <t>C2H4O2</t>
  </si>
  <si>
    <t>Methanol</t>
  </si>
  <si>
    <t>CH3OH</t>
  </si>
  <si>
    <t>Methane</t>
  </si>
  <si>
    <t>CH4</t>
  </si>
  <si>
    <t>Ethylene</t>
  </si>
  <si>
    <t>C2H4</t>
  </si>
  <si>
    <t>CarbonMonoxide</t>
  </si>
  <si>
    <t>CO</t>
  </si>
  <si>
    <t>Hydrogen</t>
  </si>
  <si>
    <t>H2</t>
  </si>
  <si>
    <t>CarbonMonoxide_0.5</t>
  </si>
  <si>
    <t>Mix</t>
  </si>
  <si>
    <t>CarbonMonoxide_1</t>
  </si>
  <si>
    <t>CarbonMonoxide_2</t>
  </si>
  <si>
    <t>FormicAcid_0.5</t>
  </si>
  <si>
    <t>FormicAcid_1</t>
  </si>
  <si>
    <t>FormicAcid_2</t>
  </si>
  <si>
    <t>CarbonDioxide_2</t>
  </si>
  <si>
    <t>Mix2</t>
  </si>
  <si>
    <t>CO2</t>
  </si>
  <si>
    <t>CarbonDioxide_4</t>
  </si>
  <si>
    <t>CarbonDioxide_x</t>
  </si>
  <si>
    <t>N/A</t>
  </si>
  <si>
    <t>Tier</t>
  </si>
  <si>
    <t>CellVoltage</t>
  </si>
  <si>
    <t>CurrentDensity</t>
  </si>
  <si>
    <t>FaradaicEfficiency</t>
  </si>
  <si>
    <t>Conversion</t>
  </si>
  <si>
    <t>Description</t>
  </si>
  <si>
    <t>Acetaldehyde, Ethylene glycol</t>
  </si>
  <si>
    <t>Alcohols: Methanol, Ethanol, Propanol</t>
  </si>
  <si>
    <t>Ethylene, Acetic Acid, CO, Formic Acid</t>
  </si>
  <si>
    <t>Best case (for any products other than CO2 mixtures)</t>
  </si>
  <si>
    <t>CO2:H2 mixtures, worse case</t>
  </si>
  <si>
    <t>CO2:H2 mixtures, better case</t>
  </si>
  <si>
    <t>EnergyEfficiency</t>
  </si>
  <si>
    <t>ByProducts</t>
  </si>
  <si>
    <t>ByP_FE</t>
  </si>
  <si>
    <t>Xco2</t>
  </si>
  <si>
    <t>ScalingFactor</t>
  </si>
  <si>
    <t>FormicAcid/CO</t>
  </si>
  <si>
    <t>Source</t>
  </si>
  <si>
    <t>Formate</t>
  </si>
  <si>
    <t>Zha (2019)</t>
  </si>
  <si>
    <t>Tamura (2015)</t>
  </si>
  <si>
    <t>Ethylene,  Hydrogen, Acetate, Methane</t>
  </si>
  <si>
    <t>34, 16, 4, 3</t>
  </si>
  <si>
    <t>Luo (2019)</t>
  </si>
  <si>
    <t>Li (2006), DeLuna (2019)</t>
  </si>
  <si>
    <t>Formate, CO</t>
  </si>
  <si>
    <t>20, 2.4</t>
  </si>
  <si>
    <t>Yang (2019)</t>
  </si>
  <si>
    <t>None</t>
  </si>
  <si>
    <t>Ma (2016)</t>
  </si>
  <si>
    <t>Case</t>
  </si>
  <si>
    <t>Notes</t>
  </si>
  <si>
    <t>Base</t>
  </si>
  <si>
    <t>No byproducts accounted in analysis, but FE &lt;100 used</t>
  </si>
  <si>
    <t>Best</t>
  </si>
  <si>
    <t>Process</t>
  </si>
  <si>
    <t>Phase</t>
  </si>
  <si>
    <t>Operating Cost (kWh/m3)</t>
  </si>
  <si>
    <t>Operating Cost ($/day)</t>
  </si>
  <si>
    <t>Reference Capital Cost ($)</t>
  </si>
  <si>
    <t>Reference Capacity (m3/h)</t>
  </si>
  <si>
    <t>Reference Capacity (L/min)</t>
  </si>
  <si>
    <t>Capacity Scaling Factor</t>
  </si>
  <si>
    <t>PSA</t>
  </si>
  <si>
    <t>GAS</t>
  </si>
  <si>
    <t>Jouny, M., Luc, W. &amp; Jiao, F. General Techno-Economic Analysis of CO2 Electrolysis Systems. Industrial &amp; Engineering Chemistry Research 57, 2165–2177 (2018).</t>
  </si>
  <si>
    <t>Distillation</t>
  </si>
  <si>
    <t>LIQUID</t>
  </si>
  <si>
    <t>Parameters</t>
  </si>
  <si>
    <t>ElectricityPrice</t>
  </si>
  <si>
    <t>CO2Price</t>
  </si>
  <si>
    <t>CarbonTax</t>
  </si>
  <si>
    <t>ElectrolyzerPrice</t>
  </si>
  <si>
    <t>Units</t>
  </si>
  <si>
    <t>$ CA/kWh</t>
  </si>
  <si>
    <t>$/tonne</t>
  </si>
  <si>
    <t>%</t>
  </si>
  <si>
    <t>$/m^2</t>
  </si>
  <si>
    <t>mA/cm^2</t>
  </si>
  <si>
    <t>V</t>
  </si>
  <si>
    <t>Worst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</si>
</sst>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charset val="1"/>
    </font>
    <font>
      <b/>
      <sz val="10"/>
      <name val="Arial"/>
      <family val="2"/>
      <charset val="1"/>
    </font>
    <font>
      <sz val="11"/>
      <name val="arial"/>
      <family val="2"/>
      <charset val="1"/>
    </font>
    <font>
      <sz val="10"/>
      <name val="arial"/>
      <family val="2"/>
      <charset val="1"/>
    </font>
    <font>
      <sz val="10"/>
      <name val="Arial"/>
      <family val="2"/>
    </font>
    <font>
      <sz val="10"/>
      <color rgb="FF000000"/>
      <name val="Arial"/>
      <family val="2"/>
      <charset val="1"/>
    </font>
  </fonts>
  <fills count="5">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0" fillId="0" borderId="0" xfId="0" applyAlignment="1">
      <alignment horizontal="left"/>
    </xf>
    <xf numFmtId="0" fontId="1" fillId="0" borderId="0" xfId="0" applyFont="1" applyAlignment="1">
      <alignment horizontal="left"/>
    </xf>
    <xf numFmtId="0" fontId="0" fillId="0" borderId="0" xfId="0" applyAlignment="1">
      <alignment wrapText="1"/>
    </xf>
    <xf numFmtId="0" fontId="0" fillId="0" borderId="0" xfId="0" applyProtection="1">
      <protection locked="0"/>
    </xf>
    <xf numFmtId="0" fontId="0" fillId="2" borderId="0" xfId="0" applyFill="1" applyAlignment="1">
      <alignment horizontal="center"/>
    </xf>
    <xf numFmtId="0" fontId="0" fillId="0" borderId="0" xfId="0" quotePrefix="1" applyAlignment="1">
      <alignment horizontal="center"/>
    </xf>
    <xf numFmtId="0" fontId="0" fillId="2" borderId="0" xfId="0" quotePrefix="1" applyFill="1" applyAlignment="1">
      <alignment horizontal="center"/>
    </xf>
    <xf numFmtId="0" fontId="1" fillId="4" borderId="0" xfId="0" applyFont="1" applyFill="1"/>
    <xf numFmtId="0" fontId="1" fillId="4" borderId="0" xfId="0" applyFont="1" applyFill="1" applyAlignment="1">
      <alignment horizontal="center"/>
    </xf>
    <xf numFmtId="2" fontId="0" fillId="3" borderId="0" xfId="0" applyNumberFormat="1" applyFill="1" applyAlignment="1">
      <alignment horizontal="center"/>
    </xf>
    <xf numFmtId="0" fontId="0" fillId="3" borderId="0" xfId="0" applyFill="1" applyAlignment="1">
      <alignment horizontal="center"/>
    </xf>
  </cellXfs>
  <cellStyles count="1">
    <cellStyle name="Normal" xfId="0" builtinId="0"/>
  </cellStyles>
  <dxfs count="40">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bottom" textRotation="0" wrapText="0" indent="0" justifyLastLine="0" shrinkToFit="0" readingOrder="0"/>
    </dxf>
    <dxf>
      <fill>
        <patternFill patternType="solid">
          <fgColor indexed="64"/>
          <bgColor rgb="FFFFFF0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charset val="1"/>
        <scheme val="none"/>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10</xdr:row>
      <xdr:rowOff>114300</xdr:rowOff>
    </xdr:from>
    <xdr:to>
      <xdr:col>5</xdr:col>
      <xdr:colOff>1609371</xdr:colOff>
      <xdr:row>27</xdr:row>
      <xdr:rowOff>158491</xdr:rowOff>
    </xdr:to>
    <xdr:pic>
      <xdr:nvPicPr>
        <xdr:cNvPr id="2" name="Picture 1">
          <a:extLst>
            <a:ext uri="{FF2B5EF4-FFF2-40B4-BE49-F238E27FC236}">
              <a16:creationId xmlns:a16="http://schemas.microsoft.com/office/drawing/2014/main" id="{083D6EEB-0DA8-8B80-0134-B7A5644947BB}"/>
            </a:ext>
          </a:extLst>
        </xdr:cNvPr>
        <xdr:cNvPicPr>
          <a:picLocks noChangeAspect="1"/>
        </xdr:cNvPicPr>
      </xdr:nvPicPr>
      <xdr:blipFill>
        <a:blip xmlns:r="http://schemas.openxmlformats.org/officeDocument/2006/relationships" r:embed="rId1"/>
        <a:stretch>
          <a:fillRect/>
        </a:stretch>
      </xdr:blipFill>
      <xdr:spPr>
        <a:xfrm>
          <a:off x="114300" y="1828800"/>
          <a:ext cx="6467121" cy="29588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698500</xdr:colOff>
      <xdr:row>76</xdr:row>
      <xdr:rowOff>152400</xdr:rowOff>
    </xdr:to>
    <xdr:sp macro="" textlink="">
      <xdr:nvSpPr>
        <xdr:cNvPr id="1026" name="shapetype_202" hidden="1">
          <a:extLst>
            <a:ext uri="{FF2B5EF4-FFF2-40B4-BE49-F238E27FC236}">
              <a16:creationId xmlns:a16="http://schemas.microsoft.com/office/drawing/2014/main" id="{A1CA0107-98B9-6941-8750-8D1EAAD1E4D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546100</xdr:colOff>
      <xdr:row>76</xdr:row>
      <xdr:rowOff>152400</xdr:rowOff>
    </xdr:to>
    <xdr:sp macro="" textlink="">
      <xdr:nvSpPr>
        <xdr:cNvPr id="2058" name="shapetype_202" hidden="1">
          <a:extLst>
            <a:ext uri="{FF2B5EF4-FFF2-40B4-BE49-F238E27FC236}">
              <a16:creationId xmlns:a16="http://schemas.microsoft.com/office/drawing/2014/main" id="{9732EC7F-3A2B-4148-AAF7-399A05F43EC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2056" name="shapetype_202" hidden="1">
          <a:extLst>
            <a:ext uri="{FF2B5EF4-FFF2-40B4-BE49-F238E27FC236}">
              <a16:creationId xmlns:a16="http://schemas.microsoft.com/office/drawing/2014/main" id="{6E129785-5C5D-7647-BDEE-B94F98A66A2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2054" name="shapetype_202" hidden="1">
          <a:extLst>
            <a:ext uri="{FF2B5EF4-FFF2-40B4-BE49-F238E27FC236}">
              <a16:creationId xmlns:a16="http://schemas.microsoft.com/office/drawing/2014/main" id="{A02D21E4-EFC1-B24E-BC17-F50BBD366C2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2052" name="shapetype_202" hidden="1">
          <a:extLst>
            <a:ext uri="{FF2B5EF4-FFF2-40B4-BE49-F238E27FC236}">
              <a16:creationId xmlns:a16="http://schemas.microsoft.com/office/drawing/2014/main" id="{63BF5DCA-5065-C747-B1A8-67C7D03785E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2050" name="shapetype_202" hidden="1">
          <a:extLst>
            <a:ext uri="{FF2B5EF4-FFF2-40B4-BE49-F238E27FC236}">
              <a16:creationId xmlns:a16="http://schemas.microsoft.com/office/drawing/2014/main" id="{DC79103D-CB19-9149-86B5-144F489FBB9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546100</xdr:colOff>
      <xdr:row>76</xdr:row>
      <xdr:rowOff>152400</xdr:rowOff>
    </xdr:to>
    <xdr:sp macro="" textlink="">
      <xdr:nvSpPr>
        <xdr:cNvPr id="3082" name="shapetype_202" hidden="1">
          <a:extLst>
            <a:ext uri="{FF2B5EF4-FFF2-40B4-BE49-F238E27FC236}">
              <a16:creationId xmlns:a16="http://schemas.microsoft.com/office/drawing/2014/main" id="{BF3CE635-2EE9-484B-A359-309D7551CF3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3080" name="shapetype_202" hidden="1">
          <a:extLst>
            <a:ext uri="{FF2B5EF4-FFF2-40B4-BE49-F238E27FC236}">
              <a16:creationId xmlns:a16="http://schemas.microsoft.com/office/drawing/2014/main" id="{B638F2F0-75A4-1E47-9A15-C3945D48D6D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3078" name="shapetype_202" hidden="1">
          <a:extLst>
            <a:ext uri="{FF2B5EF4-FFF2-40B4-BE49-F238E27FC236}">
              <a16:creationId xmlns:a16="http://schemas.microsoft.com/office/drawing/2014/main" id="{78CA496B-EEE2-2047-AAC4-0389198440F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3076" name="shapetype_202" hidden="1">
          <a:extLst>
            <a:ext uri="{FF2B5EF4-FFF2-40B4-BE49-F238E27FC236}">
              <a16:creationId xmlns:a16="http://schemas.microsoft.com/office/drawing/2014/main" id="{97503B1B-AF28-9F45-A35F-7928ACDD1B0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3074" name="shapetype_202" hidden="1">
          <a:extLst>
            <a:ext uri="{FF2B5EF4-FFF2-40B4-BE49-F238E27FC236}">
              <a16:creationId xmlns:a16="http://schemas.microsoft.com/office/drawing/2014/main" id="{668A237C-A18D-FE40-AEB9-216D54D1420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431800</xdr:colOff>
      <xdr:row>76</xdr:row>
      <xdr:rowOff>152400</xdr:rowOff>
    </xdr:to>
    <xdr:sp macro="" textlink="">
      <xdr:nvSpPr>
        <xdr:cNvPr id="6154" name="shapetype_202" hidden="1">
          <a:extLst>
            <a:ext uri="{FF2B5EF4-FFF2-40B4-BE49-F238E27FC236}">
              <a16:creationId xmlns:a16="http://schemas.microsoft.com/office/drawing/2014/main" id="{B0479C30-60B6-6D46-8751-50B2432C74E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431800</xdr:colOff>
      <xdr:row>76</xdr:row>
      <xdr:rowOff>152400</xdr:rowOff>
    </xdr:to>
    <xdr:sp macro="" textlink="">
      <xdr:nvSpPr>
        <xdr:cNvPr id="6152" name="shapetype_202" hidden="1">
          <a:extLst>
            <a:ext uri="{FF2B5EF4-FFF2-40B4-BE49-F238E27FC236}">
              <a16:creationId xmlns:a16="http://schemas.microsoft.com/office/drawing/2014/main" id="{FF3D4D93-ADA9-6B43-8919-30285C7BA6F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431800</xdr:colOff>
      <xdr:row>76</xdr:row>
      <xdr:rowOff>152400</xdr:rowOff>
    </xdr:to>
    <xdr:sp macro="" textlink="">
      <xdr:nvSpPr>
        <xdr:cNvPr id="6150" name="shapetype_202" hidden="1">
          <a:extLst>
            <a:ext uri="{FF2B5EF4-FFF2-40B4-BE49-F238E27FC236}">
              <a16:creationId xmlns:a16="http://schemas.microsoft.com/office/drawing/2014/main" id="{D447DE82-0C4C-094E-A1C0-F165EDC76DF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431800</xdr:colOff>
      <xdr:row>76</xdr:row>
      <xdr:rowOff>152400</xdr:rowOff>
    </xdr:to>
    <xdr:sp macro="" textlink="">
      <xdr:nvSpPr>
        <xdr:cNvPr id="6148" name="shapetype_202" hidden="1">
          <a:extLst>
            <a:ext uri="{FF2B5EF4-FFF2-40B4-BE49-F238E27FC236}">
              <a16:creationId xmlns:a16="http://schemas.microsoft.com/office/drawing/2014/main" id="{B21D57AD-012D-A444-B554-928169055E4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431800</xdr:colOff>
      <xdr:row>76</xdr:row>
      <xdr:rowOff>152400</xdr:rowOff>
    </xdr:to>
    <xdr:sp macro="" textlink="">
      <xdr:nvSpPr>
        <xdr:cNvPr id="6146" name="shapetype_202" hidden="1">
          <a:extLst>
            <a:ext uri="{FF2B5EF4-FFF2-40B4-BE49-F238E27FC236}">
              <a16:creationId xmlns:a16="http://schemas.microsoft.com/office/drawing/2014/main" id="{ED2EFCB3-77EA-8144-BDE8-C5564BD13EA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243840</xdr:colOff>
      <xdr:row>5</xdr:row>
      <xdr:rowOff>99060</xdr:rowOff>
    </xdr:from>
    <xdr:to>
      <xdr:col>9</xdr:col>
      <xdr:colOff>526623</xdr:colOff>
      <xdr:row>31</xdr:row>
      <xdr:rowOff>84196</xdr:rowOff>
    </xdr:to>
    <xdr:pic>
      <xdr:nvPicPr>
        <xdr:cNvPr id="2" name="Picture 1">
          <a:extLst>
            <a:ext uri="{FF2B5EF4-FFF2-40B4-BE49-F238E27FC236}">
              <a16:creationId xmlns:a16="http://schemas.microsoft.com/office/drawing/2014/main" id="{C5CACC2E-FC2D-12E2-18F6-69A2AAFB6A4A}"/>
            </a:ext>
          </a:extLst>
        </xdr:cNvPr>
        <xdr:cNvPicPr>
          <a:picLocks noChangeAspect="1"/>
        </xdr:cNvPicPr>
      </xdr:nvPicPr>
      <xdr:blipFill>
        <a:blip xmlns:r="http://schemas.openxmlformats.org/officeDocument/2006/relationships" r:embed="rId1"/>
        <a:stretch>
          <a:fillRect/>
        </a:stretch>
      </xdr:blipFill>
      <xdr:spPr>
        <a:xfrm>
          <a:off x="243840" y="937260"/>
          <a:ext cx="9731583" cy="43437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520700</xdr:colOff>
      <xdr:row>76</xdr:row>
      <xdr:rowOff>152400</xdr:rowOff>
    </xdr:to>
    <xdr:sp macro="" textlink="">
      <xdr:nvSpPr>
        <xdr:cNvPr id="5122" name="shapetype_202" hidden="1">
          <a:extLst>
            <a:ext uri="{FF2B5EF4-FFF2-40B4-BE49-F238E27FC236}">
              <a16:creationId xmlns:a16="http://schemas.microsoft.com/office/drawing/2014/main" id="{80148368-6132-7044-91BA-97339FFE23A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Emma Harrison" id="{A146599C-7EA8-4C77-B4C4-A65FFFB8FE03}" userId="210e7f1ea2d7c288"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FBD7EC-2B8F-4D46-BCCE-EBA7866B93FE}" name="Products" displayName="Products" ref="A1:I21" totalsRowShown="0" headerRowDxfId="39" dataDxfId="38">
  <autoFilter ref="A1:I21" xr:uid="{88FBD7EC-2B8F-4D46-BCCE-EBA7866B93FE}"/>
  <tableColumns count="9">
    <tableColumn id="1" xr3:uid="{6BAEBBF1-B446-40CB-8604-EFE55ADEC8D5}" name="SubstrateName"/>
    <tableColumn id="2" xr3:uid="{58502AB0-9929-48F0-A712-A067112819C0}" name="SubstrateType"/>
    <tableColumn id="3" xr3:uid="{CC1BDEF3-B901-483D-81A9-6425732CC551}" name="Formula" dataDxfId="37"/>
    <tableColumn id="4" xr3:uid="{BBFC2E77-1813-4187-9904-ECFCC17B7751}" name="C_n" dataDxfId="36"/>
    <tableColumn id="5" xr3:uid="{8F077508-0B17-4AB7-A034-61C5DC6BE9A1}" name="H_n" dataDxfId="35"/>
    <tableColumn id="6" xr3:uid="{17A15C1A-985E-4E2B-AE2B-6CD74112E48F}" name="O_n" dataDxfId="34"/>
    <tableColumn id="7" xr3:uid="{A94B9C75-4A61-47C1-8350-C0063F598479}" name="MW_S" dataDxfId="33">
      <calculatedColumnFormula>D2*12.0107+E2*1.00784+F2*15.999</calculatedColumnFormula>
    </tableColumn>
    <tableColumn id="8" xr3:uid="{0ABA7D88-6821-4AA1-B314-50140D6CCE92}" name="N_electrons" dataDxfId="32"/>
    <tableColumn id="9" xr3:uid="{C8DE8546-0002-43C6-A58F-48C300EC450E}" name="H2Ratio" dataDxfId="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63B10-D918-4C70-A35B-DC88817447F7}" name="Categories" displayName="Categories" ref="A1:F8" totalsRowShown="0" headerRowDxfId="30" dataDxfId="29">
  <autoFilter ref="A1:F8" xr:uid="{EA863B10-D918-4C70-A35B-DC88817447F7}"/>
  <tableColumns count="6">
    <tableColumn id="1" xr3:uid="{04C0D513-FE06-48FF-89B0-0C2CA8DD88AE}" name="Tier" dataDxfId="28"/>
    <tableColumn id="2" xr3:uid="{1A572ADD-3DBA-4CCC-BF20-A66DF749F28E}" name="CellVoltage" dataDxfId="27"/>
    <tableColumn id="3" xr3:uid="{052B486B-FADC-4427-AEAE-A5E0C5466DDD}" name="CurrentDensity" dataDxfId="26"/>
    <tableColumn id="4" xr3:uid="{AF18287F-6B34-4C6D-AB71-A9FCE0852A1A}" name="FaradaicEfficiency" dataDxfId="25"/>
    <tableColumn id="5" xr3:uid="{77576FF1-9182-48FE-957A-374F91F0B4F3}" name="Conversion" dataDxfId="24"/>
    <tableColumn id="7" xr3:uid="{5129700A-4DC1-46DA-ACFA-31A32CFF26A7}" name="Descrip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B1DA92-7CE5-4321-ADC4-61EFE8D1A01A}" name="Table4" displayName="Table4" ref="A1:K18" totalsRowShown="0" headerRowDxfId="23" dataDxfId="22">
  <autoFilter ref="A1:K18" xr:uid="{77B1DA92-7CE5-4321-ADC4-61EFE8D1A01A}"/>
  <tableColumns count="11">
    <tableColumn id="1" xr3:uid="{9432738B-B2E3-4571-831E-FF19FD3519A3}" name="SubstrateName"/>
    <tableColumn id="2" xr3:uid="{624D1408-13AB-4FAF-AE86-5F4DC7F04E7B}" name="Tier" dataDxfId="21"/>
    <tableColumn id="3" xr3:uid="{48B81833-7191-4E58-A76D-91F6A107A28A}" name="CellVoltage" dataDxfId="20">
      <calculatedColumnFormula>VLOOKUP($B2,Categories[],MATCH(C$1,Categories[#Headers],0),0)</calculatedColumnFormula>
    </tableColumn>
    <tableColumn id="4" xr3:uid="{98C90FFB-B338-4323-9120-B457D1F5D20B}" name="CurrentDensity" dataDxfId="19">
      <calculatedColumnFormula>VLOOKUP($B2,Categories[],MATCH(D$1,Categories[#Headers],0),0)</calculatedColumnFormula>
    </tableColumn>
    <tableColumn id="5" xr3:uid="{ACB70200-C99C-480E-8F8E-BD8B8A9DD3DE}" name="FaradaicEfficiency" dataDxfId="18"/>
    <tableColumn id="6" xr3:uid="{732D1866-35DC-4EE0-9659-39F85C78D83D}" name="Conversion" dataDxfId="17">
      <calculatedColumnFormula>VLOOKUP($B2,Categories[],MATCH(F$1,Categories[#Headers],0),0)</calculatedColumnFormula>
    </tableColumn>
    <tableColumn id="8" xr3:uid="{A6CD3C5B-AFD8-467C-9741-D6024BDA3ACD}" name="EnergyEfficiency" dataDxfId="16"/>
    <tableColumn id="9" xr3:uid="{32E2823B-49A9-4A01-BEBF-C32EE0CB7200}" name="ByProducts" dataDxfId="15"/>
    <tableColumn id="10" xr3:uid="{30E1568F-5851-4D7D-8DEB-0651F17161AE}" name="ByP_FE" dataDxfId="14"/>
    <tableColumn id="11" xr3:uid="{ADF980BC-32D8-436B-9A07-D48BCD9E4041}" name="Xco2" dataDxfId="13"/>
    <tableColumn id="12" xr3:uid="{2B5B7029-B592-414B-B2DC-A5E3B65AB923}" name="ScalingFactor" dataDxfId="1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C6AB51-9060-40C4-9AA9-37475AF99E8B}" name="Table3" displayName="Table3" ref="A1:K18" totalsRowShown="0" headerRowDxfId="11" dataDxfId="10">
  <autoFilter ref="A1:K18" xr:uid="{7DC6AB51-9060-40C4-9AA9-37475AF99E8B}"/>
  <tableColumns count="11">
    <tableColumn id="1" xr3:uid="{1D0A97B0-38E2-4C82-9A09-18EAA98B4259}" name="SubstrateName"/>
    <tableColumn id="2" xr3:uid="{C378C422-4BB7-4C46-849D-20C5E1AAE592}" name="Tier" dataDxfId="9"/>
    <tableColumn id="3" xr3:uid="{A473609A-100F-4C16-8C02-0697F2A6BD64}" name="CellVoltage" dataDxfId="8">
      <calculatedColumnFormula>VLOOKUP($B2,Categories[],MATCH(C$1,Categories[#Headers],0),0)</calculatedColumnFormula>
    </tableColumn>
    <tableColumn id="4" xr3:uid="{8E1B3BD0-ACDA-4842-A973-1888EEC9D454}" name="CurrentDensity" dataDxfId="7">
      <calculatedColumnFormula>VLOOKUP($B2,Categories[],MATCH(D$1,Categories[#Headers],0),0)</calculatedColumnFormula>
    </tableColumn>
    <tableColumn id="5" xr3:uid="{D95A2C36-7994-4836-BBC9-FE287D1AB30B}" name="FaradaicEfficiency" dataDxfId="6"/>
    <tableColumn id="6" xr3:uid="{B98A7582-AA98-4040-85E2-C996462C4228}" name="Conversion" dataDxfId="5">
      <calculatedColumnFormula>VLOOKUP($B2,Categories[],MATCH(F$1,Categories[#Headers],0),0)</calculatedColumnFormula>
    </tableColumn>
    <tableColumn id="8" xr3:uid="{36ADB41B-7BF0-4482-8A59-F7E892FC9490}" name="EnergyEfficiency" dataDxfId="4"/>
    <tableColumn id="9" xr3:uid="{F6CB64E6-27BD-4498-9CD3-8792C3781B42}" name="ByProducts" dataDxfId="3"/>
    <tableColumn id="10" xr3:uid="{347FC279-88E5-4846-8797-C4D8F84F9005}" name="ByP_FE" dataDxfId="2"/>
    <tableColumn id="11" xr3:uid="{F8756996-6E79-400E-A947-194F92860D2C}" name="Xco2" dataDxfId="1"/>
    <tableColumn id="12" xr3:uid="{407BCEDC-63E5-43C7-A637-455577D5A1A2}" name="ScalingFacto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3-01-30T01:01:36.72" personId="{A146599C-7EA8-4C77-B4C4-A65FFFB8FE03}" id="{4CF72159-6AB0-45A3-89D6-1A42F9AA064D}">
    <text>Only relevant for mixtures with H2 (CO, CO2 or Formic acid), zero for everything else.
---Note on CO2:H2 mixtures:---
All FBA solutions (on bio side) require an H2:CO2 ratio between 2-4, so for the cost of ECR production alone, the cost for these two extremes are determined.
When cost for combined system is evaluated, the actual H2Ratio from the given FBA solution is used instead.</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3-01-29T16:25:56.56" personId="{A146599C-7EA8-4C77-B4C4-A65FFFB8FE03}" id="{077CF415-A5C8-4DD1-9831-58B6C97B49A0}">
    <text>V</text>
  </threadedComment>
  <threadedComment ref="C1" dT="2023-01-29T16:25:51.00" personId="{A146599C-7EA8-4C77-B4C4-A65FFFB8FE03}" id="{444DC424-C04F-424F-803D-E8A509D11425}">
    <text>mA/cm^2</text>
  </threadedComment>
  <threadedComment ref="D1" dT="2023-01-29T16:26:05.14" personId="{A146599C-7EA8-4C77-B4C4-A65FFFB8FE03}" id="{DB1221D7-D59D-4D6A-BF50-A61930E5A605}">
    <text>%
For CO2:H2 mixtures, 100% FE assumed (only hydrogen being produced, assuming only H2 produced)</text>
  </threadedComment>
  <threadedComment ref="E1" dT="2023-01-29T16:25:21.97" personId="{A146599C-7EA8-4C77-B4C4-A65FFFB8FE03}" id="{7F8A516D-3ECA-4349-884A-5A70B6F6969C}">
    <text>%, CO2 single pass conversion
Not applicable for CO2:H2 mixtures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30T01:28:38.84" personId="{A146599C-7EA8-4C77-B4C4-A65FFFB8FE03}" id="{7E2899F2-5FE5-40BD-99ED-C8DBD8ABE6B8}">
    <text>Sourced from Categories table based on assigned Tier</text>
  </threadedComment>
  <threadedComment ref="D1" dT="2023-01-30T01:28:42.61" personId="{A146599C-7EA8-4C77-B4C4-A65FFFB8FE03}" id="{CA4B8790-26DB-465A-BF24-892328B62077}">
    <text>Sourced from Categories table based on assigned Tier</text>
  </threadedComment>
  <threadedComment ref="E1" dT="2023-01-30T01:28:45.83" personId="{A146599C-7EA8-4C77-B4C4-A65FFFB8FE03}" id="{897CA138-F853-4D4D-802B-B4605F542CE9}">
    <text>Sourced from Categories table based on assigned Tier</text>
  </threadedComment>
  <threadedComment ref="F1" dT="2023-01-30T01:28:48.91" personId="{A146599C-7EA8-4C77-B4C4-A65FFFB8FE03}" id="{38DE55A0-AEDE-44CA-8EF8-AEB25CB243C8}">
    <text>Sourced from Categories table based on assigned Tier</text>
  </threadedComment>
  <threadedComment ref="H1" dT="2023-01-29T15:57:11.11" personId="{A146599C-7EA8-4C77-B4C4-A65FFFB8FE03}" id="{EB46DF5A-29F7-4FEB-B434-8644FA7441E6}">
    <text>The amount of carbon converted for a given product is proportional to the sum of the FE*Nco2/Ne for all product species (where Nco2 is the mol CO2 required per mol product and Ne is the the mol electrons required per mol product). The worst case scenario will be for the highest Nco2 and lowest Ne values (so highest Nco2/Ne ratio), which when considering all the possible ECR products is Nco2/Ne=1/2 (formate). Therefore, for the ideal case I have assumed “formate” as the by-product, with an Nco2/Ne ratio of 1/2, which will lead to a carbon use equal to or slightly higher than what would occur in reality.</text>
  </threadedComment>
  <threadedComment ref="J1" dT="2023-01-29T15:55:20.72" personId="{A146599C-7EA8-4C77-B4C4-A65FFFB8FE03}" id="{7CF01B63-125A-46D2-8F46-60E4EC2CD1CB}">
    <text>Mol CO2/mol electrons</text>
  </threadedComment>
  <threadedComment ref="E10" dT="2023-01-29T16:16:54.63" personId="{A146599C-7EA8-4C77-B4C4-A65FFFB8FE03}" id="{B597724B-C8D1-4D00-A821-6E02EB05FC79}">
    <text>Mix ratio: 1 CO: 0.5 H2
FE for CO: 100*(1/1.5)</text>
  </threadedComment>
  <threadedComment ref="E11" dT="2023-01-29T16:17:41.85" personId="{A146599C-7EA8-4C77-B4C4-A65FFFB8FE03}" id="{47E8BD71-3D0E-46BD-AFF7-98F792A1E886}">
    <text xml:space="preserve">Mix ratio: 1 CO: 1 H2
FE for CO: 100*(1/2)
</text>
  </threadedComment>
  <threadedComment ref="E12" dT="2023-01-29T16:18:02.92" personId="{A146599C-7EA8-4C77-B4C4-A65FFFB8FE03}" id="{4E026448-66B5-434E-B1CC-607D6B20B92E}">
    <text xml:space="preserve">Mix ratio: 1 CO: 2 H2
FE for CO: 100*(1/3)
</text>
  </threadedComment>
  <threadedComment ref="E13" dT="2023-01-29T16:16:54.63" personId="{A146599C-7EA8-4C77-B4C4-A65FFFB8FE03}" id="{03E102D3-7D75-4CE8-8E43-DC3AE069BEB7}">
    <text>Mix ratio: 1 FA: 0.5 H2
FE for FA: 100*(1/1.5)</text>
  </threadedComment>
  <threadedComment ref="E14" dT="2023-01-29T16:17:41.85" personId="{A146599C-7EA8-4C77-B4C4-A65FFFB8FE03}" id="{F99ED336-3E55-422F-970C-199D2123480F}">
    <text xml:space="preserve">Mix ratio: 1 FA: 1 H2
FE for FA: 100*(1/2)
</text>
  </threadedComment>
  <threadedComment ref="E15" dT="2023-01-29T16:18:02.92" personId="{A146599C-7EA8-4C77-B4C4-A65FFFB8FE03}" id="{5654C464-529C-44AE-9B00-C6CA9D02DDD8}">
    <text xml:space="preserve">Mix ratio: 1 FA: 2 H2
FE for FA: 100*(1/3)
</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3-01-30T01:28:38.84" personId="{A146599C-7EA8-4C77-B4C4-A65FFFB8FE03}" id="{4541EB82-FD8F-4FA0-9436-8947B8EEA5C1}">
    <text>Sourced from Categories table based on assigned Tier</text>
  </threadedComment>
  <threadedComment ref="D1" dT="2023-01-30T01:28:42.61" personId="{A146599C-7EA8-4C77-B4C4-A65FFFB8FE03}" id="{DE4A5A0F-3C39-4305-BC73-8B2C2CBCDB61}">
    <text>Sourced from Categories table based on assigned Tier</text>
  </threadedComment>
  <threadedComment ref="E1" dT="2023-01-30T01:28:45.83" personId="{A146599C-7EA8-4C77-B4C4-A65FFFB8FE03}" id="{9E9F6D4A-19A5-4271-A989-72C144CF5BD9}">
    <text>Sourced from Categories table based on assigned Tier</text>
  </threadedComment>
  <threadedComment ref="F1" dT="2023-01-30T01:28:48.91" personId="{A146599C-7EA8-4C77-B4C4-A65FFFB8FE03}" id="{7ABB691F-77B9-484A-84A8-F85BD2E56776}">
    <text>Sourced from Categories table based on assigned Tier</text>
  </threadedComment>
  <threadedComment ref="H1" dT="2023-01-29T15:57:11.11" personId="{A146599C-7EA8-4C77-B4C4-A65FFFB8FE03}" id="{70157D93-C559-4C07-8492-30B548388075}">
    <text>The amount of carbon converted for a given product is proportional to the sum of the FE*Nco2/Ne for all product species (where Nco2 is the mol CO2 required per mol product and Ne is the the mol electrons required per mol product). The worst case scenario will be for the highest Nco2 and lowest Ne values (so highest Nco2/Ne ratio), which when considering all the possible ECR products is Nco2/Ne=1/2 (formate). Therefore, for the ideal case I have assumed “formate” as the by-product, with an Nco2/Ne ratio of 1/2, which will lead to a carbon use equal to or slightly higher than what would occur in reality.</text>
  </threadedComment>
  <threadedComment ref="J1" dT="2023-01-29T15:55:20.72" personId="{A146599C-7EA8-4C77-B4C4-A65FFFB8FE03}" id="{CE6223D9-8319-4919-9F83-D96F95AAB564}">
    <text>Mol CO2/mol electrons</text>
  </threadedComment>
  <threadedComment ref="E10" dT="2023-01-29T16:16:54.63" personId="{A146599C-7EA8-4C77-B4C4-A65FFFB8FE03}" id="{6E43BAF1-F20D-4616-9F27-FFFECF6E0D7D}">
    <text>Mix ratio: 1 CO: 0.5 H2
FE for CO: 100*(1/1.5)</text>
  </threadedComment>
  <threadedComment ref="E11" dT="2023-01-29T16:17:41.85" personId="{A146599C-7EA8-4C77-B4C4-A65FFFB8FE03}" id="{F5A3C772-1054-49B7-B103-4EF672926ABC}">
    <text xml:space="preserve">Mix ratio: 1 CO: 1 H2
FE for CO: 100*(1/2)
</text>
  </threadedComment>
  <threadedComment ref="E12" dT="2023-01-29T16:18:02.92" personId="{A146599C-7EA8-4C77-B4C4-A65FFFB8FE03}" id="{C903C8CC-EB18-4235-AB84-F71B8DB3FC89}">
    <text xml:space="preserve">Mix ratio: 1 CO: 2 H2
FE for CO: 100*(1/3)
</text>
  </threadedComment>
  <threadedComment ref="E13" dT="2023-01-29T16:16:54.63" personId="{A146599C-7EA8-4C77-B4C4-A65FFFB8FE03}" id="{0887C70F-AF24-4799-B60A-0FB6D8ACB829}">
    <text>Mix ratio: 1 FA: 0.5 H2
FE for FA: 100*(1/1.5)</text>
  </threadedComment>
  <threadedComment ref="E14" dT="2023-01-29T16:17:41.85" personId="{A146599C-7EA8-4C77-B4C4-A65FFFB8FE03}" id="{D22AF9D9-6460-4F7E-A6E7-3589F163A97B}">
    <text xml:space="preserve">Mix ratio: 1 FA: 1 H2
FE for FA: 100*(1/2)
</text>
  </threadedComment>
  <threadedComment ref="E15" dT="2023-01-29T16:18:02.92" personId="{A146599C-7EA8-4C77-B4C4-A65FFFB8FE03}" id="{6EB63FC3-0F6D-4C36-B96B-EC637C3E0135}">
    <text xml:space="preserve">Mix ratio: 1 FA: 2 H2
FE for FA: 100*(1/3)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drawing" Target="../drawings/drawing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1"/>
  <sheetViews>
    <sheetView zoomScaleNormal="100" workbookViewId="0">
      <selection activeCell="K20" sqref="K20"/>
    </sheetView>
  </sheetViews>
  <sheetFormatPr defaultColWidth="8.7109375" defaultRowHeight="12.75" x14ac:dyDescent="0.2"/>
  <cols>
    <col min="1" max="1" width="17.7109375" customWidth="1"/>
    <col min="2" max="2" width="16.7109375" customWidth="1"/>
    <col min="3" max="3" width="11.42578125"/>
    <col min="4" max="4" width="11.42578125" style="1"/>
    <col min="5" max="7" width="11.42578125"/>
    <col min="8" max="8" width="13.28515625" customWidth="1"/>
    <col min="9" max="1025" width="11.42578125"/>
  </cols>
  <sheetData>
    <row r="1" spans="1:9" x14ac:dyDescent="0.2">
      <c r="A1" s="3" t="s">
        <v>0</v>
      </c>
      <c r="B1" s="3" t="s">
        <v>1</v>
      </c>
      <c r="C1" s="3" t="s">
        <v>2</v>
      </c>
      <c r="D1" s="3" t="s">
        <v>3</v>
      </c>
      <c r="E1" s="3" t="s">
        <v>4</v>
      </c>
      <c r="F1" s="3" t="s">
        <v>5</v>
      </c>
      <c r="G1" s="3" t="s">
        <v>6</v>
      </c>
      <c r="H1" s="3" t="s">
        <v>7</v>
      </c>
      <c r="I1" s="3" t="s">
        <v>8</v>
      </c>
    </row>
    <row r="2" spans="1:9" ht="14.25" x14ac:dyDescent="0.2">
      <c r="A2" t="s">
        <v>9</v>
      </c>
      <c r="B2" t="s">
        <v>10</v>
      </c>
      <c r="C2" s="1" t="s">
        <v>11</v>
      </c>
      <c r="D2" s="1">
        <v>2</v>
      </c>
      <c r="E2" s="1">
        <v>4</v>
      </c>
      <c r="F2" s="1">
        <v>1</v>
      </c>
      <c r="G2" s="1">
        <f t="shared" ref="G2:G21" si="0">D2*12.0107+E2*1.00784+F2*15.999</f>
        <v>44.051760000000002</v>
      </c>
      <c r="H2" s="4">
        <v>10</v>
      </c>
      <c r="I2" s="1">
        <v>0</v>
      </c>
    </row>
    <row r="3" spans="1:9" ht="14.25" x14ac:dyDescent="0.2">
      <c r="A3" t="s">
        <v>12</v>
      </c>
      <c r="B3" t="s">
        <v>10</v>
      </c>
      <c r="C3" s="5" t="s">
        <v>13</v>
      </c>
      <c r="D3" s="1">
        <v>2</v>
      </c>
      <c r="E3" s="1">
        <v>4</v>
      </c>
      <c r="F3" s="1">
        <v>2</v>
      </c>
      <c r="G3" s="1">
        <f t="shared" si="0"/>
        <v>60.050759999999997</v>
      </c>
      <c r="H3" s="4">
        <v>8</v>
      </c>
      <c r="I3" s="1">
        <v>0</v>
      </c>
    </row>
    <row r="4" spans="1:9" ht="14.25" x14ac:dyDescent="0.2">
      <c r="A4" t="s">
        <v>14</v>
      </c>
      <c r="B4" t="s">
        <v>10</v>
      </c>
      <c r="C4" s="5" t="s">
        <v>15</v>
      </c>
      <c r="D4" s="1">
        <v>2</v>
      </c>
      <c r="E4" s="1">
        <v>6</v>
      </c>
      <c r="F4" s="1">
        <v>1</v>
      </c>
      <c r="G4" s="1">
        <f t="shared" si="0"/>
        <v>46.067440000000005</v>
      </c>
      <c r="H4" s="4">
        <v>12</v>
      </c>
      <c r="I4" s="1">
        <v>0</v>
      </c>
    </row>
    <row r="5" spans="1:9" ht="14.25" x14ac:dyDescent="0.2">
      <c r="A5" t="s">
        <v>16</v>
      </c>
      <c r="B5" t="s">
        <v>10</v>
      </c>
      <c r="C5" s="5" t="s">
        <v>17</v>
      </c>
      <c r="D5" s="1">
        <v>2</v>
      </c>
      <c r="E5" s="1">
        <v>6</v>
      </c>
      <c r="F5" s="1">
        <v>2</v>
      </c>
      <c r="G5" s="1">
        <f t="shared" si="0"/>
        <v>62.06644</v>
      </c>
      <c r="H5" s="4">
        <v>10</v>
      </c>
      <c r="I5" s="1">
        <v>0</v>
      </c>
    </row>
    <row r="6" spans="1:9" ht="14.25" x14ac:dyDescent="0.2">
      <c r="A6" t="s">
        <v>18</v>
      </c>
      <c r="B6" t="s">
        <v>10</v>
      </c>
      <c r="C6" s="1" t="s">
        <v>19</v>
      </c>
      <c r="D6" s="1">
        <v>1</v>
      </c>
      <c r="E6" s="1">
        <v>1</v>
      </c>
      <c r="F6" s="1">
        <v>2</v>
      </c>
      <c r="G6" s="1">
        <f t="shared" si="0"/>
        <v>45.016539999999999</v>
      </c>
      <c r="H6" s="4">
        <v>2</v>
      </c>
      <c r="I6" s="1">
        <v>0</v>
      </c>
    </row>
    <row r="7" spans="1:9" ht="14.25" x14ac:dyDescent="0.2">
      <c r="A7" t="s">
        <v>20</v>
      </c>
      <c r="B7" t="s">
        <v>10</v>
      </c>
      <c r="C7" s="1" t="s">
        <v>21</v>
      </c>
      <c r="D7" s="1">
        <v>2</v>
      </c>
      <c r="E7" s="1">
        <v>4</v>
      </c>
      <c r="F7" s="1">
        <v>2</v>
      </c>
      <c r="G7" s="1">
        <f t="shared" si="0"/>
        <v>60.050759999999997</v>
      </c>
      <c r="H7" s="4">
        <v>8</v>
      </c>
      <c r="I7" s="1">
        <v>0</v>
      </c>
    </row>
    <row r="8" spans="1:9" ht="14.25" x14ac:dyDescent="0.2">
      <c r="A8" t="s">
        <v>22</v>
      </c>
      <c r="B8" t="s">
        <v>10</v>
      </c>
      <c r="C8" s="5" t="s">
        <v>23</v>
      </c>
      <c r="D8" s="1">
        <v>1</v>
      </c>
      <c r="E8" s="1">
        <v>4</v>
      </c>
      <c r="F8" s="1">
        <v>1</v>
      </c>
      <c r="G8" s="1">
        <f t="shared" si="0"/>
        <v>32.041060000000002</v>
      </c>
      <c r="H8" s="4">
        <v>6</v>
      </c>
      <c r="I8" s="1">
        <v>0</v>
      </c>
    </row>
    <row r="9" spans="1:9" x14ac:dyDescent="0.2">
      <c r="A9" t="s">
        <v>24</v>
      </c>
      <c r="B9" t="s">
        <v>10</v>
      </c>
      <c r="C9" s="1" t="s">
        <v>25</v>
      </c>
      <c r="D9" s="1">
        <v>1</v>
      </c>
      <c r="E9" s="1">
        <v>4</v>
      </c>
      <c r="F9" s="1">
        <v>0</v>
      </c>
      <c r="G9" s="1">
        <f t="shared" si="0"/>
        <v>16.042059999999999</v>
      </c>
      <c r="H9" s="1">
        <v>8</v>
      </c>
      <c r="I9" s="1">
        <v>0</v>
      </c>
    </row>
    <row r="10" spans="1:9" x14ac:dyDescent="0.2">
      <c r="A10" t="s">
        <v>26</v>
      </c>
      <c r="B10" t="s">
        <v>10</v>
      </c>
      <c r="C10" s="1" t="s">
        <v>27</v>
      </c>
      <c r="D10" s="1">
        <v>2</v>
      </c>
      <c r="E10" s="1">
        <v>4</v>
      </c>
      <c r="F10" s="1">
        <v>0</v>
      </c>
      <c r="G10" s="1">
        <f t="shared" si="0"/>
        <v>28.052759999999999</v>
      </c>
      <c r="H10" s="1">
        <v>12</v>
      </c>
      <c r="I10" s="1">
        <v>0</v>
      </c>
    </row>
    <row r="11" spans="1:9" x14ac:dyDescent="0.2">
      <c r="A11" t="s">
        <v>28</v>
      </c>
      <c r="B11" t="s">
        <v>10</v>
      </c>
      <c r="C11" s="1" t="s">
        <v>29</v>
      </c>
      <c r="D11" s="1">
        <v>1</v>
      </c>
      <c r="E11" s="1">
        <v>0</v>
      </c>
      <c r="F11" s="1">
        <v>1</v>
      </c>
      <c r="G11" s="1">
        <f t="shared" si="0"/>
        <v>28.009700000000002</v>
      </c>
      <c r="H11" s="1">
        <v>2</v>
      </c>
      <c r="I11" s="1">
        <v>0</v>
      </c>
    </row>
    <row r="12" spans="1:9" x14ac:dyDescent="0.2">
      <c r="A12" t="s">
        <v>30</v>
      </c>
      <c r="B12" t="s">
        <v>30</v>
      </c>
      <c r="C12" s="1" t="s">
        <v>31</v>
      </c>
      <c r="D12" s="1">
        <v>0</v>
      </c>
      <c r="E12" s="1">
        <v>2</v>
      </c>
      <c r="F12" s="1">
        <v>0</v>
      </c>
      <c r="G12" s="1">
        <f t="shared" si="0"/>
        <v>2.0156800000000001</v>
      </c>
      <c r="H12" s="1">
        <v>2</v>
      </c>
      <c r="I12" s="1">
        <v>0</v>
      </c>
    </row>
    <row r="13" spans="1:9" x14ac:dyDescent="0.2">
      <c r="A13" t="s">
        <v>32</v>
      </c>
      <c r="B13" t="s">
        <v>33</v>
      </c>
      <c r="C13" s="1" t="s">
        <v>29</v>
      </c>
      <c r="D13" s="1">
        <v>1</v>
      </c>
      <c r="E13" s="1">
        <v>0</v>
      </c>
      <c r="F13" s="1">
        <v>1</v>
      </c>
      <c r="G13" s="1">
        <f t="shared" si="0"/>
        <v>28.009700000000002</v>
      </c>
      <c r="H13" s="1">
        <v>2</v>
      </c>
      <c r="I13" s="1">
        <v>0.5</v>
      </c>
    </row>
    <row r="14" spans="1:9" x14ac:dyDescent="0.2">
      <c r="A14" t="s">
        <v>34</v>
      </c>
      <c r="B14" t="s">
        <v>33</v>
      </c>
      <c r="C14" s="1" t="s">
        <v>29</v>
      </c>
      <c r="D14" s="1">
        <v>1</v>
      </c>
      <c r="E14" s="1">
        <v>0</v>
      </c>
      <c r="F14" s="1">
        <v>1</v>
      </c>
      <c r="G14" s="1">
        <f t="shared" si="0"/>
        <v>28.009700000000002</v>
      </c>
      <c r="H14" s="1">
        <v>2</v>
      </c>
      <c r="I14" s="1">
        <v>1</v>
      </c>
    </row>
    <row r="15" spans="1:9" x14ac:dyDescent="0.2">
      <c r="A15" t="s">
        <v>35</v>
      </c>
      <c r="B15" t="s">
        <v>33</v>
      </c>
      <c r="C15" s="1" t="s">
        <v>29</v>
      </c>
      <c r="D15" s="1">
        <v>1</v>
      </c>
      <c r="E15" s="1">
        <v>0</v>
      </c>
      <c r="F15" s="1">
        <v>1</v>
      </c>
      <c r="G15" s="1">
        <f t="shared" si="0"/>
        <v>28.009700000000002</v>
      </c>
      <c r="H15" s="1">
        <v>2</v>
      </c>
      <c r="I15" s="1">
        <v>2</v>
      </c>
    </row>
    <row r="16" spans="1:9" ht="14.25" x14ac:dyDescent="0.2">
      <c r="A16" t="s">
        <v>36</v>
      </c>
      <c r="B16" t="s">
        <v>33</v>
      </c>
      <c r="C16" s="1" t="s">
        <v>19</v>
      </c>
      <c r="D16" s="1">
        <v>1</v>
      </c>
      <c r="E16" s="1">
        <v>1</v>
      </c>
      <c r="F16" s="1">
        <v>2</v>
      </c>
      <c r="G16" s="1">
        <f t="shared" si="0"/>
        <v>45.016539999999999</v>
      </c>
      <c r="H16" s="4">
        <v>2</v>
      </c>
      <c r="I16" s="1">
        <v>0.5</v>
      </c>
    </row>
    <row r="17" spans="1:9" ht="14.25" x14ac:dyDescent="0.2">
      <c r="A17" t="s">
        <v>37</v>
      </c>
      <c r="B17" t="s">
        <v>33</v>
      </c>
      <c r="C17" s="1" t="s">
        <v>19</v>
      </c>
      <c r="D17" s="1">
        <v>1</v>
      </c>
      <c r="E17" s="1">
        <v>1</v>
      </c>
      <c r="F17" s="1">
        <v>2</v>
      </c>
      <c r="G17" s="1">
        <f t="shared" si="0"/>
        <v>45.016539999999999</v>
      </c>
      <c r="H17" s="4">
        <v>2</v>
      </c>
      <c r="I17" s="1">
        <v>1</v>
      </c>
    </row>
    <row r="18" spans="1:9" ht="14.25" x14ac:dyDescent="0.2">
      <c r="A18" t="s">
        <v>38</v>
      </c>
      <c r="B18" t="s">
        <v>33</v>
      </c>
      <c r="C18" s="1" t="s">
        <v>19</v>
      </c>
      <c r="D18" s="1">
        <v>1</v>
      </c>
      <c r="E18" s="1">
        <v>1</v>
      </c>
      <c r="F18" s="1">
        <v>2</v>
      </c>
      <c r="G18" s="1">
        <f t="shared" si="0"/>
        <v>45.016539999999999</v>
      </c>
      <c r="H18" s="4">
        <v>2</v>
      </c>
      <c r="I18" s="1">
        <v>2</v>
      </c>
    </row>
    <row r="19" spans="1:9" ht="14.25" x14ac:dyDescent="0.2">
      <c r="A19" t="s">
        <v>39</v>
      </c>
      <c r="B19" t="s">
        <v>40</v>
      </c>
      <c r="C19" s="1" t="s">
        <v>41</v>
      </c>
      <c r="D19" s="1">
        <v>1</v>
      </c>
      <c r="E19" s="1">
        <v>0</v>
      </c>
      <c r="F19" s="1">
        <v>2</v>
      </c>
      <c r="G19" s="1">
        <f t="shared" si="0"/>
        <v>44.008700000000005</v>
      </c>
      <c r="H19" s="4">
        <v>2</v>
      </c>
      <c r="I19" s="1">
        <v>2</v>
      </c>
    </row>
    <row r="20" spans="1:9" ht="14.25" x14ac:dyDescent="0.2">
      <c r="A20" t="s">
        <v>42</v>
      </c>
      <c r="B20" t="s">
        <v>40</v>
      </c>
      <c r="C20" s="1" t="s">
        <v>41</v>
      </c>
      <c r="D20" s="1">
        <v>1</v>
      </c>
      <c r="E20" s="1">
        <v>0</v>
      </c>
      <c r="F20" s="1">
        <v>2</v>
      </c>
      <c r="G20" s="1">
        <f t="shared" si="0"/>
        <v>44.008700000000005</v>
      </c>
      <c r="H20" s="4">
        <v>2</v>
      </c>
      <c r="I20" s="1">
        <v>4</v>
      </c>
    </row>
    <row r="21" spans="1:9" ht="14.25" x14ac:dyDescent="0.2">
      <c r="A21" t="s">
        <v>43</v>
      </c>
      <c r="B21" t="s">
        <v>40</v>
      </c>
      <c r="C21" s="1" t="s">
        <v>41</v>
      </c>
      <c r="D21" s="1">
        <v>1</v>
      </c>
      <c r="E21" s="1">
        <v>0</v>
      </c>
      <c r="F21" s="1">
        <v>2</v>
      </c>
      <c r="G21" s="1">
        <f t="shared" si="0"/>
        <v>44.008700000000005</v>
      </c>
      <c r="H21" s="4">
        <v>2</v>
      </c>
      <c r="I21" s="1" t="s">
        <v>44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tableParts count="1">
    <tablePart r:id="rId2"/>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
  <sheetViews>
    <sheetView zoomScaleNormal="100" workbookViewId="0">
      <selection activeCell="E18" sqref="E18"/>
    </sheetView>
  </sheetViews>
  <sheetFormatPr defaultColWidth="8.7109375" defaultRowHeight="12.75" x14ac:dyDescent="0.2"/>
  <cols>
    <col min="1" max="1" width="17.28515625" style="6" customWidth="1"/>
    <col min="2" max="2" width="15" style="6" customWidth="1"/>
    <col min="3" max="5" width="11.42578125"/>
    <col min="6" max="6" width="15.42578125" customWidth="1"/>
    <col min="7" max="7" width="16.7109375" customWidth="1"/>
    <col min="8" max="8" width="14.7109375" customWidth="1"/>
    <col min="9" max="1025" width="11.42578125"/>
  </cols>
  <sheetData>
    <row r="1" spans="1:9" x14ac:dyDescent="0.2">
      <c r="A1" s="7" t="s">
        <v>94</v>
      </c>
      <c r="B1" s="7" t="s">
        <v>95</v>
      </c>
      <c r="C1" s="7" t="s">
        <v>96</v>
      </c>
      <c r="D1" s="7" t="s">
        <v>97</v>
      </c>
      <c r="E1" s="7" t="s">
        <v>49</v>
      </c>
      <c r="F1" s="7" t="s">
        <v>98</v>
      </c>
      <c r="G1" s="7" t="s">
        <v>48</v>
      </c>
      <c r="H1" s="7" t="s">
        <v>47</v>
      </c>
      <c r="I1" s="7" t="s">
        <v>46</v>
      </c>
    </row>
    <row r="2" spans="1:9" x14ac:dyDescent="0.2">
      <c r="A2" s="7" t="s">
        <v>99</v>
      </c>
      <c r="B2" s="1" t="s">
        <v>100</v>
      </c>
      <c r="C2" s="1" t="s">
        <v>101</v>
      </c>
      <c r="D2" s="1" t="s">
        <v>101</v>
      </c>
      <c r="E2" s="1" t="s">
        <v>102</v>
      </c>
      <c r="F2" s="1" t="s">
        <v>103</v>
      </c>
      <c r="G2" s="1" t="s">
        <v>102</v>
      </c>
      <c r="H2" s="1" t="s">
        <v>104</v>
      </c>
      <c r="I2" s="1" t="s">
        <v>105</v>
      </c>
    </row>
    <row r="3" spans="1:9" x14ac:dyDescent="0.2">
      <c r="A3" s="2" t="s">
        <v>106</v>
      </c>
      <c r="B3" s="1">
        <f>8/100</f>
        <v>0.08</v>
      </c>
      <c r="C3" s="1">
        <v>140</v>
      </c>
      <c r="D3" s="1">
        <v>30</v>
      </c>
      <c r="E3" s="1">
        <v>30</v>
      </c>
      <c r="F3" s="1">
        <v>4000</v>
      </c>
      <c r="G3" s="1">
        <v>50</v>
      </c>
      <c r="H3" s="1">
        <v>100</v>
      </c>
      <c r="I3" s="1">
        <v>4</v>
      </c>
    </row>
    <row r="4" spans="1:9" x14ac:dyDescent="0.2">
      <c r="A4" s="2" t="s">
        <v>78</v>
      </c>
      <c r="B4" s="1">
        <f>5/100</f>
        <v>0.05</v>
      </c>
      <c r="C4" s="1">
        <v>100</v>
      </c>
      <c r="D4" s="1">
        <v>100</v>
      </c>
      <c r="E4" s="1">
        <v>50</v>
      </c>
      <c r="F4" s="1">
        <v>2000</v>
      </c>
      <c r="G4" s="1">
        <v>70</v>
      </c>
      <c r="H4" s="1">
        <v>300</v>
      </c>
      <c r="I4" s="1">
        <v>3</v>
      </c>
    </row>
    <row r="5" spans="1:9" x14ac:dyDescent="0.2">
      <c r="A5" s="2" t="s">
        <v>80</v>
      </c>
      <c r="B5" s="1">
        <f>2.5/100</f>
        <v>2.5000000000000001E-2</v>
      </c>
      <c r="C5" s="1">
        <v>55</v>
      </c>
      <c r="D5" s="1">
        <v>170</v>
      </c>
      <c r="E5" s="1">
        <v>70</v>
      </c>
      <c r="F5" s="1">
        <v>1000</v>
      </c>
      <c r="G5" s="1">
        <v>90</v>
      </c>
      <c r="H5" s="1">
        <v>1000</v>
      </c>
      <c r="I5" s="1">
        <v>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
  <sheetViews>
    <sheetView zoomScaleNormal="100" workbookViewId="0">
      <selection activeCell="H5" sqref="H5"/>
    </sheetView>
  </sheetViews>
  <sheetFormatPr defaultColWidth="8.7109375" defaultRowHeight="12.75" x14ac:dyDescent="0.2"/>
  <cols>
    <col min="1" max="1" width="17.28515625" style="6" customWidth="1"/>
    <col min="2" max="2" width="15" style="6" customWidth="1"/>
    <col min="3" max="5" width="11.42578125"/>
    <col min="6" max="6" width="15.42578125" customWidth="1"/>
    <col min="7" max="7" width="16.7109375" customWidth="1"/>
    <col min="8" max="8" width="14.7109375" customWidth="1"/>
    <col min="9" max="1025" width="11.42578125"/>
  </cols>
  <sheetData>
    <row r="1" spans="1:9" x14ac:dyDescent="0.2">
      <c r="A1" s="7" t="s">
        <v>94</v>
      </c>
      <c r="B1" s="7" t="s">
        <v>95</v>
      </c>
      <c r="C1" s="7" t="s">
        <v>96</v>
      </c>
      <c r="D1" s="7" t="s">
        <v>97</v>
      </c>
      <c r="E1" s="7" t="s">
        <v>49</v>
      </c>
      <c r="F1" s="7" t="s">
        <v>98</v>
      </c>
      <c r="G1" s="7" t="s">
        <v>48</v>
      </c>
      <c r="H1" s="7" t="s">
        <v>47</v>
      </c>
      <c r="I1" s="7" t="s">
        <v>46</v>
      </c>
    </row>
    <row r="2" spans="1:9" x14ac:dyDescent="0.2">
      <c r="A2" s="7" t="s">
        <v>99</v>
      </c>
      <c r="B2" s="1" t="s">
        <v>100</v>
      </c>
      <c r="C2" s="1" t="s">
        <v>101</v>
      </c>
      <c r="D2" s="1" t="s">
        <v>101</v>
      </c>
      <c r="E2" s="1" t="s">
        <v>102</v>
      </c>
      <c r="F2" s="1" t="s">
        <v>103</v>
      </c>
      <c r="G2" s="1" t="s">
        <v>102</v>
      </c>
      <c r="H2" s="1" t="s">
        <v>104</v>
      </c>
      <c r="I2" s="1" t="s">
        <v>105</v>
      </c>
    </row>
    <row r="3" spans="1:9" x14ac:dyDescent="0.2">
      <c r="A3" s="2" t="s">
        <v>106</v>
      </c>
      <c r="B3" s="1">
        <f>6/100</f>
        <v>0.06</v>
      </c>
      <c r="C3" s="1">
        <f>60/0.78/0.9</f>
        <v>85.470085470085465</v>
      </c>
      <c r="D3" s="1">
        <v>0</v>
      </c>
      <c r="E3" s="1">
        <v>50</v>
      </c>
      <c r="F3" s="1">
        <f>15*10^3/0.78</f>
        <v>19230.76923076923</v>
      </c>
      <c r="G3" s="1">
        <v>50</v>
      </c>
      <c r="H3" s="1">
        <v>100</v>
      </c>
      <c r="I3" s="1">
        <v>2.5</v>
      </c>
    </row>
    <row r="4" spans="1:9" x14ac:dyDescent="0.2">
      <c r="A4" s="2" t="s">
        <v>78</v>
      </c>
      <c r="B4" s="1">
        <f>4/100</f>
        <v>0.04</v>
      </c>
      <c r="C4" s="1">
        <f>40/0.78/0.9</f>
        <v>56.980056980056972</v>
      </c>
      <c r="D4" s="1">
        <v>0</v>
      </c>
      <c r="E4" s="1">
        <v>100</v>
      </c>
      <c r="F4" s="1">
        <f>10*10^3/0.78</f>
        <v>12820.51282051282</v>
      </c>
      <c r="G4" s="1">
        <v>70</v>
      </c>
      <c r="H4" s="1">
        <v>300</v>
      </c>
      <c r="I4" s="1">
        <v>2</v>
      </c>
    </row>
    <row r="5" spans="1:9" x14ac:dyDescent="0.2">
      <c r="A5" s="2" t="s">
        <v>80</v>
      </c>
      <c r="B5" s="1">
        <f>2/100</f>
        <v>0.02</v>
      </c>
      <c r="C5" s="1">
        <f>20/0.78/0.9</f>
        <v>28.490028490028486</v>
      </c>
      <c r="D5" s="1">
        <v>50</v>
      </c>
      <c r="E5" s="1">
        <v>100</v>
      </c>
      <c r="F5" s="1">
        <f>5*10^3/0.78</f>
        <v>6410.2564102564102</v>
      </c>
      <c r="G5" s="1">
        <v>90</v>
      </c>
      <c r="H5" s="1">
        <v>1000</v>
      </c>
      <c r="I5" s="1">
        <v>1.6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DC7B1-25B4-42CC-A665-7B1837D53657}">
  <dimension ref="A1:F8"/>
  <sheetViews>
    <sheetView workbookViewId="0">
      <selection activeCell="E6" sqref="E6"/>
    </sheetView>
  </sheetViews>
  <sheetFormatPr defaultRowHeight="12.75" x14ac:dyDescent="0.2"/>
  <cols>
    <col min="2" max="2" width="13.28515625" customWidth="1"/>
    <col min="3" max="3" width="15.85546875" customWidth="1"/>
    <col min="4" max="4" width="19.28515625" customWidth="1"/>
    <col min="5" max="5" width="15.42578125" bestFit="1" customWidth="1"/>
    <col min="6" max="6" width="46.28515625" customWidth="1"/>
  </cols>
  <sheetData>
    <row r="1" spans="1:6" x14ac:dyDescent="0.2">
      <c r="A1" s="3" t="s">
        <v>45</v>
      </c>
      <c r="B1" s="3" t="s">
        <v>46</v>
      </c>
      <c r="C1" s="3" t="s">
        <v>47</v>
      </c>
      <c r="D1" s="3" t="s">
        <v>48</v>
      </c>
      <c r="E1" s="3" t="s">
        <v>49</v>
      </c>
      <c r="F1" s="3" t="s">
        <v>50</v>
      </c>
    </row>
    <row r="2" spans="1:6" x14ac:dyDescent="0.2">
      <c r="A2" s="1">
        <v>1</v>
      </c>
      <c r="B2" s="10">
        <v>4</v>
      </c>
      <c r="C2" s="1">
        <v>20</v>
      </c>
      <c r="D2" s="1">
        <v>5</v>
      </c>
      <c r="E2" s="10">
        <v>50</v>
      </c>
      <c r="F2" t="s">
        <v>20</v>
      </c>
    </row>
    <row r="3" spans="1:6" x14ac:dyDescent="0.2">
      <c r="A3" s="1">
        <v>2</v>
      </c>
      <c r="B3" s="10">
        <v>2</v>
      </c>
      <c r="C3" s="1">
        <v>20</v>
      </c>
      <c r="D3" s="1">
        <v>60</v>
      </c>
      <c r="E3" s="10">
        <v>50</v>
      </c>
      <c r="F3" t="s">
        <v>51</v>
      </c>
    </row>
    <row r="4" spans="1:6" x14ac:dyDescent="0.2">
      <c r="A4" s="1">
        <v>3</v>
      </c>
      <c r="B4" s="10">
        <v>2.5</v>
      </c>
      <c r="C4" s="1">
        <v>200</v>
      </c>
      <c r="D4" s="1">
        <v>50</v>
      </c>
      <c r="E4" s="10">
        <v>50</v>
      </c>
      <c r="F4" t="s">
        <v>52</v>
      </c>
    </row>
    <row r="5" spans="1:6" x14ac:dyDescent="0.2">
      <c r="A5" s="1">
        <v>4</v>
      </c>
      <c r="B5" s="1">
        <v>4</v>
      </c>
      <c r="C5" s="1">
        <v>300</v>
      </c>
      <c r="D5" s="1">
        <v>70</v>
      </c>
      <c r="E5" s="1">
        <v>20</v>
      </c>
      <c r="F5" t="s">
        <v>53</v>
      </c>
    </row>
    <row r="6" spans="1:6" x14ac:dyDescent="0.2">
      <c r="A6" s="1">
        <v>5</v>
      </c>
      <c r="B6" s="10">
        <v>1.5</v>
      </c>
      <c r="C6" s="1">
        <v>500</v>
      </c>
      <c r="D6" s="1">
        <v>100</v>
      </c>
      <c r="E6" s="1">
        <v>60</v>
      </c>
      <c r="F6" t="s">
        <v>54</v>
      </c>
    </row>
    <row r="7" spans="1:6" x14ac:dyDescent="0.2">
      <c r="A7" s="1">
        <v>6</v>
      </c>
      <c r="B7" s="1">
        <v>3</v>
      </c>
      <c r="C7" s="1">
        <v>300</v>
      </c>
      <c r="D7" s="1">
        <v>100</v>
      </c>
      <c r="E7" s="12" t="s">
        <v>44</v>
      </c>
      <c r="F7" t="s">
        <v>55</v>
      </c>
    </row>
    <row r="8" spans="1:6" x14ac:dyDescent="0.2">
      <c r="A8" s="1">
        <v>7</v>
      </c>
      <c r="B8" s="1">
        <v>2</v>
      </c>
      <c r="C8" s="1">
        <v>500</v>
      </c>
      <c r="D8" s="1">
        <v>100</v>
      </c>
      <c r="E8" s="12" t="s">
        <v>44</v>
      </c>
      <c r="F8" t="s">
        <v>56</v>
      </c>
    </row>
  </sheetData>
  <pageMargins left="0.7" right="0.7" top="0.75" bottom="0.75" header="0.3" footer="0.3"/>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EF0AA-51E5-40D3-80E3-91467D97A0CD}">
  <dimension ref="A1:K18"/>
  <sheetViews>
    <sheetView workbookViewId="0">
      <selection activeCell="E22" sqref="E22"/>
    </sheetView>
  </sheetViews>
  <sheetFormatPr defaultRowHeight="12.75" x14ac:dyDescent="0.2"/>
  <cols>
    <col min="1" max="1" width="18.42578125" bestFit="1" customWidth="1"/>
    <col min="2" max="2" width="6.42578125" customWidth="1"/>
    <col min="3" max="3" width="13.28515625" customWidth="1"/>
    <col min="4" max="4" width="15.85546875" customWidth="1"/>
    <col min="5" max="5" width="19.28515625" customWidth="1"/>
    <col min="6" max="6" width="12.7109375" customWidth="1"/>
    <col min="7" max="7" width="17.5703125" customWidth="1"/>
    <col min="8" max="8" width="15.7109375" bestFit="1" customWidth="1"/>
    <col min="9" max="9" width="12.28515625" bestFit="1" customWidth="1"/>
    <col min="10" max="10" width="12" bestFit="1" customWidth="1"/>
    <col min="11" max="11" width="17.7109375" bestFit="1" customWidth="1"/>
  </cols>
  <sheetData>
    <row r="1" spans="1:11" x14ac:dyDescent="0.2">
      <c r="A1" s="2" t="s">
        <v>0</v>
      </c>
      <c r="B1" s="13" t="s">
        <v>45</v>
      </c>
      <c r="C1" s="13" t="s">
        <v>46</v>
      </c>
      <c r="D1" s="13" t="s">
        <v>47</v>
      </c>
      <c r="E1" s="14" t="s">
        <v>48</v>
      </c>
      <c r="F1" s="14" t="s">
        <v>49</v>
      </c>
      <c r="G1" s="2" t="s">
        <v>57</v>
      </c>
      <c r="H1" s="3" t="s">
        <v>58</v>
      </c>
      <c r="I1" s="3" t="s">
        <v>59</v>
      </c>
      <c r="J1" s="3" t="s">
        <v>60</v>
      </c>
      <c r="K1" s="3" t="s">
        <v>61</v>
      </c>
    </row>
    <row r="2" spans="1:11" x14ac:dyDescent="0.2">
      <c r="A2" t="s">
        <v>9</v>
      </c>
      <c r="B2" s="1">
        <v>2</v>
      </c>
      <c r="C2" s="1">
        <f>VLOOKUP($B2,Categories[],MATCH(C$1,Categories[#Headers],0),0)</f>
        <v>2</v>
      </c>
      <c r="D2" s="1">
        <f>VLOOKUP($B2,Categories[],MATCH(D$1,Categories[#Headers],0),0)</f>
        <v>20</v>
      </c>
      <c r="E2" s="1">
        <f>VLOOKUP($B2,Categories[],MATCH(E$1,Categories[#Headers],0),0)</f>
        <v>60</v>
      </c>
      <c r="F2" s="1">
        <f>VLOOKUP($B2,Categories[],MATCH(F$1,Categories[#Headers],0),0)</f>
        <v>50</v>
      </c>
      <c r="G2" s="11" t="s">
        <v>44</v>
      </c>
      <c r="H2" s="1" t="s">
        <v>62</v>
      </c>
      <c r="I2" s="1">
        <f t="shared" ref="I2:I15" si="0">100-E2</f>
        <v>40</v>
      </c>
      <c r="J2" s="1">
        <f>((E2*Products!D2/Products!H2)+(I2*Products!D6/Products!H6))/100</f>
        <v>0.32</v>
      </c>
      <c r="K2" s="1">
        <v>1</v>
      </c>
    </row>
    <row r="3" spans="1:11" x14ac:dyDescent="0.2">
      <c r="A3" t="s">
        <v>12</v>
      </c>
      <c r="B3" s="1">
        <v>4</v>
      </c>
      <c r="C3" s="1">
        <f>VLOOKUP($B3,Categories[],MATCH(C$1,Categories[#Headers],0),0)</f>
        <v>4</v>
      </c>
      <c r="D3" s="1">
        <f>VLOOKUP($B3,Categories[],MATCH(D$1,Categories[#Headers],0),0)</f>
        <v>300</v>
      </c>
      <c r="E3" s="1">
        <f>VLOOKUP($B3,Categories[],MATCH(E$1,Categories[#Headers],0),0)</f>
        <v>70</v>
      </c>
      <c r="F3" s="1">
        <f>VLOOKUP($B3,Categories[],MATCH(F$1,Categories[#Headers],0),0)</f>
        <v>20</v>
      </c>
      <c r="G3" s="11" t="s">
        <v>44</v>
      </c>
      <c r="H3" s="1" t="s">
        <v>62</v>
      </c>
      <c r="I3" s="1">
        <f t="shared" si="0"/>
        <v>30</v>
      </c>
      <c r="J3" s="1">
        <f>((E3*Products!D3/Products!H3)+(I3*Products!D6/Products!H6))/100</f>
        <v>0.32500000000000001</v>
      </c>
      <c r="K3" s="1">
        <v>1</v>
      </c>
    </row>
    <row r="4" spans="1:11" x14ac:dyDescent="0.2">
      <c r="A4" t="s">
        <v>14</v>
      </c>
      <c r="B4" s="1">
        <v>3</v>
      </c>
      <c r="C4" s="1">
        <f>VLOOKUP($B4,Categories[],MATCH(C$1,Categories[#Headers],0),0)</f>
        <v>2.5</v>
      </c>
      <c r="D4" s="1">
        <f>VLOOKUP($B4,Categories[],MATCH(D$1,Categories[#Headers],0),0)</f>
        <v>200</v>
      </c>
      <c r="E4" s="1">
        <f>VLOOKUP($B4,Categories[],MATCH(E$1,Categories[#Headers],0),0)</f>
        <v>50</v>
      </c>
      <c r="F4" s="1">
        <f>VLOOKUP($B4,Categories[],MATCH(F$1,Categories[#Headers],0),0)</f>
        <v>50</v>
      </c>
      <c r="G4" s="11" t="s">
        <v>44</v>
      </c>
      <c r="H4" s="1" t="s">
        <v>62</v>
      </c>
      <c r="I4" s="1">
        <f t="shared" si="0"/>
        <v>50</v>
      </c>
      <c r="J4" s="1">
        <f>((E4*Products!D4/Products!H4)+(I4*Products!D6/Products!H6))/100</f>
        <v>0.33333333333333337</v>
      </c>
      <c r="K4" s="1">
        <v>1</v>
      </c>
    </row>
    <row r="5" spans="1:11" x14ac:dyDescent="0.2">
      <c r="A5" t="s">
        <v>16</v>
      </c>
      <c r="B5" s="1">
        <v>2</v>
      </c>
      <c r="C5" s="1">
        <f>VLOOKUP($B5,Categories[],MATCH(C$1,Categories[#Headers],0),0)</f>
        <v>2</v>
      </c>
      <c r="D5" s="1">
        <f>VLOOKUP($B5,Categories[],MATCH(D$1,Categories[#Headers],0),0)</f>
        <v>20</v>
      </c>
      <c r="E5" s="1">
        <f>VLOOKUP($B5,Categories[],MATCH(E$1,Categories[#Headers],0),0)</f>
        <v>60</v>
      </c>
      <c r="F5" s="1">
        <f>VLOOKUP($B5,Categories[],MATCH(F$1,Categories[#Headers],0),0)</f>
        <v>50</v>
      </c>
      <c r="G5" s="11" t="s">
        <v>44</v>
      </c>
      <c r="H5" s="1" t="s">
        <v>62</v>
      </c>
      <c r="I5" s="1">
        <f t="shared" si="0"/>
        <v>40</v>
      </c>
      <c r="J5" s="1">
        <f>((E5*Products!D5/Products!H5)+(I5*Products!D6/Products!H6))/100</f>
        <v>0.32</v>
      </c>
      <c r="K5" s="1">
        <v>1</v>
      </c>
    </row>
    <row r="6" spans="1:11" x14ac:dyDescent="0.2">
      <c r="A6" t="s">
        <v>18</v>
      </c>
      <c r="B6" s="1">
        <v>4</v>
      </c>
      <c r="C6" s="1">
        <f>VLOOKUP($B6,Categories[],MATCH(C$1,Categories[#Headers],0),0)</f>
        <v>4</v>
      </c>
      <c r="D6" s="1">
        <f>VLOOKUP($B6,Categories[],MATCH(D$1,Categories[#Headers],0),0)</f>
        <v>300</v>
      </c>
      <c r="E6" s="1">
        <f>VLOOKUP($B6,Categories[],MATCH(E$1,Categories[#Headers],0),0)</f>
        <v>70</v>
      </c>
      <c r="F6" s="1">
        <f>VLOOKUP($B6,Categories[],MATCH(F$1,Categories[#Headers],0),0)</f>
        <v>20</v>
      </c>
      <c r="G6" s="11" t="s">
        <v>44</v>
      </c>
      <c r="H6" s="1" t="s">
        <v>29</v>
      </c>
      <c r="I6" s="1">
        <f t="shared" si="0"/>
        <v>30</v>
      </c>
      <c r="J6" s="1">
        <f>((E6*Products!D6/Products!H6)+(I6*Products!D11/Products!H11))/100</f>
        <v>0.5</v>
      </c>
      <c r="K6" s="1">
        <v>1</v>
      </c>
    </row>
    <row r="7" spans="1:11" x14ac:dyDescent="0.2">
      <c r="A7" t="s">
        <v>20</v>
      </c>
      <c r="B7" s="1">
        <v>1</v>
      </c>
      <c r="C7" s="1">
        <f>VLOOKUP($B7,Categories[],MATCH(C$1,Categories[#Headers],0),0)</f>
        <v>4</v>
      </c>
      <c r="D7" s="1">
        <f>VLOOKUP($B7,Categories[],MATCH(D$1,Categories[#Headers],0),0)</f>
        <v>20</v>
      </c>
      <c r="E7" s="1">
        <f>VLOOKUP($B7,Categories[],MATCH(E$1,Categories[#Headers],0),0)</f>
        <v>5</v>
      </c>
      <c r="F7" s="1">
        <f>VLOOKUP($B7,Categories[],MATCH(F$1,Categories[#Headers],0),0)</f>
        <v>50</v>
      </c>
      <c r="G7" s="11" t="s">
        <v>44</v>
      </c>
      <c r="H7" s="1" t="s">
        <v>62</v>
      </c>
      <c r="I7" s="1">
        <f t="shared" si="0"/>
        <v>95</v>
      </c>
      <c r="J7" s="1">
        <f>((E7*Products!D7/Products!H7)+(I7*Products!D6/Products!H6))/100</f>
        <v>0.48749999999999999</v>
      </c>
      <c r="K7" s="1">
        <v>1</v>
      </c>
    </row>
    <row r="8" spans="1:11" x14ac:dyDescent="0.2">
      <c r="A8" t="s">
        <v>22</v>
      </c>
      <c r="B8" s="1">
        <v>3</v>
      </c>
      <c r="C8" s="1">
        <f>VLOOKUP($B8,Categories[],MATCH(C$1,Categories[#Headers],0),0)</f>
        <v>2.5</v>
      </c>
      <c r="D8" s="1">
        <f>VLOOKUP($B8,Categories[],MATCH(D$1,Categories[#Headers],0),0)</f>
        <v>200</v>
      </c>
      <c r="E8" s="1">
        <f>VLOOKUP($B8,Categories[],MATCH(E$1,Categories[#Headers],0),0)</f>
        <v>50</v>
      </c>
      <c r="F8" s="1">
        <f>VLOOKUP($B8,Categories[],MATCH(F$1,Categories[#Headers],0),0)</f>
        <v>50</v>
      </c>
      <c r="G8" s="11" t="s">
        <v>44</v>
      </c>
      <c r="H8" s="1" t="s">
        <v>62</v>
      </c>
      <c r="I8" s="1">
        <f t="shared" si="0"/>
        <v>50</v>
      </c>
      <c r="J8" s="1">
        <f>((E8*Products!D9/Products!H9)+(I8*Products!D6/Products!H6))/100</f>
        <v>0.3125</v>
      </c>
      <c r="K8" s="1">
        <v>1</v>
      </c>
    </row>
    <row r="9" spans="1:11" x14ac:dyDescent="0.2">
      <c r="A9" t="s">
        <v>28</v>
      </c>
      <c r="B9" s="1">
        <v>4</v>
      </c>
      <c r="C9" s="1">
        <f>VLOOKUP($B9,Categories[],MATCH(C$1,Categories[#Headers],0),0)</f>
        <v>4</v>
      </c>
      <c r="D9" s="1">
        <f>VLOOKUP($B9,Categories[],MATCH(D$1,Categories[#Headers],0),0)</f>
        <v>300</v>
      </c>
      <c r="E9" s="1">
        <f>VLOOKUP($B9,Categories[],MATCH(E$1,Categories[#Headers],0),0)</f>
        <v>70</v>
      </c>
      <c r="F9" s="1">
        <f>VLOOKUP($B9,Categories[],MATCH(F$1,Categories[#Headers],0),0)</f>
        <v>20</v>
      </c>
      <c r="G9" s="11" t="s">
        <v>44</v>
      </c>
      <c r="H9" s="1" t="s">
        <v>18</v>
      </c>
      <c r="I9" s="1">
        <f t="shared" si="0"/>
        <v>30</v>
      </c>
      <c r="J9" s="1">
        <f>((E9*Products!$D$11/Products!$H$11)+(I9*Products!$D$6/Products!$H$6))/100</f>
        <v>0.5</v>
      </c>
      <c r="K9" s="1">
        <v>1</v>
      </c>
    </row>
    <row r="10" spans="1:11" x14ac:dyDescent="0.2">
      <c r="A10" t="s">
        <v>32</v>
      </c>
      <c r="B10" s="1">
        <v>4</v>
      </c>
      <c r="C10" s="1">
        <f>VLOOKUP($B10,Categories[],MATCH(C$1,Categories[#Headers],0),0)</f>
        <v>4</v>
      </c>
      <c r="D10" s="1">
        <f>VLOOKUP($B10,Categories[],MATCH(D$1,Categories[#Headers],0),0)</f>
        <v>300</v>
      </c>
      <c r="E10" s="15">
        <f>100*(1/1.5)</f>
        <v>66.666666666666657</v>
      </c>
      <c r="F10" s="1">
        <f>VLOOKUP($B10,Categories[],MATCH(F$1,Categories[#Headers],0),0)</f>
        <v>20</v>
      </c>
      <c r="G10" s="11" t="s">
        <v>44</v>
      </c>
      <c r="H10" s="1" t="s">
        <v>30</v>
      </c>
      <c r="I10" s="1">
        <f t="shared" si="0"/>
        <v>33.333333333333343</v>
      </c>
      <c r="J10" s="1">
        <f>((E10*Products!$D$11/Products!$H$11)+(I10*Products!$D$12/Products!$H$12))/100</f>
        <v>0.33333333333333326</v>
      </c>
      <c r="K10" s="1">
        <v>1</v>
      </c>
    </row>
    <row r="11" spans="1:11" x14ac:dyDescent="0.2">
      <c r="A11" t="s">
        <v>34</v>
      </c>
      <c r="B11" s="1">
        <v>4</v>
      </c>
      <c r="C11" s="1">
        <f>VLOOKUP($B11,Categories[],MATCH(C$1,Categories[#Headers],0),0)</f>
        <v>4</v>
      </c>
      <c r="D11" s="1">
        <f>VLOOKUP($B11,Categories[],MATCH(D$1,Categories[#Headers],0),0)</f>
        <v>300</v>
      </c>
      <c r="E11" s="16">
        <f>100*(1/2)</f>
        <v>50</v>
      </c>
      <c r="F11" s="1">
        <f>VLOOKUP($B11,Categories[],MATCH(F$1,Categories[#Headers],0),0)</f>
        <v>20</v>
      </c>
      <c r="G11" s="11" t="s">
        <v>44</v>
      </c>
      <c r="H11" s="1" t="s">
        <v>30</v>
      </c>
      <c r="I11" s="1">
        <f t="shared" si="0"/>
        <v>50</v>
      </c>
      <c r="J11" s="1">
        <f>((E11*Products!$D$11/Products!$H$11)+(I11*Products!$D$12/Products!$H$12))/100</f>
        <v>0.25</v>
      </c>
      <c r="K11" s="1">
        <v>1</v>
      </c>
    </row>
    <row r="12" spans="1:11" x14ac:dyDescent="0.2">
      <c r="A12" t="s">
        <v>35</v>
      </c>
      <c r="B12" s="1">
        <v>4</v>
      </c>
      <c r="C12" s="1">
        <f>VLOOKUP($B12,Categories[],MATCH(C$1,Categories[#Headers],0),0)</f>
        <v>4</v>
      </c>
      <c r="D12" s="1">
        <f>VLOOKUP($B12,Categories[],MATCH(D$1,Categories[#Headers],0),0)</f>
        <v>300</v>
      </c>
      <c r="E12" s="15">
        <f>100*(1/3)</f>
        <v>33.333333333333329</v>
      </c>
      <c r="F12" s="1">
        <f>VLOOKUP($B12,Categories[],MATCH(F$1,Categories[#Headers],0),0)</f>
        <v>20</v>
      </c>
      <c r="G12" s="11" t="s">
        <v>44</v>
      </c>
      <c r="H12" s="1" t="s">
        <v>30</v>
      </c>
      <c r="I12" s="1">
        <f t="shared" si="0"/>
        <v>66.666666666666671</v>
      </c>
      <c r="J12" s="1">
        <f>((E12*Products!$D$11/Products!$H$11)+(I12*Products!$D$12/Products!$H$12))/100</f>
        <v>0.16666666666666663</v>
      </c>
      <c r="K12" s="1">
        <v>1</v>
      </c>
    </row>
    <row r="13" spans="1:11" x14ac:dyDescent="0.2">
      <c r="A13" t="s">
        <v>36</v>
      </c>
      <c r="B13" s="1">
        <v>4</v>
      </c>
      <c r="C13" s="1">
        <f>VLOOKUP($B13,Categories[],MATCH(C$1,Categories[#Headers],0),0)</f>
        <v>4</v>
      </c>
      <c r="D13" s="1">
        <f>VLOOKUP($B13,Categories[],MATCH(D$1,Categories[#Headers],0),0)</f>
        <v>300</v>
      </c>
      <c r="E13" s="15">
        <f>100*(1/1.5)</f>
        <v>66.666666666666657</v>
      </c>
      <c r="F13" s="1">
        <f>VLOOKUP($B13,Categories[],MATCH(F$1,Categories[#Headers],0),0)</f>
        <v>20</v>
      </c>
      <c r="G13" s="11" t="s">
        <v>44</v>
      </c>
      <c r="H13" s="1" t="s">
        <v>30</v>
      </c>
      <c r="I13" s="1">
        <f t="shared" si="0"/>
        <v>33.333333333333343</v>
      </c>
      <c r="J13" s="1">
        <f>((E13*Products!$D$6/Products!$H$6)+(I13*Products!$D$12/Products!$H$12))/100</f>
        <v>0.33333333333333326</v>
      </c>
      <c r="K13" s="1">
        <v>1</v>
      </c>
    </row>
    <row r="14" spans="1:11" x14ac:dyDescent="0.2">
      <c r="A14" t="s">
        <v>37</v>
      </c>
      <c r="B14" s="1">
        <v>4</v>
      </c>
      <c r="C14" s="1">
        <f>VLOOKUP($B14,Categories[],MATCH(C$1,Categories[#Headers],0),0)</f>
        <v>4</v>
      </c>
      <c r="D14" s="1">
        <f>VLOOKUP($B14,Categories[],MATCH(D$1,Categories[#Headers],0),0)</f>
        <v>300</v>
      </c>
      <c r="E14" s="16">
        <f>100*(1/2)</f>
        <v>50</v>
      </c>
      <c r="F14" s="1">
        <f>VLOOKUP($B14,Categories[],MATCH(F$1,Categories[#Headers],0),0)</f>
        <v>20</v>
      </c>
      <c r="G14" s="11" t="s">
        <v>44</v>
      </c>
      <c r="H14" s="1" t="s">
        <v>30</v>
      </c>
      <c r="I14" s="1">
        <f t="shared" si="0"/>
        <v>50</v>
      </c>
      <c r="J14" s="1">
        <f>((E14*Products!$D$6/Products!$H$6)+(I14*Products!$D$12/Products!$H$12))/100</f>
        <v>0.25</v>
      </c>
      <c r="K14" s="1">
        <v>1</v>
      </c>
    </row>
    <row r="15" spans="1:11" x14ac:dyDescent="0.2">
      <c r="A15" t="s">
        <v>38</v>
      </c>
      <c r="B15" s="1">
        <v>4</v>
      </c>
      <c r="C15" s="1">
        <f>VLOOKUP($B15,Categories[],MATCH(C$1,Categories[#Headers],0),0)</f>
        <v>4</v>
      </c>
      <c r="D15" s="1">
        <f>VLOOKUP($B15,Categories[],MATCH(D$1,Categories[#Headers],0),0)</f>
        <v>300</v>
      </c>
      <c r="E15" s="15">
        <f>100*(1/3)</f>
        <v>33.333333333333329</v>
      </c>
      <c r="F15" s="1">
        <f>VLOOKUP($B15,Categories[],MATCH(F$1,Categories[#Headers],0),0)</f>
        <v>20</v>
      </c>
      <c r="G15" s="11" t="s">
        <v>44</v>
      </c>
      <c r="H15" s="1" t="s">
        <v>30</v>
      </c>
      <c r="I15" s="1">
        <f t="shared" si="0"/>
        <v>66.666666666666671</v>
      </c>
      <c r="J15" s="1">
        <f>((E15*Products!$D$6/Products!$H$6)+(I15*Products!$D$12/Products!$H$12))/100</f>
        <v>0.16666666666666663</v>
      </c>
      <c r="K15" s="1">
        <v>1</v>
      </c>
    </row>
    <row r="16" spans="1:11" x14ac:dyDescent="0.2">
      <c r="A16" t="s">
        <v>39</v>
      </c>
      <c r="B16" s="1">
        <v>6</v>
      </c>
      <c r="C16" s="1">
        <f>VLOOKUP($B16,Categories[],MATCH(C$1,Categories[#Headers],0),0)</f>
        <v>3</v>
      </c>
      <c r="D16" s="1">
        <f>VLOOKUP($B16,Categories[],MATCH(D$1,Categories[#Headers],0),0)</f>
        <v>300</v>
      </c>
      <c r="E16" s="1">
        <f>VLOOKUP($B16,Categories[],MATCH(E$1,Categories[#Headers],0),0)</f>
        <v>100</v>
      </c>
      <c r="F16" s="1" t="str">
        <f>VLOOKUP($B16,Categories[],MATCH(F$1,Categories[#Headers],0),0)</f>
        <v>N/A</v>
      </c>
      <c r="G16" s="11" t="s">
        <v>44</v>
      </c>
      <c r="H16" s="11" t="s">
        <v>44</v>
      </c>
      <c r="I16" s="11" t="s">
        <v>44</v>
      </c>
      <c r="J16" s="1" t="s">
        <v>44</v>
      </c>
      <c r="K16" s="1">
        <v>1</v>
      </c>
    </row>
    <row r="17" spans="1:11" x14ac:dyDescent="0.2">
      <c r="A17" t="s">
        <v>42</v>
      </c>
      <c r="B17" s="1">
        <v>6</v>
      </c>
      <c r="C17" s="1">
        <f>VLOOKUP($B17,Categories[],MATCH(C$1,Categories[#Headers],0),0)</f>
        <v>3</v>
      </c>
      <c r="D17" s="1">
        <f>VLOOKUP($B17,Categories[],MATCH(D$1,Categories[#Headers],0),0)</f>
        <v>300</v>
      </c>
      <c r="E17" s="1">
        <f>VLOOKUP($B17,Categories[],MATCH(E$1,Categories[#Headers],0),0)</f>
        <v>100</v>
      </c>
      <c r="F17" s="1" t="str">
        <f>VLOOKUP($B17,Categories[],MATCH(F$1,Categories[#Headers],0),0)</f>
        <v>N/A</v>
      </c>
      <c r="G17" s="11" t="s">
        <v>44</v>
      </c>
      <c r="H17" s="11" t="s">
        <v>44</v>
      </c>
      <c r="I17" s="11" t="s">
        <v>44</v>
      </c>
      <c r="J17" s="1" t="s">
        <v>44</v>
      </c>
      <c r="K17" s="1">
        <v>1</v>
      </c>
    </row>
    <row r="18" spans="1:11" x14ac:dyDescent="0.2">
      <c r="A18" t="s">
        <v>43</v>
      </c>
      <c r="B18" s="1">
        <v>6</v>
      </c>
      <c r="C18" s="1">
        <f>VLOOKUP($B18,Categories[],MATCH(C$1,Categories[#Headers],0),0)</f>
        <v>3</v>
      </c>
      <c r="D18" s="1">
        <f>VLOOKUP($B18,Categories[],MATCH(D$1,Categories[#Headers],0),0)</f>
        <v>300</v>
      </c>
      <c r="E18" s="1">
        <f>VLOOKUP($B18,Categories[],MATCH(E$1,Categories[#Headers],0),0)</f>
        <v>100</v>
      </c>
      <c r="F18" s="1" t="str">
        <f>VLOOKUP($B18,Categories[],MATCH(F$1,Categories[#Headers],0),0)</f>
        <v>N/A</v>
      </c>
      <c r="G18" s="11" t="s">
        <v>44</v>
      </c>
      <c r="H18" s="11" t="s">
        <v>44</v>
      </c>
      <c r="I18" s="11" t="s">
        <v>44</v>
      </c>
      <c r="J18" s="1" t="s">
        <v>44</v>
      </c>
      <c r="K18" s="1">
        <v>1</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EC7EE-4E44-45B8-AB3E-8ED5D8140AA5}">
  <dimension ref="A1:K18"/>
  <sheetViews>
    <sheetView tabSelected="1" workbookViewId="0">
      <selection activeCell="E22" sqref="E22"/>
    </sheetView>
  </sheetViews>
  <sheetFormatPr defaultRowHeight="12.75" x14ac:dyDescent="0.2"/>
  <cols>
    <col min="1" max="1" width="18.42578125" bestFit="1" customWidth="1"/>
    <col min="2" max="2" width="6.7109375" bestFit="1" customWidth="1"/>
    <col min="3" max="3" width="13.42578125" bestFit="1" customWidth="1"/>
    <col min="4" max="4" width="16.7109375" bestFit="1" customWidth="1"/>
    <col min="5" max="5" width="21.85546875" bestFit="1" customWidth="1"/>
    <col min="6" max="6" width="15.42578125" bestFit="1" customWidth="1"/>
    <col min="7" max="7" width="17.5703125" customWidth="1"/>
    <col min="8" max="8" width="13.7109375" bestFit="1" customWidth="1"/>
    <col min="9" max="9" width="9.5703125" customWidth="1"/>
    <col min="11" max="11" width="15.140625" customWidth="1"/>
  </cols>
  <sheetData>
    <row r="1" spans="1:11" x14ac:dyDescent="0.2">
      <c r="A1" s="3" t="s">
        <v>0</v>
      </c>
      <c r="B1" s="14" t="s">
        <v>45</v>
      </c>
      <c r="C1" s="14" t="s">
        <v>46</v>
      </c>
      <c r="D1" s="14" t="s">
        <v>47</v>
      </c>
      <c r="E1" s="14" t="s">
        <v>48</v>
      </c>
      <c r="F1" s="14" t="s">
        <v>49</v>
      </c>
      <c r="G1" s="3" t="s">
        <v>57</v>
      </c>
      <c r="H1" s="3" t="s">
        <v>58</v>
      </c>
      <c r="I1" s="3" t="s">
        <v>59</v>
      </c>
      <c r="J1" s="3" t="s">
        <v>60</v>
      </c>
      <c r="K1" s="3" t="s">
        <v>61</v>
      </c>
    </row>
    <row r="2" spans="1:11" x14ac:dyDescent="0.2">
      <c r="A2" t="s">
        <v>9</v>
      </c>
      <c r="B2" s="1">
        <v>5</v>
      </c>
      <c r="C2" s="1">
        <v>1.1759999999999999</v>
      </c>
      <c r="D2" s="1">
        <f>VLOOKUP($B2,Categories[],MATCH(D$1,Categories[#Headers],0),0)</f>
        <v>500</v>
      </c>
      <c r="E2" s="1">
        <f>VLOOKUP($B2,Categories[],MATCH(E$1,Categories[#Headers],0),0)</f>
        <v>100</v>
      </c>
      <c r="F2" s="1">
        <f>VLOOKUP($B2,Categories[],MATCH(F$1,Categories[#Headers],0),0)</f>
        <v>60</v>
      </c>
      <c r="G2" s="11" t="s">
        <v>44</v>
      </c>
      <c r="H2" s="1" t="s">
        <v>62</v>
      </c>
      <c r="I2" s="1">
        <f t="shared" ref="I2:I15" si="0">100-E2</f>
        <v>0</v>
      </c>
      <c r="J2" s="1">
        <f>((E2*Products!D2/Products!H2)+(I2*Products!D6/Products!H6))/100</f>
        <v>0.2</v>
      </c>
      <c r="K2" s="1">
        <v>1</v>
      </c>
    </row>
    <row r="3" spans="1:11" x14ac:dyDescent="0.2">
      <c r="A3" t="s">
        <v>12</v>
      </c>
      <c r="B3" s="1">
        <v>5</v>
      </c>
      <c r="C3" s="1">
        <v>1.131</v>
      </c>
      <c r="D3" s="1">
        <f>VLOOKUP($B3,Categories[],MATCH(D$1,Categories[#Headers],0),0)</f>
        <v>500</v>
      </c>
      <c r="E3" s="1">
        <f>VLOOKUP($B3,Categories[],MATCH(E$1,Categories[#Headers],0),0)</f>
        <v>100</v>
      </c>
      <c r="F3" s="1">
        <f>VLOOKUP($B3,Categories[],MATCH(F$1,Categories[#Headers],0),0)</f>
        <v>60</v>
      </c>
      <c r="G3" s="11" t="s">
        <v>44</v>
      </c>
      <c r="H3" s="1" t="s">
        <v>62</v>
      </c>
      <c r="I3" s="1">
        <f t="shared" si="0"/>
        <v>0</v>
      </c>
      <c r="J3" s="1">
        <f>((E3*Products!D3/Products!H3)+(I3*Products!D6/Products!H6))/100</f>
        <v>0.25</v>
      </c>
      <c r="K3" s="1">
        <v>1</v>
      </c>
    </row>
    <row r="4" spans="1:11" x14ac:dyDescent="0.2">
      <c r="A4" t="s">
        <v>14</v>
      </c>
      <c r="B4" s="1">
        <v>5</v>
      </c>
      <c r="C4" s="1">
        <v>1.145</v>
      </c>
      <c r="D4" s="1">
        <f>VLOOKUP($B4,Categories[],MATCH(D$1,Categories[#Headers],0),0)</f>
        <v>500</v>
      </c>
      <c r="E4" s="1">
        <f>VLOOKUP($B4,Categories[],MATCH(E$1,Categories[#Headers],0),0)</f>
        <v>100</v>
      </c>
      <c r="F4" s="1">
        <f>VLOOKUP($B4,Categories[],MATCH(F$1,Categories[#Headers],0),0)</f>
        <v>60</v>
      </c>
      <c r="G4" s="11" t="s">
        <v>44</v>
      </c>
      <c r="H4" s="1" t="s">
        <v>62</v>
      </c>
      <c r="I4" s="1">
        <f t="shared" si="0"/>
        <v>0</v>
      </c>
      <c r="J4" s="1">
        <f>((E4*Products!D4/Products!H4)+(I4*Products!D6/Products!H6))/100</f>
        <v>0.16666666666666669</v>
      </c>
      <c r="K4" s="1">
        <v>1</v>
      </c>
    </row>
    <row r="5" spans="1:11" x14ac:dyDescent="0.2">
      <c r="A5" t="s">
        <v>16</v>
      </c>
      <c r="B5" s="1">
        <v>5</v>
      </c>
      <c r="C5" s="1">
        <v>1.44</v>
      </c>
      <c r="D5" s="1">
        <f>VLOOKUP($B5,Categories[],MATCH(D$1,Categories[#Headers],0),0)</f>
        <v>500</v>
      </c>
      <c r="E5" s="1">
        <f>VLOOKUP($B5,Categories[],MATCH(E$1,Categories[#Headers],0),0)</f>
        <v>100</v>
      </c>
      <c r="F5" s="1">
        <f>VLOOKUP($B5,Categories[],MATCH(F$1,Categories[#Headers],0),0)</f>
        <v>60</v>
      </c>
      <c r="G5" s="11" t="s">
        <v>44</v>
      </c>
      <c r="H5" s="1" t="s">
        <v>62</v>
      </c>
      <c r="I5" s="1">
        <f t="shared" si="0"/>
        <v>0</v>
      </c>
      <c r="J5" s="1">
        <f>((E5*Products!D5/Products!H5)+(I5*Products!D6/Products!H6))/100</f>
        <v>0.2</v>
      </c>
      <c r="K5" s="1">
        <v>1</v>
      </c>
    </row>
    <row r="6" spans="1:11" x14ac:dyDescent="0.2">
      <c r="A6" t="s">
        <v>18</v>
      </c>
      <c r="B6" s="1">
        <v>5</v>
      </c>
      <c r="C6" s="1">
        <v>1.4</v>
      </c>
      <c r="D6" s="1">
        <f>VLOOKUP($B6,Categories[],MATCH(D$1,Categories[#Headers],0),0)</f>
        <v>500</v>
      </c>
      <c r="E6" s="1">
        <f>VLOOKUP($B6,Categories[],MATCH(E$1,Categories[#Headers],0),0)</f>
        <v>100</v>
      </c>
      <c r="F6" s="1">
        <f>VLOOKUP($B6,Categories[],MATCH(F$1,Categories[#Headers],0),0)</f>
        <v>60</v>
      </c>
      <c r="G6" s="11" t="s">
        <v>44</v>
      </c>
      <c r="H6" s="1" t="s">
        <v>29</v>
      </c>
      <c r="I6" s="1">
        <f t="shared" si="0"/>
        <v>0</v>
      </c>
      <c r="J6" s="1">
        <f>((E6*Products!D6/Products!H6)+(I6*Products!D11/Products!H11))/100</f>
        <v>0.5</v>
      </c>
      <c r="K6" s="1">
        <v>1</v>
      </c>
    </row>
    <row r="7" spans="1:11" x14ac:dyDescent="0.2">
      <c r="A7" t="s">
        <v>20</v>
      </c>
      <c r="B7" s="1">
        <v>5</v>
      </c>
      <c r="C7" s="1">
        <v>1.3440000000000001</v>
      </c>
      <c r="D7" s="1">
        <f>VLOOKUP($B7,Categories[],MATCH(D$1,Categories[#Headers],0),0)</f>
        <v>500</v>
      </c>
      <c r="E7" s="1">
        <f>VLOOKUP($B7,Categories[],MATCH(E$1,Categories[#Headers],0),0)</f>
        <v>100</v>
      </c>
      <c r="F7" s="1">
        <f>VLOOKUP($B7,Categories[],MATCH(F$1,Categories[#Headers],0),0)</f>
        <v>60</v>
      </c>
      <c r="G7" s="11" t="s">
        <v>44</v>
      </c>
      <c r="H7" s="1" t="s">
        <v>62</v>
      </c>
      <c r="I7" s="1">
        <f t="shared" si="0"/>
        <v>0</v>
      </c>
      <c r="J7" s="1">
        <f>((E7*Products!D7/Products!H7)+(I7*Products!D6/Products!H6))/100</f>
        <v>0.25</v>
      </c>
      <c r="K7" s="1">
        <v>1</v>
      </c>
    </row>
    <row r="8" spans="1:11" x14ac:dyDescent="0.2">
      <c r="A8" t="s">
        <v>22</v>
      </c>
      <c r="B8" s="1">
        <v>5</v>
      </c>
      <c r="C8" s="1">
        <v>1.2130000000000001</v>
      </c>
      <c r="D8" s="1">
        <f>VLOOKUP($B8,Categories[],MATCH(D$1,Categories[#Headers],0),0)</f>
        <v>500</v>
      </c>
      <c r="E8" s="1">
        <f>VLOOKUP($B8,Categories[],MATCH(E$1,Categories[#Headers],0),0)</f>
        <v>100</v>
      </c>
      <c r="F8" s="1">
        <f>VLOOKUP($B8,Categories[],MATCH(F$1,Categories[#Headers],0),0)</f>
        <v>60</v>
      </c>
      <c r="G8" s="11" t="s">
        <v>44</v>
      </c>
      <c r="H8" s="1" t="s">
        <v>62</v>
      </c>
      <c r="I8" s="1">
        <f t="shared" si="0"/>
        <v>0</v>
      </c>
      <c r="J8" s="1">
        <f>((E8*Products!D9/Products!H9)+(I8*Products!D6/Products!H6))/100</f>
        <v>0.125</v>
      </c>
      <c r="K8" s="1">
        <v>1</v>
      </c>
    </row>
    <row r="9" spans="1:11" x14ac:dyDescent="0.2">
      <c r="A9" t="s">
        <v>28</v>
      </c>
      <c r="B9" s="1">
        <v>5</v>
      </c>
      <c r="C9" s="1">
        <v>1.333</v>
      </c>
      <c r="D9" s="1">
        <f>VLOOKUP($B9,Categories[],MATCH(D$1,Categories[#Headers],0),0)</f>
        <v>500</v>
      </c>
      <c r="E9" s="1">
        <f>VLOOKUP($B9,Categories[],MATCH(E$1,Categories[#Headers],0),0)</f>
        <v>100</v>
      </c>
      <c r="F9" s="1">
        <f>VLOOKUP($B9,Categories[],MATCH(F$1,Categories[#Headers],0),0)</f>
        <v>60</v>
      </c>
      <c r="G9" s="11" t="s">
        <v>44</v>
      </c>
      <c r="H9" s="1" t="s">
        <v>18</v>
      </c>
      <c r="I9" s="1">
        <f t="shared" si="0"/>
        <v>0</v>
      </c>
      <c r="J9" s="1">
        <f>((E9*Products!$D$11/Products!$H$11)+(I9*Products!$D$6/Products!$H$6))/100</f>
        <v>0.5</v>
      </c>
      <c r="K9" s="1">
        <v>1</v>
      </c>
    </row>
    <row r="10" spans="1:11" x14ac:dyDescent="0.2">
      <c r="A10" t="s">
        <v>32</v>
      </c>
      <c r="B10" s="1">
        <v>5</v>
      </c>
      <c r="C10" s="1">
        <v>1.333</v>
      </c>
      <c r="D10" s="1">
        <f>VLOOKUP($B10,Categories[],MATCH(D$1,Categories[#Headers],0),0)</f>
        <v>500</v>
      </c>
      <c r="E10" s="15">
        <f>100*(1/1.5)</f>
        <v>66.666666666666657</v>
      </c>
      <c r="F10" s="1">
        <f>VLOOKUP($B10,Categories[],MATCH(F$1,Categories[#Headers],0),0)</f>
        <v>60</v>
      </c>
      <c r="G10" s="11" t="s">
        <v>44</v>
      </c>
      <c r="H10" s="1" t="s">
        <v>30</v>
      </c>
      <c r="I10" s="1">
        <f t="shared" si="0"/>
        <v>33.333333333333343</v>
      </c>
      <c r="J10" s="1">
        <f>((E10*Products!$D$11/Products!$H$11)+(I10*Products!$D$12/Products!$H$12))/100</f>
        <v>0.33333333333333326</v>
      </c>
      <c r="K10" s="1">
        <v>1</v>
      </c>
    </row>
    <row r="11" spans="1:11" x14ac:dyDescent="0.2">
      <c r="A11" t="s">
        <v>34</v>
      </c>
      <c r="B11" s="1">
        <v>5</v>
      </c>
      <c r="C11" s="1">
        <v>1.333</v>
      </c>
      <c r="D11" s="1">
        <f>VLOOKUP($B11,Categories[],MATCH(D$1,Categories[#Headers],0),0)</f>
        <v>500</v>
      </c>
      <c r="E11" s="16">
        <f>100*(1/2)</f>
        <v>50</v>
      </c>
      <c r="F11" s="1">
        <f>VLOOKUP($B11,Categories[],MATCH(F$1,Categories[#Headers],0),0)</f>
        <v>60</v>
      </c>
      <c r="G11" s="11" t="s">
        <v>44</v>
      </c>
      <c r="H11" s="1" t="s">
        <v>30</v>
      </c>
      <c r="I11" s="1">
        <f t="shared" si="0"/>
        <v>50</v>
      </c>
      <c r="J11" s="1">
        <f>((E11*Products!$D$11/Products!$H$11)+(I11*Products!$D$12/Products!$H$12))/100</f>
        <v>0.25</v>
      </c>
      <c r="K11" s="1">
        <v>1</v>
      </c>
    </row>
    <row r="12" spans="1:11" x14ac:dyDescent="0.2">
      <c r="A12" t="s">
        <v>35</v>
      </c>
      <c r="B12" s="1">
        <v>5</v>
      </c>
      <c r="C12" s="1">
        <v>1.333</v>
      </c>
      <c r="D12" s="1">
        <f>VLOOKUP($B12,Categories[],MATCH(D$1,Categories[#Headers],0),0)</f>
        <v>500</v>
      </c>
      <c r="E12" s="15">
        <f>100*(1/3)</f>
        <v>33.333333333333329</v>
      </c>
      <c r="F12" s="1">
        <f>VLOOKUP($B12,Categories[],MATCH(F$1,Categories[#Headers],0),0)</f>
        <v>60</v>
      </c>
      <c r="G12" s="11" t="s">
        <v>44</v>
      </c>
      <c r="H12" s="1" t="s">
        <v>30</v>
      </c>
      <c r="I12" s="1">
        <f t="shared" si="0"/>
        <v>66.666666666666671</v>
      </c>
      <c r="J12" s="1">
        <f>((E12*Products!$D$11/Products!$H$11)+(I12*Products!$D$12/Products!$H$12))/100</f>
        <v>0.16666666666666663</v>
      </c>
      <c r="K12" s="1">
        <v>1</v>
      </c>
    </row>
    <row r="13" spans="1:11" x14ac:dyDescent="0.2">
      <c r="A13" t="s">
        <v>36</v>
      </c>
      <c r="B13" s="1">
        <v>5</v>
      </c>
      <c r="C13" s="1">
        <v>1.4</v>
      </c>
      <c r="D13" s="1">
        <f>VLOOKUP($B13,Categories[],MATCH(D$1,Categories[#Headers],0),0)</f>
        <v>500</v>
      </c>
      <c r="E13" s="15">
        <f>100*(1/1.5)</f>
        <v>66.666666666666657</v>
      </c>
      <c r="F13" s="1">
        <f>VLOOKUP($B13,Categories[],MATCH(F$1,Categories[#Headers],0),0)</f>
        <v>60</v>
      </c>
      <c r="G13" s="11" t="s">
        <v>44</v>
      </c>
      <c r="H13" s="1" t="s">
        <v>30</v>
      </c>
      <c r="I13" s="1">
        <f t="shared" si="0"/>
        <v>33.333333333333343</v>
      </c>
      <c r="J13" s="1">
        <f>((E13*Products!$D$6/Products!$H$6)+(I13*Products!$D$12/Products!$H$12))/100</f>
        <v>0.33333333333333326</v>
      </c>
      <c r="K13" s="1">
        <v>1</v>
      </c>
    </row>
    <row r="14" spans="1:11" x14ac:dyDescent="0.2">
      <c r="A14" t="s">
        <v>37</v>
      </c>
      <c r="B14" s="1">
        <v>5</v>
      </c>
      <c r="C14" s="1">
        <v>1.4</v>
      </c>
      <c r="D14" s="1">
        <f>VLOOKUP($B14,Categories[],MATCH(D$1,Categories[#Headers],0),0)</f>
        <v>500</v>
      </c>
      <c r="E14" s="16">
        <f>100*(1/2)</f>
        <v>50</v>
      </c>
      <c r="F14" s="1">
        <f>VLOOKUP($B14,Categories[],MATCH(F$1,Categories[#Headers],0),0)</f>
        <v>60</v>
      </c>
      <c r="G14" s="11" t="s">
        <v>44</v>
      </c>
      <c r="H14" s="1" t="s">
        <v>30</v>
      </c>
      <c r="I14" s="1">
        <f t="shared" si="0"/>
        <v>50</v>
      </c>
      <c r="J14" s="1">
        <f>((E14*Products!$D$6/Products!$H$6)+(I14*Products!$D$12/Products!$H$12))/100</f>
        <v>0.25</v>
      </c>
      <c r="K14" s="1">
        <v>1</v>
      </c>
    </row>
    <row r="15" spans="1:11" x14ac:dyDescent="0.2">
      <c r="A15" t="s">
        <v>38</v>
      </c>
      <c r="B15" s="1">
        <v>5</v>
      </c>
      <c r="C15" s="1">
        <v>1.4</v>
      </c>
      <c r="D15" s="1">
        <f>VLOOKUP($B15,Categories[],MATCH(D$1,Categories[#Headers],0),0)</f>
        <v>500</v>
      </c>
      <c r="E15" s="15">
        <f>100*(1/3)</f>
        <v>33.333333333333329</v>
      </c>
      <c r="F15" s="1">
        <f>VLOOKUP($B15,Categories[],MATCH(F$1,Categories[#Headers],0),0)</f>
        <v>60</v>
      </c>
      <c r="G15" s="11" t="s">
        <v>44</v>
      </c>
      <c r="H15" s="1" t="s">
        <v>30</v>
      </c>
      <c r="I15" s="1">
        <f t="shared" si="0"/>
        <v>66.666666666666671</v>
      </c>
      <c r="J15" s="1">
        <f>((E15*Products!$D$6/Products!$H$6)+(I15*Products!$D$12/Products!$H$12))/100</f>
        <v>0.16666666666666663</v>
      </c>
      <c r="K15" s="1">
        <v>1</v>
      </c>
    </row>
    <row r="16" spans="1:11" x14ac:dyDescent="0.2">
      <c r="A16" t="s">
        <v>39</v>
      </c>
      <c r="B16" s="1">
        <v>7</v>
      </c>
      <c r="C16" s="1">
        <f>VLOOKUP($B16,Categories[],MATCH(C$1,Categories[#Headers],0),0)</f>
        <v>2</v>
      </c>
      <c r="D16" s="1">
        <f>VLOOKUP($B16,Categories[],MATCH(D$1,Categories[#Headers],0),0)</f>
        <v>500</v>
      </c>
      <c r="E16" s="1">
        <f>VLOOKUP($B16,Categories[],MATCH(E$1,Categories[#Headers],0),0)</f>
        <v>100</v>
      </c>
      <c r="F16" s="1" t="str">
        <f>VLOOKUP($B16,Categories[],MATCH(F$1,Categories[#Headers],0),0)</f>
        <v>N/A</v>
      </c>
      <c r="G16" s="11" t="s">
        <v>44</v>
      </c>
      <c r="H16" s="11" t="s">
        <v>44</v>
      </c>
      <c r="I16" s="11" t="s">
        <v>44</v>
      </c>
      <c r="J16" s="1" t="s">
        <v>44</v>
      </c>
      <c r="K16" s="1">
        <v>1</v>
      </c>
    </row>
    <row r="17" spans="1:11" x14ac:dyDescent="0.2">
      <c r="A17" t="s">
        <v>42</v>
      </c>
      <c r="B17" s="1">
        <v>7</v>
      </c>
      <c r="C17" s="1">
        <f>VLOOKUP($B17,Categories[],MATCH(C$1,Categories[#Headers],0),0)</f>
        <v>2</v>
      </c>
      <c r="D17" s="1">
        <f>VLOOKUP($B17,Categories[],MATCH(D$1,Categories[#Headers],0),0)</f>
        <v>500</v>
      </c>
      <c r="E17" s="1">
        <f>VLOOKUP($B17,Categories[],MATCH(E$1,Categories[#Headers],0),0)</f>
        <v>100</v>
      </c>
      <c r="F17" s="1" t="str">
        <f>VLOOKUP($B17,Categories[],MATCH(F$1,Categories[#Headers],0),0)</f>
        <v>N/A</v>
      </c>
      <c r="G17" s="11" t="s">
        <v>44</v>
      </c>
      <c r="H17" s="11" t="s">
        <v>44</v>
      </c>
      <c r="I17" s="11" t="s">
        <v>44</v>
      </c>
      <c r="J17" s="1" t="s">
        <v>44</v>
      </c>
      <c r="K17" s="1">
        <v>1</v>
      </c>
    </row>
    <row r="18" spans="1:11" x14ac:dyDescent="0.2">
      <c r="A18" t="s">
        <v>43</v>
      </c>
      <c r="B18" s="1">
        <v>7</v>
      </c>
      <c r="C18" s="1">
        <f>VLOOKUP($B18,Categories[],MATCH(C$1,Categories[#Headers],0),0)</f>
        <v>2</v>
      </c>
      <c r="D18" s="1">
        <f>VLOOKUP($B18,Categories[],MATCH(D$1,Categories[#Headers],0),0)</f>
        <v>500</v>
      </c>
      <c r="E18" s="1">
        <f>VLOOKUP($B18,Categories[],MATCH(E$1,Categories[#Headers],0),0)</f>
        <v>100</v>
      </c>
      <c r="F18" s="1" t="str">
        <f>VLOOKUP($B18,Categories[],MATCH(F$1,Categories[#Headers],0),0)</f>
        <v>N/A</v>
      </c>
      <c r="G18" s="11" t="s">
        <v>44</v>
      </c>
      <c r="H18" s="11" t="s">
        <v>44</v>
      </c>
      <c r="I18" s="11" t="s">
        <v>44</v>
      </c>
      <c r="J18" s="1" t="s">
        <v>44</v>
      </c>
      <c r="K18" s="1">
        <v>1</v>
      </c>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
  <sheetViews>
    <sheetView zoomScaleNormal="100" workbookViewId="0">
      <selection activeCell="D36" sqref="D36"/>
    </sheetView>
  </sheetViews>
  <sheetFormatPr defaultColWidth="8.7109375" defaultRowHeight="12.75" x14ac:dyDescent="0.2"/>
  <cols>
    <col min="1" max="1" width="27.7109375" customWidth="1"/>
    <col min="2" max="2" width="11.42578125"/>
    <col min="3" max="3" width="14.7109375" customWidth="1"/>
    <col min="4" max="4" width="18.7109375" customWidth="1"/>
    <col min="5" max="5" width="17.7109375" customWidth="1"/>
    <col min="6" max="6" width="36" customWidth="1"/>
    <col min="7" max="8" width="15.42578125" style="1" customWidth="1"/>
    <col min="9" max="9" width="15.42578125" customWidth="1"/>
    <col min="10" max="1025" width="11.42578125"/>
  </cols>
  <sheetData>
    <row r="1" spans="1:10" x14ac:dyDescent="0.2">
      <c r="A1" s="2" t="s">
        <v>0</v>
      </c>
      <c r="B1" s="2" t="s">
        <v>46</v>
      </c>
      <c r="C1" s="2" t="s">
        <v>47</v>
      </c>
      <c r="D1" s="2" t="s">
        <v>48</v>
      </c>
      <c r="E1" s="2" t="s">
        <v>57</v>
      </c>
      <c r="F1" s="2" t="s">
        <v>58</v>
      </c>
      <c r="G1" s="3" t="s">
        <v>59</v>
      </c>
      <c r="H1" s="3" t="s">
        <v>60</v>
      </c>
      <c r="I1" s="3" t="s">
        <v>61</v>
      </c>
      <c r="J1" s="2" t="s">
        <v>63</v>
      </c>
    </row>
    <row r="2" spans="1:10" x14ac:dyDescent="0.2">
      <c r="A2" t="s">
        <v>12</v>
      </c>
      <c r="B2" s="1">
        <v>1.94</v>
      </c>
      <c r="C2" s="1">
        <v>1.2</v>
      </c>
      <c r="D2" s="1">
        <v>96.5</v>
      </c>
      <c r="E2" s="1"/>
      <c r="F2" s="1" t="s">
        <v>64</v>
      </c>
      <c r="G2" s="1">
        <v>3.5</v>
      </c>
      <c r="H2" s="1">
        <f>((D2*Products!D3/Products!H3)+(G2*Products!D6/Products!H6))/100</f>
        <v>0.25874999999999998</v>
      </c>
      <c r="I2" s="1">
        <v>1</v>
      </c>
      <c r="J2" t="s">
        <v>65</v>
      </c>
    </row>
    <row r="3" spans="1:10" x14ac:dyDescent="0.2">
      <c r="A3" t="s">
        <v>16</v>
      </c>
      <c r="B3" s="1">
        <v>1.81</v>
      </c>
      <c r="C3" s="1">
        <v>0.3</v>
      </c>
      <c r="D3" s="1">
        <v>87</v>
      </c>
      <c r="E3" s="1"/>
      <c r="F3" s="1" t="s">
        <v>30</v>
      </c>
      <c r="G3" s="1">
        <v>13</v>
      </c>
      <c r="H3" s="1">
        <f>((D3*Products!D5/Products!H5)+(G3*Products!D12/Products!H12))/100</f>
        <v>0.17399999999999999</v>
      </c>
      <c r="I3" s="1">
        <v>1</v>
      </c>
      <c r="J3" t="s">
        <v>66</v>
      </c>
    </row>
    <row r="4" spans="1:10" x14ac:dyDescent="0.2">
      <c r="A4" t="s">
        <v>14</v>
      </c>
      <c r="B4" s="1">
        <f>1.23-(-0.7)</f>
        <v>1.93</v>
      </c>
      <c r="C4" s="1">
        <v>128</v>
      </c>
      <c r="D4" s="1">
        <v>43</v>
      </c>
      <c r="E4" s="1">
        <v>25</v>
      </c>
      <c r="F4" s="1" t="s">
        <v>67</v>
      </c>
      <c r="G4" s="1" t="s">
        <v>68</v>
      </c>
      <c r="H4" s="1">
        <f>((D4*Products!D4/Products!H4)+(34*Products!D10/Products!H10)+(16*Products!D12/Products!H12)+(4*Products!D3/Products!H3)+(3*Products!D9/Products!H9))/100</f>
        <v>0.14208333333333334</v>
      </c>
      <c r="I4" s="1">
        <v>1</v>
      </c>
      <c r="J4" t="s">
        <v>69</v>
      </c>
    </row>
    <row r="5" spans="1:10" x14ac:dyDescent="0.2">
      <c r="A5" t="s">
        <v>18</v>
      </c>
      <c r="B5" s="1">
        <v>4.0999999999999996</v>
      </c>
      <c r="C5" s="1">
        <v>133</v>
      </c>
      <c r="D5" s="1">
        <v>86</v>
      </c>
      <c r="E5" s="1">
        <v>33</v>
      </c>
      <c r="F5" s="1" t="s">
        <v>29</v>
      </c>
      <c r="G5" s="1">
        <v>14</v>
      </c>
      <c r="H5" s="1">
        <f>((D5*Products!D6/Products!H6)+(G5*Products!D11/Products!H11))/100</f>
        <v>0.5</v>
      </c>
      <c r="I5" s="1">
        <v>1</v>
      </c>
      <c r="J5" t="s">
        <v>70</v>
      </c>
    </row>
    <row r="6" spans="1:10" x14ac:dyDescent="0.2">
      <c r="A6" t="s">
        <v>22</v>
      </c>
      <c r="B6" s="1">
        <v>2.67</v>
      </c>
      <c r="C6" s="1">
        <v>41.5</v>
      </c>
      <c r="D6" s="1">
        <v>77.599999999999994</v>
      </c>
      <c r="E6" s="1">
        <v>61.7</v>
      </c>
      <c r="F6" s="1" t="s">
        <v>71</v>
      </c>
      <c r="G6" s="1" t="s">
        <v>72</v>
      </c>
      <c r="H6" s="1">
        <f>((D6*Products!D8/Products!H8)+(20*Products!D6/Products!H6)+(2.4*Products!D11/Products!H11))/100</f>
        <v>0.24133333333333329</v>
      </c>
      <c r="I6" s="1">
        <v>1</v>
      </c>
      <c r="J6" t="s">
        <v>73</v>
      </c>
    </row>
    <row r="7" spans="1:10" x14ac:dyDescent="0.2">
      <c r="A7" t="s">
        <v>28</v>
      </c>
      <c r="B7" s="1">
        <v>3</v>
      </c>
      <c r="C7" s="1">
        <v>350</v>
      </c>
      <c r="D7" s="1">
        <v>100</v>
      </c>
      <c r="E7" s="1">
        <v>45.4</v>
      </c>
      <c r="F7" s="1" t="s">
        <v>74</v>
      </c>
      <c r="G7" s="1">
        <v>0</v>
      </c>
      <c r="H7" s="1">
        <f>(D7*Products!D11/Products!H11)/100</f>
        <v>0.5</v>
      </c>
      <c r="I7" s="1">
        <v>1</v>
      </c>
      <c r="J7" t="s">
        <v>75</v>
      </c>
    </row>
  </sheetData>
  <autoFilter ref="A1:J6" xr:uid="{00000000-0009-0000-0000-000000000000}"/>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
  <sheetViews>
    <sheetView zoomScaleNormal="100" workbookViewId="0">
      <selection activeCell="F25" sqref="F25"/>
    </sheetView>
  </sheetViews>
  <sheetFormatPr defaultColWidth="8.7109375" defaultRowHeight="12.75" x14ac:dyDescent="0.2"/>
  <cols>
    <col min="1" max="1" width="19.140625" customWidth="1"/>
    <col min="2" max="2" width="11.42578125"/>
    <col min="3" max="3" width="20" customWidth="1"/>
    <col min="4" max="4" width="22.140625" style="1" customWidth="1"/>
    <col min="5" max="5" width="17.28515625" customWidth="1"/>
    <col min="6" max="6" width="36.7109375" style="1" customWidth="1"/>
    <col min="7" max="7" width="16.28515625" customWidth="1"/>
    <col min="8" max="9" width="16.28515625" style="1" customWidth="1"/>
    <col min="10" max="1025" width="11.42578125"/>
  </cols>
  <sheetData>
    <row r="1" spans="1:9" x14ac:dyDescent="0.2">
      <c r="A1" s="2" t="s">
        <v>0</v>
      </c>
      <c r="B1" s="2" t="s">
        <v>46</v>
      </c>
      <c r="C1" s="2" t="s">
        <v>47</v>
      </c>
      <c r="D1" s="3" t="s">
        <v>48</v>
      </c>
      <c r="E1" s="2" t="s">
        <v>57</v>
      </c>
      <c r="F1" s="3" t="s">
        <v>58</v>
      </c>
      <c r="G1" s="3" t="s">
        <v>59</v>
      </c>
      <c r="H1" s="3" t="s">
        <v>60</v>
      </c>
      <c r="I1" s="3" t="s">
        <v>61</v>
      </c>
    </row>
    <row r="2" spans="1:9" x14ac:dyDescent="0.2">
      <c r="A2" t="s">
        <v>9</v>
      </c>
      <c r="B2" s="1">
        <v>3</v>
      </c>
      <c r="C2" s="1">
        <v>300</v>
      </c>
      <c r="D2" s="1">
        <v>80</v>
      </c>
      <c r="E2" s="1">
        <v>30</v>
      </c>
      <c r="F2" s="1" t="s">
        <v>62</v>
      </c>
      <c r="G2" s="1">
        <f t="shared" ref="G2:G15" si="0">100-D2</f>
        <v>20</v>
      </c>
      <c r="H2" s="1">
        <f>((D2*Products!D2/Products!H2)+(G2*Products!D6/Products!H6))/100</f>
        <v>0.26</v>
      </c>
      <c r="I2" s="1">
        <v>1</v>
      </c>
    </row>
    <row r="3" spans="1:9" x14ac:dyDescent="0.2">
      <c r="A3" t="s">
        <v>12</v>
      </c>
      <c r="B3" s="1">
        <v>3</v>
      </c>
      <c r="C3" s="1">
        <v>300</v>
      </c>
      <c r="D3" s="1">
        <v>80</v>
      </c>
      <c r="E3" s="1">
        <v>30</v>
      </c>
      <c r="F3" s="1" t="s">
        <v>62</v>
      </c>
      <c r="G3" s="1">
        <f t="shared" si="0"/>
        <v>20</v>
      </c>
      <c r="H3" s="1">
        <f>((D3*Products!D3/Products!H3)+(G3*Products!D6/Products!H6))/100</f>
        <v>0.3</v>
      </c>
      <c r="I3" s="1">
        <v>1</v>
      </c>
    </row>
    <row r="4" spans="1:9" x14ac:dyDescent="0.2">
      <c r="A4" t="s">
        <v>14</v>
      </c>
      <c r="B4" s="1">
        <v>3</v>
      </c>
      <c r="C4" s="1">
        <v>300</v>
      </c>
      <c r="D4" s="1">
        <v>80</v>
      </c>
      <c r="E4" s="1">
        <v>30</v>
      </c>
      <c r="F4" s="1" t="s">
        <v>62</v>
      </c>
      <c r="G4" s="1">
        <f t="shared" si="0"/>
        <v>20</v>
      </c>
      <c r="H4" s="1">
        <f>((D4*Products!D4/Products!H4)+(G4*Products!D6/Products!H6))/100</f>
        <v>0.23333333333333336</v>
      </c>
      <c r="I4" s="1">
        <v>1</v>
      </c>
    </row>
    <row r="5" spans="1:9" x14ac:dyDescent="0.2">
      <c r="A5" t="s">
        <v>16</v>
      </c>
      <c r="B5" s="1">
        <v>3</v>
      </c>
      <c r="C5" s="1">
        <v>300</v>
      </c>
      <c r="D5" s="1">
        <v>80</v>
      </c>
      <c r="E5" s="1">
        <v>30</v>
      </c>
      <c r="F5" s="1" t="s">
        <v>62</v>
      </c>
      <c r="G5" s="1">
        <f t="shared" si="0"/>
        <v>20</v>
      </c>
      <c r="H5" s="1">
        <f>((D5*Products!D5/Products!H5)+(G5*Products!D6/Products!H6))/100</f>
        <v>0.26</v>
      </c>
      <c r="I5" s="1">
        <v>1</v>
      </c>
    </row>
    <row r="6" spans="1:9" x14ac:dyDescent="0.2">
      <c r="A6" t="s">
        <v>18</v>
      </c>
      <c r="B6" s="1">
        <v>3</v>
      </c>
      <c r="C6" s="1">
        <v>300</v>
      </c>
      <c r="D6" s="1">
        <v>80</v>
      </c>
      <c r="E6" s="1">
        <v>30</v>
      </c>
      <c r="F6" s="1" t="s">
        <v>29</v>
      </c>
      <c r="G6" s="1">
        <f t="shared" si="0"/>
        <v>20</v>
      </c>
      <c r="H6" s="1">
        <f>((D6*Products!D6/Products!H6)+(G6*Products!D11/Products!H11))/100</f>
        <v>0.5</v>
      </c>
      <c r="I6" s="1">
        <v>1</v>
      </c>
    </row>
    <row r="7" spans="1:9" x14ac:dyDescent="0.2">
      <c r="A7" t="s">
        <v>20</v>
      </c>
      <c r="B7" s="1">
        <v>3</v>
      </c>
      <c r="C7" s="1">
        <v>300</v>
      </c>
      <c r="D7" s="1">
        <v>80</v>
      </c>
      <c r="E7" s="1">
        <v>30</v>
      </c>
      <c r="F7" s="1" t="s">
        <v>62</v>
      </c>
      <c r="G7" s="1">
        <f t="shared" si="0"/>
        <v>20</v>
      </c>
      <c r="H7" s="1">
        <f>((D7*Products!D7/Products!H7)+(G7*Products!D6/Products!H6))/100</f>
        <v>0.3</v>
      </c>
      <c r="I7" s="1">
        <v>1</v>
      </c>
    </row>
    <row r="8" spans="1:9" x14ac:dyDescent="0.2">
      <c r="A8" t="s">
        <v>22</v>
      </c>
      <c r="B8" s="1">
        <v>3</v>
      </c>
      <c r="C8" s="1">
        <v>300</v>
      </c>
      <c r="D8" s="1">
        <v>80</v>
      </c>
      <c r="E8" s="1">
        <v>30</v>
      </c>
      <c r="F8" s="1" t="s">
        <v>62</v>
      </c>
      <c r="G8" s="1">
        <f t="shared" si="0"/>
        <v>20</v>
      </c>
      <c r="H8" s="1">
        <f>((D8*Products!D9/Products!H9)+(G8*Products!D6/Products!H6))/100</f>
        <v>0.2</v>
      </c>
      <c r="I8" s="1">
        <v>1</v>
      </c>
    </row>
    <row r="9" spans="1:9" x14ac:dyDescent="0.2">
      <c r="A9" t="s">
        <v>28</v>
      </c>
      <c r="B9" s="1">
        <v>3</v>
      </c>
      <c r="C9" s="1">
        <v>300</v>
      </c>
      <c r="D9" s="1">
        <v>80</v>
      </c>
      <c r="E9" s="1">
        <v>30</v>
      </c>
      <c r="F9" s="1" t="s">
        <v>18</v>
      </c>
      <c r="G9" s="1">
        <f t="shared" si="0"/>
        <v>20</v>
      </c>
      <c r="H9" s="1">
        <f>((D9*Products!$D$11/Products!$H$11)+(G9*Products!$D$6/Products!$H$6))/100</f>
        <v>0.5</v>
      </c>
      <c r="I9" s="1">
        <v>1</v>
      </c>
    </row>
    <row r="10" spans="1:9" x14ac:dyDescent="0.2">
      <c r="A10" t="s">
        <v>32</v>
      </c>
      <c r="B10" s="1">
        <v>3</v>
      </c>
      <c r="C10" s="1">
        <v>300</v>
      </c>
      <c r="D10" s="1">
        <v>66.7</v>
      </c>
      <c r="E10" s="1">
        <v>30</v>
      </c>
      <c r="F10" s="1" t="s">
        <v>30</v>
      </c>
      <c r="G10" s="1">
        <f t="shared" si="0"/>
        <v>33.299999999999997</v>
      </c>
      <c r="H10" s="1">
        <f>((D10*Products!$D$11/Products!$H$11)+(G10*Products!$D$12/Products!$H$12))/100</f>
        <v>0.33350000000000002</v>
      </c>
      <c r="I10" s="1">
        <v>1</v>
      </c>
    </row>
    <row r="11" spans="1:9" x14ac:dyDescent="0.2">
      <c r="A11" t="s">
        <v>34</v>
      </c>
      <c r="B11" s="1">
        <v>3</v>
      </c>
      <c r="C11" s="1">
        <v>300</v>
      </c>
      <c r="D11" s="1">
        <v>50</v>
      </c>
      <c r="E11" s="1">
        <v>30</v>
      </c>
      <c r="F11" s="1" t="s">
        <v>30</v>
      </c>
      <c r="G11" s="1">
        <f t="shared" si="0"/>
        <v>50</v>
      </c>
      <c r="H11" s="1">
        <f>((D11*Products!$D$11/Products!$H$11)+(G11*Products!$D$12/Products!$H$12))/100</f>
        <v>0.25</v>
      </c>
      <c r="I11" s="1">
        <v>1</v>
      </c>
    </row>
    <row r="12" spans="1:9" x14ac:dyDescent="0.2">
      <c r="A12" t="s">
        <v>35</v>
      </c>
      <c r="B12" s="1">
        <v>3</v>
      </c>
      <c r="C12" s="1">
        <v>300</v>
      </c>
      <c r="D12" s="1">
        <v>33.299999999999997</v>
      </c>
      <c r="E12" s="1">
        <v>30</v>
      </c>
      <c r="F12" s="1" t="s">
        <v>30</v>
      </c>
      <c r="G12" s="1">
        <f t="shared" si="0"/>
        <v>66.7</v>
      </c>
      <c r="H12" s="1">
        <f>((D12*Products!$D$11/Products!$H$11)+(G12*Products!$D$12/Products!$H$12))/100</f>
        <v>0.16649999999999998</v>
      </c>
      <c r="I12" s="1">
        <v>1</v>
      </c>
    </row>
    <row r="13" spans="1:9" x14ac:dyDescent="0.2">
      <c r="A13" t="s">
        <v>36</v>
      </c>
      <c r="B13" s="1">
        <v>3</v>
      </c>
      <c r="C13" s="1">
        <v>300</v>
      </c>
      <c r="D13" s="1">
        <v>66.599999999999994</v>
      </c>
      <c r="E13" s="1">
        <v>30</v>
      </c>
      <c r="F13" s="1" t="s">
        <v>30</v>
      </c>
      <c r="G13" s="1">
        <f t="shared" si="0"/>
        <v>33.400000000000006</v>
      </c>
      <c r="H13" s="1">
        <f>((D13*Products!$D$6/Products!$H$6)+(G13*Products!$D$12/Products!$H$12))/100</f>
        <v>0.33299999999999996</v>
      </c>
      <c r="I13" s="1">
        <v>1</v>
      </c>
    </row>
    <row r="14" spans="1:9" x14ac:dyDescent="0.2">
      <c r="A14" t="s">
        <v>37</v>
      </c>
      <c r="B14" s="1">
        <v>3</v>
      </c>
      <c r="C14" s="1">
        <v>300</v>
      </c>
      <c r="D14" s="1">
        <v>50</v>
      </c>
      <c r="E14" s="1">
        <v>30</v>
      </c>
      <c r="F14" s="1" t="s">
        <v>30</v>
      </c>
      <c r="G14" s="1">
        <f t="shared" si="0"/>
        <v>50</v>
      </c>
      <c r="H14" s="1">
        <f>((D14*Products!$D$6/Products!$H$6)+(G14*Products!$D$12/Products!$H$12))/100</f>
        <v>0.25</v>
      </c>
      <c r="I14" s="1">
        <v>1</v>
      </c>
    </row>
    <row r="15" spans="1:9" x14ac:dyDescent="0.2">
      <c r="A15" t="s">
        <v>38</v>
      </c>
      <c r="B15" s="1">
        <v>3</v>
      </c>
      <c r="C15" s="1">
        <v>300</v>
      </c>
      <c r="D15" s="1">
        <v>33.299999999999997</v>
      </c>
      <c r="E15" s="1">
        <v>30</v>
      </c>
      <c r="F15" s="1" t="s">
        <v>30</v>
      </c>
      <c r="G15" s="1">
        <f t="shared" si="0"/>
        <v>66.7</v>
      </c>
      <c r="H15" s="1">
        <f>((D15*Products!$D$6/Products!$H$6)+(G15*Products!$D$12/Products!$H$12))/100</f>
        <v>0.16649999999999998</v>
      </c>
      <c r="I15" s="1">
        <v>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5"/>
  <sheetViews>
    <sheetView zoomScaleNormal="100" workbookViewId="0">
      <selection activeCell="G19" sqref="G19"/>
    </sheetView>
  </sheetViews>
  <sheetFormatPr defaultColWidth="8.7109375" defaultRowHeight="12.75" x14ac:dyDescent="0.2"/>
  <cols>
    <col min="1" max="1" width="19.140625" customWidth="1"/>
    <col min="2" max="2" width="11.42578125"/>
    <col min="3" max="3" width="20" customWidth="1"/>
    <col min="4" max="4" width="22.140625" style="1" customWidth="1"/>
    <col min="5" max="5" width="17.28515625" customWidth="1"/>
    <col min="6" max="6" width="36.7109375" style="1" customWidth="1"/>
    <col min="7" max="7" width="16.28515625" customWidth="1"/>
    <col min="8" max="9" width="16.28515625" style="1" customWidth="1"/>
    <col min="10" max="1025" width="11.42578125"/>
  </cols>
  <sheetData>
    <row r="1" spans="1:9" x14ac:dyDescent="0.2">
      <c r="A1" s="2" t="s">
        <v>0</v>
      </c>
      <c r="B1" s="2" t="s">
        <v>46</v>
      </c>
      <c r="C1" s="2" t="s">
        <v>47</v>
      </c>
      <c r="D1" s="3" t="s">
        <v>48</v>
      </c>
      <c r="E1" s="2" t="s">
        <v>57</v>
      </c>
      <c r="F1" s="3" t="s">
        <v>58</v>
      </c>
      <c r="G1" s="3" t="s">
        <v>59</v>
      </c>
      <c r="H1" s="3" t="s">
        <v>60</v>
      </c>
      <c r="I1" s="3" t="s">
        <v>61</v>
      </c>
    </row>
    <row r="2" spans="1:9" x14ac:dyDescent="0.2">
      <c r="A2" t="s">
        <v>9</v>
      </c>
      <c r="B2" s="1">
        <v>2</v>
      </c>
      <c r="C2" s="1">
        <v>500</v>
      </c>
      <c r="D2" s="1">
        <v>90</v>
      </c>
      <c r="E2" s="1">
        <v>30</v>
      </c>
      <c r="F2" s="1" t="s">
        <v>62</v>
      </c>
      <c r="G2" s="1">
        <f t="shared" ref="G2:G15" si="0">100-D2</f>
        <v>10</v>
      </c>
      <c r="H2" s="1">
        <f>((D2*Products!D2/Products!H2)+(G2*Products!D6/Products!H6))/100</f>
        <v>0.23</v>
      </c>
      <c r="I2" s="1">
        <v>1</v>
      </c>
    </row>
    <row r="3" spans="1:9" x14ac:dyDescent="0.2">
      <c r="A3" t="s">
        <v>12</v>
      </c>
      <c r="B3" s="1">
        <v>2</v>
      </c>
      <c r="C3" s="1">
        <v>500</v>
      </c>
      <c r="D3" s="1">
        <v>90</v>
      </c>
      <c r="E3" s="1">
        <v>30</v>
      </c>
      <c r="F3" s="1" t="s">
        <v>62</v>
      </c>
      <c r="G3" s="1">
        <f t="shared" si="0"/>
        <v>10</v>
      </c>
      <c r="H3" s="1">
        <f>((D3*Products!D3/Products!H3)+(G3*Products!D6/Products!H6))/100</f>
        <v>0.27500000000000002</v>
      </c>
      <c r="I3" s="1">
        <v>1</v>
      </c>
    </row>
    <row r="4" spans="1:9" x14ac:dyDescent="0.2">
      <c r="A4" t="s">
        <v>14</v>
      </c>
      <c r="B4" s="1">
        <v>2</v>
      </c>
      <c r="C4" s="1">
        <v>500</v>
      </c>
      <c r="D4" s="1">
        <v>90</v>
      </c>
      <c r="E4" s="1">
        <v>30</v>
      </c>
      <c r="F4" s="1" t="s">
        <v>62</v>
      </c>
      <c r="G4" s="1">
        <f t="shared" si="0"/>
        <v>10</v>
      </c>
      <c r="H4" s="1">
        <f>((D4*Products!D4/Products!H4)+(G4*Products!D6/Products!H6))/100</f>
        <v>0.2</v>
      </c>
      <c r="I4" s="1">
        <v>1</v>
      </c>
    </row>
    <row r="5" spans="1:9" x14ac:dyDescent="0.2">
      <c r="A5" t="s">
        <v>16</v>
      </c>
      <c r="B5" s="1">
        <v>2</v>
      </c>
      <c r="C5" s="1">
        <v>500</v>
      </c>
      <c r="D5" s="1">
        <v>90</v>
      </c>
      <c r="E5" s="1">
        <v>30</v>
      </c>
      <c r="F5" s="1" t="s">
        <v>62</v>
      </c>
      <c r="G5" s="1">
        <f t="shared" si="0"/>
        <v>10</v>
      </c>
      <c r="H5" s="1">
        <f>((D5*Products!D5/Products!H5)+(G5*Products!D6/Products!H6))/100</f>
        <v>0.23</v>
      </c>
      <c r="I5" s="1">
        <v>1</v>
      </c>
    </row>
    <row r="6" spans="1:9" x14ac:dyDescent="0.2">
      <c r="A6" t="s">
        <v>18</v>
      </c>
      <c r="B6" s="1">
        <v>2</v>
      </c>
      <c r="C6" s="1">
        <v>500</v>
      </c>
      <c r="D6" s="1">
        <v>90</v>
      </c>
      <c r="E6" s="1">
        <v>30</v>
      </c>
      <c r="F6" s="1" t="s">
        <v>29</v>
      </c>
      <c r="G6" s="1">
        <f t="shared" si="0"/>
        <v>10</v>
      </c>
      <c r="H6" s="1">
        <f>((D6*Products!D6/Products!H6)+(G6*Products!D11/Products!H11))/100</f>
        <v>0.5</v>
      </c>
      <c r="I6" s="1">
        <v>1</v>
      </c>
    </row>
    <row r="7" spans="1:9" x14ac:dyDescent="0.2">
      <c r="A7" t="s">
        <v>20</v>
      </c>
      <c r="B7" s="1">
        <v>2</v>
      </c>
      <c r="C7" s="1">
        <v>500</v>
      </c>
      <c r="D7" s="1">
        <v>90</v>
      </c>
      <c r="E7" s="1">
        <v>30</v>
      </c>
      <c r="F7" s="1" t="s">
        <v>62</v>
      </c>
      <c r="G7" s="1">
        <f t="shared" si="0"/>
        <v>10</v>
      </c>
      <c r="H7" s="1">
        <f>((D7*Products!D7/Products!H7)+(G7*Products!D6/Products!H6))/100</f>
        <v>0.27500000000000002</v>
      </c>
      <c r="I7" s="1">
        <v>1</v>
      </c>
    </row>
    <row r="8" spans="1:9" x14ac:dyDescent="0.2">
      <c r="A8" t="s">
        <v>22</v>
      </c>
      <c r="B8" s="1">
        <v>2</v>
      </c>
      <c r="C8" s="1">
        <v>500</v>
      </c>
      <c r="D8" s="1">
        <v>90</v>
      </c>
      <c r="E8" s="1">
        <v>30</v>
      </c>
      <c r="F8" s="1" t="s">
        <v>62</v>
      </c>
      <c r="G8" s="1">
        <f t="shared" si="0"/>
        <v>10</v>
      </c>
      <c r="H8" s="1">
        <f>((D8*Products!D9/Products!H9)+(G8*Products!D6/Products!H6))/100</f>
        <v>0.16250000000000001</v>
      </c>
      <c r="I8" s="1">
        <v>1</v>
      </c>
    </row>
    <row r="9" spans="1:9" x14ac:dyDescent="0.2">
      <c r="A9" t="s">
        <v>28</v>
      </c>
      <c r="B9" s="1">
        <v>2</v>
      </c>
      <c r="C9" s="1">
        <v>500</v>
      </c>
      <c r="D9" s="1">
        <v>90</v>
      </c>
      <c r="E9" s="1">
        <v>30</v>
      </c>
      <c r="F9" s="1" t="s">
        <v>18</v>
      </c>
      <c r="G9" s="1">
        <f t="shared" si="0"/>
        <v>10</v>
      </c>
      <c r="H9" s="1">
        <f>((D9*Products!$D$11/Products!$H$11)+(G9*Products!$D$6/Products!$H$6))/100</f>
        <v>0.5</v>
      </c>
      <c r="I9" s="1">
        <v>1</v>
      </c>
    </row>
    <row r="10" spans="1:9" x14ac:dyDescent="0.2">
      <c r="A10" t="s">
        <v>32</v>
      </c>
      <c r="B10" s="1">
        <v>2</v>
      </c>
      <c r="C10" s="1">
        <v>500</v>
      </c>
      <c r="D10" s="1">
        <v>66.7</v>
      </c>
      <c r="E10" s="1">
        <v>30</v>
      </c>
      <c r="F10" s="1" t="s">
        <v>30</v>
      </c>
      <c r="G10" s="1">
        <f t="shared" si="0"/>
        <v>33.299999999999997</v>
      </c>
      <c r="H10" s="1">
        <f>((D10*Products!$D$11/Products!$H$11)+(G10*Products!$D$12/Products!$H$12))/100</f>
        <v>0.33350000000000002</v>
      </c>
      <c r="I10" s="1">
        <v>1</v>
      </c>
    </row>
    <row r="11" spans="1:9" x14ac:dyDescent="0.2">
      <c r="A11" t="s">
        <v>34</v>
      </c>
      <c r="B11" s="1">
        <v>2</v>
      </c>
      <c r="C11" s="1">
        <v>500</v>
      </c>
      <c r="D11" s="1">
        <v>50</v>
      </c>
      <c r="E11" s="1">
        <v>30</v>
      </c>
      <c r="F11" s="1" t="s">
        <v>30</v>
      </c>
      <c r="G11" s="1">
        <f t="shared" si="0"/>
        <v>50</v>
      </c>
      <c r="H11" s="1">
        <f>((D11*Products!$D$11/Products!$H$11)+(G11*Products!$D$12/Products!$H$12))/100</f>
        <v>0.25</v>
      </c>
      <c r="I11" s="1">
        <v>1</v>
      </c>
    </row>
    <row r="12" spans="1:9" x14ac:dyDescent="0.2">
      <c r="A12" t="s">
        <v>35</v>
      </c>
      <c r="B12" s="1">
        <v>2</v>
      </c>
      <c r="C12" s="1">
        <v>500</v>
      </c>
      <c r="D12" s="1">
        <v>33.299999999999997</v>
      </c>
      <c r="E12" s="1">
        <v>30</v>
      </c>
      <c r="F12" s="1" t="s">
        <v>30</v>
      </c>
      <c r="G12" s="1">
        <f t="shared" si="0"/>
        <v>66.7</v>
      </c>
      <c r="H12" s="1">
        <f>((D12*Products!$D$11/Products!$H$11)+(G12*Products!$D$12/Products!$H$12))/100</f>
        <v>0.16649999999999998</v>
      </c>
      <c r="I12" s="1">
        <v>1</v>
      </c>
    </row>
    <row r="13" spans="1:9" x14ac:dyDescent="0.2">
      <c r="A13" t="s">
        <v>36</v>
      </c>
      <c r="B13" s="1">
        <v>2</v>
      </c>
      <c r="C13" s="1">
        <v>500</v>
      </c>
      <c r="D13" s="1">
        <v>66.599999999999994</v>
      </c>
      <c r="E13" s="1">
        <v>30</v>
      </c>
      <c r="F13" s="1" t="s">
        <v>30</v>
      </c>
      <c r="G13" s="1">
        <f t="shared" si="0"/>
        <v>33.400000000000006</v>
      </c>
      <c r="H13" s="1">
        <f>((D13*Products!$D$6/Products!$H$6)+(G13*Products!$D$12/Products!$H$12))/100</f>
        <v>0.33299999999999996</v>
      </c>
      <c r="I13" s="1">
        <v>1</v>
      </c>
    </row>
    <row r="14" spans="1:9" x14ac:dyDescent="0.2">
      <c r="A14" t="s">
        <v>37</v>
      </c>
      <c r="B14" s="1">
        <v>2</v>
      </c>
      <c r="C14" s="1">
        <v>500</v>
      </c>
      <c r="D14" s="1">
        <v>50</v>
      </c>
      <c r="E14" s="1">
        <v>30</v>
      </c>
      <c r="F14" s="1" t="s">
        <v>30</v>
      </c>
      <c r="G14" s="1">
        <f t="shared" si="0"/>
        <v>50</v>
      </c>
      <c r="H14" s="1">
        <f>((D14*Products!$D$6/Products!$H$6)+(G14*Products!$D$12/Products!$H$12))/100</f>
        <v>0.25</v>
      </c>
      <c r="I14" s="1">
        <v>1</v>
      </c>
    </row>
    <row r="15" spans="1:9" x14ac:dyDescent="0.2">
      <c r="A15" t="s">
        <v>38</v>
      </c>
      <c r="B15" s="1">
        <v>2</v>
      </c>
      <c r="C15" s="1">
        <v>500</v>
      </c>
      <c r="D15" s="1">
        <v>33.299999999999997</v>
      </c>
      <c r="E15" s="1">
        <v>30</v>
      </c>
      <c r="F15" s="1" t="s">
        <v>30</v>
      </c>
      <c r="G15" s="1">
        <f t="shared" si="0"/>
        <v>66.7</v>
      </c>
      <c r="H15" s="1">
        <f>((D15*Products!$D$6/Products!$H$6)+(G15*Products!$D$12/Products!$H$12))/100</f>
        <v>0.16649999999999998</v>
      </c>
      <c r="I15" s="1">
        <v>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
  <sheetViews>
    <sheetView zoomScaleNormal="100" workbookViewId="0">
      <selection activeCell="M10" sqref="M10"/>
    </sheetView>
  </sheetViews>
  <sheetFormatPr defaultColWidth="8.7109375" defaultRowHeight="12.75" x14ac:dyDescent="0.2"/>
  <cols>
    <col min="1" max="1" width="20" customWidth="1"/>
    <col min="2" max="4" width="11.42578125"/>
    <col min="5" max="5" width="14.28515625" customWidth="1"/>
    <col min="6" max="6" width="23" customWidth="1"/>
    <col min="7" max="7" width="17" customWidth="1"/>
    <col min="8" max="8" width="17.7109375" customWidth="1"/>
    <col min="9" max="1025" width="11.42578125"/>
  </cols>
  <sheetData>
    <row r="1" spans="1:9" x14ac:dyDescent="0.2">
      <c r="A1" s="2" t="s">
        <v>0</v>
      </c>
      <c r="B1" s="2" t="s">
        <v>8</v>
      </c>
      <c r="C1" s="2" t="s">
        <v>76</v>
      </c>
      <c r="D1" s="2" t="s">
        <v>46</v>
      </c>
      <c r="E1" s="2" t="s">
        <v>47</v>
      </c>
      <c r="F1" s="3" t="s">
        <v>48</v>
      </c>
      <c r="G1" s="2" t="s">
        <v>57</v>
      </c>
      <c r="H1" s="3" t="s">
        <v>61</v>
      </c>
      <c r="I1" s="2" t="s">
        <v>77</v>
      </c>
    </row>
    <row r="2" spans="1:9" x14ac:dyDescent="0.2">
      <c r="A2" t="s">
        <v>42</v>
      </c>
      <c r="B2" s="1">
        <v>4</v>
      </c>
      <c r="C2" t="s">
        <v>78</v>
      </c>
      <c r="D2" s="1">
        <v>3</v>
      </c>
      <c r="E2" s="1">
        <v>300</v>
      </c>
      <c r="F2" s="1">
        <v>80</v>
      </c>
      <c r="G2" s="1">
        <v>30</v>
      </c>
      <c r="H2" s="1">
        <v>1</v>
      </c>
      <c r="I2" t="s">
        <v>79</v>
      </c>
    </row>
    <row r="3" spans="1:9" x14ac:dyDescent="0.2">
      <c r="A3" t="s">
        <v>42</v>
      </c>
      <c r="B3" s="1">
        <v>2</v>
      </c>
      <c r="C3" t="s">
        <v>80</v>
      </c>
      <c r="D3" s="1">
        <v>2</v>
      </c>
      <c r="E3" s="1">
        <v>500</v>
      </c>
      <c r="F3" s="1">
        <v>90</v>
      </c>
      <c r="G3" s="1">
        <v>30</v>
      </c>
      <c r="H3" s="1">
        <v>1</v>
      </c>
      <c r="I3" t="s">
        <v>79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8CE6-ED14-AF49-8682-DB4995B8A39C}">
  <dimension ref="A1:I3"/>
  <sheetViews>
    <sheetView workbookViewId="0">
      <selection activeCell="D6" sqref="D6"/>
    </sheetView>
  </sheetViews>
  <sheetFormatPr defaultColWidth="11.5703125" defaultRowHeight="12.75" x14ac:dyDescent="0.2"/>
  <sheetData>
    <row r="1" spans="1:9" s="8" customFormat="1" ht="49.9" customHeight="1" x14ac:dyDescent="0.2">
      <c r="A1" s="8" t="s">
        <v>81</v>
      </c>
      <c r="B1" s="8" t="s">
        <v>82</v>
      </c>
      <c r="C1" s="8" t="s">
        <v>83</v>
      </c>
      <c r="D1" s="8" t="s">
        <v>84</v>
      </c>
      <c r="E1" s="8" t="s">
        <v>85</v>
      </c>
      <c r="F1" s="8" t="s">
        <v>86</v>
      </c>
      <c r="G1" s="8" t="s">
        <v>87</v>
      </c>
      <c r="H1" s="8" t="s">
        <v>88</v>
      </c>
      <c r="I1" s="8" t="s">
        <v>77</v>
      </c>
    </row>
    <row r="2" spans="1:9" x14ac:dyDescent="0.2">
      <c r="A2" s="9" t="s">
        <v>89</v>
      </c>
      <c r="B2" s="9" t="s">
        <v>90</v>
      </c>
      <c r="C2" s="9">
        <v>0.25</v>
      </c>
      <c r="D2" s="9"/>
      <c r="E2" s="9">
        <v>1989043</v>
      </c>
      <c r="F2" s="9">
        <v>1000</v>
      </c>
      <c r="G2" s="9"/>
      <c r="H2" s="9">
        <v>0.7</v>
      </c>
      <c r="I2" s="9" t="s">
        <v>91</v>
      </c>
    </row>
    <row r="3" spans="1:9" x14ac:dyDescent="0.2">
      <c r="A3" s="9" t="s">
        <v>92</v>
      </c>
      <c r="B3" s="9" t="s">
        <v>93</v>
      </c>
      <c r="C3" s="9"/>
      <c r="D3" s="9">
        <f>5610420/365/0.9</f>
        <v>17078.904109589039</v>
      </c>
      <c r="E3" s="9">
        <v>4687910</v>
      </c>
      <c r="F3" s="9"/>
      <c r="G3" s="9">
        <v>1000</v>
      </c>
      <c r="H3" s="9">
        <v>0.7</v>
      </c>
      <c r="I3" s="9" t="s">
        <v>91</v>
      </c>
    </row>
  </sheetData>
  <dataValidations count="1">
    <dataValidation type="list" allowBlank="1" showInputMessage="1" showErrorMessage="1" sqref="B2:B3" xr:uid="{713B440C-EC2D-6347-A5DB-BB0071D3FFEF}">
      <formula1>"GAS, LIQUID"</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Products</vt:lpstr>
      <vt:lpstr>Tiers</vt:lpstr>
      <vt:lpstr>Parameters_CATEGORY1</vt:lpstr>
      <vt:lpstr>Parameters_CATEGORY2</vt:lpstr>
      <vt:lpstr>ParametersRealistic</vt:lpstr>
      <vt:lpstr>ParametersIdeal_BASE</vt:lpstr>
      <vt:lpstr>ParametersIdeal_BEST</vt:lpstr>
      <vt:lpstr>CO2-H2_Mixtures</vt:lpstr>
      <vt:lpstr>Separation Parameters</vt:lpstr>
      <vt:lpstr>SensitivityAnalysis</vt:lpstr>
      <vt:lpstr>SensitivityAnalysis_SARGENT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 Harrison</dc:creator>
  <cp:keywords/>
  <dc:description/>
  <cp:lastModifiedBy>Austin Zheng</cp:lastModifiedBy>
  <cp:revision>128</cp:revision>
  <dcterms:created xsi:type="dcterms:W3CDTF">2021-05-12T18:02:07Z</dcterms:created>
  <dcterms:modified xsi:type="dcterms:W3CDTF">2023-08-24T16:27:05Z</dcterms:modified>
  <cp:category/>
  <cp:contentStatus/>
</cp:coreProperties>
</file>